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5" windowWidth="18015" windowHeight="9810" activeTab="2"/>
  </bookViews>
  <sheets>
    <sheet name="2019" sheetId="1" r:id="rId1"/>
    <sheet name="Диаграмма1" sheetId="7" r:id="rId2"/>
    <sheet name="atomoxetine" sheetId="3" r:id="rId3"/>
    <sheet name="puree" sheetId="4" r:id="rId4"/>
    <sheet name="stress" sheetId="5" r:id="rId5"/>
    <sheet name="control" sheetId="6" r:id="rId6"/>
  </sheets>
  <calcPr calcId="145621"/>
</workbook>
</file>

<file path=xl/calcChain.xml><?xml version="1.0" encoding="utf-8"?>
<calcChain xmlns="http://schemas.openxmlformats.org/spreadsheetml/2006/main">
  <c r="F31" i="1" l="1"/>
  <c r="AG20" i="4"/>
  <c r="AF20" i="4"/>
  <c r="AA20" i="4"/>
  <c r="Z20" i="4"/>
  <c r="Y20" i="4"/>
  <c r="T20" i="4"/>
  <c r="S20" i="4"/>
  <c r="R20" i="4"/>
  <c r="O20" i="4"/>
  <c r="L20" i="4"/>
  <c r="K20" i="4"/>
  <c r="J20" i="4"/>
  <c r="G20" i="4"/>
  <c r="AG19" i="4"/>
  <c r="AF19" i="4"/>
  <c r="AA19" i="4"/>
  <c r="Z19" i="4"/>
  <c r="Y19" i="4"/>
  <c r="S19" i="4"/>
  <c r="R19" i="4"/>
  <c r="O19" i="4"/>
  <c r="K19" i="4"/>
  <c r="J19" i="4"/>
  <c r="I19" i="4"/>
  <c r="G19" i="4"/>
  <c r="AF18" i="4"/>
  <c r="AG18" i="4"/>
  <c r="AA18" i="4"/>
  <c r="Z18" i="4"/>
  <c r="Y18" i="4"/>
  <c r="T18" i="4"/>
  <c r="S18" i="4"/>
  <c r="R18" i="4"/>
  <c r="O18" i="4"/>
  <c r="L18" i="4"/>
  <c r="J18" i="4"/>
  <c r="G18" i="4"/>
  <c r="AG10" i="4" l="1"/>
  <c r="AF10" i="4"/>
  <c r="Z10" i="4"/>
  <c r="Y10" i="4"/>
  <c r="T10" i="4"/>
  <c r="S10" i="4"/>
  <c r="R10" i="4"/>
  <c r="P10" i="4"/>
  <c r="O10" i="4"/>
  <c r="L10" i="4"/>
  <c r="K10" i="4"/>
  <c r="J10" i="4"/>
  <c r="G10" i="4"/>
  <c r="AG9" i="4"/>
  <c r="AF9" i="4"/>
  <c r="AA9" i="4"/>
  <c r="Z9" i="4"/>
  <c r="Y9" i="4"/>
  <c r="T9" i="4"/>
  <c r="S9" i="4"/>
  <c r="R9" i="4"/>
  <c r="P9" i="4"/>
  <c r="O9" i="4"/>
  <c r="L9" i="4"/>
  <c r="K9" i="4"/>
  <c r="J9" i="4"/>
  <c r="G9" i="4"/>
  <c r="AG8" i="4"/>
  <c r="AF8" i="4"/>
  <c r="AA8" i="4"/>
  <c r="Z8" i="4"/>
  <c r="Y8" i="4"/>
  <c r="T8" i="4"/>
  <c r="S8" i="4"/>
  <c r="R8" i="4"/>
  <c r="O8" i="4"/>
  <c r="L8" i="4"/>
  <c r="K8" i="4"/>
  <c r="J8" i="4"/>
  <c r="G8" i="4"/>
  <c r="AG23" i="5"/>
  <c r="AF23" i="5"/>
  <c r="AA23" i="5"/>
  <c r="Z23" i="5"/>
  <c r="Y23" i="5"/>
  <c r="T22" i="5"/>
  <c r="S22" i="5"/>
  <c r="R22" i="5"/>
  <c r="O22" i="5"/>
  <c r="L22" i="5"/>
  <c r="K22" i="5"/>
  <c r="J22" i="5"/>
  <c r="G22" i="5"/>
  <c r="AG26" i="5"/>
  <c r="AF26" i="5"/>
  <c r="Z26" i="5"/>
  <c r="Y26" i="5"/>
  <c r="T26" i="5"/>
  <c r="S26" i="5"/>
  <c r="R26" i="5"/>
  <c r="O26" i="5"/>
  <c r="L26" i="5"/>
  <c r="K26" i="5"/>
  <c r="J26" i="5"/>
  <c r="G26" i="5"/>
  <c r="AG11" i="5" l="1"/>
  <c r="AF11" i="5"/>
  <c r="AA11" i="5"/>
  <c r="Z11" i="5"/>
  <c r="Y11" i="5"/>
  <c r="Y12" i="5"/>
  <c r="T11" i="5"/>
  <c r="S11" i="5"/>
  <c r="R11" i="5"/>
  <c r="O11" i="5"/>
  <c r="L11" i="5"/>
  <c r="K11" i="5"/>
  <c r="J11" i="5"/>
  <c r="G11" i="5"/>
  <c r="AG12" i="5"/>
  <c r="AF12" i="5"/>
  <c r="AA12" i="5"/>
  <c r="Z12" i="5"/>
  <c r="T12" i="5"/>
  <c r="S12" i="5"/>
  <c r="R12" i="5"/>
  <c r="O12" i="5"/>
  <c r="L12" i="5"/>
  <c r="K12" i="5"/>
  <c r="J12" i="5"/>
  <c r="G12" i="5"/>
  <c r="AG17" i="4"/>
  <c r="AF17" i="4"/>
  <c r="AA17" i="4"/>
  <c r="Z17" i="4"/>
  <c r="Y17" i="4"/>
  <c r="T17" i="4"/>
  <c r="S17" i="4"/>
  <c r="R17" i="4"/>
  <c r="O17" i="4"/>
  <c r="L17" i="4"/>
  <c r="K17" i="4"/>
  <c r="J17" i="4"/>
  <c r="G17" i="4"/>
  <c r="AG16" i="4"/>
  <c r="AF16" i="4"/>
  <c r="AA16" i="4"/>
  <c r="Z16" i="4"/>
  <c r="Y16" i="4"/>
  <c r="T16" i="4"/>
  <c r="S16" i="4"/>
  <c r="R16" i="4"/>
  <c r="O16" i="4"/>
  <c r="L16" i="4"/>
  <c r="K16" i="4"/>
  <c r="J16" i="4"/>
  <c r="G16" i="4"/>
  <c r="AG15" i="4"/>
  <c r="AF15" i="4"/>
  <c r="AA15" i="4"/>
  <c r="Z15" i="4"/>
  <c r="Y15" i="4"/>
  <c r="T15" i="4"/>
  <c r="S15" i="4"/>
  <c r="R15" i="4"/>
  <c r="O15" i="4"/>
  <c r="L15" i="4"/>
  <c r="K15" i="4"/>
  <c r="J15" i="4"/>
  <c r="I15" i="4"/>
  <c r="G15" i="4"/>
  <c r="AG14" i="4"/>
  <c r="AF14" i="4"/>
  <c r="AA14" i="4"/>
  <c r="Z14" i="4"/>
  <c r="Y14" i="4"/>
  <c r="T14" i="4"/>
  <c r="S14" i="4"/>
  <c r="R14" i="4"/>
  <c r="O14" i="4"/>
  <c r="L14" i="4"/>
  <c r="K14" i="4"/>
  <c r="J14" i="4"/>
  <c r="G14" i="4"/>
  <c r="T7" i="4" l="1"/>
  <c r="S7" i="4"/>
  <c r="R7" i="4"/>
  <c r="O7" i="4"/>
  <c r="L7" i="4"/>
  <c r="K7" i="4"/>
  <c r="J7" i="4"/>
  <c r="G7" i="4"/>
  <c r="AA6" i="4"/>
  <c r="Z6" i="4"/>
  <c r="Y6" i="4"/>
  <c r="T6" i="4"/>
  <c r="S6" i="4"/>
  <c r="R6" i="4"/>
  <c r="O6" i="4"/>
  <c r="L6" i="4"/>
  <c r="K6" i="4"/>
  <c r="J6" i="4"/>
  <c r="G6" i="4"/>
  <c r="AG5" i="4"/>
  <c r="AF5" i="4"/>
  <c r="AA5" i="4"/>
  <c r="Z5" i="4"/>
  <c r="Y5" i="4"/>
  <c r="T5" i="4"/>
  <c r="S5" i="4"/>
  <c r="R5" i="4"/>
  <c r="O5" i="4"/>
  <c r="L5" i="4"/>
  <c r="K5" i="4"/>
  <c r="J5" i="4"/>
  <c r="G5" i="4"/>
  <c r="AG4" i="4"/>
  <c r="AF4" i="4"/>
  <c r="AA4" i="4"/>
  <c r="Y4" i="4"/>
  <c r="T4" i="4"/>
  <c r="S4" i="4"/>
  <c r="R4" i="4"/>
  <c r="Q4" i="4"/>
  <c r="O4" i="4"/>
  <c r="N4" i="4"/>
  <c r="M4" i="4"/>
  <c r="F4" i="4"/>
  <c r="F42" i="1" l="1"/>
  <c r="F45" i="1" l="1"/>
  <c r="F40" i="1"/>
  <c r="F39" i="1"/>
  <c r="F32" i="1"/>
  <c r="F37" i="1" l="1"/>
  <c r="F35" i="1"/>
  <c r="F34" i="1"/>
</calcChain>
</file>

<file path=xl/sharedStrings.xml><?xml version="1.0" encoding="utf-8"?>
<sst xmlns="http://schemas.openxmlformats.org/spreadsheetml/2006/main" count="406" uniqueCount="67">
  <si>
    <t>TIME</t>
  </si>
  <si>
    <t>PATH LENGTH</t>
  </si>
  <si>
    <t>VELOCITY</t>
  </si>
  <si>
    <t>ACTIVITY</t>
  </si>
  <si>
    <t>Headctretches</t>
  </si>
  <si>
    <t>N_animal</t>
  </si>
  <si>
    <t>date of experiment</t>
  </si>
  <si>
    <t>group</t>
  </si>
  <si>
    <t>experiment duration, sec</t>
  </si>
  <si>
    <t>center time, sec</t>
  </si>
  <si>
    <t>sum corner time, sec</t>
  </si>
  <si>
    <t>min one corner time, sec</t>
  </si>
  <si>
    <t>max one corner time, sec</t>
  </si>
  <si>
    <t>average corner time, sec</t>
  </si>
  <si>
    <t>overall track length</t>
  </si>
  <si>
    <t>center path, sm</t>
  </si>
  <si>
    <t>sum corner path, sm</t>
  </si>
  <si>
    <t>min one corner path, sm</t>
  </si>
  <si>
    <t>max one corner path, sm</t>
  </si>
  <si>
    <t>average corner path, sm</t>
  </si>
  <si>
    <t>overall velocity, cm/s</t>
  </si>
  <si>
    <t>center velocity, cm/s</t>
  </si>
  <si>
    <t>max corner velocity, cm/s</t>
  </si>
  <si>
    <t>min corner velocity, cm/s</t>
  </si>
  <si>
    <t>average corner velocity, cm/s</t>
  </si>
  <si>
    <t>overall activity, %</t>
  </si>
  <si>
    <t>center activity, %</t>
  </si>
  <si>
    <t>min one corner activity, %</t>
  </si>
  <si>
    <t>max one corner activity, %</t>
  </si>
  <si>
    <t>fecal boli count</t>
  </si>
  <si>
    <t>overall sum</t>
  </si>
  <si>
    <t>pre-stress</t>
  </si>
  <si>
    <t>open-arms time, sec</t>
  </si>
  <si>
    <t>close-arms time, sec</t>
  </si>
  <si>
    <t>average open-arms velosity, sm/s</t>
  </si>
  <si>
    <t>average close-arms velocity, sm/s</t>
  </si>
  <si>
    <t>open-arms</t>
  </si>
  <si>
    <t>close-arms</t>
  </si>
  <si>
    <t>Grooming</t>
  </si>
  <si>
    <t>sum open-arms</t>
  </si>
  <si>
    <t>sum close-arms</t>
  </si>
  <si>
    <t>post-stress</t>
  </si>
  <si>
    <t>close-arms path, sm</t>
  </si>
  <si>
    <t xml:space="preserve"> open-arms path, sm</t>
  </si>
  <si>
    <t>SD</t>
  </si>
  <si>
    <t>mean pre</t>
  </si>
  <si>
    <t>mean stress</t>
  </si>
  <si>
    <t>control</t>
  </si>
  <si>
    <t>mean control</t>
  </si>
  <si>
    <t>StudT pre vs stress</t>
  </si>
  <si>
    <t>StudT pre vs control</t>
  </si>
  <si>
    <t>StudT stress vs control</t>
  </si>
  <si>
    <t>sex</t>
  </si>
  <si>
    <t>male</t>
  </si>
  <si>
    <t>female</t>
  </si>
  <si>
    <t>fm 1 atx</t>
  </si>
  <si>
    <t>fm 2 atx</t>
  </si>
  <si>
    <t>fm 3 atx</t>
  </si>
  <si>
    <t>fm 4 atx</t>
  </si>
  <si>
    <t>fm 5 atx</t>
  </si>
  <si>
    <t>fm</t>
  </si>
  <si>
    <t>m</t>
  </si>
  <si>
    <t>female ??</t>
  </si>
  <si>
    <t>m 1</t>
  </si>
  <si>
    <t>m2</t>
  </si>
  <si>
    <t>m3</t>
  </si>
  <si>
    <t>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</si>
</sst>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EEBF5"/>
        <bgColor indexed="64"/>
      </patternFill>
    </fill>
    <fill>
      <patternFill patternType="solid">
        <fgColor rgb="FFDDE8C6"/>
        <bgColor indexed="64"/>
      </patternFill>
    </fill>
    <fill>
      <patternFill patternType="solid">
        <fgColor rgb="FFFFFFC9"/>
        <bgColor indexed="64"/>
      </patternFill>
    </fill>
    <fill>
      <patternFill patternType="solid">
        <fgColor rgb="FFCDE8EF"/>
        <bgColor indexed="64"/>
      </patternFill>
    </fill>
    <fill>
      <patternFill patternType="solid">
        <fgColor rgb="FFF2DBDA"/>
        <bgColor indexed="64"/>
      </patternFill>
    </fill>
    <fill>
      <patternFill patternType="solid">
        <fgColor rgb="FFFDE8D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4" fontId="0" fillId="0" borderId="0" xfId="0" applyNumberFormat="1"/>
    <xf numFmtId="0" fontId="1" fillId="2" borderId="2" xfId="1" applyFill="1" applyBorder="1" applyAlignment="1">
      <alignment wrapText="1"/>
    </xf>
    <xf numFmtId="0" fontId="1" fillId="2" borderId="1" xfId="1" applyFill="1" applyBorder="1" applyAlignment="1">
      <alignment wrapText="1"/>
    </xf>
    <xf numFmtId="0" fontId="1" fillId="3" borderId="1" xfId="1" applyFill="1" applyBorder="1" applyAlignment="1">
      <alignment wrapText="1"/>
    </xf>
    <xf numFmtId="0" fontId="1" fillId="4" borderId="1" xfId="1" applyFill="1" applyBorder="1" applyAlignment="1">
      <alignment wrapText="1"/>
    </xf>
    <xf numFmtId="0" fontId="1" fillId="5" borderId="1" xfId="1" applyFill="1" applyBorder="1" applyAlignment="1">
      <alignment wrapText="1"/>
    </xf>
    <xf numFmtId="0" fontId="1" fillId="5" borderId="2" xfId="1" applyFill="1" applyBorder="1" applyAlignment="1">
      <alignment wrapText="1"/>
    </xf>
    <xf numFmtId="0" fontId="1" fillId="6" borderId="1" xfId="1" applyFill="1" applyBorder="1" applyAlignment="1">
      <alignment wrapText="1"/>
    </xf>
    <xf numFmtId="0" fontId="1" fillId="7" borderId="1" xfId="1" applyFill="1" applyBorder="1" applyAlignment="1">
      <alignment wrapText="1"/>
    </xf>
    <xf numFmtId="0" fontId="1" fillId="0" borderId="1" xfId="1" applyBorder="1"/>
    <xf numFmtId="0" fontId="0" fillId="8" borderId="0" xfId="0" applyFill="1"/>
    <xf numFmtId="0" fontId="0" fillId="9" borderId="0" xfId="0" applyFill="1"/>
    <xf numFmtId="0" fontId="1" fillId="5" borderId="4" xfId="1" applyFill="1" applyBorder="1" applyAlignment="1">
      <alignment wrapText="1"/>
    </xf>
    <xf numFmtId="0" fontId="1" fillId="5" borderId="5" xfId="1" applyFill="1" applyBorder="1" applyAlignment="1">
      <alignment horizontal="left"/>
    </xf>
    <xf numFmtId="0" fontId="1" fillId="0" borderId="2" xfId="1" applyBorder="1"/>
    <xf numFmtId="0" fontId="0" fillId="0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/>
    <xf numFmtId="14" fontId="0" fillId="11" borderId="0" xfId="0" applyNumberFormat="1" applyFill="1"/>
    <xf numFmtId="0" fontId="0" fillId="11" borderId="0" xfId="0" applyFill="1" applyBorder="1"/>
    <xf numFmtId="164" fontId="0" fillId="0" borderId="0" xfId="0" applyNumberFormat="1"/>
    <xf numFmtId="14" fontId="0" fillId="12" borderId="0" xfId="0" applyNumberFormat="1" applyFill="1"/>
    <xf numFmtId="0" fontId="1" fillId="2" borderId="2" xfId="1" applyFill="1" applyBorder="1" applyAlignment="1"/>
    <xf numFmtId="0" fontId="1" fillId="2" borderId="3" xfId="1" applyFill="1" applyBorder="1" applyAlignment="1"/>
    <xf numFmtId="0" fontId="1" fillId="5" borderId="3" xfId="1" applyFill="1" applyBorder="1" applyAlignment="1">
      <alignment horizontal="left"/>
    </xf>
    <xf numFmtId="0" fontId="1" fillId="3" borderId="2" xfId="1" applyFill="1" applyBorder="1" applyAlignment="1"/>
    <xf numFmtId="0" fontId="1" fillId="3" borderId="3" xfId="1" applyFill="1" applyBorder="1" applyAlignment="1"/>
    <xf numFmtId="0" fontId="1" fillId="4" borderId="2" xfId="1" applyFill="1" applyBorder="1" applyAlignment="1">
      <alignment horizontal="left"/>
    </xf>
    <xf numFmtId="0" fontId="1" fillId="4" borderId="3" xfId="1" applyFill="1" applyBorder="1" applyAlignment="1">
      <alignment horizontal="left"/>
    </xf>
    <xf numFmtId="0" fontId="1" fillId="7" borderId="2" xfId="1" applyFill="1" applyBorder="1" applyAlignment="1"/>
    <xf numFmtId="0" fontId="1" fillId="7" borderId="3" xfId="1" applyFill="1" applyBorder="1" applyAlignmen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puree!$F$18:$X$18</c:f>
              <c:numCache>
                <c:formatCode>General</c:formatCode>
                <c:ptCount val="19"/>
                <c:pt idx="0">
                  <c:v>9.9</c:v>
                </c:pt>
                <c:pt idx="1">
                  <c:v>295</c:v>
                </c:pt>
                <c:pt idx="2">
                  <c:v>0</c:v>
                </c:pt>
                <c:pt idx="3">
                  <c:v>158.80000000000001</c:v>
                </c:pt>
                <c:pt idx="4">
                  <c:v>73.75</c:v>
                </c:pt>
                <c:pt idx="5">
                  <c:v>7.9</c:v>
                </c:pt>
                <c:pt idx="6">
                  <c:v>287.10000000000002</c:v>
                </c:pt>
                <c:pt idx="7">
                  <c:v>784.2</c:v>
                </c:pt>
                <c:pt idx="8">
                  <c:v>73.599999999999994</c:v>
                </c:pt>
                <c:pt idx="9">
                  <c:v>710.6</c:v>
                </c:pt>
                <c:pt idx="10">
                  <c:v>0</c:v>
                </c:pt>
                <c:pt idx="11">
                  <c:v>349.7</c:v>
                </c:pt>
                <c:pt idx="12">
                  <c:v>177.65</c:v>
                </c:pt>
                <c:pt idx="13">
                  <c:v>19.100000000000001</c:v>
                </c:pt>
                <c:pt idx="14">
                  <c:v>691.5</c:v>
                </c:pt>
                <c:pt idx="15">
                  <c:v>2.6</c:v>
                </c:pt>
                <c:pt idx="16">
                  <c:v>7.4</c:v>
                </c:pt>
                <c:pt idx="17">
                  <c:v>2.7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539392"/>
        <c:axId val="180540928"/>
      </c:barChart>
      <c:catAx>
        <c:axId val="18053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0540928"/>
        <c:crosses val="autoZero"/>
        <c:auto val="1"/>
        <c:lblAlgn val="ctr"/>
        <c:lblOffset val="100"/>
        <c:noMultiLvlLbl val="0"/>
      </c:catAx>
      <c:valAx>
        <c:axId val="18054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53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7413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304799</xdr:colOff>
      <xdr:row>19</xdr:row>
      <xdr:rowOff>148318</xdr:rowOff>
    </xdr:from>
    <xdr:ext cx="914400" cy="264560"/>
    <xdr:sp macro="" textlink="">
      <xdr:nvSpPr>
        <xdr:cNvPr id="2" name="TextBox 1"/>
        <xdr:cNvSpPr txBox="1"/>
      </xdr:nvSpPr>
      <xdr:spPr>
        <a:xfrm>
          <a:off x="9231085" y="4529818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5"/>
  <sheetViews>
    <sheetView zoomScale="60" zoomScaleNormal="60" workbookViewId="0">
      <selection activeCell="J29" sqref="J29"/>
    </sheetView>
  </sheetViews>
  <sheetFormatPr defaultRowHeight="15" x14ac:dyDescent="0.25"/>
  <cols>
    <col min="2" max="2" width="12" customWidth="1"/>
    <col min="3" max="3" width="10.140625" style="1" customWidth="1"/>
    <col min="4" max="4" width="12.85546875" customWidth="1"/>
    <col min="5" max="5" width="13.5703125" customWidth="1"/>
    <col min="6" max="6" width="10.42578125" customWidth="1"/>
    <col min="7" max="7" width="12.28515625" customWidth="1"/>
    <col min="8" max="8" width="14.85546875" customWidth="1"/>
    <col min="9" max="9" width="14.7109375" customWidth="1"/>
    <col min="10" max="10" width="14.28515625" customWidth="1"/>
    <col min="11" max="12" width="14.28515625" style="1" customWidth="1"/>
    <col min="13" max="13" width="12.5703125" customWidth="1"/>
    <col min="14" max="14" width="9.28515625" customWidth="1"/>
    <col min="15" max="15" width="12.5703125" customWidth="1"/>
    <col min="16" max="16" width="15.28515625" customWidth="1"/>
    <col min="17" max="17" width="16" customWidth="1"/>
    <col min="18" max="18" width="15.5703125" customWidth="1"/>
    <col min="19" max="20" width="15.5703125" style="1" customWidth="1"/>
    <col min="21" max="21" width="14.28515625" customWidth="1"/>
    <col min="22" max="22" width="14" customWidth="1"/>
    <col min="23" max="23" width="14.5703125" customWidth="1"/>
    <col min="24" max="24" width="14.28515625" customWidth="1"/>
    <col min="25" max="25" width="14.5703125" customWidth="1"/>
    <col min="26" max="27" width="14.5703125" style="1" customWidth="1"/>
    <col min="28" max="28" width="11" customWidth="1"/>
    <col min="29" max="29" width="11.85546875" customWidth="1"/>
    <col min="30" max="30" width="11.28515625" customWidth="1"/>
    <col min="31" max="31" width="12" customWidth="1"/>
    <col min="32" max="33" width="12" style="1" customWidth="1"/>
    <col min="35" max="35" width="11" style="1" customWidth="1"/>
    <col min="37" max="37" width="12.140625" customWidth="1"/>
    <col min="38" max="38" width="12.42578125" customWidth="1"/>
  </cols>
  <sheetData>
    <row r="1" spans="1:38" x14ac:dyDescent="0.25">
      <c r="A1" s="2"/>
      <c r="B1" s="2"/>
      <c r="C1" s="2"/>
      <c r="D1" s="2"/>
      <c r="E1" s="28" t="s">
        <v>0</v>
      </c>
      <c r="F1" s="29"/>
      <c r="G1" s="29"/>
      <c r="H1" s="29"/>
      <c r="I1" s="29"/>
      <c r="J1" s="29"/>
      <c r="K1" s="29"/>
      <c r="L1" s="29"/>
      <c r="M1" s="31" t="s">
        <v>1</v>
      </c>
      <c r="N1" s="32"/>
      <c r="O1" s="32"/>
      <c r="P1" s="32"/>
      <c r="Q1" s="32"/>
      <c r="R1" s="32"/>
      <c r="S1" s="32"/>
      <c r="T1" s="32"/>
      <c r="U1" s="33" t="s">
        <v>2</v>
      </c>
      <c r="V1" s="34"/>
      <c r="W1" s="34"/>
      <c r="X1" s="34"/>
      <c r="Y1" s="34"/>
      <c r="Z1" s="34"/>
      <c r="AA1" s="34"/>
      <c r="AB1" s="17"/>
      <c r="AC1" s="30" t="s">
        <v>3</v>
      </c>
      <c r="AD1" s="30"/>
      <c r="AE1" s="30"/>
      <c r="AF1" s="30"/>
      <c r="AG1" s="30"/>
      <c r="AH1" s="13"/>
      <c r="AI1" s="18"/>
      <c r="AJ1" s="35" t="s">
        <v>4</v>
      </c>
      <c r="AK1" s="36"/>
      <c r="AL1" s="36"/>
    </row>
    <row r="2" spans="1:38" ht="45" x14ac:dyDescent="0.25">
      <c r="A2" s="3" t="s">
        <v>5</v>
      </c>
      <c r="B2" s="3" t="s">
        <v>6</v>
      </c>
      <c r="C2" s="3" t="s">
        <v>52</v>
      </c>
      <c r="D2" s="3" t="s">
        <v>7</v>
      </c>
      <c r="E2" s="5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6" t="s">
        <v>13</v>
      </c>
      <c r="K2" s="6" t="s">
        <v>32</v>
      </c>
      <c r="L2" s="6" t="s">
        <v>33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 t="s">
        <v>19</v>
      </c>
      <c r="S2" s="7" t="s">
        <v>43</v>
      </c>
      <c r="T2" s="7" t="s">
        <v>42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34</v>
      </c>
      <c r="AA2" s="8" t="s">
        <v>35</v>
      </c>
      <c r="AB2" s="16" t="s">
        <v>25</v>
      </c>
      <c r="AC2" s="9" t="s">
        <v>26</v>
      </c>
      <c r="AD2" s="9" t="s">
        <v>27</v>
      </c>
      <c r="AE2" s="9" t="s">
        <v>28</v>
      </c>
      <c r="AF2" s="10" t="s">
        <v>36</v>
      </c>
      <c r="AG2" s="10" t="s">
        <v>37</v>
      </c>
      <c r="AH2" s="11" t="s">
        <v>29</v>
      </c>
      <c r="AI2" s="11" t="s">
        <v>38</v>
      </c>
      <c r="AJ2" s="12" t="s">
        <v>30</v>
      </c>
      <c r="AK2" s="12" t="s">
        <v>40</v>
      </c>
      <c r="AL2" s="12" t="s">
        <v>39</v>
      </c>
    </row>
    <row r="3" spans="1:38" x14ac:dyDescent="0.25">
      <c r="A3">
        <v>1</v>
      </c>
      <c r="B3" s="4">
        <v>43562</v>
      </c>
      <c r="C3" s="4" t="s">
        <v>53</v>
      </c>
      <c r="D3" t="s">
        <v>31</v>
      </c>
      <c r="E3">
        <v>300</v>
      </c>
      <c r="F3">
        <v>56.6</v>
      </c>
      <c r="G3">
        <v>281.10000000000002</v>
      </c>
      <c r="H3" s="14">
        <v>18.2</v>
      </c>
      <c r="I3" s="15">
        <v>133.5</v>
      </c>
      <c r="J3">
        <v>70.3</v>
      </c>
      <c r="K3" s="1">
        <v>39.799999999999997</v>
      </c>
      <c r="L3" s="1">
        <v>241.3</v>
      </c>
      <c r="M3">
        <v>1350.9</v>
      </c>
      <c r="N3">
        <v>210.7</v>
      </c>
      <c r="O3">
        <v>1140.2</v>
      </c>
      <c r="P3" s="14">
        <v>48.8</v>
      </c>
      <c r="Q3" s="15">
        <v>501.9</v>
      </c>
      <c r="R3">
        <v>285.10000000000002</v>
      </c>
      <c r="S3" s="1">
        <v>104.1</v>
      </c>
      <c r="T3" s="1">
        <v>999.7</v>
      </c>
      <c r="U3">
        <v>4</v>
      </c>
      <c r="V3">
        <v>3.7</v>
      </c>
      <c r="W3" s="15">
        <v>4.7</v>
      </c>
      <c r="X3" s="14">
        <v>2.6</v>
      </c>
      <c r="Y3">
        <v>3.4</v>
      </c>
      <c r="Z3" s="1">
        <v>2.7</v>
      </c>
      <c r="AA3" s="1">
        <v>4.2</v>
      </c>
      <c r="AB3">
        <v>48.6</v>
      </c>
      <c r="AC3">
        <v>51.1</v>
      </c>
      <c r="AD3" s="14">
        <v>45.2</v>
      </c>
      <c r="AE3" s="15">
        <v>50.4</v>
      </c>
      <c r="AF3" s="1">
        <v>46.8</v>
      </c>
      <c r="AG3" s="1">
        <v>48.6</v>
      </c>
      <c r="AH3">
        <v>3</v>
      </c>
      <c r="AI3" s="1">
        <v>8</v>
      </c>
      <c r="AJ3">
        <v>20</v>
      </c>
      <c r="AK3">
        <v>20</v>
      </c>
      <c r="AL3">
        <v>0</v>
      </c>
    </row>
    <row r="4" spans="1:38" x14ac:dyDescent="0.25">
      <c r="A4">
        <v>2</v>
      </c>
      <c r="B4" s="4">
        <v>43562</v>
      </c>
      <c r="C4" s="4" t="s">
        <v>53</v>
      </c>
      <c r="D4" s="1" t="s">
        <v>31</v>
      </c>
      <c r="E4" s="1">
        <v>300</v>
      </c>
      <c r="F4">
        <v>30.9</v>
      </c>
      <c r="G4">
        <v>279.2</v>
      </c>
      <c r="H4" s="14">
        <v>21</v>
      </c>
      <c r="I4" s="15">
        <v>137.4</v>
      </c>
      <c r="J4">
        <v>69.8</v>
      </c>
      <c r="K4" s="1">
        <v>47.5</v>
      </c>
      <c r="L4" s="1">
        <v>231.6</v>
      </c>
      <c r="M4">
        <v>1583.8</v>
      </c>
      <c r="N4">
        <v>173.3</v>
      </c>
      <c r="O4">
        <v>1209.0999999999999</v>
      </c>
      <c r="P4" s="14">
        <v>70</v>
      </c>
      <c r="Q4" s="15">
        <v>693.2</v>
      </c>
      <c r="R4">
        <v>302.3</v>
      </c>
      <c r="S4" s="1">
        <v>146.1</v>
      </c>
      <c r="T4" s="1">
        <v>1063</v>
      </c>
      <c r="U4">
        <v>5.0999999999999996</v>
      </c>
      <c r="V4">
        <v>5.7</v>
      </c>
      <c r="W4" s="15">
        <v>5.0999999999999996</v>
      </c>
      <c r="X4" s="14">
        <v>2.9</v>
      </c>
      <c r="Y4">
        <v>3.8</v>
      </c>
      <c r="Z4" s="1">
        <v>3.1</v>
      </c>
      <c r="AA4" s="1">
        <v>4.5</v>
      </c>
      <c r="AB4">
        <v>49.8</v>
      </c>
      <c r="AC4">
        <v>68.5</v>
      </c>
      <c r="AD4" s="15">
        <v>44.7</v>
      </c>
      <c r="AE4" s="14">
        <v>55.8</v>
      </c>
      <c r="AF4" s="1">
        <v>52.7</v>
      </c>
      <c r="AG4" s="1">
        <v>47.5</v>
      </c>
      <c r="AH4">
        <v>0</v>
      </c>
      <c r="AI4" s="1">
        <v>10</v>
      </c>
      <c r="AJ4">
        <v>26</v>
      </c>
      <c r="AK4">
        <v>26</v>
      </c>
      <c r="AL4">
        <v>0</v>
      </c>
    </row>
    <row r="5" spans="1:38" x14ac:dyDescent="0.25">
      <c r="A5">
        <v>3</v>
      </c>
      <c r="B5" s="4">
        <v>43562</v>
      </c>
      <c r="C5" s="4" t="s">
        <v>53</v>
      </c>
      <c r="D5" s="1" t="s">
        <v>31</v>
      </c>
      <c r="E5" s="1">
        <v>300</v>
      </c>
      <c r="F5">
        <v>49.4</v>
      </c>
      <c r="G5">
        <v>273.39999999999998</v>
      </c>
      <c r="H5" s="14">
        <v>34.200000000000003</v>
      </c>
      <c r="I5" s="15">
        <v>103.5</v>
      </c>
      <c r="J5">
        <v>68.400000000000006</v>
      </c>
      <c r="K5" s="1">
        <v>72</v>
      </c>
      <c r="L5" s="1">
        <v>201.4</v>
      </c>
      <c r="M5">
        <v>1640.4</v>
      </c>
      <c r="N5">
        <v>254.4</v>
      </c>
      <c r="O5">
        <v>1386</v>
      </c>
      <c r="P5" s="14">
        <v>128.9</v>
      </c>
      <c r="Q5" s="15">
        <v>609.4</v>
      </c>
      <c r="R5">
        <v>346.5</v>
      </c>
      <c r="S5" s="1">
        <v>258.2</v>
      </c>
      <c r="T5" s="1">
        <v>1127.4000000000001</v>
      </c>
      <c r="U5">
        <v>5.0999999999999996</v>
      </c>
      <c r="V5">
        <v>5.0999999999999996</v>
      </c>
      <c r="W5" s="15">
        <v>6.2</v>
      </c>
      <c r="X5" s="14">
        <v>3.4</v>
      </c>
      <c r="Y5">
        <v>4.5999999999999996</v>
      </c>
      <c r="Z5" s="1">
        <v>3.6</v>
      </c>
      <c r="AA5" s="1">
        <v>5.6</v>
      </c>
      <c r="AB5">
        <v>58.5</v>
      </c>
      <c r="AC5">
        <v>66.8</v>
      </c>
      <c r="AD5" s="14">
        <v>52.2</v>
      </c>
      <c r="AE5" s="15">
        <v>59.7</v>
      </c>
      <c r="AF5" s="1">
        <v>55.7</v>
      </c>
      <c r="AG5" s="1">
        <v>57.8</v>
      </c>
      <c r="AH5">
        <v>1</v>
      </c>
      <c r="AI5" s="1">
        <v>4</v>
      </c>
      <c r="AJ5">
        <v>33</v>
      </c>
      <c r="AK5">
        <v>33</v>
      </c>
      <c r="AL5">
        <v>0</v>
      </c>
    </row>
    <row r="6" spans="1:38" x14ac:dyDescent="0.25">
      <c r="A6">
        <v>8</v>
      </c>
      <c r="B6" s="4">
        <v>43697</v>
      </c>
      <c r="C6" s="4" t="s">
        <v>54</v>
      </c>
      <c r="D6" s="19" t="s">
        <v>31</v>
      </c>
      <c r="E6">
        <v>300</v>
      </c>
      <c r="F6">
        <v>44.1</v>
      </c>
      <c r="G6">
        <v>255.9</v>
      </c>
      <c r="H6" s="20">
        <v>37.799999999999997</v>
      </c>
      <c r="I6" s="21">
        <v>128.4</v>
      </c>
      <c r="J6">
        <v>64</v>
      </c>
      <c r="K6" s="19">
        <v>84.4</v>
      </c>
      <c r="L6" s="19">
        <v>185.7</v>
      </c>
      <c r="M6" s="19">
        <v>907.3</v>
      </c>
      <c r="N6" s="19">
        <v>165.4</v>
      </c>
      <c r="O6" s="19">
        <v>741.9</v>
      </c>
      <c r="P6" s="20">
        <v>80.400000000000006</v>
      </c>
      <c r="Q6" s="21">
        <v>361.4</v>
      </c>
      <c r="R6" s="19">
        <v>185.5</v>
      </c>
      <c r="S6" s="19">
        <v>185.5</v>
      </c>
      <c r="T6" s="19">
        <v>556.5</v>
      </c>
      <c r="U6" s="19">
        <v>2.9</v>
      </c>
      <c r="V6" s="19">
        <v>3.8</v>
      </c>
      <c r="W6" s="15">
        <v>3.4</v>
      </c>
      <c r="X6" s="20">
        <v>1.6</v>
      </c>
      <c r="Y6" s="19">
        <v>2.7</v>
      </c>
      <c r="Z6" s="19">
        <v>2.2000000000000002</v>
      </c>
      <c r="AA6" s="19">
        <v>3.1</v>
      </c>
      <c r="AB6" s="19">
        <v>43.2</v>
      </c>
      <c r="AC6" s="19">
        <v>51.6</v>
      </c>
      <c r="AD6" s="20">
        <v>43.4</v>
      </c>
      <c r="AE6" s="15">
        <v>48.5</v>
      </c>
      <c r="AF6" s="19">
        <v>36.299999999999997</v>
      </c>
      <c r="AG6" s="19">
        <v>45.9</v>
      </c>
    </row>
    <row r="7" spans="1:38" x14ac:dyDescent="0.25">
      <c r="A7">
        <v>9</v>
      </c>
      <c r="B7" s="4">
        <v>43697</v>
      </c>
      <c r="C7" s="4" t="s">
        <v>54</v>
      </c>
      <c r="D7" s="19" t="s">
        <v>31</v>
      </c>
      <c r="E7">
        <v>300</v>
      </c>
      <c r="F7">
        <v>46.1</v>
      </c>
      <c r="G7">
        <v>253.9</v>
      </c>
      <c r="H7" s="20">
        <v>43.8</v>
      </c>
      <c r="I7" s="21">
        <v>97.2</v>
      </c>
      <c r="J7">
        <v>63.5</v>
      </c>
      <c r="K7" s="19">
        <v>88.8</v>
      </c>
      <c r="L7" s="19">
        <v>175.6</v>
      </c>
      <c r="M7" s="19">
        <v>1222.7</v>
      </c>
      <c r="N7" s="19">
        <v>235.4</v>
      </c>
      <c r="O7" s="19">
        <v>987.3</v>
      </c>
      <c r="P7" s="20">
        <v>141.5</v>
      </c>
      <c r="Q7" s="21">
        <v>373.8</v>
      </c>
      <c r="R7" s="19">
        <v>246.8</v>
      </c>
      <c r="S7" s="19">
        <v>294</v>
      </c>
      <c r="T7" s="19">
        <v>693.3</v>
      </c>
      <c r="U7" s="19">
        <v>3.9</v>
      </c>
      <c r="V7" s="19">
        <v>5.0999999999999996</v>
      </c>
      <c r="W7" s="15">
        <v>3.8</v>
      </c>
      <c r="X7" s="20">
        <v>3.2</v>
      </c>
      <c r="Y7" s="19">
        <v>3.6</v>
      </c>
      <c r="Z7" s="19">
        <v>3.3</v>
      </c>
      <c r="AA7" s="19">
        <v>4</v>
      </c>
      <c r="AB7" s="19">
        <v>46.9</v>
      </c>
      <c r="AC7" s="19">
        <v>57.4</v>
      </c>
      <c r="AD7" s="20">
        <v>42.5</v>
      </c>
      <c r="AE7" s="15">
        <v>47.8</v>
      </c>
      <c r="AF7" s="19">
        <v>43.6</v>
      </c>
      <c r="AG7" s="19">
        <v>46</v>
      </c>
    </row>
    <row r="8" spans="1:38" x14ac:dyDescent="0.25">
      <c r="A8">
        <v>10</v>
      </c>
      <c r="B8" s="4">
        <v>43697</v>
      </c>
      <c r="C8" s="4" t="s">
        <v>53</v>
      </c>
      <c r="D8" s="19" t="s">
        <v>31</v>
      </c>
      <c r="E8">
        <v>300</v>
      </c>
      <c r="F8">
        <v>46.4</v>
      </c>
      <c r="G8">
        <v>253.6</v>
      </c>
      <c r="H8" s="20">
        <v>21</v>
      </c>
      <c r="I8" s="21">
        <v>102.1</v>
      </c>
      <c r="J8">
        <v>63.4</v>
      </c>
      <c r="K8" s="19">
        <v>66.8</v>
      </c>
      <c r="L8" s="19">
        <v>196.6</v>
      </c>
      <c r="M8" s="19">
        <v>1073.4000000000001</v>
      </c>
      <c r="N8" s="19">
        <v>165.4</v>
      </c>
      <c r="O8" s="19">
        <v>908</v>
      </c>
      <c r="P8" s="20">
        <v>78.8</v>
      </c>
      <c r="Q8" s="21">
        <v>422.5</v>
      </c>
      <c r="R8" s="19">
        <v>227</v>
      </c>
      <c r="S8" s="19">
        <v>182.8</v>
      </c>
      <c r="T8" s="19">
        <v>725.2</v>
      </c>
      <c r="U8" s="19">
        <v>3.5</v>
      </c>
      <c r="V8" s="19">
        <v>3.6</v>
      </c>
      <c r="W8" s="15">
        <v>4.5</v>
      </c>
      <c r="X8" s="20">
        <v>2.2999999999999998</v>
      </c>
      <c r="Y8" s="19">
        <v>3.4</v>
      </c>
      <c r="Z8" s="19">
        <v>3</v>
      </c>
      <c r="AA8" s="19">
        <v>3.8</v>
      </c>
      <c r="AB8" s="19">
        <v>44.4</v>
      </c>
      <c r="AC8" s="19">
        <v>42.6</v>
      </c>
      <c r="AD8" s="20">
        <v>37.700000000000003</v>
      </c>
      <c r="AE8" s="15">
        <v>54.1</v>
      </c>
      <c r="AF8" s="19">
        <v>40.1</v>
      </c>
      <c r="AG8" s="19">
        <v>46.9</v>
      </c>
    </row>
    <row r="9" spans="1:38" x14ac:dyDescent="0.25">
      <c r="A9">
        <v>11</v>
      </c>
      <c r="B9" s="4">
        <v>43700</v>
      </c>
      <c r="C9" s="4" t="s">
        <v>53</v>
      </c>
      <c r="D9" s="19" t="s">
        <v>31</v>
      </c>
      <c r="E9" s="1">
        <v>300</v>
      </c>
      <c r="F9">
        <v>32.6</v>
      </c>
      <c r="G9">
        <v>267.39999999999998</v>
      </c>
      <c r="H9" s="20">
        <v>7.6</v>
      </c>
      <c r="I9" s="21">
        <v>198.1</v>
      </c>
      <c r="J9">
        <v>66.900000000000006</v>
      </c>
      <c r="K9" s="19">
        <v>20.6</v>
      </c>
      <c r="L9" s="19">
        <v>275.8</v>
      </c>
      <c r="M9" s="19">
        <v>801.7</v>
      </c>
      <c r="N9" s="19">
        <v>117.6</v>
      </c>
      <c r="O9" s="19">
        <v>684.1</v>
      </c>
      <c r="P9" s="20">
        <v>24.7</v>
      </c>
      <c r="Q9" s="21">
        <v>365.7</v>
      </c>
      <c r="R9" s="19">
        <v>171</v>
      </c>
      <c r="S9" s="19">
        <v>56.5</v>
      </c>
      <c r="T9" s="19">
        <v>627.6</v>
      </c>
      <c r="U9" s="19">
        <v>2.4</v>
      </c>
      <c r="V9" s="19">
        <v>3.6</v>
      </c>
      <c r="W9" s="15">
        <v>3.4</v>
      </c>
      <c r="X9" s="21">
        <v>1.8</v>
      </c>
      <c r="Y9" s="19">
        <v>2.7</v>
      </c>
      <c r="Z9" s="19">
        <v>2.8</v>
      </c>
      <c r="AA9" s="19">
        <v>2.6</v>
      </c>
      <c r="AB9" s="19">
        <v>37.299999999999997</v>
      </c>
      <c r="AC9" s="19">
        <v>47.4</v>
      </c>
      <c r="AD9" s="21">
        <v>28.9</v>
      </c>
      <c r="AE9" s="15">
        <v>54</v>
      </c>
      <c r="AF9" s="19">
        <v>47.8</v>
      </c>
      <c r="AG9" s="1">
        <v>40.5</v>
      </c>
    </row>
    <row r="10" spans="1:38" x14ac:dyDescent="0.25">
      <c r="A10" s="23">
        <v>4</v>
      </c>
      <c r="B10" s="24">
        <v>43633</v>
      </c>
      <c r="C10" s="24" t="s">
        <v>53</v>
      </c>
      <c r="D10" s="25" t="s">
        <v>47</v>
      </c>
      <c r="E10">
        <v>300</v>
      </c>
      <c r="F10">
        <v>57.6</v>
      </c>
      <c r="G10">
        <v>242.4</v>
      </c>
      <c r="H10" s="20">
        <v>25.1</v>
      </c>
      <c r="I10" s="21">
        <v>168.6</v>
      </c>
      <c r="J10">
        <v>66.099999999999994</v>
      </c>
      <c r="K10" s="19">
        <v>51.4</v>
      </c>
      <c r="L10" s="19">
        <v>212.8</v>
      </c>
      <c r="M10" s="19">
        <v>1368.7</v>
      </c>
      <c r="N10" s="19">
        <v>321.89999999999998</v>
      </c>
      <c r="O10" s="19">
        <v>1046.9000000000001</v>
      </c>
      <c r="P10" s="20">
        <v>74.400000000000006</v>
      </c>
      <c r="Q10" s="21">
        <v>573.29999999999995</v>
      </c>
      <c r="R10" s="19">
        <v>261.7</v>
      </c>
      <c r="S10" s="19">
        <v>162.30000000000001</v>
      </c>
      <c r="T10" s="19">
        <v>884.6</v>
      </c>
      <c r="U10" s="19">
        <v>4.3</v>
      </c>
      <c r="V10" s="19">
        <v>6.1</v>
      </c>
      <c r="W10" s="15">
        <v>7</v>
      </c>
      <c r="X10" s="20">
        <v>2.8</v>
      </c>
      <c r="Y10" s="19">
        <v>4.2</v>
      </c>
      <c r="Z10" s="19">
        <v>3.2</v>
      </c>
      <c r="AA10" s="19">
        <v>5.2</v>
      </c>
      <c r="AB10" s="19">
        <v>55.4</v>
      </c>
      <c r="AC10" s="19">
        <v>69.5</v>
      </c>
      <c r="AD10" s="21">
        <v>47.5</v>
      </c>
      <c r="AE10" s="15">
        <v>68.5</v>
      </c>
      <c r="AF10" s="19">
        <v>55.9</v>
      </c>
      <c r="AG10" s="19">
        <v>58</v>
      </c>
      <c r="AH10" s="19">
        <v>0</v>
      </c>
      <c r="AI10" s="19">
        <v>7</v>
      </c>
      <c r="AJ10" s="19">
        <v>31</v>
      </c>
      <c r="AK10" s="19">
        <v>31</v>
      </c>
      <c r="AL10" s="19">
        <v>0</v>
      </c>
    </row>
    <row r="11" spans="1:38" x14ac:dyDescent="0.25">
      <c r="A11" s="23">
        <v>5</v>
      </c>
      <c r="B11" s="24">
        <v>43633</v>
      </c>
      <c r="C11" s="24" t="s">
        <v>53</v>
      </c>
      <c r="D11" s="25" t="s">
        <v>47</v>
      </c>
      <c r="E11" s="1">
        <v>300</v>
      </c>
      <c r="F11">
        <v>76.7</v>
      </c>
      <c r="G11">
        <v>233.2</v>
      </c>
      <c r="H11" s="20">
        <v>21.6</v>
      </c>
      <c r="I11" s="21">
        <v>88</v>
      </c>
      <c r="J11">
        <v>58.3</v>
      </c>
      <c r="K11" s="19">
        <v>61.6</v>
      </c>
      <c r="L11" s="19">
        <v>172.1</v>
      </c>
      <c r="M11" s="19">
        <v>2054.4</v>
      </c>
      <c r="N11" s="19">
        <v>582.5</v>
      </c>
      <c r="O11" s="19">
        <v>1471.5</v>
      </c>
      <c r="P11" s="20">
        <v>73.8</v>
      </c>
      <c r="Q11" s="21">
        <v>641.29999999999995</v>
      </c>
      <c r="R11" s="19">
        <v>367.9</v>
      </c>
      <c r="S11" s="19">
        <v>204.8</v>
      </c>
      <c r="T11" s="19">
        <v>1366.7</v>
      </c>
      <c r="U11" s="19">
        <v>6.6</v>
      </c>
      <c r="V11" s="19">
        <v>7.6</v>
      </c>
      <c r="W11" s="15">
        <v>7.6</v>
      </c>
      <c r="X11" s="20">
        <v>3.3</v>
      </c>
      <c r="Y11" s="19">
        <v>5.4</v>
      </c>
      <c r="Z11" s="19">
        <v>3.4</v>
      </c>
      <c r="AA11" s="19">
        <v>7.4</v>
      </c>
      <c r="AB11" s="19">
        <v>63.1</v>
      </c>
      <c r="AC11" s="19">
        <v>68.7</v>
      </c>
      <c r="AD11" s="20">
        <v>47.9</v>
      </c>
      <c r="AE11" s="15">
        <v>67.900000000000006</v>
      </c>
      <c r="AF11" s="19">
        <v>52.8</v>
      </c>
      <c r="AG11" s="19">
        <v>65.099999999999994</v>
      </c>
      <c r="AH11" s="19">
        <v>0</v>
      </c>
      <c r="AI11" s="19">
        <v>2</v>
      </c>
      <c r="AJ11" s="19">
        <v>28</v>
      </c>
      <c r="AK11" s="19">
        <v>28</v>
      </c>
      <c r="AL11" s="19">
        <v>0</v>
      </c>
    </row>
    <row r="12" spans="1:38" x14ac:dyDescent="0.25">
      <c r="A12" s="23">
        <v>6</v>
      </c>
      <c r="B12" s="24">
        <v>43633</v>
      </c>
      <c r="C12" s="24" t="s">
        <v>53</v>
      </c>
      <c r="D12" s="25" t="s">
        <v>47</v>
      </c>
      <c r="E12">
        <v>300</v>
      </c>
      <c r="F12">
        <v>77.099999999999994</v>
      </c>
      <c r="G12">
        <v>222.2</v>
      </c>
      <c r="H12" s="20">
        <v>27.8</v>
      </c>
      <c r="I12" s="21">
        <v>111.4</v>
      </c>
      <c r="J12">
        <v>55.5</v>
      </c>
      <c r="K12" s="19">
        <v>61.2</v>
      </c>
      <c r="L12" s="19">
        <v>161</v>
      </c>
      <c r="M12" s="19">
        <v>1805.5</v>
      </c>
      <c r="N12" s="19">
        <v>593.4</v>
      </c>
      <c r="O12" s="19">
        <v>1212.0999999999999</v>
      </c>
      <c r="P12" s="20">
        <v>90</v>
      </c>
      <c r="Q12" s="21">
        <v>602.29999999999995</v>
      </c>
      <c r="R12" s="19">
        <v>303</v>
      </c>
      <c r="S12" s="19">
        <v>233.4</v>
      </c>
      <c r="T12" s="19">
        <v>959.5</v>
      </c>
      <c r="U12" s="19">
        <v>6</v>
      </c>
      <c r="V12" s="19">
        <v>7.7</v>
      </c>
      <c r="W12" s="15">
        <v>7.2</v>
      </c>
      <c r="X12" s="20">
        <v>3.2</v>
      </c>
      <c r="Y12" s="19">
        <v>5</v>
      </c>
      <c r="Z12" s="19">
        <v>3.8</v>
      </c>
      <c r="AA12" s="19">
        <v>6.3</v>
      </c>
      <c r="AB12" s="19">
        <v>59.6</v>
      </c>
      <c r="AC12" s="19">
        <v>65.5</v>
      </c>
      <c r="AD12" s="20">
        <v>48.7</v>
      </c>
      <c r="AE12" s="15">
        <v>69.8</v>
      </c>
      <c r="AF12" s="19">
        <v>48.8</v>
      </c>
      <c r="AG12" s="19">
        <v>63.45</v>
      </c>
      <c r="AH12" s="19">
        <v>0</v>
      </c>
      <c r="AI12" s="19">
        <v>5</v>
      </c>
      <c r="AJ12" s="19">
        <v>28</v>
      </c>
      <c r="AK12" s="19">
        <v>28</v>
      </c>
      <c r="AL12" s="19">
        <v>0</v>
      </c>
    </row>
    <row r="13" spans="1:38" x14ac:dyDescent="0.25">
      <c r="A13" s="23">
        <v>7</v>
      </c>
      <c r="B13" s="24">
        <v>43685</v>
      </c>
      <c r="C13" s="24" t="s">
        <v>53</v>
      </c>
      <c r="D13" s="25" t="s">
        <v>47</v>
      </c>
      <c r="E13" s="1">
        <v>300</v>
      </c>
      <c r="F13">
        <v>56.4</v>
      </c>
      <c r="G13">
        <v>266.7</v>
      </c>
      <c r="H13" s="20">
        <v>17.399999999999999</v>
      </c>
      <c r="I13" s="21">
        <v>130.4</v>
      </c>
      <c r="J13">
        <v>66.7</v>
      </c>
      <c r="K13" s="19">
        <v>40.6</v>
      </c>
      <c r="L13" s="19">
        <v>226.1</v>
      </c>
      <c r="M13" s="19">
        <v>1371.9</v>
      </c>
      <c r="N13" s="19">
        <v>205.3</v>
      </c>
      <c r="O13" s="19">
        <v>1076.7</v>
      </c>
      <c r="P13" s="20">
        <v>38.1</v>
      </c>
      <c r="Q13" s="21">
        <v>493.4</v>
      </c>
      <c r="R13" s="19">
        <v>269.2</v>
      </c>
      <c r="S13" s="19">
        <v>91.5</v>
      </c>
      <c r="T13" s="19">
        <v>985.2</v>
      </c>
      <c r="U13" s="19">
        <v>4.2</v>
      </c>
      <c r="V13" s="19">
        <v>3.6</v>
      </c>
      <c r="W13" s="15">
        <v>5.0999999999999996</v>
      </c>
      <c r="X13" s="20">
        <v>2.2000000000000002</v>
      </c>
      <c r="Y13" s="19">
        <v>3.35</v>
      </c>
      <c r="Z13" s="19">
        <v>2.2999999999999998</v>
      </c>
      <c r="AA13" s="19">
        <v>4.5</v>
      </c>
      <c r="AB13" s="19">
        <v>50.9</v>
      </c>
      <c r="AC13" s="19">
        <v>53.9</v>
      </c>
      <c r="AD13" s="20">
        <v>45.2</v>
      </c>
      <c r="AE13" s="15">
        <v>52.9</v>
      </c>
      <c r="AF13" s="19">
        <v>45.2</v>
      </c>
      <c r="AG13" s="19">
        <v>51.4</v>
      </c>
      <c r="AH13" s="19">
        <v>5</v>
      </c>
      <c r="AI13" s="19">
        <v>5</v>
      </c>
      <c r="AJ13" s="19">
        <v>24</v>
      </c>
      <c r="AK13" s="19">
        <v>24</v>
      </c>
      <c r="AL13" s="19">
        <v>0</v>
      </c>
    </row>
    <row r="14" spans="1:38" x14ac:dyDescent="0.25">
      <c r="A14">
        <v>1</v>
      </c>
      <c r="B14" s="4">
        <v>43585</v>
      </c>
      <c r="C14" s="4" t="s">
        <v>53</v>
      </c>
      <c r="D14" s="19" t="s">
        <v>41</v>
      </c>
      <c r="E14" s="1">
        <v>300</v>
      </c>
      <c r="F14">
        <v>4.3</v>
      </c>
      <c r="G14">
        <v>297.10000000000002</v>
      </c>
      <c r="H14" s="20">
        <v>2</v>
      </c>
      <c r="I14" s="21">
        <v>242.9</v>
      </c>
      <c r="J14">
        <v>74.3</v>
      </c>
      <c r="K14" s="19">
        <v>11</v>
      </c>
      <c r="L14" s="19">
        <v>285</v>
      </c>
      <c r="M14" s="19">
        <v>1076.2</v>
      </c>
      <c r="N14" s="19">
        <v>41.7</v>
      </c>
      <c r="O14" s="19">
        <v>1034.5</v>
      </c>
      <c r="P14" s="20">
        <v>2.1</v>
      </c>
      <c r="Q14" s="21">
        <v>842.5</v>
      </c>
      <c r="R14" s="19">
        <v>258.60000000000002</v>
      </c>
      <c r="S14" s="19">
        <v>38.700000000000003</v>
      </c>
      <c r="T14" s="19">
        <v>995.8</v>
      </c>
      <c r="U14" s="19">
        <v>3.4</v>
      </c>
      <c r="V14" s="19">
        <v>5</v>
      </c>
      <c r="W14" s="20">
        <v>4.0999999999999996</v>
      </c>
      <c r="X14" s="20">
        <v>1</v>
      </c>
      <c r="Y14" s="19">
        <v>2.8</v>
      </c>
      <c r="Z14" s="19">
        <v>2.6</v>
      </c>
      <c r="AA14" s="19">
        <v>3.1</v>
      </c>
      <c r="AB14" s="19">
        <v>30.7</v>
      </c>
      <c r="AC14" s="19">
        <v>66.5</v>
      </c>
      <c r="AD14" s="21">
        <v>26.8</v>
      </c>
      <c r="AE14" s="20">
        <v>58</v>
      </c>
      <c r="AF14" s="19">
        <v>45.9</v>
      </c>
      <c r="AG14" s="19">
        <v>32.200000000000003</v>
      </c>
      <c r="AH14" s="19">
        <v>2</v>
      </c>
      <c r="AI14" s="19">
        <v>9</v>
      </c>
      <c r="AJ14" s="19">
        <v>14</v>
      </c>
      <c r="AK14" s="19">
        <v>14</v>
      </c>
      <c r="AL14" s="19">
        <v>0</v>
      </c>
    </row>
    <row r="15" spans="1:38" x14ac:dyDescent="0.25">
      <c r="A15">
        <v>2</v>
      </c>
      <c r="B15" s="4">
        <v>43585</v>
      </c>
      <c r="C15" s="4" t="s">
        <v>53</v>
      </c>
      <c r="D15" s="19" t="s">
        <v>41</v>
      </c>
      <c r="E15" s="1">
        <v>300</v>
      </c>
      <c r="F15">
        <v>9.6999999999999993</v>
      </c>
      <c r="G15">
        <v>290.3</v>
      </c>
      <c r="H15" s="20">
        <v>12.9</v>
      </c>
      <c r="I15" s="21">
        <v>172.3</v>
      </c>
      <c r="J15">
        <v>72.599999999999994</v>
      </c>
      <c r="K15" s="19">
        <v>28.1</v>
      </c>
      <c r="L15" s="19">
        <v>242.2</v>
      </c>
      <c r="M15" s="19">
        <v>885</v>
      </c>
      <c r="N15" s="19">
        <v>87.4</v>
      </c>
      <c r="O15" s="19">
        <v>797.6</v>
      </c>
      <c r="P15" s="20">
        <v>41</v>
      </c>
      <c r="Q15" s="21">
        <v>403.8</v>
      </c>
      <c r="R15" s="19">
        <v>199.4</v>
      </c>
      <c r="S15" s="19">
        <v>101.7</v>
      </c>
      <c r="T15" s="19">
        <v>695.8</v>
      </c>
      <c r="U15" s="19">
        <v>2.9</v>
      </c>
      <c r="V15" s="19">
        <v>5.4</v>
      </c>
      <c r="W15" s="20">
        <v>4</v>
      </c>
      <c r="X15" s="21">
        <v>2.2999999999999998</v>
      </c>
      <c r="Y15" s="19">
        <v>3.2</v>
      </c>
      <c r="Z15" s="19">
        <v>3.6</v>
      </c>
      <c r="AA15" s="19">
        <v>2.8</v>
      </c>
      <c r="AB15" s="19">
        <v>39.299999999999997</v>
      </c>
      <c r="AC15" s="19">
        <v>68.5</v>
      </c>
      <c r="AD15" s="21">
        <v>33.299999999999997</v>
      </c>
      <c r="AE15" s="20">
        <v>56.4</v>
      </c>
      <c r="AF15" s="19">
        <v>53.7</v>
      </c>
      <c r="AG15" s="19">
        <v>37.200000000000003</v>
      </c>
      <c r="AH15" s="19">
        <v>0</v>
      </c>
      <c r="AI15" s="19">
        <v>11</v>
      </c>
      <c r="AJ15" s="19">
        <v>15</v>
      </c>
      <c r="AK15" s="19">
        <v>15</v>
      </c>
      <c r="AL15" s="19">
        <v>0</v>
      </c>
    </row>
    <row r="16" spans="1:38" x14ac:dyDescent="0.25">
      <c r="A16">
        <v>3</v>
      </c>
      <c r="B16" s="4">
        <v>43585</v>
      </c>
      <c r="C16" s="4" t="s">
        <v>53</v>
      </c>
      <c r="D16" s="19" t="s">
        <v>41</v>
      </c>
      <c r="E16" s="1">
        <v>300</v>
      </c>
      <c r="F16">
        <v>3.2</v>
      </c>
      <c r="G16">
        <v>297.2</v>
      </c>
      <c r="H16" s="20">
        <v>9.6</v>
      </c>
      <c r="I16" s="21">
        <v>204.4</v>
      </c>
      <c r="J16">
        <v>74.3</v>
      </c>
      <c r="K16" s="19">
        <v>26.4</v>
      </c>
      <c r="L16" s="19">
        <v>270.8</v>
      </c>
      <c r="M16" s="19">
        <v>594.29999999999995</v>
      </c>
      <c r="N16" s="19">
        <v>74.400000000000006</v>
      </c>
      <c r="O16" s="19">
        <v>519.9</v>
      </c>
      <c r="P16" s="20">
        <v>14.9</v>
      </c>
      <c r="Q16" s="21">
        <v>299.3</v>
      </c>
      <c r="R16" s="19">
        <v>130</v>
      </c>
      <c r="S16" s="19">
        <v>52.8</v>
      </c>
      <c r="T16" s="19">
        <v>467.1</v>
      </c>
      <c r="U16" s="19">
        <v>1.9</v>
      </c>
      <c r="V16" s="19">
        <v>3.9</v>
      </c>
      <c r="W16" s="15">
        <v>2.5</v>
      </c>
      <c r="X16" s="22">
        <v>1.5</v>
      </c>
      <c r="Y16" s="19">
        <v>1.9</v>
      </c>
      <c r="Z16" s="19">
        <v>1.9</v>
      </c>
      <c r="AA16" s="19">
        <v>2</v>
      </c>
      <c r="AB16" s="19">
        <v>33.9</v>
      </c>
      <c r="AC16" s="19">
        <v>57.2</v>
      </c>
      <c r="AD16" s="21">
        <v>27.7</v>
      </c>
      <c r="AE16" s="15">
        <v>45.3</v>
      </c>
      <c r="AF16" s="19">
        <v>35.1</v>
      </c>
      <c r="AG16" s="19">
        <v>36.5</v>
      </c>
      <c r="AH16" s="19">
        <v>0</v>
      </c>
      <c r="AI16" s="19">
        <v>22</v>
      </c>
      <c r="AJ16" s="19">
        <v>20</v>
      </c>
      <c r="AK16" s="19">
        <v>20</v>
      </c>
      <c r="AL16" s="19">
        <v>0</v>
      </c>
    </row>
    <row r="17" spans="1:33" x14ac:dyDescent="0.25">
      <c r="A17">
        <v>8</v>
      </c>
      <c r="B17" s="4">
        <v>43720</v>
      </c>
      <c r="C17" s="4" t="s">
        <v>54</v>
      </c>
      <c r="D17" s="19" t="s">
        <v>41</v>
      </c>
      <c r="E17">
        <v>300</v>
      </c>
      <c r="F17">
        <v>18.7</v>
      </c>
      <c r="G17">
        <v>308.60000000000002</v>
      </c>
      <c r="H17" s="20">
        <v>1.1000000000000001</v>
      </c>
      <c r="I17" s="21">
        <v>167.7</v>
      </c>
      <c r="J17">
        <v>77.150000000000006</v>
      </c>
      <c r="K17" s="19">
        <v>15</v>
      </c>
      <c r="L17" s="19">
        <v>293.60000000000002</v>
      </c>
      <c r="M17" s="19">
        <v>731.3</v>
      </c>
      <c r="N17" s="19">
        <v>81</v>
      </c>
      <c r="O17" s="19">
        <v>650.29999999999995</v>
      </c>
      <c r="P17" s="20">
        <v>1.1000000000000001</v>
      </c>
      <c r="Q17" s="21">
        <v>322.89999999999998</v>
      </c>
      <c r="R17" s="19">
        <v>162.6</v>
      </c>
      <c r="S17" s="19">
        <v>42.5</v>
      </c>
      <c r="T17" s="19">
        <v>607.79999999999995</v>
      </c>
      <c r="U17" s="19">
        <v>2.2000000000000002</v>
      </c>
      <c r="V17" s="19">
        <v>4.3</v>
      </c>
      <c r="W17" s="14">
        <v>3</v>
      </c>
      <c r="X17" s="21">
        <v>0.9</v>
      </c>
      <c r="Y17" s="19">
        <v>2</v>
      </c>
      <c r="Z17" s="19">
        <v>2</v>
      </c>
      <c r="AA17" s="19">
        <v>2</v>
      </c>
      <c r="AB17" s="19">
        <v>33.5</v>
      </c>
      <c r="AC17" s="19">
        <v>53.5</v>
      </c>
      <c r="AD17" s="20">
        <v>22.7</v>
      </c>
      <c r="AE17" s="15">
        <v>45.3</v>
      </c>
      <c r="AF17" s="19">
        <v>34</v>
      </c>
      <c r="AG17" s="19">
        <v>32.1</v>
      </c>
    </row>
    <row r="18" spans="1:33" x14ac:dyDescent="0.25">
      <c r="A18">
        <v>9</v>
      </c>
      <c r="B18" s="4">
        <v>43720</v>
      </c>
      <c r="C18" s="4" t="s">
        <v>54</v>
      </c>
      <c r="D18" s="19" t="s">
        <v>41</v>
      </c>
      <c r="E18">
        <v>300</v>
      </c>
      <c r="F18">
        <v>24</v>
      </c>
      <c r="G18">
        <v>296.39999999999998</v>
      </c>
      <c r="H18" s="20">
        <v>11.6</v>
      </c>
      <c r="I18" s="21">
        <v>140.69999999999999</v>
      </c>
      <c r="J18">
        <v>74.099999999999994</v>
      </c>
      <c r="K18" s="19">
        <v>25.6</v>
      </c>
      <c r="L18" s="19">
        <v>270.8</v>
      </c>
      <c r="M18" s="19">
        <v>834.3</v>
      </c>
      <c r="N18" s="19">
        <v>96.2</v>
      </c>
      <c r="O18" s="19">
        <v>738.2</v>
      </c>
      <c r="P18" s="20">
        <v>38.1</v>
      </c>
      <c r="Q18" s="21">
        <v>331.4</v>
      </c>
      <c r="R18" s="19">
        <v>184.6</v>
      </c>
      <c r="S18" s="19">
        <v>82.6</v>
      </c>
      <c r="T18" s="19">
        <v>655.6</v>
      </c>
      <c r="U18" s="19">
        <v>2.6</v>
      </c>
      <c r="V18" s="19">
        <v>4</v>
      </c>
      <c r="W18" s="14">
        <v>3.3</v>
      </c>
      <c r="X18" s="21">
        <v>2.2999999999999998</v>
      </c>
      <c r="Y18" s="19">
        <v>2.8</v>
      </c>
      <c r="Z18" s="19">
        <v>3.3</v>
      </c>
      <c r="AA18" s="19">
        <v>2.4</v>
      </c>
      <c r="AB18" s="19">
        <v>36.799999999999997</v>
      </c>
      <c r="AC18" s="19">
        <v>45</v>
      </c>
      <c r="AD18" s="21">
        <v>34.6</v>
      </c>
      <c r="AE18" s="14">
        <v>50</v>
      </c>
      <c r="AF18" s="19">
        <v>50</v>
      </c>
      <c r="AG18" s="19">
        <v>35</v>
      </c>
    </row>
    <row r="19" spans="1:33" x14ac:dyDescent="0.25">
      <c r="A19">
        <v>10</v>
      </c>
      <c r="B19" s="4">
        <v>43720</v>
      </c>
      <c r="C19" s="4" t="s">
        <v>54</v>
      </c>
      <c r="D19" s="19" t="s">
        <v>41</v>
      </c>
      <c r="E19">
        <v>300</v>
      </c>
      <c r="F19">
        <v>24.2</v>
      </c>
      <c r="G19">
        <v>292.8</v>
      </c>
      <c r="H19" s="20">
        <v>2</v>
      </c>
      <c r="I19" s="21">
        <v>167.6</v>
      </c>
      <c r="J19">
        <v>73.2</v>
      </c>
      <c r="K19" s="19">
        <v>9.5</v>
      </c>
      <c r="L19" s="19">
        <v>283.3</v>
      </c>
      <c r="M19" s="19">
        <v>905.1</v>
      </c>
      <c r="N19" s="19">
        <v>100.9</v>
      </c>
      <c r="O19" s="19">
        <v>804.2</v>
      </c>
      <c r="P19" s="20">
        <v>1.6</v>
      </c>
      <c r="Q19" s="21">
        <v>401.3</v>
      </c>
      <c r="R19" s="19">
        <v>201.1</v>
      </c>
      <c r="S19" s="19">
        <v>12.7</v>
      </c>
      <c r="T19" s="19">
        <v>791.5</v>
      </c>
      <c r="U19" s="19">
        <v>2.9</v>
      </c>
      <c r="V19" s="19">
        <v>4.2</v>
      </c>
      <c r="W19" s="15">
        <v>3.4</v>
      </c>
      <c r="X19" s="20">
        <v>0.8</v>
      </c>
      <c r="Y19" s="19">
        <v>2</v>
      </c>
      <c r="Z19" s="19">
        <v>1.2</v>
      </c>
      <c r="AA19" s="19">
        <v>2.9</v>
      </c>
      <c r="AB19" s="19">
        <v>37.200000000000003</v>
      </c>
      <c r="AC19" s="19">
        <v>49.8</v>
      </c>
      <c r="AD19" s="20">
        <v>18.399999999999999</v>
      </c>
      <c r="AE19" s="15">
        <v>43</v>
      </c>
      <c r="AF19" s="19">
        <v>24.5</v>
      </c>
      <c r="AG19" s="19">
        <v>37.4</v>
      </c>
    </row>
    <row r="21" spans="1:33" ht="14.25" customHeight="1" x14ac:dyDescent="0.25">
      <c r="B21" s="4">
        <v>43747</v>
      </c>
      <c r="C21" s="4" t="s">
        <v>54</v>
      </c>
      <c r="D21" s="19" t="s">
        <v>31</v>
      </c>
      <c r="E21" s="1">
        <v>300</v>
      </c>
      <c r="F21">
        <v>30.3</v>
      </c>
      <c r="G21">
        <v>283</v>
      </c>
      <c r="H21" s="20">
        <v>53.1</v>
      </c>
      <c r="I21" s="21">
        <v>103.1</v>
      </c>
      <c r="J21">
        <v>70.8</v>
      </c>
      <c r="K21" s="19">
        <v>115.6</v>
      </c>
      <c r="L21" s="19">
        <v>177.4</v>
      </c>
      <c r="M21" s="19">
        <v>1339.3</v>
      </c>
      <c r="N21" s="19">
        <v>173.6</v>
      </c>
      <c r="O21" s="19">
        <v>1165.7</v>
      </c>
      <c r="P21" s="20">
        <v>186.4</v>
      </c>
      <c r="Q21" s="21">
        <v>390.8</v>
      </c>
      <c r="R21" s="19">
        <v>291.39999999999998</v>
      </c>
      <c r="S21" s="19">
        <v>389.9</v>
      </c>
      <c r="T21" s="19">
        <v>775.8</v>
      </c>
      <c r="U21" s="19">
        <v>4.0999999999999996</v>
      </c>
      <c r="V21" s="19">
        <v>5.7</v>
      </c>
      <c r="W21" s="15">
        <v>5.3</v>
      </c>
      <c r="X21" s="20">
        <v>3.3</v>
      </c>
      <c r="Y21" s="19">
        <v>4</v>
      </c>
      <c r="Z21" s="19">
        <v>3.4</v>
      </c>
      <c r="AA21" s="19">
        <v>4.5</v>
      </c>
      <c r="AB21" s="19">
        <v>46.1</v>
      </c>
      <c r="AC21" s="19">
        <v>66.8</v>
      </c>
      <c r="AD21" s="20">
        <v>37.5</v>
      </c>
      <c r="AE21" s="15">
        <v>53.7</v>
      </c>
      <c r="AF21" s="19">
        <v>41</v>
      </c>
      <c r="AG21" s="19">
        <v>47.2</v>
      </c>
    </row>
    <row r="22" spans="1:33" x14ac:dyDescent="0.25">
      <c r="B22" s="4">
        <v>43747</v>
      </c>
      <c r="C22" s="4" t="s">
        <v>54</v>
      </c>
      <c r="D22" s="19" t="s">
        <v>31</v>
      </c>
      <c r="E22">
        <v>300</v>
      </c>
      <c r="F22">
        <v>31.2</v>
      </c>
      <c r="G22">
        <v>290.8</v>
      </c>
      <c r="H22" s="14">
        <v>33.6</v>
      </c>
      <c r="I22">
        <v>128.4</v>
      </c>
      <c r="J22">
        <v>72.7</v>
      </c>
      <c r="K22" s="1">
        <v>123.1</v>
      </c>
      <c r="L22" s="1">
        <v>167.7</v>
      </c>
      <c r="M22">
        <v>1035.7</v>
      </c>
      <c r="N22">
        <v>146.4</v>
      </c>
      <c r="O22">
        <v>889.3</v>
      </c>
      <c r="P22">
        <v>104.2</v>
      </c>
      <c r="Q22">
        <v>381.2</v>
      </c>
      <c r="R22">
        <v>222.3</v>
      </c>
      <c r="S22" s="1">
        <v>270.8</v>
      </c>
      <c r="T22" s="1">
        <v>618.5</v>
      </c>
      <c r="U22">
        <v>3.2</v>
      </c>
      <c r="V22">
        <v>4.7</v>
      </c>
      <c r="W22">
        <v>6</v>
      </c>
      <c r="X22">
        <v>1.9</v>
      </c>
      <c r="Y22">
        <v>3.5</v>
      </c>
      <c r="Z22" s="1">
        <v>2.5</v>
      </c>
      <c r="AA22" s="1">
        <v>4.5</v>
      </c>
      <c r="AB22">
        <v>38.9</v>
      </c>
      <c r="AC22">
        <v>60.4</v>
      </c>
      <c r="AD22">
        <v>28.9</v>
      </c>
      <c r="AE22">
        <v>56.6</v>
      </c>
      <c r="AF22" s="1">
        <v>36</v>
      </c>
      <c r="AG22" s="1">
        <v>45.3</v>
      </c>
    </row>
    <row r="23" spans="1:33" x14ac:dyDescent="0.25">
      <c r="B23" s="4">
        <v>43747</v>
      </c>
      <c r="C23" s="1" t="s">
        <v>53</v>
      </c>
      <c r="D23" t="s">
        <v>31</v>
      </c>
      <c r="E23">
        <v>300</v>
      </c>
      <c r="F23">
        <v>30.8</v>
      </c>
      <c r="G23">
        <v>269.2</v>
      </c>
      <c r="H23">
        <v>23.2</v>
      </c>
      <c r="I23">
        <v>111.3</v>
      </c>
      <c r="J23">
        <v>67.3</v>
      </c>
      <c r="K23" s="1">
        <v>46.7</v>
      </c>
      <c r="L23" s="1">
        <v>222.6</v>
      </c>
      <c r="M23">
        <v>1015.9</v>
      </c>
      <c r="N23">
        <v>129.19999999999999</v>
      </c>
      <c r="O23">
        <v>973.1</v>
      </c>
      <c r="P23">
        <v>58.7</v>
      </c>
      <c r="Q23">
        <v>471.3</v>
      </c>
      <c r="R23">
        <v>243.3</v>
      </c>
      <c r="S23" s="1">
        <v>145.1</v>
      </c>
      <c r="T23" s="1">
        <v>741.7</v>
      </c>
      <c r="U23">
        <v>3</v>
      </c>
      <c r="V23">
        <v>4.2</v>
      </c>
      <c r="W23">
        <v>3.7</v>
      </c>
      <c r="X23">
        <v>2.5</v>
      </c>
      <c r="Y23">
        <v>3</v>
      </c>
      <c r="Z23" s="1">
        <v>3.1</v>
      </c>
      <c r="AA23" s="1">
        <v>3</v>
      </c>
      <c r="AB23">
        <v>38.1</v>
      </c>
      <c r="AC23">
        <v>56.2</v>
      </c>
      <c r="AD23">
        <v>34.200000000000003</v>
      </c>
      <c r="AE23">
        <v>51.5</v>
      </c>
      <c r="AF23" s="1">
        <v>44.9</v>
      </c>
      <c r="AG23" s="1">
        <v>35</v>
      </c>
    </row>
    <row r="25" spans="1:33" x14ac:dyDescent="0.25">
      <c r="B25" s="4">
        <v>43747</v>
      </c>
      <c r="C25" s="1" t="s">
        <v>54</v>
      </c>
      <c r="D25" t="s">
        <v>47</v>
      </c>
      <c r="E25">
        <v>300</v>
      </c>
      <c r="F25">
        <v>43.2</v>
      </c>
      <c r="G25">
        <v>256.8</v>
      </c>
      <c r="H25">
        <v>15.9</v>
      </c>
      <c r="I25">
        <v>125.5</v>
      </c>
      <c r="J25">
        <v>64.2</v>
      </c>
      <c r="K25" s="1">
        <v>46.7</v>
      </c>
      <c r="L25" s="1">
        <v>229.5</v>
      </c>
      <c r="M25">
        <v>1570.6</v>
      </c>
      <c r="N25">
        <v>248.4</v>
      </c>
      <c r="O25">
        <v>1322.1</v>
      </c>
      <c r="P25">
        <v>45.1</v>
      </c>
      <c r="Q25">
        <v>610.1</v>
      </c>
      <c r="R25">
        <v>330.5</v>
      </c>
      <c r="S25" s="1">
        <v>144.6</v>
      </c>
      <c r="T25" s="1">
        <v>1177.5</v>
      </c>
      <c r="U25">
        <v>4.9000000000000004</v>
      </c>
      <c r="V25">
        <v>5.7</v>
      </c>
      <c r="W25">
        <v>5.9</v>
      </c>
      <c r="X25">
        <v>2.8</v>
      </c>
      <c r="Y25">
        <v>4.0999999999999996</v>
      </c>
      <c r="Z25" s="1">
        <v>3</v>
      </c>
      <c r="AA25" s="1">
        <v>5.2</v>
      </c>
      <c r="AB25">
        <v>48.2</v>
      </c>
      <c r="AC25">
        <v>59.8</v>
      </c>
      <c r="AD25">
        <v>41.9</v>
      </c>
      <c r="AE25">
        <v>49.5</v>
      </c>
      <c r="AF25" s="1">
        <v>44.7</v>
      </c>
      <c r="AG25" s="1">
        <v>46.8</v>
      </c>
    </row>
    <row r="26" spans="1:33" x14ac:dyDescent="0.25">
      <c r="B26" s="4">
        <v>43747</v>
      </c>
      <c r="C26" s="1" t="s">
        <v>54</v>
      </c>
      <c r="D26" t="s">
        <v>47</v>
      </c>
      <c r="E26">
        <v>300</v>
      </c>
      <c r="F26">
        <v>49.2</v>
      </c>
      <c r="G26">
        <v>258.60000000000002</v>
      </c>
      <c r="H26">
        <v>18</v>
      </c>
      <c r="I26">
        <v>135.19999999999999</v>
      </c>
      <c r="J26">
        <v>64.7</v>
      </c>
      <c r="K26" s="1">
        <v>39.200000000000003</v>
      </c>
      <c r="L26" s="1">
        <v>219.4</v>
      </c>
      <c r="M26">
        <v>1543.3</v>
      </c>
      <c r="N26">
        <v>272.60000000000002</v>
      </c>
      <c r="O26">
        <v>1270.9000000000001</v>
      </c>
      <c r="P26">
        <v>66.5</v>
      </c>
      <c r="Q26">
        <v>687.5</v>
      </c>
      <c r="R26">
        <v>371.7</v>
      </c>
      <c r="S26" s="1">
        <v>139.5</v>
      </c>
      <c r="T26" s="1">
        <v>1131.4000000000001</v>
      </c>
      <c r="U26">
        <v>5</v>
      </c>
      <c r="V26">
        <v>5.5</v>
      </c>
      <c r="W26">
        <v>5.3</v>
      </c>
      <c r="X26">
        <v>3.1</v>
      </c>
      <c r="Y26">
        <v>4.4000000000000004</v>
      </c>
      <c r="Z26" s="1">
        <v>3.6</v>
      </c>
      <c r="AA26" s="1">
        <v>5.2</v>
      </c>
      <c r="AB26">
        <v>48.9</v>
      </c>
      <c r="AC26">
        <v>56.8</v>
      </c>
      <c r="AD26">
        <v>46.8</v>
      </c>
      <c r="AE26">
        <v>52.5</v>
      </c>
      <c r="AF26" s="1">
        <v>49.7</v>
      </c>
      <c r="AG26" s="1">
        <v>47.1</v>
      </c>
    </row>
    <row r="27" spans="1:33" x14ac:dyDescent="0.25">
      <c r="B27" s="4">
        <v>43747</v>
      </c>
      <c r="C27" s="1" t="s">
        <v>54</v>
      </c>
      <c r="D27" t="s">
        <v>47</v>
      </c>
      <c r="E27">
        <v>300</v>
      </c>
      <c r="F27">
        <v>47.5</v>
      </c>
      <c r="G27">
        <v>252.5</v>
      </c>
      <c r="H27">
        <v>11.7</v>
      </c>
      <c r="I27">
        <v>143.4</v>
      </c>
      <c r="J27">
        <v>70.099999999999994</v>
      </c>
      <c r="K27" s="1">
        <v>33.5</v>
      </c>
      <c r="L27" s="1">
        <v>226.8</v>
      </c>
      <c r="M27">
        <v>1358.1</v>
      </c>
      <c r="N27">
        <v>227.7</v>
      </c>
      <c r="O27">
        <v>1130.4000000000001</v>
      </c>
      <c r="P27">
        <v>29.8</v>
      </c>
      <c r="Q27">
        <v>589.6</v>
      </c>
      <c r="R27">
        <v>282.60000000000002</v>
      </c>
      <c r="S27" s="1">
        <v>96</v>
      </c>
      <c r="T27" s="1">
        <v>1034.4000000000001</v>
      </c>
      <c r="U27">
        <v>4.0999999999999996</v>
      </c>
      <c r="V27">
        <v>4.8</v>
      </c>
      <c r="W27">
        <v>5.7</v>
      </c>
      <c r="X27">
        <v>2.5</v>
      </c>
      <c r="Y27">
        <v>3.6</v>
      </c>
      <c r="Z27" s="1">
        <v>2.6</v>
      </c>
      <c r="AA27" s="1">
        <v>4.4000000000000004</v>
      </c>
      <c r="AB27">
        <v>45.8</v>
      </c>
      <c r="AC27">
        <v>53.6</v>
      </c>
      <c r="AD27">
        <v>36.1</v>
      </c>
      <c r="AE27">
        <v>55.5</v>
      </c>
      <c r="AF27" s="1">
        <v>45.8</v>
      </c>
      <c r="AG27" s="1">
        <v>45.8</v>
      </c>
    </row>
    <row r="28" spans="1:33" x14ac:dyDescent="0.25">
      <c r="B28" s="4">
        <v>43747</v>
      </c>
      <c r="C28" s="1" t="s">
        <v>54</v>
      </c>
      <c r="D28" t="s">
        <v>47</v>
      </c>
      <c r="E28">
        <v>300</v>
      </c>
      <c r="F28">
        <v>56.7</v>
      </c>
      <c r="G28">
        <v>243.3</v>
      </c>
      <c r="H28">
        <v>12.4</v>
      </c>
      <c r="I28">
        <v>161.4</v>
      </c>
      <c r="J28">
        <v>60.1</v>
      </c>
      <c r="K28" s="1">
        <v>54.3</v>
      </c>
      <c r="L28" s="1">
        <v>198.9</v>
      </c>
      <c r="M28">
        <v>836.9</v>
      </c>
      <c r="N28">
        <v>189.8</v>
      </c>
      <c r="O28">
        <v>647.20000000000005</v>
      </c>
      <c r="P28">
        <v>38.299999999999997</v>
      </c>
      <c r="Q28">
        <v>291</v>
      </c>
      <c r="R28">
        <v>161.80000000000001</v>
      </c>
      <c r="S28" s="1">
        <v>176.8</v>
      </c>
      <c r="T28" s="1">
        <v>470.4</v>
      </c>
      <c r="U28">
        <v>2.7</v>
      </c>
      <c r="V28">
        <v>3.3</v>
      </c>
      <c r="W28">
        <v>4.8</v>
      </c>
      <c r="X28">
        <v>1.8</v>
      </c>
      <c r="Y28">
        <v>3.3</v>
      </c>
      <c r="Z28" s="1">
        <v>3.2</v>
      </c>
      <c r="AA28" s="1">
        <v>3.3</v>
      </c>
      <c r="AB28">
        <v>35.9</v>
      </c>
      <c r="AC28">
        <v>48.5</v>
      </c>
      <c r="AD28">
        <v>23.8</v>
      </c>
      <c r="AE28">
        <v>55.8</v>
      </c>
      <c r="AF28" s="1">
        <v>44.9</v>
      </c>
      <c r="AG28" s="1">
        <v>39.799999999999997</v>
      </c>
    </row>
    <row r="31" spans="1:33" x14ac:dyDescent="0.25">
      <c r="D31" t="s">
        <v>45</v>
      </c>
      <c r="F31">
        <f>AVERAGE(F3:F5)</f>
        <v>45.633333333333333</v>
      </c>
    </row>
    <row r="32" spans="1:33" x14ac:dyDescent="0.25">
      <c r="D32" t="s">
        <v>44</v>
      </c>
      <c r="F32">
        <f>_xlfn.STDEV.S(F3:F5)</f>
        <v>13.257576450216414</v>
      </c>
    </row>
    <row r="34" spans="4:6" x14ac:dyDescent="0.25">
      <c r="D34" s="1" t="s">
        <v>46</v>
      </c>
      <c r="F34">
        <f>AVERAGE(F14:F16)</f>
        <v>5.7333333333333334</v>
      </c>
    </row>
    <row r="35" spans="4:6" x14ac:dyDescent="0.25">
      <c r="D35" s="1" t="s">
        <v>44</v>
      </c>
      <c r="F35">
        <f>_xlfn.STDEV.S(F14:F16)</f>
        <v>3.4789845261704357</v>
      </c>
    </row>
    <row r="37" spans="4:6" x14ac:dyDescent="0.25">
      <c r="D37" t="s">
        <v>49</v>
      </c>
      <c r="F37">
        <f>_xlfn.T.TEST(F3:F5,F14:F16,2,2)</f>
        <v>7.2714924154305104E-3</v>
      </c>
    </row>
    <row r="39" spans="4:6" x14ac:dyDescent="0.25">
      <c r="D39" t="s">
        <v>48</v>
      </c>
      <c r="F39">
        <f>AVERAGE(F10:F13)</f>
        <v>66.95</v>
      </c>
    </row>
    <row r="40" spans="4:6" x14ac:dyDescent="0.25">
      <c r="D40" t="s">
        <v>44</v>
      </c>
      <c r="F40">
        <f>_xlfn.STDEV.S(F10:F13)</f>
        <v>11.500869532344032</v>
      </c>
    </row>
    <row r="42" spans="4:6" x14ac:dyDescent="0.25">
      <c r="D42" s="1" t="s">
        <v>50</v>
      </c>
      <c r="F42">
        <f>_xlfn.T.TEST(F3:F5,F10:F13,2,2)</f>
        <v>7.1414842102917847E-2</v>
      </c>
    </row>
    <row r="45" spans="4:6" x14ac:dyDescent="0.25">
      <c r="D45" s="1" t="s">
        <v>51</v>
      </c>
      <c r="F45">
        <f>_xlfn.T.TEST(F14:F16,F10:F13,2,2)</f>
        <v>3.2578926280356227E-4</v>
      </c>
    </row>
  </sheetData>
  <mergeCells count="5">
    <mergeCell ref="E1:L1"/>
    <mergeCell ref="AC1:AG1"/>
    <mergeCell ref="M1:T1"/>
    <mergeCell ref="U1:AA1"/>
    <mergeCell ref="AJ1:A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A1:AL22"/>
  <sheetViews>
    <sheetView tabSelected="1" topLeftCell="V1" zoomScale="70" zoomScaleNormal="70" workbookViewId="0">
      <selection activeCell="AG10" sqref="AG10"/>
    </sheetView>
  </sheetViews>
  <sheetFormatPr defaultRowHeight="15" x14ac:dyDescent="0.25"/>
  <cols>
    <col min="2" max="2" width="12.28515625" customWidth="1"/>
    <col min="4" max="4" width="10.42578125" customWidth="1"/>
  </cols>
  <sheetData>
    <row r="1" spans="1:38" x14ac:dyDescent="0.25">
      <c r="A1" s="2"/>
      <c r="B1" s="2"/>
      <c r="C1" s="2"/>
      <c r="D1" s="2"/>
      <c r="E1" s="28" t="s">
        <v>0</v>
      </c>
      <c r="F1" s="29"/>
      <c r="G1" s="29"/>
      <c r="H1" s="29"/>
      <c r="I1" s="29"/>
      <c r="J1" s="29"/>
      <c r="K1" s="29"/>
      <c r="L1" s="29"/>
      <c r="M1" s="31" t="s">
        <v>1</v>
      </c>
      <c r="N1" s="32"/>
      <c r="O1" s="32"/>
      <c r="P1" s="32"/>
      <c r="Q1" s="32"/>
      <c r="R1" s="32"/>
      <c r="S1" s="32"/>
      <c r="T1" s="32"/>
      <c r="U1" s="33" t="s">
        <v>2</v>
      </c>
      <c r="V1" s="34"/>
      <c r="W1" s="34"/>
      <c r="X1" s="34"/>
      <c r="Y1" s="34"/>
      <c r="Z1" s="34"/>
      <c r="AA1" s="34"/>
      <c r="AB1" s="17"/>
      <c r="AC1" s="30" t="s">
        <v>3</v>
      </c>
      <c r="AD1" s="30"/>
      <c r="AE1" s="30"/>
      <c r="AF1" s="30"/>
      <c r="AG1" s="30"/>
      <c r="AH1" s="13"/>
      <c r="AI1" s="18"/>
      <c r="AJ1" s="35" t="s">
        <v>4</v>
      </c>
      <c r="AK1" s="36"/>
      <c r="AL1" s="36"/>
    </row>
    <row r="2" spans="1:38" ht="75" x14ac:dyDescent="0.25">
      <c r="A2" s="3" t="s">
        <v>5</v>
      </c>
      <c r="B2" s="3" t="s">
        <v>6</v>
      </c>
      <c r="C2" s="3" t="s">
        <v>52</v>
      </c>
      <c r="D2" s="3" t="s">
        <v>7</v>
      </c>
      <c r="E2" s="5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6" t="s">
        <v>13</v>
      </c>
      <c r="K2" s="6" t="s">
        <v>32</v>
      </c>
      <c r="L2" s="6" t="s">
        <v>33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 t="s">
        <v>19</v>
      </c>
      <c r="S2" s="7" t="s">
        <v>43</v>
      </c>
      <c r="T2" s="7" t="s">
        <v>42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34</v>
      </c>
      <c r="AA2" s="8" t="s">
        <v>35</v>
      </c>
      <c r="AB2" s="16" t="s">
        <v>25</v>
      </c>
      <c r="AC2" s="9" t="s">
        <v>26</v>
      </c>
      <c r="AD2" s="9" t="s">
        <v>27</v>
      </c>
      <c r="AE2" s="9" t="s">
        <v>28</v>
      </c>
      <c r="AF2" s="10" t="s">
        <v>36</v>
      </c>
      <c r="AG2" s="10" t="s">
        <v>37</v>
      </c>
      <c r="AH2" s="11" t="s">
        <v>29</v>
      </c>
      <c r="AI2" s="11" t="s">
        <v>38</v>
      </c>
      <c r="AJ2" s="12" t="s">
        <v>30</v>
      </c>
      <c r="AK2" s="12" t="s">
        <v>40</v>
      </c>
      <c r="AL2" s="12" t="s">
        <v>39</v>
      </c>
    </row>
    <row r="3" spans="1:38" x14ac:dyDescent="0.25">
      <c r="A3" t="s">
        <v>55</v>
      </c>
      <c r="B3" s="4">
        <v>43841</v>
      </c>
      <c r="C3" t="s">
        <v>54</v>
      </c>
      <c r="D3" t="s">
        <v>31</v>
      </c>
      <c r="F3">
        <v>32.299999999999997</v>
      </c>
      <c r="G3">
        <v>280.5</v>
      </c>
      <c r="H3">
        <v>22.8</v>
      </c>
      <c r="I3">
        <v>125.7</v>
      </c>
      <c r="J3">
        <v>70.099999999999994</v>
      </c>
      <c r="K3">
        <v>49.8</v>
      </c>
      <c r="L3">
        <v>225</v>
      </c>
      <c r="M3">
        <v>547</v>
      </c>
      <c r="N3">
        <v>90.8</v>
      </c>
      <c r="O3">
        <v>456.2</v>
      </c>
      <c r="P3">
        <v>28.9</v>
      </c>
      <c r="Q3">
        <v>204.6</v>
      </c>
      <c r="R3">
        <v>114.1</v>
      </c>
      <c r="S3">
        <v>70.900000000000006</v>
      </c>
      <c r="T3">
        <v>385.3</v>
      </c>
      <c r="U3">
        <v>1.7</v>
      </c>
      <c r="V3">
        <v>2.8</v>
      </c>
      <c r="W3">
        <v>2.1</v>
      </c>
      <c r="X3">
        <v>1.3</v>
      </c>
      <c r="Y3">
        <v>1.5</v>
      </c>
      <c r="Z3">
        <v>1.3</v>
      </c>
      <c r="AA3">
        <v>1.8</v>
      </c>
      <c r="AB3">
        <v>37.700000000000003</v>
      </c>
      <c r="AC3">
        <v>56.2</v>
      </c>
      <c r="AD3">
        <v>30.9</v>
      </c>
      <c r="AE3">
        <v>40.799999999999997</v>
      </c>
      <c r="AF3">
        <v>37.200000000000003</v>
      </c>
      <c r="AG3">
        <v>35.9</v>
      </c>
    </row>
    <row r="4" spans="1:38" x14ac:dyDescent="0.25">
      <c r="A4" s="1" t="s">
        <v>56</v>
      </c>
      <c r="B4" s="4">
        <v>43841</v>
      </c>
      <c r="C4" t="s">
        <v>54</v>
      </c>
      <c r="D4" t="s">
        <v>31</v>
      </c>
      <c r="F4">
        <v>47.5</v>
      </c>
      <c r="G4">
        <v>260.7</v>
      </c>
      <c r="H4">
        <v>21.5</v>
      </c>
      <c r="I4">
        <v>112.1</v>
      </c>
      <c r="J4">
        <v>65.2</v>
      </c>
      <c r="K4">
        <v>57.8</v>
      </c>
      <c r="L4">
        <v>202.9</v>
      </c>
      <c r="M4">
        <v>725.4</v>
      </c>
      <c r="N4">
        <v>151.5</v>
      </c>
      <c r="O4">
        <v>573.79999999999995</v>
      </c>
      <c r="P4">
        <v>40.799999999999997</v>
      </c>
      <c r="Q4">
        <v>243.4</v>
      </c>
      <c r="R4">
        <v>143.5</v>
      </c>
      <c r="S4">
        <v>109</v>
      </c>
      <c r="T4">
        <v>464.8</v>
      </c>
      <c r="U4">
        <v>2.4</v>
      </c>
      <c r="V4">
        <v>3.2</v>
      </c>
      <c r="W4">
        <v>2.4</v>
      </c>
      <c r="X4">
        <v>1.9</v>
      </c>
      <c r="Y4">
        <v>2.1</v>
      </c>
      <c r="Z4">
        <v>1.9</v>
      </c>
      <c r="AA4">
        <v>2.2999999999999998</v>
      </c>
      <c r="AB4">
        <v>43</v>
      </c>
      <c r="AC4">
        <v>65.099999999999994</v>
      </c>
      <c r="AD4">
        <v>34.1</v>
      </c>
      <c r="AE4">
        <v>49.3</v>
      </c>
      <c r="AF4">
        <v>45.8</v>
      </c>
      <c r="AG4">
        <v>37.6</v>
      </c>
    </row>
    <row r="5" spans="1:38" x14ac:dyDescent="0.25">
      <c r="A5" s="1" t="s">
        <v>57</v>
      </c>
      <c r="B5" s="4">
        <v>43841</v>
      </c>
      <c r="C5" t="s">
        <v>54</v>
      </c>
      <c r="D5" t="s">
        <v>31</v>
      </c>
      <c r="F5">
        <v>40.1</v>
      </c>
      <c r="G5">
        <v>289.10000000000002</v>
      </c>
      <c r="H5">
        <v>36.299999999999997</v>
      </c>
      <c r="I5">
        <v>114.8</v>
      </c>
      <c r="J5">
        <v>72.3</v>
      </c>
      <c r="K5">
        <v>89.1</v>
      </c>
      <c r="L5">
        <v>200</v>
      </c>
      <c r="M5">
        <v>644.4</v>
      </c>
      <c r="N5">
        <v>109.6</v>
      </c>
      <c r="O5">
        <v>534.79999999999995</v>
      </c>
      <c r="P5">
        <v>66.900000000000006</v>
      </c>
      <c r="Q5">
        <v>215.7</v>
      </c>
      <c r="R5">
        <v>133.69999999999999</v>
      </c>
      <c r="S5">
        <v>164.1</v>
      </c>
      <c r="T5">
        <v>370.7</v>
      </c>
      <c r="U5">
        <v>2</v>
      </c>
      <c r="V5">
        <v>2.7</v>
      </c>
      <c r="W5">
        <v>1.9</v>
      </c>
      <c r="X5">
        <v>1.8</v>
      </c>
      <c r="Y5">
        <v>1.8</v>
      </c>
      <c r="Z5">
        <v>1.8</v>
      </c>
      <c r="AA5">
        <v>1.9</v>
      </c>
      <c r="AB5">
        <v>39</v>
      </c>
      <c r="AC5">
        <v>49.8</v>
      </c>
      <c r="AD5">
        <v>33.9</v>
      </c>
      <c r="AE5">
        <v>43.5</v>
      </c>
      <c r="AF5">
        <v>42.2</v>
      </c>
      <c r="AG5">
        <v>35.4</v>
      </c>
    </row>
    <row r="6" spans="1:38" x14ac:dyDescent="0.25">
      <c r="A6" s="1" t="s">
        <v>58</v>
      </c>
      <c r="B6" s="4">
        <v>43841</v>
      </c>
      <c r="C6" t="s">
        <v>54</v>
      </c>
      <c r="D6" t="s">
        <v>31</v>
      </c>
      <c r="F6">
        <v>43.6</v>
      </c>
      <c r="G6">
        <v>265.3</v>
      </c>
      <c r="H6">
        <v>18.899999999999999</v>
      </c>
      <c r="I6">
        <v>118.8</v>
      </c>
      <c r="J6">
        <v>66.3</v>
      </c>
      <c r="K6">
        <v>58.5</v>
      </c>
      <c r="L6">
        <v>206.8</v>
      </c>
      <c r="M6">
        <v>581.70000000000005</v>
      </c>
      <c r="N6">
        <v>111.2</v>
      </c>
      <c r="O6">
        <v>470.5</v>
      </c>
      <c r="P6">
        <v>35.200000000000003</v>
      </c>
      <c r="Q6">
        <v>188</v>
      </c>
      <c r="R6">
        <v>117.6</v>
      </c>
      <c r="S6">
        <v>105.6</v>
      </c>
      <c r="T6">
        <v>364.9</v>
      </c>
      <c r="U6">
        <v>1.9</v>
      </c>
      <c r="V6">
        <v>2.5</v>
      </c>
      <c r="W6">
        <v>2</v>
      </c>
      <c r="X6">
        <v>1.6</v>
      </c>
      <c r="Y6">
        <v>1.8</v>
      </c>
      <c r="Z6">
        <v>1.9</v>
      </c>
      <c r="AA6">
        <v>1.8</v>
      </c>
      <c r="AB6">
        <v>38.799999999999997</v>
      </c>
      <c r="AC6">
        <v>53.2</v>
      </c>
      <c r="AD6">
        <v>32.1</v>
      </c>
      <c r="AE6">
        <v>48.2</v>
      </c>
      <c r="AF6">
        <v>45.2</v>
      </c>
      <c r="AG6">
        <v>34.6</v>
      </c>
    </row>
    <row r="7" spans="1:38" x14ac:dyDescent="0.25">
      <c r="A7" s="1" t="s">
        <v>59</v>
      </c>
      <c r="B7" s="4">
        <v>43841</v>
      </c>
      <c r="C7" t="s">
        <v>54</v>
      </c>
      <c r="D7" t="s">
        <v>31</v>
      </c>
      <c r="F7">
        <v>31.2</v>
      </c>
      <c r="G7">
        <v>286</v>
      </c>
      <c r="H7">
        <v>22.4</v>
      </c>
      <c r="I7">
        <v>140.30000000000001</v>
      </c>
      <c r="J7">
        <v>71.5</v>
      </c>
      <c r="K7">
        <v>55.4</v>
      </c>
      <c r="L7">
        <v>230.6</v>
      </c>
      <c r="M7">
        <v>710.3</v>
      </c>
      <c r="N7">
        <v>99.5</v>
      </c>
      <c r="O7">
        <v>610.70000000000005</v>
      </c>
      <c r="P7">
        <v>39.4</v>
      </c>
      <c r="Q7">
        <v>278.60000000000002</v>
      </c>
      <c r="R7">
        <v>152.69999999999999</v>
      </c>
      <c r="S7">
        <v>109.1</v>
      </c>
      <c r="T7">
        <v>501.6</v>
      </c>
      <c r="U7">
        <v>2.2000000000000002</v>
      </c>
      <c r="V7">
        <v>3.2</v>
      </c>
      <c r="W7">
        <v>2.5</v>
      </c>
      <c r="X7">
        <v>1.8</v>
      </c>
      <c r="Y7">
        <v>2.1</v>
      </c>
      <c r="Z7">
        <v>2</v>
      </c>
      <c r="AA7">
        <v>2.2999999999999998</v>
      </c>
      <c r="AB7">
        <v>45.3</v>
      </c>
      <c r="AC7">
        <v>60.2</v>
      </c>
      <c r="AD7">
        <v>39</v>
      </c>
      <c r="AE7">
        <v>51.2</v>
      </c>
      <c r="AF7">
        <v>46.6</v>
      </c>
      <c r="AG7">
        <v>43.9</v>
      </c>
    </row>
    <row r="8" spans="1:38" x14ac:dyDescent="0.25">
      <c r="A8" t="s">
        <v>63</v>
      </c>
      <c r="B8" s="4">
        <v>44254</v>
      </c>
      <c r="C8" t="s">
        <v>53</v>
      </c>
      <c r="D8" t="s">
        <v>31</v>
      </c>
      <c r="F8">
        <v>41.3</v>
      </c>
      <c r="G8">
        <v>258.7</v>
      </c>
      <c r="H8">
        <v>12.3</v>
      </c>
      <c r="I8">
        <v>156.1</v>
      </c>
      <c r="J8">
        <v>64.7</v>
      </c>
      <c r="K8">
        <v>14.1</v>
      </c>
      <c r="L8">
        <v>230.5</v>
      </c>
      <c r="M8">
        <v>744</v>
      </c>
      <c r="N8">
        <v>154</v>
      </c>
      <c r="O8">
        <v>590</v>
      </c>
      <c r="P8">
        <v>32.4</v>
      </c>
      <c r="Q8">
        <v>289.5</v>
      </c>
      <c r="R8">
        <v>147.5</v>
      </c>
      <c r="S8">
        <v>81.2</v>
      </c>
      <c r="T8">
        <v>508.9</v>
      </c>
      <c r="U8">
        <v>2.1</v>
      </c>
      <c r="V8">
        <v>3.7</v>
      </c>
      <c r="W8">
        <v>3.1</v>
      </c>
      <c r="X8">
        <v>1.7</v>
      </c>
      <c r="Y8">
        <v>1.8</v>
      </c>
      <c r="Z8">
        <v>2.9</v>
      </c>
      <c r="AA8">
        <v>2.9</v>
      </c>
      <c r="AB8">
        <v>40.700000000000003</v>
      </c>
      <c r="AC8">
        <v>56.4</v>
      </c>
      <c r="AD8">
        <v>28.6</v>
      </c>
      <c r="AE8">
        <v>51.5</v>
      </c>
      <c r="AF8">
        <v>36.799999999999997</v>
      </c>
      <c r="AG8">
        <v>37.5</v>
      </c>
    </row>
    <row r="9" spans="1:38" x14ac:dyDescent="0.25">
      <c r="A9" t="s">
        <v>66</v>
      </c>
      <c r="B9" s="4">
        <v>44254</v>
      </c>
      <c r="C9" t="s">
        <v>53</v>
      </c>
      <c r="D9" t="s">
        <v>31</v>
      </c>
      <c r="F9">
        <v>51.4</v>
      </c>
      <c r="G9">
        <v>265.10000000000002</v>
      </c>
      <c r="H9">
        <v>42</v>
      </c>
      <c r="I9">
        <v>118.3</v>
      </c>
      <c r="J9">
        <v>66.3</v>
      </c>
      <c r="K9">
        <v>102.2</v>
      </c>
      <c r="L9">
        <v>161</v>
      </c>
      <c r="M9">
        <v>779</v>
      </c>
      <c r="N9">
        <v>146.5</v>
      </c>
      <c r="O9">
        <v>632.79999999999995</v>
      </c>
      <c r="P9">
        <v>120</v>
      </c>
      <c r="Q9">
        <v>230.9</v>
      </c>
      <c r="R9">
        <v>158.19999999999999</v>
      </c>
      <c r="S9">
        <v>263.60000000000002</v>
      </c>
      <c r="T9">
        <v>369</v>
      </c>
      <c r="U9">
        <v>2.5</v>
      </c>
      <c r="V9">
        <v>2.8</v>
      </c>
      <c r="W9">
        <v>3.2</v>
      </c>
      <c r="X9">
        <v>2</v>
      </c>
      <c r="Y9">
        <v>2.6</v>
      </c>
      <c r="Z9">
        <v>2.6</v>
      </c>
      <c r="AA9">
        <v>2.6</v>
      </c>
      <c r="AB9">
        <v>38.4</v>
      </c>
      <c r="AC9">
        <v>41.8</v>
      </c>
      <c r="AD9">
        <v>32</v>
      </c>
      <c r="AE9">
        <v>52.9</v>
      </c>
      <c r="AF9">
        <v>38.200000000000003</v>
      </c>
      <c r="AG9">
        <v>42.5</v>
      </c>
    </row>
    <row r="10" spans="1:38" x14ac:dyDescent="0.25">
      <c r="A10" t="s">
        <v>65</v>
      </c>
      <c r="B10" s="4">
        <v>44254</v>
      </c>
      <c r="C10" t="s">
        <v>53</v>
      </c>
      <c r="D10" t="s">
        <v>31</v>
      </c>
      <c r="F10">
        <v>38.700000000000003</v>
      </c>
      <c r="G10">
        <v>265</v>
      </c>
      <c r="H10">
        <v>22.6</v>
      </c>
      <c r="I10">
        <v>126.9</v>
      </c>
      <c r="J10">
        <v>66.25</v>
      </c>
      <c r="K10">
        <v>73.900000000000006</v>
      </c>
      <c r="L10">
        <v>191.1</v>
      </c>
      <c r="M10">
        <v>746.9</v>
      </c>
      <c r="N10">
        <v>129</v>
      </c>
      <c r="O10">
        <v>617.9</v>
      </c>
      <c r="P10">
        <v>64.099999999999994</v>
      </c>
      <c r="Q10">
        <v>295.10000000000002</v>
      </c>
      <c r="R10">
        <v>154.5</v>
      </c>
      <c r="S10">
        <v>166.5</v>
      </c>
      <c r="T10">
        <v>451.4</v>
      </c>
      <c r="U10">
        <v>2.5</v>
      </c>
      <c r="V10">
        <v>3.3</v>
      </c>
      <c r="W10">
        <v>2.8</v>
      </c>
      <c r="X10">
        <v>2</v>
      </c>
      <c r="Y10">
        <v>2.4</v>
      </c>
      <c r="Z10">
        <v>2.4</v>
      </c>
      <c r="AA10">
        <v>2.4</v>
      </c>
      <c r="AB10">
        <v>41.2</v>
      </c>
      <c r="AC10">
        <v>54.1</v>
      </c>
      <c r="AD10">
        <v>35.4</v>
      </c>
      <c r="AE10">
        <v>42.5</v>
      </c>
      <c r="AF10">
        <v>37.299999999999997</v>
      </c>
      <c r="AG10">
        <v>40.9</v>
      </c>
    </row>
    <row r="15" spans="1:38" x14ac:dyDescent="0.25">
      <c r="A15" s="1" t="s">
        <v>55</v>
      </c>
      <c r="B15" s="4">
        <v>43861</v>
      </c>
      <c r="C15" s="1" t="s">
        <v>54</v>
      </c>
      <c r="D15" s="1" t="s">
        <v>41</v>
      </c>
      <c r="F15">
        <v>18.8</v>
      </c>
      <c r="G15">
        <v>284.89999999999998</v>
      </c>
      <c r="H15">
        <v>15.1</v>
      </c>
      <c r="I15">
        <v>161.6</v>
      </c>
      <c r="J15">
        <v>71.2</v>
      </c>
      <c r="K15">
        <v>33.799999999999997</v>
      </c>
      <c r="L15">
        <v>251.1</v>
      </c>
      <c r="M15">
        <v>718.4</v>
      </c>
      <c r="N15">
        <v>96.4</v>
      </c>
      <c r="O15">
        <v>621.4</v>
      </c>
      <c r="P15">
        <v>42.2</v>
      </c>
      <c r="Q15">
        <v>268.10000000000002</v>
      </c>
      <c r="R15">
        <v>155.4</v>
      </c>
      <c r="S15">
        <v>130.6</v>
      </c>
      <c r="T15">
        <v>490.8</v>
      </c>
      <c r="U15">
        <v>2.4</v>
      </c>
      <c r="V15">
        <v>5.0999999999999996</v>
      </c>
      <c r="W15">
        <v>4.7</v>
      </c>
      <c r="X15">
        <v>1.7</v>
      </c>
      <c r="Y15">
        <v>2.9</v>
      </c>
      <c r="Z15">
        <v>3.8</v>
      </c>
      <c r="AA15">
        <v>2.1</v>
      </c>
      <c r="AB15">
        <v>38.200000000000003</v>
      </c>
      <c r="AC15">
        <v>62.1</v>
      </c>
      <c r="AD15">
        <v>30.6</v>
      </c>
      <c r="AE15">
        <v>60.5</v>
      </c>
      <c r="AF15">
        <v>49.4</v>
      </c>
      <c r="AG15">
        <v>36.4</v>
      </c>
    </row>
    <row r="16" spans="1:38" x14ac:dyDescent="0.25">
      <c r="A16" s="1" t="s">
        <v>56</v>
      </c>
      <c r="B16" s="4">
        <v>43861</v>
      </c>
      <c r="C16" s="1" t="s">
        <v>54</v>
      </c>
      <c r="D16" s="1" t="s">
        <v>41</v>
      </c>
      <c r="F16">
        <v>29.9</v>
      </c>
      <c r="G16">
        <v>281</v>
      </c>
      <c r="H16">
        <v>14.8</v>
      </c>
      <c r="I16">
        <v>171.4</v>
      </c>
      <c r="J16">
        <v>70.3</v>
      </c>
      <c r="K16">
        <v>32.1</v>
      </c>
      <c r="L16">
        <v>248.6</v>
      </c>
      <c r="M16">
        <v>1098.5</v>
      </c>
      <c r="N16">
        <v>160.9</v>
      </c>
      <c r="O16">
        <v>937.6</v>
      </c>
      <c r="P16">
        <v>66</v>
      </c>
      <c r="Q16">
        <v>491.6</v>
      </c>
      <c r="R16">
        <v>234.4</v>
      </c>
      <c r="S16">
        <v>138.9</v>
      </c>
      <c r="T16">
        <v>797.4</v>
      </c>
      <c r="U16">
        <v>3.5</v>
      </c>
      <c r="V16">
        <v>5.4</v>
      </c>
      <c r="W16">
        <v>4.9000000000000004</v>
      </c>
      <c r="X16">
        <v>2.9</v>
      </c>
      <c r="Y16">
        <v>3.9</v>
      </c>
      <c r="Z16">
        <v>4.4000000000000004</v>
      </c>
      <c r="AA16">
        <v>3.4</v>
      </c>
      <c r="AB16">
        <v>48.2</v>
      </c>
      <c r="AC16">
        <v>66.2</v>
      </c>
      <c r="AD16">
        <v>42.3</v>
      </c>
      <c r="AE16">
        <v>55.5</v>
      </c>
      <c r="AF16">
        <v>53.4</v>
      </c>
      <c r="AG16">
        <v>47.4</v>
      </c>
    </row>
    <row r="17" spans="1:33" x14ac:dyDescent="0.25">
      <c r="A17" s="1" t="s">
        <v>57</v>
      </c>
      <c r="B17" s="4">
        <v>43861</v>
      </c>
      <c r="C17" s="1" t="s">
        <v>54</v>
      </c>
      <c r="D17" s="1" t="s">
        <v>41</v>
      </c>
      <c r="F17">
        <v>23.7</v>
      </c>
      <c r="G17">
        <v>292</v>
      </c>
      <c r="H17">
        <v>5.8</v>
      </c>
      <c r="I17">
        <v>137.80000000000001</v>
      </c>
      <c r="J17">
        <v>73</v>
      </c>
      <c r="K17">
        <v>19.7</v>
      </c>
      <c r="L17">
        <v>272</v>
      </c>
      <c r="M17">
        <v>955.7</v>
      </c>
      <c r="N17">
        <v>148.19999999999999</v>
      </c>
      <c r="O17">
        <v>806.9</v>
      </c>
      <c r="P17">
        <v>14.4</v>
      </c>
      <c r="Q17">
        <v>394.4</v>
      </c>
      <c r="R17">
        <v>201.7</v>
      </c>
      <c r="S17">
        <v>60.9</v>
      </c>
      <c r="T17">
        <v>746</v>
      </c>
      <c r="U17">
        <v>3</v>
      </c>
      <c r="V17">
        <v>6.2</v>
      </c>
      <c r="W17">
        <v>3.3</v>
      </c>
      <c r="X17">
        <v>2.5</v>
      </c>
      <c r="Y17">
        <v>2.8</v>
      </c>
      <c r="Z17">
        <v>2.9</v>
      </c>
      <c r="AA17">
        <v>2.8</v>
      </c>
      <c r="AB17">
        <v>43.9</v>
      </c>
      <c r="AC17">
        <v>67.599999999999994</v>
      </c>
      <c r="AD17">
        <v>34.799999999999997</v>
      </c>
      <c r="AE17">
        <v>49.4</v>
      </c>
      <c r="AF17">
        <v>42.1</v>
      </c>
      <c r="AG17">
        <v>42.1</v>
      </c>
    </row>
    <row r="18" spans="1:33" x14ac:dyDescent="0.25">
      <c r="A18" s="1" t="s">
        <v>58</v>
      </c>
      <c r="B18" s="4">
        <v>43868</v>
      </c>
      <c r="C18" s="1" t="s">
        <v>54</v>
      </c>
      <c r="D18" s="1" t="s">
        <v>41</v>
      </c>
      <c r="F18">
        <v>20</v>
      </c>
      <c r="G18">
        <v>282.60000000000002</v>
      </c>
      <c r="H18">
        <v>10.3</v>
      </c>
      <c r="I18">
        <v>133.69999999999999</v>
      </c>
      <c r="J18">
        <v>70.7</v>
      </c>
      <c r="K18">
        <v>21.8</v>
      </c>
      <c r="L18">
        <v>260.8</v>
      </c>
      <c r="M18">
        <v>795.2</v>
      </c>
      <c r="N18">
        <v>109.7</v>
      </c>
      <c r="O18">
        <v>685.5</v>
      </c>
      <c r="P18">
        <v>14.4</v>
      </c>
      <c r="Q18">
        <v>346.3</v>
      </c>
      <c r="R18">
        <v>171.4</v>
      </c>
      <c r="S18">
        <v>43.8</v>
      </c>
      <c r="T18">
        <v>641.29999999999995</v>
      </c>
      <c r="U18">
        <v>2.6</v>
      </c>
      <c r="V18">
        <v>5.5</v>
      </c>
      <c r="W18">
        <v>2.6</v>
      </c>
      <c r="X18">
        <v>1.4</v>
      </c>
      <c r="Y18">
        <v>2.2000000000000002</v>
      </c>
      <c r="Z18">
        <v>2</v>
      </c>
      <c r="AA18">
        <v>2.5</v>
      </c>
      <c r="AB18">
        <v>40.6</v>
      </c>
      <c r="AC18">
        <v>61.7</v>
      </c>
      <c r="AD18">
        <v>25.4</v>
      </c>
      <c r="AE18">
        <v>42.5</v>
      </c>
      <c r="AF18">
        <v>33</v>
      </c>
      <c r="AG18">
        <v>39.6</v>
      </c>
    </row>
    <row r="19" spans="1:33" x14ac:dyDescent="0.25">
      <c r="A19" s="1" t="s">
        <v>59</v>
      </c>
      <c r="B19" s="4">
        <v>43868</v>
      </c>
      <c r="C19" s="1" t="s">
        <v>54</v>
      </c>
      <c r="D19" s="1" t="s">
        <v>41</v>
      </c>
      <c r="F19">
        <v>8.6999999999999993</v>
      </c>
      <c r="G19">
        <v>293.89999999999998</v>
      </c>
      <c r="H19">
        <v>4</v>
      </c>
      <c r="I19">
        <v>197.6</v>
      </c>
      <c r="J19">
        <v>73.5</v>
      </c>
      <c r="K19">
        <v>11.4</v>
      </c>
      <c r="L19">
        <v>282.5</v>
      </c>
      <c r="M19">
        <v>374.9</v>
      </c>
      <c r="N19">
        <v>42.4</v>
      </c>
      <c r="O19">
        <v>332.5</v>
      </c>
      <c r="P19">
        <v>15.7</v>
      </c>
      <c r="Q19">
        <v>166.7</v>
      </c>
      <c r="R19">
        <v>83.1</v>
      </c>
      <c r="S19">
        <v>40.200000000000003</v>
      </c>
      <c r="T19">
        <v>292.3</v>
      </c>
      <c r="U19">
        <v>1.2</v>
      </c>
      <c r="V19">
        <v>4.8</v>
      </c>
      <c r="W19">
        <v>3.9</v>
      </c>
      <c r="X19">
        <v>0.8</v>
      </c>
      <c r="Y19">
        <v>2.4</v>
      </c>
      <c r="Z19">
        <v>3.6</v>
      </c>
      <c r="AA19">
        <v>1.2</v>
      </c>
      <c r="AB19">
        <v>21.6</v>
      </c>
      <c r="AC19">
        <v>55.5</v>
      </c>
      <c r="AD19">
        <v>16.2</v>
      </c>
      <c r="AE19">
        <v>57.1</v>
      </c>
      <c r="AF19">
        <v>47.3</v>
      </c>
      <c r="AG19">
        <v>21.9</v>
      </c>
    </row>
    <row r="20" spans="1:33" x14ac:dyDescent="0.25">
      <c r="A20" t="s">
        <v>63</v>
      </c>
      <c r="B20" s="4">
        <v>44285</v>
      </c>
      <c r="C20" t="s">
        <v>53</v>
      </c>
      <c r="D20" t="s">
        <v>41</v>
      </c>
      <c r="F20">
        <v>8.8000000000000007</v>
      </c>
      <c r="G20">
        <v>295.5</v>
      </c>
      <c r="H20">
        <v>4.4000000000000004</v>
      </c>
      <c r="I20">
        <v>267.2</v>
      </c>
      <c r="J20">
        <v>73.900000000000006</v>
      </c>
      <c r="K20">
        <v>12.8</v>
      </c>
      <c r="L20">
        <v>283.10000000000002</v>
      </c>
      <c r="M20">
        <v>176.8</v>
      </c>
      <c r="N20">
        <v>19.3</v>
      </c>
      <c r="O20">
        <v>157.5</v>
      </c>
      <c r="P20">
        <v>3.6</v>
      </c>
      <c r="Q20">
        <v>103.8</v>
      </c>
      <c r="R20">
        <v>39.4</v>
      </c>
      <c r="S20">
        <v>10.1</v>
      </c>
      <c r="T20">
        <v>147.30000000000001</v>
      </c>
      <c r="U20">
        <v>0.6</v>
      </c>
      <c r="V20">
        <v>2.2000000000000002</v>
      </c>
      <c r="W20">
        <v>2.7</v>
      </c>
      <c r="X20">
        <v>0.4</v>
      </c>
      <c r="Y20">
        <v>1.2</v>
      </c>
      <c r="Z20">
        <v>0.8</v>
      </c>
      <c r="AA20">
        <v>1.6</v>
      </c>
      <c r="AB20">
        <v>12.3</v>
      </c>
      <c r="AC20">
        <v>42.5</v>
      </c>
      <c r="AD20">
        <v>8.6</v>
      </c>
      <c r="AE20">
        <v>52.9</v>
      </c>
      <c r="AF20">
        <v>18.600000000000001</v>
      </c>
      <c r="AG20">
        <v>30.8</v>
      </c>
    </row>
    <row r="21" spans="1:33" x14ac:dyDescent="0.25">
      <c r="A21" t="s">
        <v>64</v>
      </c>
      <c r="B21" s="4">
        <v>44285</v>
      </c>
      <c r="C21" t="s">
        <v>53</v>
      </c>
      <c r="D21" t="s">
        <v>41</v>
      </c>
      <c r="F21">
        <v>15.7</v>
      </c>
      <c r="G21">
        <v>290.2</v>
      </c>
      <c r="H21">
        <v>12.4</v>
      </c>
      <c r="I21">
        <v>146.19999999999999</v>
      </c>
      <c r="J21">
        <v>72.5</v>
      </c>
      <c r="K21">
        <v>32.5</v>
      </c>
      <c r="L21">
        <v>257.7</v>
      </c>
      <c r="M21">
        <v>687.5</v>
      </c>
      <c r="N21">
        <v>65.900000000000006</v>
      </c>
      <c r="O21">
        <v>621.6</v>
      </c>
      <c r="P21">
        <v>35.799999999999997</v>
      </c>
      <c r="Q21">
        <v>304.5</v>
      </c>
      <c r="R21">
        <v>155.4</v>
      </c>
      <c r="S21">
        <v>91.2</v>
      </c>
      <c r="T21">
        <v>530.5</v>
      </c>
      <c r="U21">
        <v>2.2000000000000002</v>
      </c>
      <c r="V21">
        <v>4.2</v>
      </c>
      <c r="W21">
        <v>2.9</v>
      </c>
      <c r="X21">
        <v>2</v>
      </c>
      <c r="Y21">
        <v>2.4</v>
      </c>
      <c r="Z21">
        <v>2.8</v>
      </c>
      <c r="AA21">
        <v>2</v>
      </c>
      <c r="AB21">
        <v>39.1</v>
      </c>
      <c r="AC21">
        <v>62.2</v>
      </c>
      <c r="AD21">
        <v>35.6</v>
      </c>
      <c r="AE21">
        <v>44.9</v>
      </c>
      <c r="AF21">
        <v>44.4</v>
      </c>
      <c r="AG21">
        <v>36.9</v>
      </c>
    </row>
    <row r="22" spans="1:33" x14ac:dyDescent="0.25">
      <c r="A22" t="s">
        <v>65</v>
      </c>
      <c r="B22" s="4">
        <v>44285</v>
      </c>
      <c r="C22" t="s">
        <v>53</v>
      </c>
      <c r="D22" t="s">
        <v>41</v>
      </c>
      <c r="F22">
        <v>20.6</v>
      </c>
      <c r="G22">
        <v>273.7</v>
      </c>
      <c r="H22">
        <v>6.7</v>
      </c>
      <c r="I22">
        <v>229.8</v>
      </c>
      <c r="J22">
        <v>68.400000000000006</v>
      </c>
      <c r="K22">
        <v>17.5</v>
      </c>
      <c r="L22">
        <v>256.2</v>
      </c>
      <c r="M22">
        <v>498.7</v>
      </c>
      <c r="N22">
        <v>71.8</v>
      </c>
      <c r="O22">
        <v>426.9</v>
      </c>
      <c r="P22">
        <v>15.8</v>
      </c>
      <c r="Q22">
        <v>300</v>
      </c>
      <c r="R22">
        <v>106.7</v>
      </c>
      <c r="S22">
        <v>20.5</v>
      </c>
      <c r="T22">
        <v>386</v>
      </c>
      <c r="U22">
        <v>1.7</v>
      </c>
      <c r="V22">
        <v>3.5</v>
      </c>
      <c r="W22">
        <v>3.3</v>
      </c>
      <c r="X22">
        <v>1.3</v>
      </c>
      <c r="Y22">
        <v>2.2999999999999998</v>
      </c>
      <c r="Z22">
        <v>2.4</v>
      </c>
      <c r="AA22">
        <v>2.2999999999999998</v>
      </c>
      <c r="AB22">
        <v>30.1</v>
      </c>
      <c r="AC22">
        <v>60.7</v>
      </c>
      <c r="AD22">
        <v>24</v>
      </c>
      <c r="AE22">
        <v>52.4</v>
      </c>
      <c r="AF22">
        <v>41.8</v>
      </c>
      <c r="AG22">
        <v>38.200000000000003</v>
      </c>
    </row>
  </sheetData>
  <mergeCells count="5">
    <mergeCell ref="E1:L1"/>
    <mergeCell ref="M1:T1"/>
    <mergeCell ref="U1:AA1"/>
    <mergeCell ref="AC1:AG1"/>
    <mergeCell ref="AJ1:A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A1:AL20"/>
  <sheetViews>
    <sheetView zoomScale="70" zoomScaleNormal="70" workbookViewId="0">
      <selection activeCell="F25" sqref="F25"/>
    </sheetView>
  </sheetViews>
  <sheetFormatPr defaultRowHeight="15" x14ac:dyDescent="0.25"/>
  <cols>
    <col min="2" max="2" width="12.7109375" customWidth="1"/>
    <col min="4" max="4" width="11" customWidth="1"/>
  </cols>
  <sheetData>
    <row r="1" spans="1:38" x14ac:dyDescent="0.25">
      <c r="A1" s="2"/>
      <c r="B1" s="2"/>
      <c r="C1" s="2"/>
      <c r="D1" s="2"/>
      <c r="E1" s="28" t="s">
        <v>0</v>
      </c>
      <c r="F1" s="29"/>
      <c r="G1" s="29"/>
      <c r="H1" s="29"/>
      <c r="I1" s="29"/>
      <c r="J1" s="29"/>
      <c r="K1" s="29"/>
      <c r="L1" s="29"/>
      <c r="M1" s="31" t="s">
        <v>1</v>
      </c>
      <c r="N1" s="32"/>
      <c r="O1" s="32"/>
      <c r="P1" s="32"/>
      <c r="Q1" s="32"/>
      <c r="R1" s="32"/>
      <c r="S1" s="32"/>
      <c r="T1" s="32"/>
      <c r="U1" s="33" t="s">
        <v>2</v>
      </c>
      <c r="V1" s="34"/>
      <c r="W1" s="34"/>
      <c r="X1" s="34"/>
      <c r="Y1" s="34"/>
      <c r="Z1" s="34"/>
      <c r="AA1" s="34"/>
      <c r="AB1" s="17"/>
      <c r="AC1" s="30" t="s">
        <v>3</v>
      </c>
      <c r="AD1" s="30"/>
      <c r="AE1" s="30"/>
      <c r="AF1" s="30"/>
      <c r="AG1" s="30"/>
      <c r="AH1" s="13"/>
      <c r="AI1" s="18"/>
      <c r="AJ1" s="35" t="s">
        <v>4</v>
      </c>
      <c r="AK1" s="36"/>
      <c r="AL1" s="36"/>
    </row>
    <row r="2" spans="1:38" ht="75" x14ac:dyDescent="0.25">
      <c r="A2" s="3" t="s">
        <v>5</v>
      </c>
      <c r="B2" s="3" t="s">
        <v>6</v>
      </c>
      <c r="C2" s="3" t="s">
        <v>52</v>
      </c>
      <c r="D2" s="3" t="s">
        <v>7</v>
      </c>
      <c r="E2" s="5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6" t="s">
        <v>13</v>
      </c>
      <c r="K2" s="6" t="s">
        <v>32</v>
      </c>
      <c r="L2" s="6" t="s">
        <v>33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 t="s">
        <v>19</v>
      </c>
      <c r="S2" s="7" t="s">
        <v>43</v>
      </c>
      <c r="T2" s="7" t="s">
        <v>42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34</v>
      </c>
      <c r="AA2" s="8" t="s">
        <v>35</v>
      </c>
      <c r="AB2" s="16" t="s">
        <v>25</v>
      </c>
      <c r="AC2" s="9" t="s">
        <v>26</v>
      </c>
      <c r="AD2" s="9" t="s">
        <v>27</v>
      </c>
      <c r="AE2" s="9" t="s">
        <v>28</v>
      </c>
      <c r="AF2" s="10" t="s">
        <v>36</v>
      </c>
      <c r="AG2" s="10" t="s">
        <v>37</v>
      </c>
      <c r="AH2" s="11" t="s">
        <v>29</v>
      </c>
      <c r="AI2" s="11" t="s">
        <v>38</v>
      </c>
      <c r="AJ2" s="12" t="s">
        <v>30</v>
      </c>
      <c r="AK2" s="12" t="s">
        <v>40</v>
      </c>
      <c r="AL2" s="12" t="s">
        <v>39</v>
      </c>
    </row>
    <row r="3" spans="1:38" x14ac:dyDescent="0.25">
      <c r="A3">
        <v>1</v>
      </c>
      <c r="B3" s="4">
        <v>43861</v>
      </c>
      <c r="C3" t="s">
        <v>60</v>
      </c>
      <c r="D3" t="s">
        <v>31</v>
      </c>
      <c r="F3">
        <v>36.799999999999997</v>
      </c>
      <c r="G3">
        <v>263.2</v>
      </c>
      <c r="H3">
        <v>35.1</v>
      </c>
      <c r="I3">
        <v>129.30000000000001</v>
      </c>
      <c r="J3">
        <v>65.8</v>
      </c>
      <c r="K3">
        <v>83.2</v>
      </c>
      <c r="L3">
        <v>180</v>
      </c>
      <c r="M3">
        <v>983.8</v>
      </c>
      <c r="N3">
        <v>184.6</v>
      </c>
      <c r="O3">
        <v>799.2</v>
      </c>
      <c r="P3">
        <v>88</v>
      </c>
      <c r="Q3">
        <v>339.3</v>
      </c>
      <c r="R3">
        <v>199.8</v>
      </c>
      <c r="S3">
        <v>206.8</v>
      </c>
      <c r="T3">
        <v>592.29999999999995</v>
      </c>
      <c r="U3">
        <v>3</v>
      </c>
      <c r="V3">
        <v>5</v>
      </c>
      <c r="W3">
        <v>3.3</v>
      </c>
      <c r="X3">
        <v>2.4</v>
      </c>
      <c r="Y3">
        <v>2.7</v>
      </c>
      <c r="Z3">
        <v>2.5</v>
      </c>
      <c r="AA3">
        <v>3</v>
      </c>
      <c r="AB3">
        <v>43.6</v>
      </c>
      <c r="AC3">
        <v>53.6</v>
      </c>
      <c r="AD3">
        <v>37</v>
      </c>
      <c r="AE3">
        <v>47.9</v>
      </c>
      <c r="AF3">
        <v>37.700000000000003</v>
      </c>
      <c r="AG3">
        <v>44.9</v>
      </c>
    </row>
    <row r="4" spans="1:38" x14ac:dyDescent="0.25">
      <c r="A4">
        <v>2</v>
      </c>
      <c r="B4" s="4">
        <v>43861</v>
      </c>
      <c r="C4" s="1" t="s">
        <v>60</v>
      </c>
      <c r="D4" s="1" t="s">
        <v>31</v>
      </c>
      <c r="F4">
        <f>33.2</f>
        <v>33.200000000000003</v>
      </c>
      <c r="G4">
        <v>266.8</v>
      </c>
      <c r="H4">
        <v>46</v>
      </c>
      <c r="I4">
        <v>111.3</v>
      </c>
      <c r="J4">
        <v>66.7</v>
      </c>
      <c r="K4">
        <v>98.9</v>
      </c>
      <c r="L4">
        <v>167.9</v>
      </c>
      <c r="M4">
        <f>58.1+963.6</f>
        <v>1021.7</v>
      </c>
      <c r="N4">
        <f>1.5+182.9</f>
        <v>184.4</v>
      </c>
      <c r="O4">
        <f>56.6+86.7+254.3+138.7+300.9</f>
        <v>837.19999999999993</v>
      </c>
      <c r="P4">
        <v>138.69999999999999</v>
      </c>
      <c r="Q4">
        <f>300.9</f>
        <v>300.89999999999998</v>
      </c>
      <c r="R4">
        <f>837.2/4</f>
        <v>209.3</v>
      </c>
      <c r="S4">
        <f>56.6+86.7+138.7</f>
        <v>282</v>
      </c>
      <c r="T4">
        <f>300.9+254.3</f>
        <v>555.20000000000005</v>
      </c>
      <c r="U4">
        <v>3.4</v>
      </c>
      <c r="V4">
        <v>5.7</v>
      </c>
      <c r="W4">
        <v>4</v>
      </c>
      <c r="X4">
        <v>2.7</v>
      </c>
      <c r="Y4">
        <f>(3.1+4+3+2.7)/4</f>
        <v>3.2</v>
      </c>
      <c r="Z4">
        <v>3.1</v>
      </c>
      <c r="AA4" s="26">
        <f>(2.7+4)/2</f>
        <v>3.35</v>
      </c>
      <c r="AB4">
        <v>47.1</v>
      </c>
      <c r="AC4" s="1">
        <v>62.9</v>
      </c>
      <c r="AD4">
        <v>38.9</v>
      </c>
      <c r="AE4">
        <v>57.3</v>
      </c>
      <c r="AF4">
        <f>(42.4+44.8)/2</f>
        <v>43.599999999999994</v>
      </c>
      <c r="AG4">
        <f>(38.9+57.3)/2</f>
        <v>48.099999999999994</v>
      </c>
    </row>
    <row r="5" spans="1:38" x14ac:dyDescent="0.25">
      <c r="A5">
        <v>3</v>
      </c>
      <c r="B5" s="4">
        <v>43861</v>
      </c>
      <c r="C5" t="s">
        <v>60</v>
      </c>
      <c r="D5" s="1" t="s">
        <v>31</v>
      </c>
      <c r="F5">
        <v>46.1</v>
      </c>
      <c r="G5">
        <f>41+85.7+30.1+100.2</f>
        <v>257</v>
      </c>
      <c r="H5">
        <v>30.1</v>
      </c>
      <c r="I5">
        <v>100.2</v>
      </c>
      <c r="J5">
        <f>257/4</f>
        <v>64.25</v>
      </c>
      <c r="K5">
        <f>41+30.1</f>
        <v>71.099999999999994</v>
      </c>
      <c r="L5">
        <f>100.2+85.7</f>
        <v>185.9</v>
      </c>
      <c r="M5">
        <v>1100.8</v>
      </c>
      <c r="N5">
        <v>216.1</v>
      </c>
      <c r="O5">
        <f>143.4+344.6+82.3+314.4</f>
        <v>884.69999999999993</v>
      </c>
      <c r="P5">
        <v>82.3</v>
      </c>
      <c r="Q5">
        <v>344.6</v>
      </c>
      <c r="R5">
        <f>884.7/4</f>
        <v>221.17500000000001</v>
      </c>
      <c r="S5">
        <f>143.4+82.3</f>
        <v>225.7</v>
      </c>
      <c r="T5">
        <f>314.4+344.6</f>
        <v>659</v>
      </c>
      <c r="U5">
        <v>3.6</v>
      </c>
      <c r="V5">
        <v>4.7</v>
      </c>
      <c r="W5">
        <v>4</v>
      </c>
      <c r="X5">
        <v>2.7</v>
      </c>
      <c r="Y5">
        <f>(3.5+4+2.7+3.1)/4</f>
        <v>3.3249999999999997</v>
      </c>
      <c r="Z5">
        <f>(3.5+2.7)/2</f>
        <v>3.1</v>
      </c>
      <c r="AA5">
        <f>(3.1+4)/2</f>
        <v>3.55</v>
      </c>
      <c r="AB5">
        <v>47.1</v>
      </c>
      <c r="AC5">
        <v>56.7</v>
      </c>
      <c r="AD5">
        <v>36.9</v>
      </c>
      <c r="AE5">
        <v>52.1</v>
      </c>
      <c r="AF5">
        <f>(36.9+28.9)/2</f>
        <v>32.9</v>
      </c>
      <c r="AG5">
        <f>(45.1+52.1)/2</f>
        <v>48.6</v>
      </c>
    </row>
    <row r="6" spans="1:38" x14ac:dyDescent="0.25">
      <c r="A6">
        <v>4</v>
      </c>
      <c r="B6" s="4">
        <v>43861</v>
      </c>
      <c r="C6" t="s">
        <v>61</v>
      </c>
      <c r="D6" s="1" t="s">
        <v>31</v>
      </c>
      <c r="F6">
        <v>25.2</v>
      </c>
      <c r="G6">
        <f>67.6+53.5+84.2+63</f>
        <v>268.3</v>
      </c>
      <c r="H6">
        <v>53.5</v>
      </c>
      <c r="I6">
        <v>84.2</v>
      </c>
      <c r="J6">
        <f>268.3/4</f>
        <v>67.075000000000003</v>
      </c>
      <c r="K6">
        <f>67.6+84.2</f>
        <v>151.80000000000001</v>
      </c>
      <c r="L6">
        <f>53.5+63</f>
        <v>116.5</v>
      </c>
      <c r="M6">
        <v>1011.9</v>
      </c>
      <c r="N6">
        <v>154.69999999999999</v>
      </c>
      <c r="O6">
        <f>1011.9-154.7</f>
        <v>857.2</v>
      </c>
      <c r="P6">
        <v>195</v>
      </c>
      <c r="Q6">
        <v>237</v>
      </c>
      <c r="R6">
        <f>857.2/4</f>
        <v>214.3</v>
      </c>
      <c r="S6">
        <f>199.9+225.3</f>
        <v>425.20000000000005</v>
      </c>
      <c r="T6">
        <f>237+195</f>
        <v>432</v>
      </c>
      <c r="U6">
        <v>3.4</v>
      </c>
      <c r="V6">
        <v>6.1</v>
      </c>
      <c r="W6">
        <v>3.8</v>
      </c>
      <c r="X6">
        <v>2.7</v>
      </c>
      <c r="Y6">
        <f>(3+3.6+2.7+3.8)/4</f>
        <v>3.2750000000000004</v>
      </c>
      <c r="Z6">
        <f>(3+2.7)/2</f>
        <v>2.85</v>
      </c>
      <c r="AA6">
        <f>(3.8+3.6)/2</f>
        <v>3.7</v>
      </c>
      <c r="AB6">
        <v>46.9</v>
      </c>
      <c r="AC6">
        <v>63.2</v>
      </c>
      <c r="AD6">
        <v>38.700000000000003</v>
      </c>
      <c r="AE6">
        <v>52.3</v>
      </c>
      <c r="AF6">
        <v>40.9</v>
      </c>
      <c r="AG6">
        <v>51.4</v>
      </c>
    </row>
    <row r="7" spans="1:38" x14ac:dyDescent="0.25">
      <c r="A7">
        <v>5</v>
      </c>
      <c r="B7" s="4">
        <v>43861</v>
      </c>
      <c r="C7" t="s">
        <v>61</v>
      </c>
      <c r="D7" s="1" t="s">
        <v>31</v>
      </c>
      <c r="F7">
        <v>38.5</v>
      </c>
      <c r="G7">
        <f>50.1+61.7+47.3+88.4</f>
        <v>247.50000000000003</v>
      </c>
      <c r="H7">
        <v>47.3</v>
      </c>
      <c r="I7">
        <v>88.4</v>
      </c>
      <c r="J7">
        <f>247.5/4</f>
        <v>61.875</v>
      </c>
      <c r="K7">
        <f>50.1+47.3</f>
        <v>97.4</v>
      </c>
      <c r="L7">
        <f>68.4+61.7</f>
        <v>130.10000000000002</v>
      </c>
      <c r="M7">
        <v>1140.5999999999999</v>
      </c>
      <c r="N7">
        <v>199.7</v>
      </c>
      <c r="O7">
        <f>190.1+280.5+189.8+280.4</f>
        <v>940.80000000000007</v>
      </c>
      <c r="P7">
        <v>189.8</v>
      </c>
      <c r="Q7">
        <v>280.5</v>
      </c>
      <c r="R7">
        <f>940.8/4</f>
        <v>235.2</v>
      </c>
      <c r="S7">
        <f>190.1+189.8</f>
        <v>379.9</v>
      </c>
      <c r="T7">
        <f>280.5+280.4</f>
        <v>560.9</v>
      </c>
      <c r="U7">
        <v>4</v>
      </c>
      <c r="V7">
        <v>5.2</v>
      </c>
      <c r="W7">
        <v>4.5</v>
      </c>
      <c r="X7">
        <v>3.2</v>
      </c>
      <c r="Y7">
        <v>3.9</v>
      </c>
      <c r="Z7">
        <v>3.9</v>
      </c>
      <c r="AA7">
        <v>3.9</v>
      </c>
      <c r="AB7">
        <v>51.2</v>
      </c>
      <c r="AC7">
        <v>61</v>
      </c>
      <c r="AD7">
        <v>43.3</v>
      </c>
      <c r="AE7">
        <v>61</v>
      </c>
      <c r="AF7">
        <v>46.3</v>
      </c>
      <c r="AG7">
        <v>53.3</v>
      </c>
    </row>
    <row r="8" spans="1:38" x14ac:dyDescent="0.25">
      <c r="A8">
        <v>1</v>
      </c>
      <c r="B8" s="4">
        <v>44100</v>
      </c>
      <c r="C8" t="s">
        <v>60</v>
      </c>
      <c r="D8" t="s">
        <v>31</v>
      </c>
      <c r="F8">
        <v>14.8</v>
      </c>
      <c r="G8">
        <f>92.4+42.1+47+99.6</f>
        <v>281.10000000000002</v>
      </c>
      <c r="H8">
        <v>42.1</v>
      </c>
      <c r="I8">
        <v>99.6</v>
      </c>
      <c r="J8">
        <f>281.1/4</f>
        <v>70.275000000000006</v>
      </c>
      <c r="K8">
        <f>92.4+47</f>
        <v>139.4</v>
      </c>
      <c r="L8">
        <f>99.6+42.1</f>
        <v>141.69999999999999</v>
      </c>
      <c r="M8">
        <v>411.7</v>
      </c>
      <c r="N8">
        <v>48.6</v>
      </c>
      <c r="O8">
        <f>28.2+77.9+94.9+160.1</f>
        <v>361.1</v>
      </c>
      <c r="P8">
        <v>28.2</v>
      </c>
      <c r="Q8">
        <v>160.1</v>
      </c>
      <c r="R8">
        <f>361.1/4</f>
        <v>90.275000000000006</v>
      </c>
      <c r="S8">
        <f>28.2+94.9</f>
        <v>123.10000000000001</v>
      </c>
      <c r="T8">
        <f>160.1+77.9</f>
        <v>238</v>
      </c>
      <c r="U8">
        <v>1.4</v>
      </c>
      <c r="V8">
        <v>3.3</v>
      </c>
      <c r="W8">
        <v>2</v>
      </c>
      <c r="X8">
        <v>0.3</v>
      </c>
      <c r="Y8">
        <f>5.7/4</f>
        <v>1.425</v>
      </c>
      <c r="Z8">
        <f>2.3/2</f>
        <v>1.1499999999999999</v>
      </c>
      <c r="AA8">
        <f>3.4/2</f>
        <v>1.7</v>
      </c>
      <c r="AB8">
        <v>27.1</v>
      </c>
      <c r="AC8">
        <v>58.4</v>
      </c>
      <c r="AD8">
        <v>6.6</v>
      </c>
      <c r="AE8">
        <v>38.200000000000003</v>
      </c>
      <c r="AF8">
        <f>44.8/2</f>
        <v>22.4</v>
      </c>
      <c r="AG8">
        <f>69.3/2</f>
        <v>34.65</v>
      </c>
    </row>
    <row r="9" spans="1:38" x14ac:dyDescent="0.25">
      <c r="A9">
        <v>2</v>
      </c>
      <c r="B9" s="4">
        <v>44100</v>
      </c>
      <c r="C9" t="s">
        <v>60</v>
      </c>
      <c r="D9" t="s">
        <v>31</v>
      </c>
      <c r="F9">
        <v>58.8</v>
      </c>
      <c r="G9">
        <f>10.2+47.4+66.8+117.5</f>
        <v>241.89999999999998</v>
      </c>
      <c r="H9">
        <v>10.199999999999999</v>
      </c>
      <c r="I9">
        <v>117.5</v>
      </c>
      <c r="J9">
        <f>241.9/4</f>
        <v>60.475000000000001</v>
      </c>
      <c r="K9">
        <f>10.2+66.8</f>
        <v>77</v>
      </c>
      <c r="L9">
        <f>117.5+47.4</f>
        <v>164.9</v>
      </c>
      <c r="M9">
        <v>941.6</v>
      </c>
      <c r="N9">
        <v>197.8</v>
      </c>
      <c r="O9">
        <f>941.6-197.8</f>
        <v>743.8</v>
      </c>
      <c r="P9">
        <f>46.1</f>
        <v>46.1</v>
      </c>
      <c r="Q9">
        <v>343.4</v>
      </c>
      <c r="R9">
        <f>743.8/4</f>
        <v>185.95</v>
      </c>
      <c r="S9">
        <f>46.1+176.9</f>
        <v>223</v>
      </c>
      <c r="T9">
        <f>343.4+173.2</f>
        <v>516.59999999999991</v>
      </c>
      <c r="U9">
        <v>3.1</v>
      </c>
      <c r="V9">
        <v>3.4</v>
      </c>
      <c r="W9">
        <v>4.5</v>
      </c>
      <c r="X9">
        <v>2.6</v>
      </c>
      <c r="Y9">
        <f>13.6/4</f>
        <v>3.4</v>
      </c>
      <c r="Z9">
        <f>7.1/2</f>
        <v>3.55</v>
      </c>
      <c r="AA9">
        <f>6.5/2</f>
        <v>3.25</v>
      </c>
      <c r="AB9">
        <v>44.2</v>
      </c>
      <c r="AC9">
        <v>46.5</v>
      </c>
      <c r="AD9">
        <v>39.9</v>
      </c>
      <c r="AE9">
        <v>61.2</v>
      </c>
      <c r="AF9">
        <f>103.2/2</f>
        <v>51.6</v>
      </c>
      <c r="AG9">
        <f>91.3/2</f>
        <v>45.65</v>
      </c>
    </row>
    <row r="10" spans="1:38" x14ac:dyDescent="0.25">
      <c r="A10">
        <v>3</v>
      </c>
      <c r="B10" s="4">
        <v>44100</v>
      </c>
      <c r="C10" t="s">
        <v>61</v>
      </c>
      <c r="D10" t="s">
        <v>31</v>
      </c>
      <c r="F10">
        <v>30.7</v>
      </c>
      <c r="G10">
        <f>33.5+91.3+57.8+85.6</f>
        <v>268.2</v>
      </c>
      <c r="H10">
        <v>33.5</v>
      </c>
      <c r="I10">
        <v>91.3</v>
      </c>
      <c r="J10">
        <f>268.2/4</f>
        <v>67.05</v>
      </c>
      <c r="K10">
        <f>33.5+57.8</f>
        <v>91.3</v>
      </c>
      <c r="L10">
        <f>85.6+91.3</f>
        <v>176.89999999999998</v>
      </c>
      <c r="M10">
        <v>697.2</v>
      </c>
      <c r="N10">
        <v>120.7</v>
      </c>
      <c r="O10">
        <f>697.2-120.7</f>
        <v>576.5</v>
      </c>
      <c r="P10">
        <f>66.9</f>
        <v>66.900000000000006</v>
      </c>
      <c r="Q10">
        <v>201.5</v>
      </c>
      <c r="R10">
        <f>576.5/4</f>
        <v>144.125</v>
      </c>
      <c r="S10">
        <f>66.9+120.3</f>
        <v>187.2</v>
      </c>
      <c r="T10">
        <f>201.5+184.1</f>
        <v>385.6</v>
      </c>
      <c r="U10">
        <v>2.2999999999999998</v>
      </c>
      <c r="V10">
        <v>3.9</v>
      </c>
      <c r="W10">
        <v>2.4</v>
      </c>
      <c r="X10">
        <v>2</v>
      </c>
      <c r="Y10">
        <f>8.5/4</f>
        <v>2.125</v>
      </c>
      <c r="Z10">
        <f>4.1/2</f>
        <v>2.0499999999999998</v>
      </c>
      <c r="AA10">
        <v>2.2000000000000002</v>
      </c>
      <c r="AB10">
        <v>38.9</v>
      </c>
      <c r="AC10">
        <v>54.5</v>
      </c>
      <c r="AD10">
        <v>36.6</v>
      </c>
      <c r="AE10">
        <v>39.299999999999997</v>
      </c>
      <c r="AF10">
        <f>73.5/2</f>
        <v>36.75</v>
      </c>
      <c r="AG10">
        <f>74.2/2</f>
        <v>37.1</v>
      </c>
    </row>
    <row r="14" spans="1:38" x14ac:dyDescent="0.25">
      <c r="A14">
        <v>1</v>
      </c>
      <c r="B14" s="4">
        <v>43884</v>
      </c>
      <c r="C14" t="s">
        <v>60</v>
      </c>
      <c r="D14" t="s">
        <v>41</v>
      </c>
      <c r="F14">
        <v>12.9</v>
      </c>
      <c r="G14">
        <f>7.8+82.4+13.3+186.3</f>
        <v>289.8</v>
      </c>
      <c r="H14">
        <v>7.8</v>
      </c>
      <c r="I14">
        <v>186.3</v>
      </c>
      <c r="J14">
        <f>G14/4</f>
        <v>72.45</v>
      </c>
      <c r="K14">
        <f>7.8+13.3</f>
        <v>21.1</v>
      </c>
      <c r="L14">
        <f>186.3+82.4</f>
        <v>268.70000000000005</v>
      </c>
      <c r="M14">
        <v>638.79999999999995</v>
      </c>
      <c r="N14">
        <v>72.900000000000006</v>
      </c>
      <c r="O14">
        <f>638.8-72.9</f>
        <v>565.9</v>
      </c>
      <c r="P14">
        <v>26.2</v>
      </c>
      <c r="Q14">
        <v>282.39999999999998</v>
      </c>
      <c r="R14">
        <f>565.9/4</f>
        <v>141.47499999999999</v>
      </c>
      <c r="S14">
        <f>26.2+42</f>
        <v>68.2</v>
      </c>
      <c r="T14">
        <f>282.4+215.4</f>
        <v>497.79999999999995</v>
      </c>
      <c r="U14">
        <v>2.1</v>
      </c>
      <c r="V14">
        <v>5.6</v>
      </c>
      <c r="W14">
        <v>3.3</v>
      </c>
      <c r="X14">
        <v>1.5</v>
      </c>
      <c r="Y14">
        <f>10.5/4</f>
        <v>2.625</v>
      </c>
      <c r="Z14">
        <f>6.4/2</f>
        <v>3.2</v>
      </c>
      <c r="AA14">
        <f>4.1/2</f>
        <v>2.0499999999999998</v>
      </c>
      <c r="AB14">
        <v>31.9</v>
      </c>
      <c r="AC14">
        <v>63.6</v>
      </c>
      <c r="AD14">
        <v>26.5</v>
      </c>
      <c r="AE14">
        <v>41.7</v>
      </c>
      <c r="AF14">
        <f>82.2/2</f>
        <v>41.1</v>
      </c>
      <c r="AG14">
        <f>63.2/2</f>
        <v>31.6</v>
      </c>
    </row>
    <row r="15" spans="1:38" x14ac:dyDescent="0.25">
      <c r="A15">
        <v>2</v>
      </c>
      <c r="B15" s="4">
        <v>43884</v>
      </c>
      <c r="C15" t="s">
        <v>60</v>
      </c>
      <c r="D15" t="s">
        <v>41</v>
      </c>
      <c r="F15">
        <v>15.3</v>
      </c>
      <c r="G15">
        <f>7+220.9+7.6+42.8</f>
        <v>278.3</v>
      </c>
      <c r="H15">
        <v>7</v>
      </c>
      <c r="I15">
        <f>180+40.9</f>
        <v>220.9</v>
      </c>
      <c r="J15">
        <f>278.3/4</f>
        <v>69.575000000000003</v>
      </c>
      <c r="K15">
        <f>7+7.6</f>
        <v>14.6</v>
      </c>
      <c r="L15">
        <f>220.9+42.8</f>
        <v>263.7</v>
      </c>
      <c r="M15">
        <v>649.4</v>
      </c>
      <c r="N15">
        <v>73.599999999999994</v>
      </c>
      <c r="O15">
        <f>649.4-73.6</f>
        <v>575.79999999999995</v>
      </c>
      <c r="P15">
        <v>12.7</v>
      </c>
      <c r="Q15">
        <v>385.2</v>
      </c>
      <c r="R15">
        <f>575.8/4</f>
        <v>143.94999999999999</v>
      </c>
      <c r="S15">
        <f>19.9+12.7</f>
        <v>32.599999999999994</v>
      </c>
      <c r="T15">
        <f>157.9+385.2</f>
        <v>543.1</v>
      </c>
      <c r="U15">
        <v>2.2000000000000002</v>
      </c>
      <c r="V15">
        <v>4.8</v>
      </c>
      <c r="W15">
        <v>3.7</v>
      </c>
      <c r="X15">
        <v>1.7</v>
      </c>
      <c r="Y15">
        <f>9.9/4</f>
        <v>2.4750000000000001</v>
      </c>
      <c r="Z15">
        <f>4.5/2</f>
        <v>2.25</v>
      </c>
      <c r="AA15">
        <f>5.4/2</f>
        <v>2.7</v>
      </c>
      <c r="AB15">
        <v>31.2</v>
      </c>
      <c r="AC15">
        <v>55</v>
      </c>
      <c r="AD15">
        <v>25.1</v>
      </c>
      <c r="AE15">
        <v>52.4</v>
      </c>
      <c r="AF15">
        <f>71/2</f>
        <v>35.5</v>
      </c>
      <c r="AG15">
        <f>77.5/2</f>
        <v>38.75</v>
      </c>
    </row>
    <row r="16" spans="1:38" x14ac:dyDescent="0.25">
      <c r="A16">
        <v>1</v>
      </c>
      <c r="B16" s="4">
        <v>43896</v>
      </c>
      <c r="C16" t="s">
        <v>61</v>
      </c>
      <c r="D16" t="s">
        <v>41</v>
      </c>
      <c r="F16">
        <v>35.6</v>
      </c>
      <c r="G16">
        <f>16.9+155.5+15.6+85.3</f>
        <v>273.3</v>
      </c>
      <c r="H16">
        <v>15.6</v>
      </c>
      <c r="I16">
        <v>155.5</v>
      </c>
      <c r="J16">
        <f>273.3/4</f>
        <v>68.325000000000003</v>
      </c>
      <c r="K16">
        <f>16.9+15.6</f>
        <v>32.5</v>
      </c>
      <c r="L16">
        <f>85.3+155.5</f>
        <v>240.8</v>
      </c>
      <c r="M16">
        <v>852.9</v>
      </c>
      <c r="N16">
        <v>139.5</v>
      </c>
      <c r="O16">
        <f>852.9-139.5</f>
        <v>713.4</v>
      </c>
      <c r="P16">
        <v>38.200000000000003</v>
      </c>
      <c r="Q16">
        <v>315.39999999999998</v>
      </c>
      <c r="R16">
        <f>713.4/4</f>
        <v>178.35</v>
      </c>
      <c r="S16">
        <f>59.2+38.2</f>
        <v>97.4</v>
      </c>
      <c r="T16">
        <f>315.4+300.6</f>
        <v>616</v>
      </c>
      <c r="U16">
        <v>2.8</v>
      </c>
      <c r="V16">
        <v>3.9</v>
      </c>
      <c r="W16">
        <v>3.7</v>
      </c>
      <c r="X16">
        <v>2.4</v>
      </c>
      <c r="Y16">
        <f>11.5/4</f>
        <v>2.875</v>
      </c>
      <c r="Z16">
        <f>5.9/2</f>
        <v>2.95</v>
      </c>
      <c r="AA16">
        <f>5.6/2</f>
        <v>2.8</v>
      </c>
      <c r="AB16">
        <v>41.6</v>
      </c>
      <c r="AC16">
        <v>54.8</v>
      </c>
      <c r="AD16">
        <v>31.6</v>
      </c>
      <c r="AE16">
        <v>54</v>
      </c>
      <c r="AF16">
        <f>84/2</f>
        <v>42</v>
      </c>
      <c r="AG16">
        <f>85.6/2</f>
        <v>42.8</v>
      </c>
    </row>
    <row r="17" spans="1:33" x14ac:dyDescent="0.25">
      <c r="A17">
        <v>2</v>
      </c>
      <c r="B17" s="4">
        <v>43896</v>
      </c>
      <c r="C17" t="s">
        <v>61</v>
      </c>
      <c r="D17" t="s">
        <v>41</v>
      </c>
      <c r="F17">
        <v>59.3</v>
      </c>
      <c r="G17">
        <f>23.9+123.7+26.4+51.2</f>
        <v>225.2</v>
      </c>
      <c r="H17">
        <v>23.9</v>
      </c>
      <c r="I17">
        <v>123.7</v>
      </c>
      <c r="J17">
        <f>225.2/4</f>
        <v>56.3</v>
      </c>
      <c r="K17">
        <f>23.9+26.4</f>
        <v>50.3</v>
      </c>
      <c r="L17">
        <f>51.2+123.7</f>
        <v>174.9</v>
      </c>
      <c r="M17">
        <v>1115.4000000000001</v>
      </c>
      <c r="N17">
        <v>245.4</v>
      </c>
      <c r="O17">
        <f>1115.4-245.4</f>
        <v>870.00000000000011</v>
      </c>
      <c r="P17">
        <v>92.4</v>
      </c>
      <c r="Q17">
        <v>421.2</v>
      </c>
      <c r="R17">
        <f>870/4</f>
        <v>217.5</v>
      </c>
      <c r="S17">
        <f>112.3+92.4</f>
        <v>204.7</v>
      </c>
      <c r="T17">
        <f>244.1+421.2</f>
        <v>665.3</v>
      </c>
      <c r="U17">
        <v>3.9</v>
      </c>
      <c r="V17">
        <v>4.0999999999999996</v>
      </c>
      <c r="W17">
        <v>4.8</v>
      </c>
      <c r="X17">
        <v>3.4</v>
      </c>
      <c r="Y17">
        <f>16.4/4</f>
        <v>4.0999999999999996</v>
      </c>
      <c r="Z17">
        <f>8.2/2</f>
        <v>4.0999999999999996</v>
      </c>
      <c r="AA17">
        <f>8.2/2</f>
        <v>4.0999999999999996</v>
      </c>
      <c r="AB17">
        <v>51.9</v>
      </c>
      <c r="AC17">
        <v>53.7</v>
      </c>
      <c r="AD17">
        <v>48.6</v>
      </c>
      <c r="AE17">
        <v>59.1</v>
      </c>
      <c r="AF17">
        <f>101.1/2</f>
        <v>50.55</v>
      </c>
      <c r="AG17">
        <f>107.7/2</f>
        <v>53.85</v>
      </c>
    </row>
    <row r="18" spans="1:33" x14ac:dyDescent="0.25">
      <c r="A18">
        <v>1</v>
      </c>
      <c r="B18" s="4">
        <v>44128</v>
      </c>
      <c r="C18" t="s">
        <v>60</v>
      </c>
      <c r="D18" t="s">
        <v>41</v>
      </c>
      <c r="F18">
        <v>9.9</v>
      </c>
      <c r="G18">
        <f>128.3+7.9+158.8</f>
        <v>295</v>
      </c>
      <c r="H18">
        <v>0</v>
      </c>
      <c r="I18">
        <v>158.80000000000001</v>
      </c>
      <c r="J18">
        <f>295/4</f>
        <v>73.75</v>
      </c>
      <c r="K18">
        <v>7.9</v>
      </c>
      <c r="L18">
        <f>158.8+128.3</f>
        <v>287.10000000000002</v>
      </c>
      <c r="M18">
        <v>784.2</v>
      </c>
      <c r="N18">
        <v>73.599999999999994</v>
      </c>
      <c r="O18">
        <f>784.2-73.6</f>
        <v>710.6</v>
      </c>
      <c r="P18">
        <v>0</v>
      </c>
      <c r="Q18">
        <v>349.7</v>
      </c>
      <c r="R18">
        <f>710.6/4</f>
        <v>177.65</v>
      </c>
      <c r="S18">
        <f>19.1</f>
        <v>19.100000000000001</v>
      </c>
      <c r="T18">
        <f>349.7+341.8</f>
        <v>691.5</v>
      </c>
      <c r="U18">
        <v>2.6</v>
      </c>
      <c r="V18">
        <v>7.4</v>
      </c>
      <c r="W18">
        <v>2.7</v>
      </c>
      <c r="X18">
        <v>0</v>
      </c>
      <c r="Y18">
        <f>7.3/4</f>
        <v>1.825</v>
      </c>
      <c r="Z18">
        <f>2.4/2</f>
        <v>1.2</v>
      </c>
      <c r="AA18">
        <f>4.8/2</f>
        <v>2.4</v>
      </c>
      <c r="AB18">
        <v>37.700000000000003</v>
      </c>
      <c r="AC18">
        <v>77.8</v>
      </c>
      <c r="AD18">
        <v>0</v>
      </c>
      <c r="AE18">
        <v>45.5</v>
      </c>
      <c r="AF18">
        <f>45.5/2</f>
        <v>22.75</v>
      </c>
      <c r="AG18">
        <f>72.6/2</f>
        <v>36.299999999999997</v>
      </c>
    </row>
    <row r="19" spans="1:33" x14ac:dyDescent="0.25">
      <c r="A19">
        <v>2</v>
      </c>
      <c r="B19" s="4">
        <v>44128</v>
      </c>
      <c r="C19" t="s">
        <v>60</v>
      </c>
      <c r="D19" t="s">
        <v>41</v>
      </c>
      <c r="F19">
        <v>9.3000000000000007</v>
      </c>
      <c r="G19">
        <f>1.7+60*4+56.6</f>
        <v>298.3</v>
      </c>
      <c r="H19">
        <v>0</v>
      </c>
      <c r="I19">
        <f>4*60+56.6</f>
        <v>296.60000000000002</v>
      </c>
      <c r="J19">
        <f>298.3/4</f>
        <v>74.575000000000003</v>
      </c>
      <c r="K19">
        <f>1.7</f>
        <v>1.7</v>
      </c>
      <c r="L19">
        <v>296.60000000000002</v>
      </c>
      <c r="M19">
        <v>511.5</v>
      </c>
      <c r="N19">
        <v>36</v>
      </c>
      <c r="O19">
        <f>6.2+469.2</f>
        <v>475.4</v>
      </c>
      <c r="P19">
        <v>0</v>
      </c>
      <c r="Q19">
        <v>469.2</v>
      </c>
      <c r="R19">
        <f>475.4/4</f>
        <v>118.85</v>
      </c>
      <c r="S19">
        <f>6.2</f>
        <v>6.2</v>
      </c>
      <c r="T19">
        <v>469.2</v>
      </c>
      <c r="U19">
        <v>1.7</v>
      </c>
      <c r="V19">
        <v>3.9</v>
      </c>
      <c r="W19">
        <v>3.6</v>
      </c>
      <c r="X19">
        <v>0</v>
      </c>
      <c r="Y19">
        <f>5.2/4</f>
        <v>1.3</v>
      </c>
      <c r="Z19">
        <f>3.6/2</f>
        <v>1.8</v>
      </c>
      <c r="AA19">
        <f>1.6/2</f>
        <v>0.8</v>
      </c>
      <c r="AB19">
        <v>30.1</v>
      </c>
      <c r="AC19">
        <v>55.8</v>
      </c>
      <c r="AD19">
        <v>0</v>
      </c>
      <c r="AE19">
        <v>72.099999999999994</v>
      </c>
      <c r="AF19">
        <f>72.1/2</f>
        <v>36.049999999999997</v>
      </c>
      <c r="AG19">
        <f>29.1/2</f>
        <v>14.55</v>
      </c>
    </row>
    <row r="20" spans="1:33" x14ac:dyDescent="0.25">
      <c r="A20">
        <v>1</v>
      </c>
      <c r="B20" s="4">
        <v>44128</v>
      </c>
      <c r="C20" t="s">
        <v>61</v>
      </c>
      <c r="D20" t="s">
        <v>41</v>
      </c>
      <c r="F20">
        <v>13.1</v>
      </c>
      <c r="G20">
        <f>8.6+159.3+16.3+109.4</f>
        <v>293.60000000000002</v>
      </c>
      <c r="H20">
        <v>8.6</v>
      </c>
      <c r="I20">
        <v>159.30000000000001</v>
      </c>
      <c r="J20">
        <f>293.6/4</f>
        <v>73.400000000000006</v>
      </c>
      <c r="K20">
        <f>8.6+16.3</f>
        <v>24.9</v>
      </c>
      <c r="L20">
        <f>159.3+109.4</f>
        <v>268.70000000000005</v>
      </c>
      <c r="M20">
        <v>720.4</v>
      </c>
      <c r="N20">
        <v>83.6</v>
      </c>
      <c r="O20">
        <f>720.4-83.6</f>
        <v>636.79999999999995</v>
      </c>
      <c r="P20">
        <v>19.8</v>
      </c>
      <c r="Q20">
        <v>313.10000000000002</v>
      </c>
      <c r="R20">
        <f>636.8/4</f>
        <v>159.19999999999999</v>
      </c>
      <c r="S20">
        <f>19.8+45.1</f>
        <v>64.900000000000006</v>
      </c>
      <c r="T20">
        <f>258.9+313.1</f>
        <v>572</v>
      </c>
      <c r="U20">
        <v>2.2999999999999998</v>
      </c>
      <c r="V20">
        <v>6.4</v>
      </c>
      <c r="W20">
        <v>2.8</v>
      </c>
      <c r="X20">
        <v>2</v>
      </c>
      <c r="Y20">
        <f>9.5/4</f>
        <v>2.375</v>
      </c>
      <c r="Z20">
        <f>5.1/2</f>
        <v>2.5499999999999998</v>
      </c>
      <c r="AA20">
        <f>4.4/2</f>
        <v>2.2000000000000002</v>
      </c>
      <c r="AB20">
        <v>37.700000000000003</v>
      </c>
      <c r="AC20">
        <v>74.8</v>
      </c>
      <c r="AD20">
        <v>33.799999999999997</v>
      </c>
      <c r="AE20">
        <v>50.6</v>
      </c>
      <c r="AF20">
        <f>98/2</f>
        <v>49</v>
      </c>
      <c r="AG20">
        <f>70.3/2</f>
        <v>35.15</v>
      </c>
    </row>
  </sheetData>
  <mergeCells count="5">
    <mergeCell ref="E1:L1"/>
    <mergeCell ref="M1:T1"/>
    <mergeCell ref="U1:AA1"/>
    <mergeCell ref="AC1:AG1"/>
    <mergeCell ref="AJ1:A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AL30"/>
  <sheetViews>
    <sheetView zoomScale="70" zoomScaleNormal="70" workbookViewId="0">
      <selection activeCell="D28" sqref="D28:D30"/>
    </sheetView>
  </sheetViews>
  <sheetFormatPr defaultRowHeight="15" x14ac:dyDescent="0.25"/>
  <cols>
    <col min="1" max="1" width="11.42578125" customWidth="1"/>
    <col min="2" max="2" width="14.5703125" customWidth="1"/>
    <col min="4" max="4" width="13.5703125" customWidth="1"/>
  </cols>
  <sheetData>
    <row r="1" spans="1:38" s="1" customFormat="1" x14ac:dyDescent="0.25">
      <c r="A1" s="2"/>
      <c r="B1" s="2"/>
      <c r="C1" s="2"/>
      <c r="D1" s="2"/>
      <c r="E1" s="28" t="s">
        <v>0</v>
      </c>
      <c r="F1" s="29"/>
      <c r="G1" s="29"/>
      <c r="H1" s="29"/>
      <c r="I1" s="29"/>
      <c r="J1" s="29"/>
      <c r="K1" s="29"/>
      <c r="L1" s="29"/>
      <c r="M1" s="31" t="s">
        <v>1</v>
      </c>
      <c r="N1" s="32"/>
      <c r="O1" s="32"/>
      <c r="P1" s="32"/>
      <c r="Q1" s="32"/>
      <c r="R1" s="32"/>
      <c r="S1" s="32"/>
      <c r="T1" s="32"/>
      <c r="U1" s="33" t="s">
        <v>2</v>
      </c>
      <c r="V1" s="34"/>
      <c r="W1" s="34"/>
      <c r="X1" s="34"/>
      <c r="Y1" s="34"/>
      <c r="Z1" s="34"/>
      <c r="AA1" s="34"/>
      <c r="AB1" s="17"/>
      <c r="AC1" s="30" t="s">
        <v>3</v>
      </c>
      <c r="AD1" s="30"/>
      <c r="AE1" s="30"/>
      <c r="AF1" s="30"/>
      <c r="AG1" s="30"/>
      <c r="AH1" s="13"/>
      <c r="AI1" s="18"/>
      <c r="AJ1" s="35" t="s">
        <v>4</v>
      </c>
      <c r="AK1" s="36"/>
      <c r="AL1" s="36"/>
    </row>
    <row r="2" spans="1:38" s="1" customFormat="1" ht="45" x14ac:dyDescent="0.25">
      <c r="A2" s="3" t="s">
        <v>5</v>
      </c>
      <c r="B2" s="3" t="s">
        <v>6</v>
      </c>
      <c r="C2" s="3" t="s">
        <v>52</v>
      </c>
      <c r="D2" s="3" t="s">
        <v>7</v>
      </c>
      <c r="E2" s="5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6" t="s">
        <v>13</v>
      </c>
      <c r="K2" s="6" t="s">
        <v>32</v>
      </c>
      <c r="L2" s="6" t="s">
        <v>33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 t="s">
        <v>19</v>
      </c>
      <c r="S2" s="7" t="s">
        <v>43</v>
      </c>
      <c r="T2" s="7" t="s">
        <v>42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34</v>
      </c>
      <c r="AA2" s="8" t="s">
        <v>35</v>
      </c>
      <c r="AB2" s="16" t="s">
        <v>25</v>
      </c>
      <c r="AC2" s="9" t="s">
        <v>26</v>
      </c>
      <c r="AD2" s="9" t="s">
        <v>27</v>
      </c>
      <c r="AE2" s="9" t="s">
        <v>28</v>
      </c>
      <c r="AF2" s="10" t="s">
        <v>36</v>
      </c>
      <c r="AG2" s="10" t="s">
        <v>37</v>
      </c>
      <c r="AH2" s="11" t="s">
        <v>29</v>
      </c>
      <c r="AI2" s="11" t="s">
        <v>38</v>
      </c>
      <c r="AJ2" s="12" t="s">
        <v>30</v>
      </c>
      <c r="AK2" s="12" t="s">
        <v>40</v>
      </c>
      <c r="AL2" s="12" t="s">
        <v>39</v>
      </c>
    </row>
    <row r="3" spans="1:38" s="1" customFormat="1" x14ac:dyDescent="0.25">
      <c r="A3" s="1">
        <v>1</v>
      </c>
      <c r="B3" s="4">
        <v>43562</v>
      </c>
      <c r="C3" s="4" t="s">
        <v>53</v>
      </c>
      <c r="D3" s="1" t="s">
        <v>31</v>
      </c>
      <c r="E3" s="1">
        <v>300</v>
      </c>
      <c r="F3" s="1">
        <v>56.6</v>
      </c>
      <c r="G3" s="1">
        <v>281.10000000000002</v>
      </c>
      <c r="H3" s="14">
        <v>18.2</v>
      </c>
      <c r="I3" s="15">
        <v>133.5</v>
      </c>
      <c r="J3" s="1">
        <v>70.3</v>
      </c>
      <c r="K3" s="1">
        <v>39.799999999999997</v>
      </c>
      <c r="L3" s="1">
        <v>241.3</v>
      </c>
      <c r="M3" s="1">
        <v>1350.9</v>
      </c>
      <c r="N3" s="1">
        <v>210.7</v>
      </c>
      <c r="O3" s="1">
        <v>1140.2</v>
      </c>
      <c r="P3" s="14">
        <v>48.8</v>
      </c>
      <c r="Q3" s="15">
        <v>501.9</v>
      </c>
      <c r="R3" s="1">
        <v>285.10000000000002</v>
      </c>
      <c r="S3" s="1">
        <v>104.1</v>
      </c>
      <c r="T3" s="1">
        <v>999.7</v>
      </c>
      <c r="U3" s="1">
        <v>4</v>
      </c>
      <c r="V3" s="1">
        <v>3.7</v>
      </c>
      <c r="W3" s="15">
        <v>4.7</v>
      </c>
      <c r="X3" s="14">
        <v>2.6</v>
      </c>
      <c r="Y3" s="1">
        <v>3.4</v>
      </c>
      <c r="Z3" s="1">
        <v>2.7</v>
      </c>
      <c r="AA3" s="1">
        <v>4.2</v>
      </c>
      <c r="AB3" s="1">
        <v>48.6</v>
      </c>
      <c r="AC3" s="1">
        <v>51.1</v>
      </c>
      <c r="AD3" s="14">
        <v>45.2</v>
      </c>
      <c r="AE3" s="15">
        <v>50.4</v>
      </c>
      <c r="AF3" s="1">
        <v>46.8</v>
      </c>
      <c r="AG3" s="1">
        <v>48.6</v>
      </c>
      <c r="AH3" s="1">
        <v>3</v>
      </c>
      <c r="AI3" s="1">
        <v>8</v>
      </c>
      <c r="AJ3" s="1">
        <v>20</v>
      </c>
      <c r="AK3" s="1">
        <v>20</v>
      </c>
      <c r="AL3" s="1">
        <v>0</v>
      </c>
    </row>
    <row r="4" spans="1:38" s="1" customFormat="1" x14ac:dyDescent="0.25">
      <c r="A4" s="1">
        <v>2</v>
      </c>
      <c r="B4" s="4">
        <v>43562</v>
      </c>
      <c r="C4" s="4" t="s">
        <v>53</v>
      </c>
      <c r="D4" s="1" t="s">
        <v>31</v>
      </c>
      <c r="E4" s="1">
        <v>300</v>
      </c>
      <c r="F4" s="1">
        <v>30.9</v>
      </c>
      <c r="G4" s="1">
        <v>279.2</v>
      </c>
      <c r="H4" s="14">
        <v>21</v>
      </c>
      <c r="I4" s="15">
        <v>137.4</v>
      </c>
      <c r="J4" s="1">
        <v>69.8</v>
      </c>
      <c r="K4" s="1">
        <v>47.5</v>
      </c>
      <c r="L4" s="1">
        <v>231.6</v>
      </c>
      <c r="M4" s="1">
        <v>1583.8</v>
      </c>
      <c r="N4" s="1">
        <v>173.3</v>
      </c>
      <c r="O4" s="1">
        <v>1209.0999999999999</v>
      </c>
      <c r="P4" s="14">
        <v>70</v>
      </c>
      <c r="Q4" s="15">
        <v>693.2</v>
      </c>
      <c r="R4" s="1">
        <v>302.3</v>
      </c>
      <c r="S4" s="1">
        <v>146.1</v>
      </c>
      <c r="T4" s="1">
        <v>1063</v>
      </c>
      <c r="U4" s="1">
        <v>5.0999999999999996</v>
      </c>
      <c r="V4" s="1">
        <v>5.7</v>
      </c>
      <c r="W4" s="15">
        <v>5.0999999999999996</v>
      </c>
      <c r="X4" s="14">
        <v>2.9</v>
      </c>
      <c r="Y4" s="1">
        <v>3.8</v>
      </c>
      <c r="Z4" s="1">
        <v>3.1</v>
      </c>
      <c r="AA4" s="1">
        <v>4.5</v>
      </c>
      <c r="AB4" s="1">
        <v>49.8</v>
      </c>
      <c r="AC4" s="1">
        <v>68.5</v>
      </c>
      <c r="AD4" s="15">
        <v>44.7</v>
      </c>
      <c r="AE4" s="14">
        <v>55.8</v>
      </c>
      <c r="AF4" s="1">
        <v>52.7</v>
      </c>
      <c r="AG4" s="1">
        <v>47.5</v>
      </c>
      <c r="AH4" s="1">
        <v>0</v>
      </c>
      <c r="AI4" s="1">
        <v>10</v>
      </c>
      <c r="AJ4" s="1">
        <v>26</v>
      </c>
      <c r="AK4" s="1">
        <v>26</v>
      </c>
      <c r="AL4" s="1">
        <v>0</v>
      </c>
    </row>
    <row r="5" spans="1:38" s="1" customFormat="1" x14ac:dyDescent="0.25">
      <c r="A5" s="1">
        <v>3</v>
      </c>
      <c r="B5" s="4">
        <v>43562</v>
      </c>
      <c r="C5" s="4" t="s">
        <v>53</v>
      </c>
      <c r="D5" s="1" t="s">
        <v>31</v>
      </c>
      <c r="E5" s="1">
        <v>300</v>
      </c>
      <c r="F5" s="1">
        <v>49.4</v>
      </c>
      <c r="G5" s="1">
        <v>273.39999999999998</v>
      </c>
      <c r="H5" s="14">
        <v>34.200000000000003</v>
      </c>
      <c r="I5" s="15">
        <v>103.5</v>
      </c>
      <c r="J5" s="1">
        <v>68.400000000000006</v>
      </c>
      <c r="K5" s="1">
        <v>72</v>
      </c>
      <c r="L5" s="1">
        <v>201.4</v>
      </c>
      <c r="M5" s="1">
        <v>1640.4</v>
      </c>
      <c r="N5" s="1">
        <v>254.4</v>
      </c>
      <c r="O5" s="1">
        <v>1386</v>
      </c>
      <c r="P5" s="14">
        <v>128.9</v>
      </c>
      <c r="Q5" s="15">
        <v>609.4</v>
      </c>
      <c r="R5" s="1">
        <v>346.5</v>
      </c>
      <c r="S5" s="1">
        <v>258.2</v>
      </c>
      <c r="T5" s="1">
        <v>1127.4000000000001</v>
      </c>
      <c r="U5" s="1">
        <v>5.0999999999999996</v>
      </c>
      <c r="V5" s="1">
        <v>5.0999999999999996</v>
      </c>
      <c r="W5" s="15">
        <v>6.2</v>
      </c>
      <c r="X5" s="14">
        <v>3.4</v>
      </c>
      <c r="Y5" s="1">
        <v>4.5999999999999996</v>
      </c>
      <c r="Z5" s="1">
        <v>3.6</v>
      </c>
      <c r="AA5" s="1">
        <v>5.6</v>
      </c>
      <c r="AB5" s="1">
        <v>58.5</v>
      </c>
      <c r="AC5" s="1">
        <v>66.8</v>
      </c>
      <c r="AD5" s="14">
        <v>52.2</v>
      </c>
      <c r="AE5" s="15">
        <v>59.7</v>
      </c>
      <c r="AF5" s="1">
        <v>55.7</v>
      </c>
      <c r="AG5" s="1">
        <v>57.8</v>
      </c>
      <c r="AH5" s="1">
        <v>1</v>
      </c>
      <c r="AI5" s="1">
        <v>4</v>
      </c>
      <c r="AJ5" s="1">
        <v>33</v>
      </c>
      <c r="AK5" s="1">
        <v>33</v>
      </c>
      <c r="AL5" s="1">
        <v>0</v>
      </c>
    </row>
    <row r="6" spans="1:38" s="1" customFormat="1" x14ac:dyDescent="0.25">
      <c r="A6" s="1">
        <v>8</v>
      </c>
      <c r="B6" s="4">
        <v>43697</v>
      </c>
      <c r="C6" s="4" t="s">
        <v>54</v>
      </c>
      <c r="D6" s="19" t="s">
        <v>31</v>
      </c>
      <c r="E6" s="1">
        <v>300</v>
      </c>
      <c r="F6" s="1">
        <v>44.1</v>
      </c>
      <c r="G6" s="1">
        <v>255.9</v>
      </c>
      <c r="H6" s="20">
        <v>37.799999999999997</v>
      </c>
      <c r="I6" s="21">
        <v>128.4</v>
      </c>
      <c r="J6" s="1">
        <v>64</v>
      </c>
      <c r="K6" s="19">
        <v>84.4</v>
      </c>
      <c r="L6" s="19">
        <v>185.7</v>
      </c>
      <c r="M6" s="19">
        <v>907.3</v>
      </c>
      <c r="N6" s="19">
        <v>165.4</v>
      </c>
      <c r="O6" s="19">
        <v>741.9</v>
      </c>
      <c r="P6" s="20">
        <v>80.400000000000006</v>
      </c>
      <c r="Q6" s="21">
        <v>361.4</v>
      </c>
      <c r="R6" s="19">
        <v>185.5</v>
      </c>
      <c r="S6" s="19">
        <v>185.5</v>
      </c>
      <c r="T6" s="19">
        <v>556.5</v>
      </c>
      <c r="U6" s="19">
        <v>2.9</v>
      </c>
      <c r="V6" s="19">
        <v>3.8</v>
      </c>
      <c r="W6" s="15">
        <v>3.4</v>
      </c>
      <c r="X6" s="20">
        <v>1.6</v>
      </c>
      <c r="Y6" s="19">
        <v>2.7</v>
      </c>
      <c r="Z6" s="19">
        <v>2.2000000000000002</v>
      </c>
      <c r="AA6" s="19">
        <v>3.1</v>
      </c>
      <c r="AB6" s="19">
        <v>43.2</v>
      </c>
      <c r="AC6" s="19">
        <v>51.6</v>
      </c>
      <c r="AD6" s="20">
        <v>43.4</v>
      </c>
      <c r="AE6" s="15">
        <v>48.5</v>
      </c>
      <c r="AF6" s="19">
        <v>36.299999999999997</v>
      </c>
      <c r="AG6" s="19">
        <v>45.9</v>
      </c>
    </row>
    <row r="7" spans="1:38" s="1" customFormat="1" x14ac:dyDescent="0.25">
      <c r="A7" s="1">
        <v>9</v>
      </c>
      <c r="B7" s="4">
        <v>43697</v>
      </c>
      <c r="C7" s="4" t="s">
        <v>54</v>
      </c>
      <c r="D7" s="19" t="s">
        <v>31</v>
      </c>
      <c r="E7" s="1">
        <v>300</v>
      </c>
      <c r="F7" s="1">
        <v>46.1</v>
      </c>
      <c r="G7" s="1">
        <v>253.9</v>
      </c>
      <c r="H7" s="20">
        <v>43.8</v>
      </c>
      <c r="I7" s="21">
        <v>97.2</v>
      </c>
      <c r="J7" s="1">
        <v>63.5</v>
      </c>
      <c r="K7" s="19">
        <v>88.8</v>
      </c>
      <c r="L7" s="19">
        <v>175.6</v>
      </c>
      <c r="M7" s="19">
        <v>1222.7</v>
      </c>
      <c r="N7" s="19">
        <v>235.4</v>
      </c>
      <c r="O7" s="19">
        <v>987.3</v>
      </c>
      <c r="P7" s="20">
        <v>141.5</v>
      </c>
      <c r="Q7" s="21">
        <v>373.8</v>
      </c>
      <c r="R7" s="19">
        <v>246.8</v>
      </c>
      <c r="S7" s="19">
        <v>294</v>
      </c>
      <c r="T7" s="19">
        <v>693.3</v>
      </c>
      <c r="U7" s="19">
        <v>3.9</v>
      </c>
      <c r="V7" s="19">
        <v>5.0999999999999996</v>
      </c>
      <c r="W7" s="15">
        <v>3.8</v>
      </c>
      <c r="X7" s="20">
        <v>3.2</v>
      </c>
      <c r="Y7" s="19">
        <v>3.6</v>
      </c>
      <c r="Z7" s="19">
        <v>3.3</v>
      </c>
      <c r="AA7" s="19">
        <v>4</v>
      </c>
      <c r="AB7" s="19">
        <v>46.9</v>
      </c>
      <c r="AC7" s="19">
        <v>57.4</v>
      </c>
      <c r="AD7" s="20">
        <v>42.5</v>
      </c>
      <c r="AE7" s="15">
        <v>47.8</v>
      </c>
      <c r="AF7" s="19">
        <v>43.6</v>
      </c>
      <c r="AG7" s="19">
        <v>46</v>
      </c>
    </row>
    <row r="8" spans="1:38" s="1" customFormat="1" x14ac:dyDescent="0.25">
      <c r="A8" s="1">
        <v>10</v>
      </c>
      <c r="B8" s="4">
        <v>43697</v>
      </c>
      <c r="C8" s="4" t="s">
        <v>53</v>
      </c>
      <c r="D8" s="19" t="s">
        <v>31</v>
      </c>
      <c r="E8" s="1">
        <v>300</v>
      </c>
      <c r="F8" s="1">
        <v>46.4</v>
      </c>
      <c r="G8" s="1">
        <v>253.6</v>
      </c>
      <c r="H8" s="20">
        <v>21</v>
      </c>
      <c r="I8" s="21">
        <v>102.1</v>
      </c>
      <c r="J8" s="1">
        <v>63.4</v>
      </c>
      <c r="K8" s="19">
        <v>66.8</v>
      </c>
      <c r="L8" s="19">
        <v>196.6</v>
      </c>
      <c r="M8" s="19">
        <v>1073.4000000000001</v>
      </c>
      <c r="N8" s="19">
        <v>165.4</v>
      </c>
      <c r="O8" s="19">
        <v>908</v>
      </c>
      <c r="P8" s="20">
        <v>78.8</v>
      </c>
      <c r="Q8" s="21">
        <v>422.5</v>
      </c>
      <c r="R8" s="19">
        <v>227</v>
      </c>
      <c r="S8" s="19">
        <v>182.8</v>
      </c>
      <c r="T8" s="19">
        <v>725.2</v>
      </c>
      <c r="U8" s="19">
        <v>3.5</v>
      </c>
      <c r="V8" s="19">
        <v>3.6</v>
      </c>
      <c r="W8" s="15">
        <v>4.5</v>
      </c>
      <c r="X8" s="20">
        <v>2.2999999999999998</v>
      </c>
      <c r="Y8" s="19">
        <v>3.4</v>
      </c>
      <c r="Z8" s="19">
        <v>3</v>
      </c>
      <c r="AA8" s="19">
        <v>3.8</v>
      </c>
      <c r="AB8" s="19">
        <v>44.4</v>
      </c>
      <c r="AC8" s="19">
        <v>42.6</v>
      </c>
      <c r="AD8" s="20">
        <v>37.700000000000003</v>
      </c>
      <c r="AE8" s="15">
        <v>54.1</v>
      </c>
      <c r="AF8" s="19">
        <v>40.1</v>
      </c>
      <c r="AG8" s="19">
        <v>46.9</v>
      </c>
    </row>
    <row r="9" spans="1:38" s="1" customFormat="1" x14ac:dyDescent="0.25">
      <c r="A9" s="1">
        <v>11</v>
      </c>
      <c r="B9" s="4">
        <v>43700</v>
      </c>
      <c r="C9" s="4" t="s">
        <v>53</v>
      </c>
      <c r="D9" s="19" t="s">
        <v>31</v>
      </c>
      <c r="E9" s="1">
        <v>300</v>
      </c>
      <c r="F9" s="1">
        <v>32.6</v>
      </c>
      <c r="G9" s="1">
        <v>267.39999999999998</v>
      </c>
      <c r="H9" s="20">
        <v>7.6</v>
      </c>
      <c r="I9" s="21">
        <v>198.1</v>
      </c>
      <c r="J9" s="1">
        <v>66.900000000000006</v>
      </c>
      <c r="K9" s="19">
        <v>20.6</v>
      </c>
      <c r="L9" s="19">
        <v>275.8</v>
      </c>
      <c r="M9" s="19">
        <v>801.7</v>
      </c>
      <c r="N9" s="19">
        <v>117.6</v>
      </c>
      <c r="O9" s="19">
        <v>684.1</v>
      </c>
      <c r="P9" s="20">
        <v>24.7</v>
      </c>
      <c r="Q9" s="21">
        <v>365.7</v>
      </c>
      <c r="R9" s="19">
        <v>171</v>
      </c>
      <c r="S9" s="19">
        <v>56.5</v>
      </c>
      <c r="T9" s="19">
        <v>627.6</v>
      </c>
      <c r="U9" s="19">
        <v>2.4</v>
      </c>
      <c r="V9" s="19">
        <v>3.6</v>
      </c>
      <c r="W9" s="15">
        <v>3.4</v>
      </c>
      <c r="X9" s="21">
        <v>1.8</v>
      </c>
      <c r="Y9" s="19">
        <v>2.7</v>
      </c>
      <c r="Z9" s="19">
        <v>2.8</v>
      </c>
      <c r="AA9" s="19">
        <v>2.6</v>
      </c>
      <c r="AB9" s="19">
        <v>37.299999999999997</v>
      </c>
      <c r="AC9" s="19">
        <v>47.4</v>
      </c>
      <c r="AD9" s="21">
        <v>28.9</v>
      </c>
      <c r="AE9" s="15">
        <v>54</v>
      </c>
      <c r="AF9" s="19">
        <v>47.8</v>
      </c>
      <c r="AG9" s="1">
        <v>40.5</v>
      </c>
    </row>
    <row r="11" spans="1:38" x14ac:dyDescent="0.25">
      <c r="A11">
        <v>1</v>
      </c>
      <c r="B11" s="4">
        <v>44082</v>
      </c>
      <c r="C11" s="4" t="s">
        <v>62</v>
      </c>
      <c r="D11" t="s">
        <v>31</v>
      </c>
      <c r="F11">
        <v>50.2</v>
      </c>
      <c r="G11">
        <f>73.7+71.7+43.8+63.2</f>
        <v>252.39999999999998</v>
      </c>
      <c r="H11" s="20">
        <v>43.8</v>
      </c>
      <c r="I11" s="21">
        <v>73.7</v>
      </c>
      <c r="J11">
        <f>252.4/4</f>
        <v>63.1</v>
      </c>
      <c r="K11">
        <f>73.7+43.8</f>
        <v>117.5</v>
      </c>
      <c r="L11">
        <f>63.2+71.7</f>
        <v>134.9</v>
      </c>
      <c r="M11">
        <v>871.5</v>
      </c>
      <c r="N11">
        <v>154.9</v>
      </c>
      <c r="O11">
        <f>871.5-154.9</f>
        <v>716.6</v>
      </c>
      <c r="P11" s="20">
        <v>85.1</v>
      </c>
      <c r="Q11" s="21">
        <v>249.7</v>
      </c>
      <c r="R11">
        <f>716.6/4</f>
        <v>179.15</v>
      </c>
      <c r="S11">
        <f>165.9+85.1</f>
        <v>251</v>
      </c>
      <c r="T11">
        <f>215.9+249.7</f>
        <v>465.6</v>
      </c>
      <c r="U11">
        <v>2.9</v>
      </c>
      <c r="V11">
        <v>3.1</v>
      </c>
      <c r="W11" s="15">
        <v>3.5</v>
      </c>
      <c r="X11" s="20">
        <v>1.9</v>
      </c>
      <c r="Y11">
        <f>11/4</f>
        <v>2.75</v>
      </c>
      <c r="Z11">
        <f>4.1/2</f>
        <v>2.0499999999999998</v>
      </c>
      <c r="AA11">
        <f>6.9/2</f>
        <v>3.45</v>
      </c>
      <c r="AB11">
        <v>43.1</v>
      </c>
      <c r="AC11">
        <v>44.7</v>
      </c>
      <c r="AD11" s="20">
        <v>34.4</v>
      </c>
      <c r="AE11" s="15">
        <v>51.1</v>
      </c>
      <c r="AF11">
        <f>70.9/2</f>
        <v>35.450000000000003</v>
      </c>
      <c r="AG11">
        <f>97.7/2</f>
        <v>48.85</v>
      </c>
    </row>
    <row r="12" spans="1:38" x14ac:dyDescent="0.25">
      <c r="A12">
        <v>2</v>
      </c>
      <c r="B12" s="4">
        <v>44076</v>
      </c>
      <c r="C12" s="4" t="s">
        <v>54</v>
      </c>
      <c r="D12" t="s">
        <v>31</v>
      </c>
      <c r="F12">
        <v>22.7</v>
      </c>
      <c r="G12">
        <f>58.9+137.5+45.7+59.6</f>
        <v>301.70000000000005</v>
      </c>
      <c r="H12" s="20">
        <v>45.7</v>
      </c>
      <c r="I12" s="21">
        <v>137.5</v>
      </c>
      <c r="J12">
        <f>301.7/4</f>
        <v>75.424999999999997</v>
      </c>
      <c r="K12">
        <f>58.9+45.7</f>
        <v>104.6</v>
      </c>
      <c r="L12">
        <f>59.6+137.5</f>
        <v>197.1</v>
      </c>
      <c r="M12">
        <v>558.5</v>
      </c>
      <c r="N12">
        <v>65</v>
      </c>
      <c r="O12">
        <f>558.5-65</f>
        <v>493.5</v>
      </c>
      <c r="P12" s="20">
        <v>103.7</v>
      </c>
      <c r="Q12" s="21">
        <v>151.80000000000001</v>
      </c>
      <c r="R12">
        <f>493.5/4</f>
        <v>123.375</v>
      </c>
      <c r="S12">
        <f>129.6+103.7</f>
        <v>233.3</v>
      </c>
      <c r="T12">
        <f>108.4+151.8</f>
        <v>260.20000000000005</v>
      </c>
      <c r="U12">
        <v>1.7</v>
      </c>
      <c r="V12">
        <v>2.9</v>
      </c>
      <c r="W12" s="15">
        <v>2.2999999999999998</v>
      </c>
      <c r="X12">
        <v>1.8</v>
      </c>
      <c r="Y12">
        <f>7.4/4</f>
        <v>1.85</v>
      </c>
      <c r="Z12">
        <f>4.5/2</f>
        <v>2.25</v>
      </c>
      <c r="AA12">
        <f>2.9/2</f>
        <v>1.45</v>
      </c>
      <c r="AB12">
        <v>30.3</v>
      </c>
      <c r="AC12">
        <v>45.5</v>
      </c>
      <c r="AD12">
        <v>19.7</v>
      </c>
      <c r="AE12" s="15">
        <v>41.2</v>
      </c>
      <c r="AF12">
        <f>51.1/2</f>
        <v>25.55</v>
      </c>
      <c r="AG12">
        <f>80.8/2</f>
        <v>40.4</v>
      </c>
    </row>
    <row r="15" spans="1:38" s="1" customFormat="1" x14ac:dyDescent="0.25">
      <c r="A15" s="1">
        <v>1</v>
      </c>
      <c r="B15" s="4">
        <v>43585</v>
      </c>
      <c r="C15" s="4" t="s">
        <v>53</v>
      </c>
      <c r="D15" s="19" t="s">
        <v>41</v>
      </c>
      <c r="E15" s="1">
        <v>300</v>
      </c>
      <c r="F15" s="1">
        <v>4.3</v>
      </c>
      <c r="G15" s="1">
        <v>297.10000000000002</v>
      </c>
      <c r="H15" s="20">
        <v>2</v>
      </c>
      <c r="I15" s="21">
        <v>242.9</v>
      </c>
      <c r="J15" s="1">
        <v>74.3</v>
      </c>
      <c r="K15" s="19">
        <v>11</v>
      </c>
      <c r="L15" s="19">
        <v>285</v>
      </c>
      <c r="M15" s="19">
        <v>1076.2</v>
      </c>
      <c r="N15" s="19">
        <v>41.7</v>
      </c>
      <c r="O15" s="19">
        <v>1034.5</v>
      </c>
      <c r="P15" s="20">
        <v>2.1</v>
      </c>
      <c r="Q15" s="21">
        <v>842.5</v>
      </c>
      <c r="R15" s="19">
        <v>258.60000000000002</v>
      </c>
      <c r="S15" s="19">
        <v>38.700000000000003</v>
      </c>
      <c r="T15" s="19">
        <v>995.8</v>
      </c>
      <c r="U15" s="19">
        <v>3.4</v>
      </c>
      <c r="V15" s="19">
        <v>5</v>
      </c>
      <c r="W15" s="20">
        <v>4.0999999999999996</v>
      </c>
      <c r="X15" s="20">
        <v>1</v>
      </c>
      <c r="Y15" s="19">
        <v>2.8</v>
      </c>
      <c r="Z15" s="19">
        <v>2.6</v>
      </c>
      <c r="AA15" s="19">
        <v>3.1</v>
      </c>
      <c r="AB15" s="19">
        <v>30.7</v>
      </c>
      <c r="AC15" s="19">
        <v>66.5</v>
      </c>
      <c r="AD15" s="21">
        <v>26.8</v>
      </c>
      <c r="AE15" s="20">
        <v>58</v>
      </c>
      <c r="AF15" s="19">
        <v>45.9</v>
      </c>
      <c r="AG15" s="19">
        <v>32.200000000000003</v>
      </c>
      <c r="AH15" s="19">
        <v>2</v>
      </c>
      <c r="AI15" s="19">
        <v>9</v>
      </c>
      <c r="AJ15" s="19">
        <v>14</v>
      </c>
      <c r="AK15" s="19">
        <v>14</v>
      </c>
      <c r="AL15" s="19">
        <v>0</v>
      </c>
    </row>
    <row r="16" spans="1:38" s="1" customFormat="1" x14ac:dyDescent="0.25">
      <c r="A16" s="1">
        <v>2</v>
      </c>
      <c r="B16" s="4">
        <v>43585</v>
      </c>
      <c r="C16" s="4" t="s">
        <v>53</v>
      </c>
      <c r="D16" s="19" t="s">
        <v>41</v>
      </c>
      <c r="E16" s="1">
        <v>300</v>
      </c>
      <c r="F16" s="1">
        <v>9.6999999999999993</v>
      </c>
      <c r="G16" s="1">
        <v>290.3</v>
      </c>
      <c r="H16" s="20">
        <v>12.9</v>
      </c>
      <c r="I16" s="21">
        <v>172.3</v>
      </c>
      <c r="J16" s="1">
        <v>72.599999999999994</v>
      </c>
      <c r="K16" s="19">
        <v>28.1</v>
      </c>
      <c r="L16" s="19">
        <v>242.2</v>
      </c>
      <c r="M16" s="19">
        <v>885</v>
      </c>
      <c r="N16" s="19">
        <v>87.4</v>
      </c>
      <c r="O16" s="19">
        <v>797.6</v>
      </c>
      <c r="P16" s="20">
        <v>41</v>
      </c>
      <c r="Q16" s="21">
        <v>403.8</v>
      </c>
      <c r="R16" s="19">
        <v>199.4</v>
      </c>
      <c r="S16" s="19">
        <v>101.7</v>
      </c>
      <c r="T16" s="19">
        <v>695.8</v>
      </c>
      <c r="U16" s="19">
        <v>2.9</v>
      </c>
      <c r="V16" s="19">
        <v>5.4</v>
      </c>
      <c r="W16" s="20">
        <v>4</v>
      </c>
      <c r="X16" s="21">
        <v>2.2999999999999998</v>
      </c>
      <c r="Y16" s="19">
        <v>3.2</v>
      </c>
      <c r="Z16" s="19">
        <v>3.6</v>
      </c>
      <c r="AA16" s="19">
        <v>2.8</v>
      </c>
      <c r="AB16" s="19">
        <v>39.299999999999997</v>
      </c>
      <c r="AC16" s="19">
        <v>68.5</v>
      </c>
      <c r="AD16" s="21">
        <v>33.299999999999997</v>
      </c>
      <c r="AE16" s="20">
        <v>56.4</v>
      </c>
      <c r="AF16" s="19">
        <v>53.7</v>
      </c>
      <c r="AG16" s="19">
        <v>37.200000000000003</v>
      </c>
      <c r="AH16" s="19">
        <v>0</v>
      </c>
      <c r="AI16" s="19">
        <v>11</v>
      </c>
      <c r="AJ16" s="19">
        <v>15</v>
      </c>
      <c r="AK16" s="19">
        <v>15</v>
      </c>
      <c r="AL16" s="19">
        <v>0</v>
      </c>
    </row>
    <row r="17" spans="1:38" s="1" customFormat="1" x14ac:dyDescent="0.25">
      <c r="A17" s="1">
        <v>3</v>
      </c>
      <c r="B17" s="4">
        <v>43585</v>
      </c>
      <c r="C17" s="4" t="s">
        <v>53</v>
      </c>
      <c r="D17" s="19" t="s">
        <v>41</v>
      </c>
      <c r="E17" s="1">
        <v>300</v>
      </c>
      <c r="F17" s="1">
        <v>3.2</v>
      </c>
      <c r="G17" s="1">
        <v>297.2</v>
      </c>
      <c r="H17" s="20">
        <v>9.6</v>
      </c>
      <c r="I17" s="21">
        <v>204.4</v>
      </c>
      <c r="J17" s="1">
        <v>74.3</v>
      </c>
      <c r="K17" s="19">
        <v>26.4</v>
      </c>
      <c r="L17" s="19">
        <v>270.8</v>
      </c>
      <c r="M17" s="19">
        <v>594.29999999999995</v>
      </c>
      <c r="N17" s="19">
        <v>74.400000000000006</v>
      </c>
      <c r="O17" s="19">
        <v>519.9</v>
      </c>
      <c r="P17" s="20">
        <v>14.9</v>
      </c>
      <c r="Q17" s="21">
        <v>299.3</v>
      </c>
      <c r="R17" s="19">
        <v>130</v>
      </c>
      <c r="S17" s="19">
        <v>52.8</v>
      </c>
      <c r="T17" s="19">
        <v>467.1</v>
      </c>
      <c r="U17" s="19">
        <v>1.9</v>
      </c>
      <c r="V17" s="19">
        <v>3.9</v>
      </c>
      <c r="W17" s="15">
        <v>2.5</v>
      </c>
      <c r="X17" s="22">
        <v>1.5</v>
      </c>
      <c r="Y17" s="19">
        <v>1.9</v>
      </c>
      <c r="Z17" s="19">
        <v>1.9</v>
      </c>
      <c r="AA17" s="19">
        <v>2</v>
      </c>
      <c r="AB17" s="19">
        <v>33.9</v>
      </c>
      <c r="AC17" s="19">
        <v>57.2</v>
      </c>
      <c r="AD17" s="21">
        <v>27.7</v>
      </c>
      <c r="AE17" s="15">
        <v>45.3</v>
      </c>
      <c r="AF17" s="19">
        <v>35.1</v>
      </c>
      <c r="AG17" s="19">
        <v>36.5</v>
      </c>
      <c r="AH17" s="19">
        <v>0</v>
      </c>
      <c r="AI17" s="19">
        <v>22</v>
      </c>
      <c r="AJ17" s="19">
        <v>20</v>
      </c>
      <c r="AK17" s="19">
        <v>20</v>
      </c>
      <c r="AL17" s="19">
        <v>0</v>
      </c>
    </row>
    <row r="18" spans="1:38" s="1" customFormat="1" x14ac:dyDescent="0.25">
      <c r="A18" s="1">
        <v>8</v>
      </c>
      <c r="B18" s="4">
        <v>43720</v>
      </c>
      <c r="C18" s="4" t="s">
        <v>54</v>
      </c>
      <c r="D18" s="19" t="s">
        <v>41</v>
      </c>
      <c r="E18" s="1">
        <v>300</v>
      </c>
      <c r="F18" s="1">
        <v>18.7</v>
      </c>
      <c r="G18" s="1">
        <v>308.60000000000002</v>
      </c>
      <c r="H18" s="20">
        <v>1.1000000000000001</v>
      </c>
      <c r="I18" s="21">
        <v>167.7</v>
      </c>
      <c r="J18" s="1">
        <v>77.150000000000006</v>
      </c>
      <c r="K18" s="19">
        <v>15</v>
      </c>
      <c r="L18" s="19">
        <v>293.60000000000002</v>
      </c>
      <c r="M18" s="19">
        <v>731.3</v>
      </c>
      <c r="N18" s="19">
        <v>81</v>
      </c>
      <c r="O18" s="19">
        <v>650.29999999999995</v>
      </c>
      <c r="P18" s="20">
        <v>1.1000000000000001</v>
      </c>
      <c r="Q18" s="21">
        <v>322.89999999999998</v>
      </c>
      <c r="R18" s="19">
        <v>162.6</v>
      </c>
      <c r="S18" s="19">
        <v>42.5</v>
      </c>
      <c r="T18" s="19">
        <v>607.79999999999995</v>
      </c>
      <c r="U18" s="19">
        <v>2.2000000000000002</v>
      </c>
      <c r="V18" s="19">
        <v>4.3</v>
      </c>
      <c r="W18" s="14">
        <v>3</v>
      </c>
      <c r="X18" s="21">
        <v>0.9</v>
      </c>
      <c r="Y18" s="19">
        <v>2</v>
      </c>
      <c r="Z18" s="19">
        <v>2</v>
      </c>
      <c r="AA18" s="19">
        <v>2</v>
      </c>
      <c r="AB18" s="19">
        <v>33.5</v>
      </c>
      <c r="AC18" s="19">
        <v>53.5</v>
      </c>
      <c r="AD18" s="20">
        <v>22.7</v>
      </c>
      <c r="AE18" s="15">
        <v>45.3</v>
      </c>
      <c r="AF18" s="19">
        <v>34</v>
      </c>
      <c r="AG18" s="19">
        <v>32.1</v>
      </c>
    </row>
    <row r="19" spans="1:38" s="1" customFormat="1" x14ac:dyDescent="0.25">
      <c r="A19" s="1">
        <v>9</v>
      </c>
      <c r="B19" s="4">
        <v>43720</v>
      </c>
      <c r="C19" s="4" t="s">
        <v>54</v>
      </c>
      <c r="D19" s="19" t="s">
        <v>41</v>
      </c>
      <c r="E19" s="1">
        <v>300</v>
      </c>
      <c r="F19" s="1">
        <v>24</v>
      </c>
      <c r="G19" s="1">
        <v>296.39999999999998</v>
      </c>
      <c r="H19" s="20">
        <v>11.6</v>
      </c>
      <c r="I19" s="21">
        <v>140.69999999999999</v>
      </c>
      <c r="J19" s="1">
        <v>74.099999999999994</v>
      </c>
      <c r="K19" s="19">
        <v>25.6</v>
      </c>
      <c r="L19" s="19">
        <v>270.8</v>
      </c>
      <c r="M19" s="19">
        <v>834.3</v>
      </c>
      <c r="N19" s="19">
        <v>96.2</v>
      </c>
      <c r="O19" s="19">
        <v>738.2</v>
      </c>
      <c r="P19" s="20">
        <v>38.1</v>
      </c>
      <c r="Q19" s="21">
        <v>331.4</v>
      </c>
      <c r="R19" s="19">
        <v>184.6</v>
      </c>
      <c r="S19" s="19">
        <v>82.6</v>
      </c>
      <c r="T19" s="19">
        <v>655.6</v>
      </c>
      <c r="U19" s="19">
        <v>2.6</v>
      </c>
      <c r="V19" s="19">
        <v>4</v>
      </c>
      <c r="W19" s="14">
        <v>3.3</v>
      </c>
      <c r="X19" s="21">
        <v>2.2999999999999998</v>
      </c>
      <c r="Y19" s="19">
        <v>2.8</v>
      </c>
      <c r="Z19" s="19">
        <v>3.3</v>
      </c>
      <c r="AA19" s="19">
        <v>2.4</v>
      </c>
      <c r="AB19" s="19">
        <v>36.799999999999997</v>
      </c>
      <c r="AC19" s="19">
        <v>45</v>
      </c>
      <c r="AD19" s="21">
        <v>34.6</v>
      </c>
      <c r="AE19" s="14">
        <v>50</v>
      </c>
      <c r="AF19" s="19">
        <v>50</v>
      </c>
      <c r="AG19" s="19">
        <v>35</v>
      </c>
    </row>
    <row r="20" spans="1:38" s="1" customFormat="1" x14ac:dyDescent="0.25">
      <c r="A20" s="1">
        <v>10</v>
      </c>
      <c r="B20" s="4">
        <v>43720</v>
      </c>
      <c r="C20" s="4" t="s">
        <v>54</v>
      </c>
      <c r="D20" s="19" t="s">
        <v>41</v>
      </c>
      <c r="E20" s="1">
        <v>300</v>
      </c>
      <c r="F20" s="1">
        <v>24.2</v>
      </c>
      <c r="G20" s="1">
        <v>292.8</v>
      </c>
      <c r="H20" s="20">
        <v>2</v>
      </c>
      <c r="I20" s="21">
        <v>167.6</v>
      </c>
      <c r="J20" s="1">
        <v>73.2</v>
      </c>
      <c r="K20" s="19">
        <v>9.5</v>
      </c>
      <c r="L20" s="19">
        <v>283.3</v>
      </c>
      <c r="M20" s="19">
        <v>905.1</v>
      </c>
      <c r="N20" s="19">
        <v>100.9</v>
      </c>
      <c r="O20" s="19">
        <v>804.2</v>
      </c>
      <c r="P20" s="20">
        <v>1.6</v>
      </c>
      <c r="Q20" s="21">
        <v>401.3</v>
      </c>
      <c r="R20" s="19">
        <v>201.1</v>
      </c>
      <c r="S20" s="19">
        <v>12.7</v>
      </c>
      <c r="T20" s="19">
        <v>791.5</v>
      </c>
      <c r="U20" s="19">
        <v>2.9</v>
      </c>
      <c r="V20" s="19">
        <v>4.2</v>
      </c>
      <c r="W20" s="15">
        <v>3.4</v>
      </c>
      <c r="X20" s="20">
        <v>0.8</v>
      </c>
      <c r="Y20" s="19">
        <v>2</v>
      </c>
      <c r="Z20" s="19">
        <v>1.2</v>
      </c>
      <c r="AA20" s="19">
        <v>2.9</v>
      </c>
      <c r="AB20" s="19">
        <v>37.200000000000003</v>
      </c>
      <c r="AC20" s="19">
        <v>49.8</v>
      </c>
      <c r="AD20" s="20">
        <v>18.399999999999999</v>
      </c>
      <c r="AE20" s="15">
        <v>43</v>
      </c>
      <c r="AF20" s="19">
        <v>24.5</v>
      </c>
      <c r="AG20" s="19">
        <v>37.4</v>
      </c>
    </row>
    <row r="22" spans="1:38" x14ac:dyDescent="0.25">
      <c r="A22">
        <v>2</v>
      </c>
      <c r="B22" s="4">
        <v>44100</v>
      </c>
      <c r="C22" s="4" t="s">
        <v>54</v>
      </c>
      <c r="D22" t="s">
        <v>41</v>
      </c>
      <c r="F22">
        <v>17.8</v>
      </c>
      <c r="G22">
        <f>2.7+115+33.6+139.4</f>
        <v>290.70000000000005</v>
      </c>
      <c r="H22" s="20">
        <v>2.7</v>
      </c>
      <c r="I22" s="21">
        <v>139.4</v>
      </c>
      <c r="J22">
        <f>290.7/4</f>
        <v>72.674999999999997</v>
      </c>
      <c r="K22">
        <f>2.7+33.6</f>
        <v>36.300000000000004</v>
      </c>
      <c r="L22">
        <f>139.4+115</f>
        <v>254.4</v>
      </c>
      <c r="M22">
        <v>805.9</v>
      </c>
      <c r="N22">
        <v>96.2</v>
      </c>
      <c r="O22">
        <f>805.9-96.2</f>
        <v>709.69999999999993</v>
      </c>
      <c r="P22" s="20">
        <v>8.9</v>
      </c>
      <c r="Q22" s="21">
        <v>330.7</v>
      </c>
      <c r="R22">
        <f>709.7/4</f>
        <v>177.42500000000001</v>
      </c>
      <c r="S22">
        <f>8.9+58.2</f>
        <v>67.100000000000009</v>
      </c>
      <c r="T22">
        <f>330.7+311.9</f>
        <v>642.59999999999991</v>
      </c>
    </row>
    <row r="23" spans="1:38" x14ac:dyDescent="0.25">
      <c r="U23">
        <v>2.6</v>
      </c>
      <c r="V23">
        <v>5.4</v>
      </c>
      <c r="W23">
        <v>3.2</v>
      </c>
      <c r="X23">
        <v>1.7</v>
      </c>
      <c r="Y23">
        <f>10/4</f>
        <v>2.5</v>
      </c>
      <c r="Z23">
        <f>4.9/2</f>
        <v>2.4500000000000002</v>
      </c>
      <c r="AA23">
        <f>5.1/2</f>
        <v>2.5499999999999998</v>
      </c>
      <c r="AB23">
        <v>41.3</v>
      </c>
      <c r="AC23">
        <v>59.7</v>
      </c>
      <c r="AD23">
        <v>33</v>
      </c>
      <c r="AE23">
        <v>44.4</v>
      </c>
      <c r="AF23">
        <f>66.5/2</f>
        <v>33.25</v>
      </c>
      <c r="AG23">
        <f>83/2</f>
        <v>41.5</v>
      </c>
    </row>
    <row r="26" spans="1:38" x14ac:dyDescent="0.25">
      <c r="B26" s="27">
        <v>44114</v>
      </c>
      <c r="C26" s="4" t="s">
        <v>54</v>
      </c>
      <c r="D26" t="s">
        <v>41</v>
      </c>
      <c r="F26">
        <v>43.6</v>
      </c>
      <c r="G26">
        <f>8.3+21+60*3+34.1</f>
        <v>243.4</v>
      </c>
      <c r="H26" s="19">
        <v>0</v>
      </c>
      <c r="I26" s="19">
        <v>214.1</v>
      </c>
      <c r="J26">
        <f>243.4/4</f>
        <v>60.85</v>
      </c>
      <c r="K26">
        <f>21+214.1</f>
        <v>235.1</v>
      </c>
      <c r="L26">
        <f>8.3</f>
        <v>8.3000000000000007</v>
      </c>
      <c r="M26">
        <v>393.6</v>
      </c>
      <c r="N26">
        <v>89</v>
      </c>
      <c r="O26">
        <f>339.6-89</f>
        <v>250.60000000000002</v>
      </c>
      <c r="P26" s="19">
        <v>0</v>
      </c>
      <c r="Q26" s="19">
        <v>212.3</v>
      </c>
      <c r="R26">
        <f>250.6/4</f>
        <v>62.65</v>
      </c>
      <c r="S26">
        <f>67.4+212.3</f>
        <v>279.70000000000005</v>
      </c>
      <c r="T26">
        <f>24.9</f>
        <v>24.9</v>
      </c>
      <c r="U26">
        <v>1.4</v>
      </c>
      <c r="V26">
        <v>2</v>
      </c>
      <c r="W26">
        <v>3.2</v>
      </c>
      <c r="X26">
        <v>0</v>
      </c>
      <c r="Y26">
        <f>7.2/4</f>
        <v>1.8</v>
      </c>
      <c r="Z26">
        <f>4.2/2</f>
        <v>2.1</v>
      </c>
      <c r="AA26">
        <v>1.5</v>
      </c>
      <c r="AB26">
        <v>22.1</v>
      </c>
      <c r="AC26">
        <v>33.6</v>
      </c>
      <c r="AD26">
        <v>0</v>
      </c>
      <c r="AE26">
        <v>59.6</v>
      </c>
      <c r="AF26">
        <f>60.4/2</f>
        <v>30.2</v>
      </c>
      <c r="AG26">
        <f>59.6/2</f>
        <v>29.8</v>
      </c>
    </row>
    <row r="28" spans="1:38" s="1" customFormat="1" ht="14.25" customHeight="1" x14ac:dyDescent="0.25">
      <c r="B28" s="4">
        <v>43747</v>
      </c>
      <c r="C28" s="4" t="s">
        <v>54</v>
      </c>
      <c r="D28" s="19" t="s">
        <v>31</v>
      </c>
      <c r="E28" s="1">
        <v>300</v>
      </c>
      <c r="F28" s="1">
        <v>30.3</v>
      </c>
      <c r="G28" s="1">
        <v>283</v>
      </c>
      <c r="H28" s="20">
        <v>53.1</v>
      </c>
      <c r="I28" s="21">
        <v>103.1</v>
      </c>
      <c r="J28" s="1">
        <v>70.8</v>
      </c>
      <c r="K28" s="19">
        <v>115.6</v>
      </c>
      <c r="L28" s="19">
        <v>177.4</v>
      </c>
      <c r="M28" s="19">
        <v>1339.3</v>
      </c>
      <c r="N28" s="19">
        <v>173.6</v>
      </c>
      <c r="O28" s="19">
        <v>1165.7</v>
      </c>
      <c r="P28" s="20">
        <v>186.4</v>
      </c>
      <c r="Q28" s="21">
        <v>390.8</v>
      </c>
      <c r="R28" s="19">
        <v>291.39999999999998</v>
      </c>
      <c r="S28" s="19">
        <v>389.9</v>
      </c>
      <c r="T28" s="19">
        <v>775.8</v>
      </c>
      <c r="U28" s="19">
        <v>4.0999999999999996</v>
      </c>
      <c r="V28" s="19">
        <v>5.7</v>
      </c>
      <c r="W28" s="15">
        <v>5.3</v>
      </c>
      <c r="X28" s="20">
        <v>3.3</v>
      </c>
      <c r="Y28" s="19">
        <v>4</v>
      </c>
      <c r="Z28" s="19">
        <v>3.4</v>
      </c>
      <c r="AA28" s="19">
        <v>4.5</v>
      </c>
      <c r="AB28" s="19">
        <v>46.1</v>
      </c>
      <c r="AC28" s="19">
        <v>66.8</v>
      </c>
      <c r="AD28" s="20">
        <v>37.5</v>
      </c>
      <c r="AE28" s="15">
        <v>53.7</v>
      </c>
      <c r="AF28" s="19">
        <v>41</v>
      </c>
      <c r="AG28" s="19">
        <v>47.2</v>
      </c>
    </row>
    <row r="29" spans="1:38" s="1" customFormat="1" x14ac:dyDescent="0.25">
      <c r="B29" s="4">
        <v>43747</v>
      </c>
      <c r="C29" s="4" t="s">
        <v>54</v>
      </c>
      <c r="D29" s="19" t="s">
        <v>31</v>
      </c>
      <c r="E29" s="1">
        <v>300</v>
      </c>
      <c r="F29" s="1">
        <v>31.2</v>
      </c>
      <c r="G29" s="1">
        <v>290.8</v>
      </c>
      <c r="H29" s="14">
        <v>33.6</v>
      </c>
      <c r="I29" s="1">
        <v>128.4</v>
      </c>
      <c r="J29" s="1">
        <v>72.7</v>
      </c>
      <c r="K29" s="1">
        <v>123.1</v>
      </c>
      <c r="L29" s="1">
        <v>167.7</v>
      </c>
      <c r="M29" s="1">
        <v>1035.7</v>
      </c>
      <c r="N29" s="1">
        <v>146.4</v>
      </c>
      <c r="O29" s="1">
        <v>889.3</v>
      </c>
      <c r="P29" s="1">
        <v>104.2</v>
      </c>
      <c r="Q29" s="1">
        <v>381.2</v>
      </c>
      <c r="R29" s="1">
        <v>222.3</v>
      </c>
      <c r="S29" s="1">
        <v>270.8</v>
      </c>
      <c r="T29" s="1">
        <v>618.5</v>
      </c>
      <c r="U29" s="1">
        <v>3.2</v>
      </c>
      <c r="V29" s="1">
        <v>4.7</v>
      </c>
      <c r="W29" s="1">
        <v>6</v>
      </c>
      <c r="X29" s="1">
        <v>1.9</v>
      </c>
      <c r="Y29" s="1">
        <v>3.5</v>
      </c>
      <c r="Z29" s="1">
        <v>2.5</v>
      </c>
      <c r="AA29" s="1">
        <v>4.5</v>
      </c>
      <c r="AB29" s="1">
        <v>38.9</v>
      </c>
      <c r="AC29" s="1">
        <v>60.4</v>
      </c>
      <c r="AD29" s="1">
        <v>28.9</v>
      </c>
      <c r="AE29" s="1">
        <v>56.6</v>
      </c>
      <c r="AF29" s="1">
        <v>36</v>
      </c>
      <c r="AG29" s="1">
        <v>45.3</v>
      </c>
    </row>
    <row r="30" spans="1:38" s="1" customFormat="1" x14ac:dyDescent="0.25">
      <c r="B30" s="4">
        <v>43747</v>
      </c>
      <c r="C30" s="1" t="s">
        <v>53</v>
      </c>
      <c r="D30" s="1" t="s">
        <v>31</v>
      </c>
      <c r="E30" s="1">
        <v>300</v>
      </c>
      <c r="F30" s="1">
        <v>30.8</v>
      </c>
      <c r="G30" s="1">
        <v>269.2</v>
      </c>
      <c r="H30" s="1">
        <v>23.2</v>
      </c>
      <c r="I30" s="1">
        <v>111.3</v>
      </c>
      <c r="J30" s="1">
        <v>67.3</v>
      </c>
      <c r="K30" s="1">
        <v>46.7</v>
      </c>
      <c r="L30" s="1">
        <v>222.6</v>
      </c>
      <c r="M30" s="1">
        <v>1015.9</v>
      </c>
      <c r="N30" s="1">
        <v>129.19999999999999</v>
      </c>
      <c r="O30" s="1">
        <v>973.1</v>
      </c>
      <c r="P30" s="1">
        <v>58.7</v>
      </c>
      <c r="Q30" s="1">
        <v>471.3</v>
      </c>
      <c r="R30" s="1">
        <v>243.3</v>
      </c>
      <c r="S30" s="1">
        <v>145.1</v>
      </c>
      <c r="T30" s="1">
        <v>741.7</v>
      </c>
      <c r="U30" s="1">
        <v>3</v>
      </c>
      <c r="V30" s="1">
        <v>4.2</v>
      </c>
      <c r="W30" s="1">
        <v>3.7</v>
      </c>
      <c r="X30" s="1">
        <v>2.5</v>
      </c>
      <c r="Y30" s="1">
        <v>3</v>
      </c>
      <c r="Z30" s="1">
        <v>3.1</v>
      </c>
      <c r="AA30" s="1">
        <v>3</v>
      </c>
      <c r="AB30" s="1">
        <v>38.1</v>
      </c>
      <c r="AC30" s="1">
        <v>56.2</v>
      </c>
      <c r="AD30" s="1">
        <v>34.200000000000003</v>
      </c>
      <c r="AE30" s="1">
        <v>51.5</v>
      </c>
      <c r="AF30" s="1">
        <v>44.9</v>
      </c>
      <c r="AG30" s="1">
        <v>35</v>
      </c>
    </row>
  </sheetData>
  <mergeCells count="5">
    <mergeCell ref="E1:L1"/>
    <mergeCell ref="M1:T1"/>
    <mergeCell ref="U1:AA1"/>
    <mergeCell ref="AC1:AG1"/>
    <mergeCell ref="AJ1:A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zoomScale="70" zoomScaleNormal="70" workbookViewId="0">
      <selection activeCell="C3" sqref="C3:C10"/>
    </sheetView>
  </sheetViews>
  <sheetFormatPr defaultRowHeight="15" x14ac:dyDescent="0.25"/>
  <cols>
    <col min="1" max="1" width="12.140625" customWidth="1"/>
    <col min="2" max="2" width="13.28515625" customWidth="1"/>
  </cols>
  <sheetData>
    <row r="1" spans="1:38" s="1" customFormat="1" x14ac:dyDescent="0.25">
      <c r="A1" s="2"/>
      <c r="B1" s="2"/>
      <c r="C1" s="2"/>
      <c r="D1" s="2"/>
      <c r="E1" s="28" t="s">
        <v>0</v>
      </c>
      <c r="F1" s="29"/>
      <c r="G1" s="29"/>
      <c r="H1" s="29"/>
      <c r="I1" s="29"/>
      <c r="J1" s="29"/>
      <c r="K1" s="29"/>
      <c r="L1" s="29"/>
      <c r="M1" s="31" t="s">
        <v>1</v>
      </c>
      <c r="N1" s="32"/>
      <c r="O1" s="32"/>
      <c r="P1" s="32"/>
      <c r="Q1" s="32"/>
      <c r="R1" s="32"/>
      <c r="S1" s="32"/>
      <c r="T1" s="32"/>
      <c r="U1" s="33" t="s">
        <v>2</v>
      </c>
      <c r="V1" s="34"/>
      <c r="W1" s="34"/>
      <c r="X1" s="34"/>
      <c r="Y1" s="34"/>
      <c r="Z1" s="34"/>
      <c r="AA1" s="34"/>
      <c r="AB1" s="17"/>
      <c r="AC1" s="30" t="s">
        <v>3</v>
      </c>
      <c r="AD1" s="30"/>
      <c r="AE1" s="30"/>
      <c r="AF1" s="30"/>
      <c r="AG1" s="30"/>
      <c r="AH1" s="13"/>
      <c r="AI1" s="18"/>
      <c r="AJ1" s="35" t="s">
        <v>4</v>
      </c>
      <c r="AK1" s="36"/>
      <c r="AL1" s="36"/>
    </row>
    <row r="2" spans="1:38" s="1" customFormat="1" ht="45" x14ac:dyDescent="0.25">
      <c r="A2" s="3" t="s">
        <v>5</v>
      </c>
      <c r="B2" s="3" t="s">
        <v>6</v>
      </c>
      <c r="C2" s="3" t="s">
        <v>52</v>
      </c>
      <c r="D2" s="3" t="s">
        <v>7</v>
      </c>
      <c r="E2" s="5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6" t="s">
        <v>13</v>
      </c>
      <c r="K2" s="6" t="s">
        <v>32</v>
      </c>
      <c r="L2" s="6" t="s">
        <v>33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 t="s">
        <v>19</v>
      </c>
      <c r="S2" s="7" t="s">
        <v>43</v>
      </c>
      <c r="T2" s="7" t="s">
        <v>42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34</v>
      </c>
      <c r="AA2" s="8" t="s">
        <v>35</v>
      </c>
      <c r="AB2" s="16" t="s">
        <v>25</v>
      </c>
      <c r="AC2" s="9" t="s">
        <v>26</v>
      </c>
      <c r="AD2" s="9" t="s">
        <v>27</v>
      </c>
      <c r="AE2" s="9" t="s">
        <v>28</v>
      </c>
      <c r="AF2" s="10" t="s">
        <v>36</v>
      </c>
      <c r="AG2" s="10" t="s">
        <v>37</v>
      </c>
      <c r="AH2" s="11" t="s">
        <v>29</v>
      </c>
      <c r="AI2" s="11" t="s">
        <v>38</v>
      </c>
      <c r="AJ2" s="12" t="s">
        <v>30</v>
      </c>
      <c r="AK2" s="12" t="s">
        <v>40</v>
      </c>
      <c r="AL2" s="12" t="s">
        <v>39</v>
      </c>
    </row>
    <row r="3" spans="1:38" s="1" customFormat="1" x14ac:dyDescent="0.25">
      <c r="A3" s="23">
        <v>4</v>
      </c>
      <c r="B3" s="24">
        <v>43633</v>
      </c>
      <c r="C3" s="24" t="s">
        <v>53</v>
      </c>
      <c r="D3" s="25" t="s">
        <v>47</v>
      </c>
      <c r="E3" s="1">
        <v>300</v>
      </c>
      <c r="F3" s="1">
        <v>57.6</v>
      </c>
      <c r="G3" s="1">
        <v>242.4</v>
      </c>
      <c r="H3" s="20">
        <v>25.1</v>
      </c>
      <c r="I3" s="21">
        <v>168.6</v>
      </c>
      <c r="J3" s="1">
        <v>66.099999999999994</v>
      </c>
      <c r="K3" s="19">
        <v>51.4</v>
      </c>
      <c r="L3" s="19">
        <v>212.8</v>
      </c>
      <c r="M3" s="19">
        <v>1368.7</v>
      </c>
      <c r="N3" s="19">
        <v>321.89999999999998</v>
      </c>
      <c r="O3" s="19">
        <v>1046.9000000000001</v>
      </c>
      <c r="P3" s="20">
        <v>74.400000000000006</v>
      </c>
      <c r="Q3" s="21">
        <v>573.29999999999995</v>
      </c>
      <c r="R3" s="19">
        <v>261.7</v>
      </c>
      <c r="S3" s="19">
        <v>162.30000000000001</v>
      </c>
      <c r="T3" s="19">
        <v>884.6</v>
      </c>
      <c r="U3" s="19">
        <v>4.3</v>
      </c>
      <c r="V3" s="19">
        <v>6.1</v>
      </c>
      <c r="W3" s="15">
        <v>7</v>
      </c>
      <c r="X3" s="20">
        <v>2.8</v>
      </c>
      <c r="Y3" s="19">
        <v>4.2</v>
      </c>
      <c r="Z3" s="19">
        <v>3.2</v>
      </c>
      <c r="AA3" s="19">
        <v>5.2</v>
      </c>
      <c r="AB3" s="19">
        <v>55.4</v>
      </c>
      <c r="AC3" s="19">
        <v>69.5</v>
      </c>
      <c r="AD3" s="21">
        <v>47.5</v>
      </c>
      <c r="AE3" s="15">
        <v>68.5</v>
      </c>
      <c r="AF3" s="19">
        <v>55.9</v>
      </c>
      <c r="AG3" s="19">
        <v>58</v>
      </c>
      <c r="AH3" s="19">
        <v>0</v>
      </c>
      <c r="AI3" s="19">
        <v>7</v>
      </c>
      <c r="AJ3" s="19">
        <v>31</v>
      </c>
      <c r="AK3" s="19">
        <v>31</v>
      </c>
      <c r="AL3" s="19">
        <v>0</v>
      </c>
    </row>
    <row r="4" spans="1:38" s="1" customFormat="1" x14ac:dyDescent="0.25">
      <c r="A4" s="23">
        <v>5</v>
      </c>
      <c r="B4" s="24">
        <v>43633</v>
      </c>
      <c r="C4" s="24" t="s">
        <v>53</v>
      </c>
      <c r="D4" s="25" t="s">
        <v>47</v>
      </c>
      <c r="E4" s="1">
        <v>300</v>
      </c>
      <c r="F4" s="1">
        <v>76.7</v>
      </c>
      <c r="G4" s="1">
        <v>233.2</v>
      </c>
      <c r="H4" s="20">
        <v>21.6</v>
      </c>
      <c r="I4" s="21">
        <v>88</v>
      </c>
      <c r="J4" s="1">
        <v>58.3</v>
      </c>
      <c r="K4" s="19">
        <v>61.6</v>
      </c>
      <c r="L4" s="19">
        <v>172.1</v>
      </c>
      <c r="M4" s="19">
        <v>2054.4</v>
      </c>
      <c r="N4" s="19">
        <v>582.5</v>
      </c>
      <c r="O4" s="19">
        <v>1471.5</v>
      </c>
      <c r="P4" s="20">
        <v>73.8</v>
      </c>
      <c r="Q4" s="21">
        <v>641.29999999999995</v>
      </c>
      <c r="R4" s="19">
        <v>367.9</v>
      </c>
      <c r="S4" s="19">
        <v>204.8</v>
      </c>
      <c r="T4" s="19">
        <v>1366.7</v>
      </c>
      <c r="U4" s="19">
        <v>6.6</v>
      </c>
      <c r="V4" s="19">
        <v>7.6</v>
      </c>
      <c r="W4" s="15">
        <v>7.6</v>
      </c>
      <c r="X4" s="20">
        <v>3.3</v>
      </c>
      <c r="Y4" s="19">
        <v>5.4</v>
      </c>
      <c r="Z4" s="19">
        <v>3.4</v>
      </c>
      <c r="AA4" s="19">
        <v>7.4</v>
      </c>
      <c r="AB4" s="19">
        <v>63.1</v>
      </c>
      <c r="AC4" s="19">
        <v>68.7</v>
      </c>
      <c r="AD4" s="20">
        <v>47.9</v>
      </c>
      <c r="AE4" s="15">
        <v>67.900000000000006</v>
      </c>
      <c r="AF4" s="19">
        <v>52.8</v>
      </c>
      <c r="AG4" s="19">
        <v>65.099999999999994</v>
      </c>
      <c r="AH4" s="19">
        <v>0</v>
      </c>
      <c r="AI4" s="19">
        <v>2</v>
      </c>
      <c r="AJ4" s="19">
        <v>28</v>
      </c>
      <c r="AK4" s="19">
        <v>28</v>
      </c>
      <c r="AL4" s="19">
        <v>0</v>
      </c>
    </row>
    <row r="5" spans="1:38" s="1" customFormat="1" x14ac:dyDescent="0.25">
      <c r="A5" s="23">
        <v>6</v>
      </c>
      <c r="B5" s="24">
        <v>43633</v>
      </c>
      <c r="C5" s="24" t="s">
        <v>53</v>
      </c>
      <c r="D5" s="25" t="s">
        <v>47</v>
      </c>
      <c r="E5" s="1">
        <v>300</v>
      </c>
      <c r="F5" s="1">
        <v>77.099999999999994</v>
      </c>
      <c r="G5" s="1">
        <v>222.2</v>
      </c>
      <c r="H5" s="20">
        <v>27.8</v>
      </c>
      <c r="I5" s="21">
        <v>111.4</v>
      </c>
      <c r="J5" s="1">
        <v>55.5</v>
      </c>
      <c r="K5" s="19">
        <v>61.2</v>
      </c>
      <c r="L5" s="19">
        <v>161</v>
      </c>
      <c r="M5" s="19">
        <v>1805.5</v>
      </c>
      <c r="N5" s="19">
        <v>593.4</v>
      </c>
      <c r="O5" s="19">
        <v>1212.0999999999999</v>
      </c>
      <c r="P5" s="20">
        <v>90</v>
      </c>
      <c r="Q5" s="21">
        <v>602.29999999999995</v>
      </c>
      <c r="R5" s="19">
        <v>303</v>
      </c>
      <c r="S5" s="19">
        <v>233.4</v>
      </c>
      <c r="T5" s="19">
        <v>959.5</v>
      </c>
      <c r="U5" s="19">
        <v>6</v>
      </c>
      <c r="V5" s="19">
        <v>7.7</v>
      </c>
      <c r="W5" s="15">
        <v>7.2</v>
      </c>
      <c r="X5" s="20">
        <v>3.2</v>
      </c>
      <c r="Y5" s="19">
        <v>5</v>
      </c>
      <c r="Z5" s="19">
        <v>3.8</v>
      </c>
      <c r="AA5" s="19">
        <v>6.3</v>
      </c>
      <c r="AB5" s="19">
        <v>59.6</v>
      </c>
      <c r="AC5" s="19">
        <v>65.5</v>
      </c>
      <c r="AD5" s="20">
        <v>48.7</v>
      </c>
      <c r="AE5" s="15">
        <v>69.8</v>
      </c>
      <c r="AF5" s="19">
        <v>48.8</v>
      </c>
      <c r="AG5" s="19">
        <v>63.45</v>
      </c>
      <c r="AH5" s="19">
        <v>0</v>
      </c>
      <c r="AI5" s="19">
        <v>5</v>
      </c>
      <c r="AJ5" s="19">
        <v>28</v>
      </c>
      <c r="AK5" s="19">
        <v>28</v>
      </c>
      <c r="AL5" s="19">
        <v>0</v>
      </c>
    </row>
    <row r="6" spans="1:38" s="1" customFormat="1" x14ac:dyDescent="0.25">
      <c r="A6" s="23">
        <v>7</v>
      </c>
      <c r="B6" s="24">
        <v>43685</v>
      </c>
      <c r="C6" s="24" t="s">
        <v>53</v>
      </c>
      <c r="D6" s="25" t="s">
        <v>47</v>
      </c>
      <c r="E6" s="1">
        <v>300</v>
      </c>
      <c r="F6" s="1">
        <v>56.4</v>
      </c>
      <c r="G6" s="1">
        <v>266.7</v>
      </c>
      <c r="H6" s="20">
        <v>17.399999999999999</v>
      </c>
      <c r="I6" s="21">
        <v>130.4</v>
      </c>
      <c r="J6" s="1">
        <v>66.7</v>
      </c>
      <c r="K6" s="19">
        <v>40.6</v>
      </c>
      <c r="L6" s="19">
        <v>226.1</v>
      </c>
      <c r="M6" s="19">
        <v>1371.9</v>
      </c>
      <c r="N6" s="19">
        <v>205.3</v>
      </c>
      <c r="O6" s="19">
        <v>1076.7</v>
      </c>
      <c r="P6" s="20">
        <v>38.1</v>
      </c>
      <c r="Q6" s="21">
        <v>493.4</v>
      </c>
      <c r="R6" s="19">
        <v>269.2</v>
      </c>
      <c r="S6" s="19">
        <v>91.5</v>
      </c>
      <c r="T6" s="19">
        <v>985.2</v>
      </c>
      <c r="U6" s="19">
        <v>4.2</v>
      </c>
      <c r="V6" s="19">
        <v>3.6</v>
      </c>
      <c r="W6" s="15">
        <v>5.0999999999999996</v>
      </c>
      <c r="X6" s="20">
        <v>2.2000000000000002</v>
      </c>
      <c r="Y6" s="19">
        <v>3.35</v>
      </c>
      <c r="Z6" s="19">
        <v>2.2999999999999998</v>
      </c>
      <c r="AA6" s="19">
        <v>4.5</v>
      </c>
      <c r="AB6" s="19">
        <v>50.9</v>
      </c>
      <c r="AC6" s="19">
        <v>53.9</v>
      </c>
      <c r="AD6" s="20">
        <v>45.2</v>
      </c>
      <c r="AE6" s="15">
        <v>52.9</v>
      </c>
      <c r="AF6" s="19">
        <v>45.2</v>
      </c>
      <c r="AG6" s="19">
        <v>51.4</v>
      </c>
      <c r="AH6" s="19">
        <v>5</v>
      </c>
      <c r="AI6" s="19">
        <v>5</v>
      </c>
      <c r="AJ6" s="19">
        <v>24</v>
      </c>
      <c r="AK6" s="19">
        <v>24</v>
      </c>
      <c r="AL6" s="19">
        <v>0</v>
      </c>
    </row>
    <row r="7" spans="1:38" s="1" customFormat="1" x14ac:dyDescent="0.25">
      <c r="B7" s="4">
        <v>43747</v>
      </c>
      <c r="C7" s="1" t="s">
        <v>54</v>
      </c>
      <c r="D7" s="1" t="s">
        <v>47</v>
      </c>
      <c r="E7" s="1">
        <v>300</v>
      </c>
      <c r="F7" s="1">
        <v>43.2</v>
      </c>
      <c r="G7" s="1">
        <v>256.8</v>
      </c>
      <c r="H7" s="1">
        <v>15.9</v>
      </c>
      <c r="I7" s="1">
        <v>125.5</v>
      </c>
      <c r="J7" s="1">
        <v>64.2</v>
      </c>
      <c r="K7" s="1">
        <v>46.7</v>
      </c>
      <c r="L7" s="1">
        <v>229.5</v>
      </c>
      <c r="M7" s="1">
        <v>1570.6</v>
      </c>
      <c r="N7" s="1">
        <v>248.4</v>
      </c>
      <c r="O7" s="1">
        <v>1322.1</v>
      </c>
      <c r="P7" s="1">
        <v>45.1</v>
      </c>
      <c r="Q7" s="1">
        <v>610.1</v>
      </c>
      <c r="R7" s="1">
        <v>330.5</v>
      </c>
      <c r="S7" s="1">
        <v>144.6</v>
      </c>
      <c r="T7" s="1">
        <v>1177.5</v>
      </c>
      <c r="U7" s="1">
        <v>4.9000000000000004</v>
      </c>
      <c r="V7" s="1">
        <v>5.7</v>
      </c>
      <c r="W7" s="1">
        <v>5.9</v>
      </c>
      <c r="X7" s="1">
        <v>2.8</v>
      </c>
      <c r="Y7" s="1">
        <v>4.0999999999999996</v>
      </c>
      <c r="Z7" s="1">
        <v>3</v>
      </c>
      <c r="AA7" s="1">
        <v>5.2</v>
      </c>
      <c r="AB7" s="1">
        <v>48.2</v>
      </c>
      <c r="AC7" s="1">
        <v>59.8</v>
      </c>
      <c r="AD7" s="1">
        <v>41.9</v>
      </c>
      <c r="AE7" s="1">
        <v>49.5</v>
      </c>
      <c r="AF7" s="1">
        <v>44.7</v>
      </c>
      <c r="AG7" s="1">
        <v>46.8</v>
      </c>
    </row>
    <row r="8" spans="1:38" s="1" customFormat="1" x14ac:dyDescent="0.25">
      <c r="B8" s="4">
        <v>43747</v>
      </c>
      <c r="C8" s="1" t="s">
        <v>54</v>
      </c>
      <c r="D8" s="1" t="s">
        <v>47</v>
      </c>
      <c r="E8" s="1">
        <v>300</v>
      </c>
      <c r="F8" s="1">
        <v>49.2</v>
      </c>
      <c r="G8" s="1">
        <v>258.60000000000002</v>
      </c>
      <c r="H8" s="1">
        <v>18</v>
      </c>
      <c r="I8" s="1">
        <v>135.19999999999999</v>
      </c>
      <c r="J8" s="1">
        <v>64.7</v>
      </c>
      <c r="K8" s="1">
        <v>39.200000000000003</v>
      </c>
      <c r="L8" s="1">
        <v>219.4</v>
      </c>
      <c r="M8" s="1">
        <v>1543.3</v>
      </c>
      <c r="N8" s="1">
        <v>272.60000000000002</v>
      </c>
      <c r="O8" s="1">
        <v>1270.9000000000001</v>
      </c>
      <c r="P8" s="1">
        <v>66.5</v>
      </c>
      <c r="Q8" s="1">
        <v>687.5</v>
      </c>
      <c r="R8" s="1">
        <v>371.7</v>
      </c>
      <c r="S8" s="1">
        <v>139.5</v>
      </c>
      <c r="T8" s="1">
        <v>1131.4000000000001</v>
      </c>
      <c r="U8" s="1">
        <v>5</v>
      </c>
      <c r="V8" s="1">
        <v>5.5</v>
      </c>
      <c r="W8" s="1">
        <v>5.3</v>
      </c>
      <c r="X8" s="1">
        <v>3.1</v>
      </c>
      <c r="Y8" s="1">
        <v>4.4000000000000004</v>
      </c>
      <c r="Z8" s="1">
        <v>3.6</v>
      </c>
      <c r="AA8" s="1">
        <v>5.2</v>
      </c>
      <c r="AB8" s="1">
        <v>48.9</v>
      </c>
      <c r="AC8" s="1">
        <v>56.8</v>
      </c>
      <c r="AD8" s="1">
        <v>46.8</v>
      </c>
      <c r="AE8" s="1">
        <v>52.5</v>
      </c>
      <c r="AF8" s="1">
        <v>49.7</v>
      </c>
      <c r="AG8" s="1">
        <v>47.1</v>
      </c>
    </row>
    <row r="9" spans="1:38" s="1" customFormat="1" x14ac:dyDescent="0.25">
      <c r="B9" s="4">
        <v>43747</v>
      </c>
      <c r="C9" s="1" t="s">
        <v>54</v>
      </c>
      <c r="D9" s="1" t="s">
        <v>47</v>
      </c>
      <c r="E9" s="1">
        <v>300</v>
      </c>
      <c r="F9" s="1">
        <v>47.5</v>
      </c>
      <c r="G9" s="1">
        <v>252.5</v>
      </c>
      <c r="H9" s="1">
        <v>11.7</v>
      </c>
      <c r="I9" s="1">
        <v>143.4</v>
      </c>
      <c r="J9" s="1">
        <v>70.099999999999994</v>
      </c>
      <c r="K9" s="1">
        <v>33.5</v>
      </c>
      <c r="L9" s="1">
        <v>226.8</v>
      </c>
      <c r="M9" s="1">
        <v>1358.1</v>
      </c>
      <c r="N9" s="1">
        <v>227.7</v>
      </c>
      <c r="O9" s="1">
        <v>1130.4000000000001</v>
      </c>
      <c r="P9" s="1">
        <v>29.8</v>
      </c>
      <c r="Q9" s="1">
        <v>589.6</v>
      </c>
      <c r="R9" s="1">
        <v>282.60000000000002</v>
      </c>
      <c r="S9" s="1">
        <v>96</v>
      </c>
      <c r="T9" s="1">
        <v>1034.4000000000001</v>
      </c>
      <c r="U9" s="1">
        <v>4.0999999999999996</v>
      </c>
      <c r="V9" s="1">
        <v>4.8</v>
      </c>
      <c r="W9" s="1">
        <v>5.7</v>
      </c>
      <c r="X9" s="1">
        <v>2.5</v>
      </c>
      <c r="Y9" s="1">
        <v>3.6</v>
      </c>
      <c r="Z9" s="1">
        <v>2.6</v>
      </c>
      <c r="AA9" s="1">
        <v>4.4000000000000004</v>
      </c>
      <c r="AB9" s="1">
        <v>45.8</v>
      </c>
      <c r="AC9" s="1">
        <v>53.6</v>
      </c>
      <c r="AD9" s="1">
        <v>36.1</v>
      </c>
      <c r="AE9" s="1">
        <v>55.5</v>
      </c>
      <c r="AF9" s="1">
        <v>45.8</v>
      </c>
      <c r="AG9" s="1">
        <v>45.8</v>
      </c>
    </row>
    <row r="10" spans="1:38" s="1" customFormat="1" x14ac:dyDescent="0.25">
      <c r="B10" s="4">
        <v>43747</v>
      </c>
      <c r="C10" s="1" t="s">
        <v>54</v>
      </c>
      <c r="D10" s="1" t="s">
        <v>47</v>
      </c>
      <c r="E10" s="1">
        <v>300</v>
      </c>
      <c r="F10" s="1">
        <v>56.7</v>
      </c>
      <c r="G10" s="1">
        <v>243.3</v>
      </c>
      <c r="H10" s="1">
        <v>12.4</v>
      </c>
      <c r="I10" s="1">
        <v>161.4</v>
      </c>
      <c r="J10" s="1">
        <v>60.1</v>
      </c>
      <c r="K10" s="1">
        <v>54.3</v>
      </c>
      <c r="L10" s="1">
        <v>198.9</v>
      </c>
      <c r="M10" s="1">
        <v>836.9</v>
      </c>
      <c r="N10" s="1">
        <v>189.8</v>
      </c>
      <c r="O10" s="1">
        <v>647.20000000000005</v>
      </c>
      <c r="P10" s="1">
        <v>38.299999999999997</v>
      </c>
      <c r="Q10" s="1">
        <v>291</v>
      </c>
      <c r="R10" s="1">
        <v>161.80000000000001</v>
      </c>
      <c r="S10" s="1">
        <v>176.8</v>
      </c>
      <c r="T10" s="1">
        <v>470.4</v>
      </c>
      <c r="U10" s="1">
        <v>2.7</v>
      </c>
      <c r="V10" s="1">
        <v>3.3</v>
      </c>
      <c r="W10" s="1">
        <v>4.8</v>
      </c>
      <c r="X10" s="1">
        <v>1.8</v>
      </c>
      <c r="Y10" s="1">
        <v>3.3</v>
      </c>
      <c r="Z10" s="1">
        <v>3.2</v>
      </c>
      <c r="AA10" s="1">
        <v>3.3</v>
      </c>
      <c r="AB10" s="1">
        <v>35.9</v>
      </c>
      <c r="AC10" s="1">
        <v>48.5</v>
      </c>
      <c r="AD10" s="1">
        <v>23.8</v>
      </c>
      <c r="AE10" s="1">
        <v>55.8</v>
      </c>
      <c r="AF10" s="1">
        <v>44.9</v>
      </c>
      <c r="AG10" s="1">
        <v>39.799999999999997</v>
      </c>
    </row>
  </sheetData>
  <mergeCells count="5">
    <mergeCell ref="E1:L1"/>
    <mergeCell ref="M1:T1"/>
    <mergeCell ref="U1:AA1"/>
    <mergeCell ref="AC1:AG1"/>
    <mergeCell ref="AJ1:A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Диаграммы</vt:lpstr>
      </vt:variant>
      <vt:variant>
        <vt:i4>1</vt:i4>
      </vt:variant>
    </vt:vector>
  </HeadingPairs>
  <TitlesOfParts>
    <vt:vector size="6" baseType="lpstr">
      <vt:lpstr>2019</vt:lpstr>
      <vt:lpstr>atomoxetine</vt:lpstr>
      <vt:lpstr>puree</vt:lpstr>
      <vt:lpstr>stress</vt:lpstr>
      <vt:lpstr>control</vt:lpstr>
      <vt:lpstr>Диаграмма1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2019-08-07T10:48:20Z</dcterms:created>
  <dcterms:modified xsi:type="dcterms:W3CDTF">2021-03-30T16:11:27Z</dcterms:modified>
</cp:coreProperties>
</file>