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7400" windowHeight="10065" activeTab="2"/>
  </bookViews>
  <sheets>
    <sheet name="2019" sheetId="1" r:id="rId1"/>
    <sheet name="Results" sheetId="2" r:id="rId2"/>
    <sheet name="atomoxetin" sheetId="3" r:id="rId3"/>
    <sheet name="puree" sheetId="4" r:id="rId4"/>
    <sheet name="stress" sheetId="5" r:id="rId5"/>
    <sheet name="control" sheetId="6" r:id="rId6"/>
  </sheets>
  <calcPr calcId="145621"/>
</workbook>
</file>

<file path=xl/calcChain.xml><?xml version="1.0" encoding="utf-8"?>
<calcChain xmlns="http://schemas.openxmlformats.org/spreadsheetml/2006/main">
  <c r="E34" i="4" l="1"/>
  <c r="E30" i="4"/>
  <c r="M32" i="4"/>
  <c r="F32" i="4"/>
  <c r="G32" i="4"/>
  <c r="H32" i="4"/>
  <c r="I32" i="4"/>
  <c r="J32" i="4"/>
  <c r="K32" i="4"/>
  <c r="L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2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26" i="4"/>
  <c r="E23" i="4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E24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E23" i="6"/>
  <c r="E31" i="1"/>
  <c r="E37" i="1"/>
  <c r="H27" i="4"/>
  <c r="J27" i="4"/>
  <c r="K27" i="4"/>
  <c r="L27" i="4"/>
  <c r="N27" i="4"/>
  <c r="O27" i="4"/>
  <c r="Q27" i="4"/>
  <c r="R27" i="4"/>
  <c r="S27" i="4"/>
  <c r="T27" i="4"/>
  <c r="U27" i="4"/>
  <c r="W27" i="4"/>
  <c r="X27" i="4"/>
  <c r="Y27" i="4"/>
  <c r="Z27" i="4"/>
  <c r="AA27" i="4"/>
  <c r="AB27" i="4"/>
  <c r="E27" i="4"/>
  <c r="H26" i="4"/>
  <c r="J26" i="4"/>
  <c r="K26" i="4"/>
  <c r="L26" i="4"/>
  <c r="N26" i="4"/>
  <c r="O26" i="4"/>
  <c r="Q26" i="4"/>
  <c r="R26" i="4"/>
  <c r="S26" i="4"/>
  <c r="T26" i="4"/>
  <c r="U26" i="4"/>
  <c r="W26" i="4"/>
  <c r="X26" i="4"/>
  <c r="Y26" i="4"/>
  <c r="Z26" i="4"/>
  <c r="AA26" i="4"/>
  <c r="AB26" i="4"/>
  <c r="G23" i="4"/>
  <c r="H23" i="4"/>
  <c r="J23" i="4"/>
  <c r="K23" i="4"/>
  <c r="L23" i="4"/>
  <c r="N23" i="4"/>
  <c r="O23" i="4"/>
  <c r="Q23" i="4"/>
  <c r="R23" i="4"/>
  <c r="S23" i="4"/>
  <c r="T23" i="4"/>
  <c r="U23" i="4"/>
  <c r="W23" i="4"/>
  <c r="X23" i="4"/>
  <c r="Y23" i="4"/>
  <c r="Z23" i="4"/>
  <c r="AA23" i="4"/>
  <c r="AB23" i="4"/>
  <c r="G24" i="4"/>
  <c r="H24" i="4"/>
  <c r="J24" i="4"/>
  <c r="K24" i="4"/>
  <c r="L24" i="4"/>
  <c r="N24" i="4"/>
  <c r="O24" i="4"/>
  <c r="Q24" i="4"/>
  <c r="R24" i="4"/>
  <c r="S24" i="4"/>
  <c r="T24" i="4"/>
  <c r="U24" i="4"/>
  <c r="W24" i="4"/>
  <c r="X24" i="4"/>
  <c r="Y24" i="4"/>
  <c r="Z24" i="4"/>
  <c r="AA24" i="4"/>
  <c r="AB24" i="4"/>
  <c r="E24" i="4"/>
  <c r="V21" i="4"/>
  <c r="P21" i="4"/>
  <c r="M21" i="4"/>
  <c r="I21" i="4"/>
  <c r="G21" i="4"/>
  <c r="F21" i="4"/>
  <c r="V20" i="4"/>
  <c r="P20" i="4"/>
  <c r="M20" i="4"/>
  <c r="I20" i="4"/>
  <c r="F20" i="4"/>
  <c r="V19" i="4"/>
  <c r="P19" i="4"/>
  <c r="M19" i="4"/>
  <c r="I19" i="4"/>
  <c r="F19" i="4"/>
  <c r="G26" i="4" l="1"/>
  <c r="G27" i="4"/>
  <c r="V9" i="4" l="1"/>
  <c r="P9" i="4"/>
  <c r="M9" i="4"/>
  <c r="I9" i="4"/>
  <c r="F9" i="4"/>
  <c r="V8" i="4"/>
  <c r="P8" i="4"/>
  <c r="M8" i="4"/>
  <c r="I8" i="4"/>
  <c r="F8" i="4"/>
  <c r="V7" i="4"/>
  <c r="P7" i="4"/>
  <c r="M7" i="4"/>
  <c r="I7" i="4"/>
  <c r="F7" i="4"/>
  <c r="V29" i="5"/>
  <c r="P29" i="5"/>
  <c r="M29" i="5"/>
  <c r="I29" i="5"/>
  <c r="F29" i="5"/>
  <c r="E30" i="5"/>
  <c r="E15" i="5"/>
  <c r="F23" i="4" l="1"/>
  <c r="F24" i="4"/>
  <c r="I23" i="4"/>
  <c r="I24" i="4"/>
  <c r="P24" i="4"/>
  <c r="P23" i="4"/>
  <c r="M23" i="4"/>
  <c r="M24" i="4"/>
  <c r="V23" i="4"/>
  <c r="V24" i="4"/>
  <c r="V14" i="5"/>
  <c r="P14" i="5"/>
  <c r="M14" i="5"/>
  <c r="I14" i="5"/>
  <c r="F14" i="5"/>
  <c r="V13" i="5"/>
  <c r="P13" i="5"/>
  <c r="M13" i="5"/>
  <c r="I13" i="5"/>
  <c r="F13" i="5"/>
  <c r="V16" i="4" l="1"/>
  <c r="M16" i="4"/>
  <c r="P16" i="4" s="1"/>
  <c r="F16" i="4"/>
  <c r="I16" i="4" s="1"/>
  <c r="V15" i="4"/>
  <c r="M15" i="4"/>
  <c r="F15" i="4"/>
  <c r="M18" i="4"/>
  <c r="P18" i="4" s="1"/>
  <c r="F18" i="4"/>
  <c r="I18" i="4" s="1"/>
  <c r="V17" i="4"/>
  <c r="M17" i="4"/>
  <c r="P17" i="4" s="1"/>
  <c r="F17" i="4"/>
  <c r="I17" i="4" s="1"/>
  <c r="I15" i="4" l="1"/>
  <c r="F27" i="4"/>
  <c r="F26" i="4"/>
  <c r="V27" i="4"/>
  <c r="V26" i="4"/>
  <c r="P15" i="4"/>
  <c r="M26" i="4"/>
  <c r="M27" i="4"/>
  <c r="K39" i="1"/>
  <c r="H39" i="1"/>
  <c r="E39" i="1"/>
  <c r="E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G35" i="1"/>
  <c r="F35" i="1"/>
  <c r="F39" i="1"/>
  <c r="G39" i="1"/>
  <c r="I39" i="1"/>
  <c r="J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P37" i="1"/>
  <c r="AB29" i="1"/>
  <c r="AB28" i="1"/>
  <c r="AA29" i="1"/>
  <c r="AA28" i="1"/>
  <c r="Z29" i="1"/>
  <c r="Z28" i="1"/>
  <c r="Y29" i="1"/>
  <c r="Y28" i="1"/>
  <c r="X29" i="1"/>
  <c r="X28" i="1"/>
  <c r="W29" i="1"/>
  <c r="W28" i="1"/>
  <c r="V29" i="1"/>
  <c r="V28" i="1"/>
  <c r="U29" i="1"/>
  <c r="U28" i="1"/>
  <c r="T29" i="1"/>
  <c r="T28" i="1"/>
  <c r="S29" i="1"/>
  <c r="S28" i="1"/>
  <c r="R29" i="1"/>
  <c r="R28" i="1"/>
  <c r="Q28" i="1"/>
  <c r="Q29" i="1"/>
  <c r="P29" i="1"/>
  <c r="P28" i="1"/>
  <c r="O29" i="1"/>
  <c r="O28" i="1"/>
  <c r="N29" i="1"/>
  <c r="N28" i="1"/>
  <c r="M29" i="1"/>
  <c r="M28" i="1"/>
  <c r="L29" i="1"/>
  <c r="L28" i="1"/>
  <c r="K29" i="1"/>
  <c r="K28" i="1"/>
  <c r="J29" i="1"/>
  <c r="J28" i="1"/>
  <c r="I29" i="1"/>
  <c r="I28" i="1"/>
  <c r="H29" i="1"/>
  <c r="H28" i="1"/>
  <c r="F29" i="1"/>
  <c r="F28" i="1"/>
  <c r="G29" i="1"/>
  <c r="G28" i="1"/>
  <c r="D28" i="1"/>
  <c r="D29" i="1"/>
  <c r="E29" i="1"/>
  <c r="G31" i="1"/>
  <c r="H31" i="1"/>
  <c r="H26" i="1"/>
  <c r="I26" i="1"/>
  <c r="F26" i="1"/>
  <c r="H25" i="1"/>
  <c r="F25" i="1"/>
  <c r="E26" i="1"/>
  <c r="E28" i="1"/>
  <c r="E25" i="1"/>
  <c r="G25" i="1"/>
  <c r="P27" i="4" l="1"/>
  <c r="P26" i="4"/>
  <c r="I27" i="4"/>
  <c r="I26" i="4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H17" i="2"/>
  <c r="J37" i="1"/>
  <c r="H15" i="2" s="1"/>
  <c r="K37" i="1"/>
  <c r="I15" i="2" s="1"/>
  <c r="L37" i="1"/>
  <c r="J15" i="2" s="1"/>
  <c r="M37" i="1"/>
  <c r="K15" i="2" s="1"/>
  <c r="N37" i="1"/>
  <c r="L15" i="2" s="1"/>
  <c r="O37" i="1"/>
  <c r="M15" i="2" s="1"/>
  <c r="N15" i="2"/>
  <c r="Q37" i="1"/>
  <c r="O15" i="2" s="1"/>
  <c r="R37" i="1"/>
  <c r="P15" i="2" s="1"/>
  <c r="S37" i="1"/>
  <c r="Q15" i="2" s="1"/>
  <c r="T37" i="1"/>
  <c r="R15" i="2" s="1"/>
  <c r="U37" i="1"/>
  <c r="S15" i="2" s="1"/>
  <c r="V37" i="1"/>
  <c r="T15" i="2" s="1"/>
  <c r="W37" i="1"/>
  <c r="U15" i="2" s="1"/>
  <c r="X37" i="1"/>
  <c r="V15" i="2" s="1"/>
  <c r="Y37" i="1"/>
  <c r="W15" i="2" s="1"/>
  <c r="Z37" i="1"/>
  <c r="X15" i="2" s="1"/>
  <c r="AA37" i="1"/>
  <c r="Y15" i="2" s="1"/>
  <c r="AB37" i="1"/>
  <c r="Z15" i="2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K31" i="1"/>
  <c r="I10" i="2" s="1"/>
  <c r="L31" i="1"/>
  <c r="J10" i="2" s="1"/>
  <c r="M31" i="1"/>
  <c r="K10" i="2" s="1"/>
  <c r="N31" i="1"/>
  <c r="L10" i="2" s="1"/>
  <c r="O31" i="1"/>
  <c r="M10" i="2" s="1"/>
  <c r="P31" i="1"/>
  <c r="N10" i="2" s="1"/>
  <c r="Q31" i="1"/>
  <c r="O10" i="2" s="1"/>
  <c r="R31" i="1"/>
  <c r="P10" i="2" s="1"/>
  <c r="S31" i="1"/>
  <c r="Q10" i="2" s="1"/>
  <c r="T31" i="1"/>
  <c r="R10" i="2" s="1"/>
  <c r="U31" i="1"/>
  <c r="S10" i="2" s="1"/>
  <c r="V31" i="1"/>
  <c r="T10" i="2" s="1"/>
  <c r="W31" i="1"/>
  <c r="U10" i="2" s="1"/>
  <c r="X31" i="1"/>
  <c r="V10" i="2" s="1"/>
  <c r="Y31" i="1"/>
  <c r="W10" i="2" s="1"/>
  <c r="Z31" i="1"/>
  <c r="X10" i="2" s="1"/>
  <c r="AA31" i="1"/>
  <c r="Y10" i="2" s="1"/>
  <c r="AB31" i="1"/>
  <c r="Z10" i="2" s="1"/>
  <c r="K32" i="1"/>
  <c r="I11" i="2" s="1"/>
  <c r="L32" i="1"/>
  <c r="J11" i="2" s="1"/>
  <c r="M32" i="1"/>
  <c r="K11" i="2" s="1"/>
  <c r="N32" i="1"/>
  <c r="L11" i="2" s="1"/>
  <c r="O32" i="1"/>
  <c r="M11" i="2" s="1"/>
  <c r="P32" i="1"/>
  <c r="N11" i="2" s="1"/>
  <c r="Q32" i="1"/>
  <c r="O11" i="2" s="1"/>
  <c r="R32" i="1"/>
  <c r="P11" i="2" s="1"/>
  <c r="S32" i="1"/>
  <c r="Q11" i="2" s="1"/>
  <c r="T32" i="1"/>
  <c r="R11" i="2" s="1"/>
  <c r="U32" i="1"/>
  <c r="S11" i="2" s="1"/>
  <c r="V32" i="1"/>
  <c r="T11" i="2" s="1"/>
  <c r="W32" i="1"/>
  <c r="U11" i="2" s="1"/>
  <c r="X32" i="1"/>
  <c r="V11" i="2" s="1"/>
  <c r="Y32" i="1"/>
  <c r="W11" i="2" s="1"/>
  <c r="Z32" i="1"/>
  <c r="X11" i="2" s="1"/>
  <c r="AA32" i="1"/>
  <c r="Y11" i="2" s="1"/>
  <c r="AB32" i="1"/>
  <c r="Z11" i="2" s="1"/>
  <c r="H13" i="2"/>
  <c r="J32" i="1"/>
  <c r="H11" i="2" s="1"/>
  <c r="J31" i="1"/>
  <c r="H10" i="2" s="1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H8" i="2"/>
  <c r="H7" i="2"/>
  <c r="K25" i="1"/>
  <c r="I4" i="2" s="1"/>
  <c r="L25" i="1"/>
  <c r="J4" i="2" s="1"/>
  <c r="M25" i="1"/>
  <c r="K4" i="2" s="1"/>
  <c r="N25" i="1"/>
  <c r="L4" i="2" s="1"/>
  <c r="O25" i="1"/>
  <c r="M4" i="2" s="1"/>
  <c r="P25" i="1"/>
  <c r="N4" i="2" s="1"/>
  <c r="Q25" i="1"/>
  <c r="O4" i="2" s="1"/>
  <c r="R25" i="1"/>
  <c r="P4" i="2" s="1"/>
  <c r="S25" i="1"/>
  <c r="Q4" i="2" s="1"/>
  <c r="T25" i="1"/>
  <c r="R4" i="2" s="1"/>
  <c r="U25" i="1"/>
  <c r="S4" i="2" s="1"/>
  <c r="V25" i="1"/>
  <c r="T4" i="2" s="1"/>
  <c r="W25" i="1"/>
  <c r="U4" i="2" s="1"/>
  <c r="X25" i="1"/>
  <c r="V4" i="2" s="1"/>
  <c r="Y25" i="1"/>
  <c r="W4" i="2" s="1"/>
  <c r="Z25" i="1"/>
  <c r="X4" i="2" s="1"/>
  <c r="AA25" i="1"/>
  <c r="Y4" i="2" s="1"/>
  <c r="AB25" i="1"/>
  <c r="Z4" i="2" s="1"/>
  <c r="K26" i="1"/>
  <c r="I5" i="2" s="1"/>
  <c r="L26" i="1"/>
  <c r="J5" i="2" s="1"/>
  <c r="M26" i="1"/>
  <c r="K5" i="2" s="1"/>
  <c r="N26" i="1"/>
  <c r="L5" i="2" s="1"/>
  <c r="O26" i="1"/>
  <c r="M5" i="2" s="1"/>
  <c r="P26" i="1"/>
  <c r="N5" i="2" s="1"/>
  <c r="Q26" i="1"/>
  <c r="O5" i="2" s="1"/>
  <c r="R26" i="1"/>
  <c r="P5" i="2" s="1"/>
  <c r="S26" i="1"/>
  <c r="Q5" i="2" s="1"/>
  <c r="T26" i="1"/>
  <c r="R5" i="2" s="1"/>
  <c r="U26" i="1"/>
  <c r="S5" i="2" s="1"/>
  <c r="V26" i="1"/>
  <c r="T5" i="2" s="1"/>
  <c r="W26" i="1"/>
  <c r="U5" i="2" s="1"/>
  <c r="X26" i="1"/>
  <c r="V5" i="2" s="1"/>
  <c r="Y26" i="1"/>
  <c r="W5" i="2" s="1"/>
  <c r="Z26" i="1"/>
  <c r="X5" i="2" s="1"/>
  <c r="AA26" i="1"/>
  <c r="Y5" i="2" s="1"/>
  <c r="AB26" i="1"/>
  <c r="Z5" i="2" s="1"/>
  <c r="J26" i="1"/>
  <c r="H5" i="2" s="1"/>
  <c r="J25" i="1"/>
  <c r="H4" i="2" s="1"/>
  <c r="I37" i="1" l="1"/>
  <c r="I32" i="1"/>
  <c r="I31" i="1"/>
  <c r="I25" i="1"/>
  <c r="H37" i="1"/>
  <c r="H32" i="1"/>
  <c r="G37" i="1"/>
  <c r="G32" i="1"/>
  <c r="G26" i="1"/>
  <c r="F37" i="1" l="1"/>
  <c r="F32" i="1"/>
  <c r="F31" i="1"/>
  <c r="D26" i="1"/>
  <c r="D25" i="1"/>
  <c r="E32" i="1" l="1"/>
</calcChain>
</file>

<file path=xl/sharedStrings.xml><?xml version="1.0" encoding="utf-8"?>
<sst xmlns="http://schemas.openxmlformats.org/spreadsheetml/2006/main" count="462" uniqueCount="80">
  <si>
    <t>experiment duration, sec</t>
  </si>
  <si>
    <t>center time, sec</t>
  </si>
  <si>
    <t>sum corner time, sec</t>
  </si>
  <si>
    <t>min one corner time, sec</t>
  </si>
  <si>
    <t>max one corner time, sec</t>
  </si>
  <si>
    <t>average corner time, sec</t>
  </si>
  <si>
    <t>wall time, sec</t>
  </si>
  <si>
    <t>TIME</t>
  </si>
  <si>
    <t>PATH LENGTH</t>
  </si>
  <si>
    <t>VELOCITY</t>
  </si>
  <si>
    <t>ACTIVITY</t>
  </si>
  <si>
    <t>N_animal</t>
  </si>
  <si>
    <t>date of experiment</t>
  </si>
  <si>
    <t>group</t>
  </si>
  <si>
    <t>overall track length</t>
  </si>
  <si>
    <t>center path, sm</t>
  </si>
  <si>
    <t>sum corner path, sm</t>
  </si>
  <si>
    <t>min one corner path, sm</t>
  </si>
  <si>
    <t>max one corner path, sm</t>
  </si>
  <si>
    <t>average corner path, sm</t>
  </si>
  <si>
    <t>wall path, sm</t>
  </si>
  <si>
    <t>overall velocity, cm/s</t>
  </si>
  <si>
    <t>center velocity, cm/s</t>
  </si>
  <si>
    <t>max corner velocity, cm/s</t>
  </si>
  <si>
    <t>min corner velocity, cm/s</t>
  </si>
  <si>
    <t>average corner velocity, cm/s</t>
  </si>
  <si>
    <t>wall velocity, cm/s</t>
  </si>
  <si>
    <t>overall activity, %</t>
  </si>
  <si>
    <t>center activity, %</t>
  </si>
  <si>
    <t>min one corner activity, %</t>
  </si>
  <si>
    <t>max one corner activity, %</t>
  </si>
  <si>
    <t>wall activity,%</t>
  </si>
  <si>
    <t>fecal boli count</t>
  </si>
  <si>
    <t xml:space="preserve">center </t>
  </si>
  <si>
    <t xml:space="preserve">sum corner </t>
  </si>
  <si>
    <t xml:space="preserve">min one corner </t>
  </si>
  <si>
    <t xml:space="preserve">max one corner </t>
  </si>
  <si>
    <t xml:space="preserve">average corner </t>
  </si>
  <si>
    <t xml:space="preserve">wall </t>
  </si>
  <si>
    <t>Headctretches</t>
  </si>
  <si>
    <t>overall sum</t>
  </si>
  <si>
    <t>pre-stress</t>
  </si>
  <si>
    <t>post-stress</t>
  </si>
  <si>
    <t>control</t>
  </si>
  <si>
    <t>mean pre</t>
  </si>
  <si>
    <t>SD</t>
  </si>
  <si>
    <t>mean post</t>
  </si>
  <si>
    <t>StudT pre vs stress</t>
  </si>
  <si>
    <t xml:space="preserve">mean control </t>
  </si>
  <si>
    <t>StudT pre vs control</t>
  </si>
  <si>
    <t>StudT stress vs control</t>
  </si>
  <si>
    <t>center time</t>
  </si>
  <si>
    <t>sum corner time</t>
  </si>
  <si>
    <t>min one corner time</t>
  </si>
  <si>
    <t>average corner time</t>
  </si>
  <si>
    <t>max one corner time</t>
  </si>
  <si>
    <t>wall time</t>
  </si>
  <si>
    <t>12 fm</t>
  </si>
  <si>
    <t>13 fm</t>
  </si>
  <si>
    <t>14 m</t>
  </si>
  <si>
    <t>15 fm</t>
  </si>
  <si>
    <t>16 fm</t>
  </si>
  <si>
    <t>17 fm</t>
  </si>
  <si>
    <t>18 fm</t>
  </si>
  <si>
    <t>1 fm</t>
  </si>
  <si>
    <t>2 fm</t>
  </si>
  <si>
    <t>3 fm</t>
  </si>
  <si>
    <t xml:space="preserve">4 fm </t>
  </si>
  <si>
    <t>5 fm</t>
  </si>
  <si>
    <t xml:space="preserve">1 fm </t>
  </si>
  <si>
    <t>4 fm</t>
  </si>
  <si>
    <t>1 m</t>
  </si>
  <si>
    <t>2 m</t>
  </si>
  <si>
    <t xml:space="preserve">SD </t>
  </si>
  <si>
    <t>Stud test  pre vs post</t>
  </si>
  <si>
    <t>mean control</t>
  </si>
  <si>
    <t>SD control</t>
  </si>
  <si>
    <t>Stud test pre vs control</t>
  </si>
  <si>
    <t>Stud test post vs control</t>
  </si>
  <si>
    <t>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</si>
</sst>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000000"/>
    <numFmt numFmtId="166" formatCode="0.0000000000"/>
    <numFmt numFmtId="167" formatCode="0.00000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EEBF5"/>
        <bgColor indexed="64"/>
      </patternFill>
    </fill>
    <fill>
      <patternFill patternType="solid">
        <fgColor rgb="FFDDE8C6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CDE8EF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FDE8DB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ED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4" fontId="0" fillId="0" borderId="0" xfId="0" applyNumberFormat="1"/>
    <xf numFmtId="0" fontId="1" fillId="2" borderId="2" xfId="1" applyFill="1" applyBorder="1" applyAlignment="1">
      <alignment wrapText="1"/>
    </xf>
    <xf numFmtId="0" fontId="1" fillId="2" borderId="1" xfId="1" applyFill="1" applyBorder="1" applyAlignment="1">
      <alignment wrapText="1"/>
    </xf>
    <xf numFmtId="0" fontId="1" fillId="3" borderId="1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1" fillId="5" borderId="2" xfId="1" applyFill="1" applyBorder="1" applyAlignment="1"/>
    <xf numFmtId="0" fontId="1" fillId="5" borderId="1" xfId="1" applyFill="1" applyBorder="1" applyAlignment="1">
      <alignment wrapText="1"/>
    </xf>
    <xf numFmtId="0" fontId="1" fillId="5" borderId="2" xfId="1" applyFill="1" applyBorder="1" applyAlignment="1">
      <alignment wrapText="1"/>
    </xf>
    <xf numFmtId="0" fontId="1" fillId="6" borderId="1" xfId="1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1" fillId="0" borderId="1" xfId="1" applyBorder="1"/>
    <xf numFmtId="164" fontId="0" fillId="0" borderId="0" xfId="0" applyNumberFormat="1"/>
    <xf numFmtId="0" fontId="0" fillId="7" borderId="5" xfId="0" applyFill="1" applyBorder="1"/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0" fillId="8" borderId="8" xfId="0" applyFill="1" applyBorder="1"/>
    <xf numFmtId="14" fontId="0" fillId="8" borderId="8" xfId="0" applyNumberFormat="1" applyFill="1" applyBorder="1"/>
    <xf numFmtId="14" fontId="0" fillId="0" borderId="8" xfId="0" applyNumberFormat="1" applyBorder="1"/>
    <xf numFmtId="0" fontId="0" fillId="0" borderId="0" xfId="0" applyFill="1"/>
    <xf numFmtId="0" fontId="2" fillId="0" borderId="6" xfId="0" applyFont="1" applyFill="1" applyBorder="1"/>
    <xf numFmtId="14" fontId="0" fillId="0" borderId="7" xfId="0" applyNumberFormat="1" applyFill="1" applyBorder="1"/>
    <xf numFmtId="0" fontId="0" fillId="0" borderId="10" xfId="0" applyFill="1" applyBorder="1"/>
    <xf numFmtId="0" fontId="0" fillId="0" borderId="9" xfId="0" applyFill="1" applyBorder="1"/>
    <xf numFmtId="14" fontId="0" fillId="0" borderId="0" xfId="0" applyNumberFormat="1" applyFill="1"/>
    <xf numFmtId="0" fontId="2" fillId="0" borderId="0" xfId="0" applyFont="1" applyFill="1" applyBorder="1"/>
    <xf numFmtId="0" fontId="0" fillId="0" borderId="0" xfId="0" applyFill="1" applyBorder="1"/>
    <xf numFmtId="0" fontId="0" fillId="9" borderId="0" xfId="0" applyFill="1"/>
    <xf numFmtId="0" fontId="2" fillId="9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11" xfId="0" applyFill="1" applyBorder="1"/>
    <xf numFmtId="0" fontId="0" fillId="0" borderId="12" xfId="0" applyFill="1" applyBorder="1"/>
    <xf numFmtId="167" fontId="0" fillId="0" borderId="11" xfId="0" applyNumberFormat="1" applyFill="1" applyBorder="1"/>
    <xf numFmtId="0" fontId="1" fillId="5" borderId="2" xfId="1" applyFill="1" applyBorder="1" applyAlignment="1"/>
    <xf numFmtId="0" fontId="2" fillId="10" borderId="0" xfId="0" applyFont="1" applyFill="1" applyBorder="1"/>
    <xf numFmtId="14" fontId="0" fillId="10" borderId="0" xfId="0" applyNumberFormat="1" applyFill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/>
    <xf numFmtId="0" fontId="1" fillId="5" borderId="2" xfId="1" applyFill="1" applyBorder="1" applyAlignment="1"/>
    <xf numFmtId="0" fontId="1" fillId="5" borderId="2" xfId="1" applyFill="1" applyBorder="1" applyAlignment="1"/>
    <xf numFmtId="0" fontId="1" fillId="5" borderId="2" xfId="1" applyFill="1" applyBorder="1" applyAlignment="1"/>
    <xf numFmtId="0" fontId="2" fillId="0" borderId="0" xfId="0" applyFont="1" applyFill="1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1" borderId="0" xfId="0" applyFill="1" applyAlignment="1">
      <alignment wrapText="1"/>
    </xf>
    <xf numFmtId="0" fontId="0" fillId="14" borderId="13" xfId="0" applyFill="1" applyBorder="1"/>
    <xf numFmtId="0" fontId="3" fillId="14" borderId="13" xfId="0" applyFont="1" applyFill="1" applyBorder="1"/>
    <xf numFmtId="0" fontId="4" fillId="0" borderId="0" xfId="0" applyFont="1"/>
    <xf numFmtId="0" fontId="5" fillId="0" borderId="0" xfId="0" applyFont="1"/>
    <xf numFmtId="0" fontId="1" fillId="7" borderId="2" xfId="1" applyFill="1" applyBorder="1" applyAlignment="1"/>
    <xf numFmtId="0" fontId="1" fillId="7" borderId="3" xfId="1" applyFill="1" applyBorder="1" applyAlignment="1"/>
    <xf numFmtId="0" fontId="1" fillId="7" borderId="4" xfId="1" applyFill="1" applyBorder="1" applyAlignment="1"/>
    <xf numFmtId="165" fontId="0" fillId="0" borderId="0" xfId="0" applyNumberFormat="1" applyFill="1" applyAlignment="1">
      <alignment horizontal="center"/>
    </xf>
    <xf numFmtId="0" fontId="1" fillId="2" borderId="2" xfId="1" applyFill="1" applyBorder="1" applyAlignment="1"/>
    <xf numFmtId="0" fontId="1" fillId="2" borderId="3" xfId="1" applyFill="1" applyBorder="1" applyAlignment="1"/>
    <xf numFmtId="0" fontId="1" fillId="2" borderId="4" xfId="1" applyFill="1" applyBorder="1" applyAlignment="1"/>
    <xf numFmtId="0" fontId="1" fillId="5" borderId="2" xfId="1" applyFill="1" applyBorder="1" applyAlignment="1"/>
    <xf numFmtId="0" fontId="1" fillId="5" borderId="3" xfId="1" applyFill="1" applyBorder="1" applyAlignment="1"/>
    <xf numFmtId="0" fontId="1" fillId="3" borderId="2" xfId="1" applyFill="1" applyBorder="1" applyAlignment="1"/>
    <xf numFmtId="0" fontId="1" fillId="3" borderId="3" xfId="1" applyFill="1" applyBorder="1" applyAlignment="1"/>
    <xf numFmtId="0" fontId="1" fillId="3" borderId="4" xfId="1" applyFill="1" applyBorder="1" applyAlignment="1"/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8A3E"/>
      <color rgb="FFFFEEDD"/>
      <color rgb="FFFDE8DB"/>
      <color rgb="FFD9FFFF"/>
      <color rgb="FFFFFFC9"/>
      <color rgb="FFF2DBDA"/>
      <color rgb="FFDDE8C6"/>
      <color rgb="FFFCD9C4"/>
      <color rgb="FFE7FFFF"/>
      <color rgb="FFCDE8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5"/>
  <sheetViews>
    <sheetView zoomScale="62" zoomScaleNormal="62" workbookViewId="0">
      <selection activeCell="A37" sqref="A37"/>
    </sheetView>
  </sheetViews>
  <sheetFormatPr defaultRowHeight="15" x14ac:dyDescent="0.25"/>
  <cols>
    <col min="2" max="2" width="11.7109375" customWidth="1"/>
    <col min="3" max="3" width="13.42578125" customWidth="1"/>
    <col min="4" max="4" width="14.7109375" customWidth="1"/>
    <col min="5" max="5" width="15.5703125" customWidth="1"/>
    <col min="6" max="6" width="11.85546875" customWidth="1"/>
    <col min="7" max="7" width="14.42578125" customWidth="1"/>
    <col min="8" max="9" width="14.7109375" customWidth="1"/>
    <col min="10" max="10" width="13.42578125" customWidth="1"/>
    <col min="11" max="11" width="15.7109375" customWidth="1"/>
    <col min="12" max="12" width="12.42578125" customWidth="1"/>
    <col min="13" max="13" width="11.5703125" customWidth="1"/>
    <col min="14" max="14" width="14.140625" customWidth="1"/>
    <col min="15" max="15" width="14.7109375" customWidth="1"/>
    <col min="16" max="16" width="14.28515625" customWidth="1"/>
    <col min="17" max="17" width="13.5703125" customWidth="1"/>
    <col min="18" max="18" width="13.7109375" customWidth="1"/>
    <col min="19" max="19" width="15.140625" customWidth="1"/>
    <col min="20" max="20" width="13.7109375" customWidth="1"/>
    <col min="21" max="21" width="14" customWidth="1"/>
    <col min="22" max="22" width="14.7109375" customWidth="1"/>
    <col min="23" max="23" width="13" customWidth="1"/>
    <col min="24" max="24" width="13.7109375" customWidth="1"/>
    <col min="25" max="25" width="16" customWidth="1"/>
    <col min="26" max="26" width="14.85546875" customWidth="1"/>
    <col min="27" max="27" width="15.28515625" customWidth="1"/>
    <col min="28" max="29" width="12.42578125" customWidth="1"/>
    <col min="31" max="31" width="11.140625" customWidth="1"/>
  </cols>
  <sheetData>
    <row r="1" spans="1:36" x14ac:dyDescent="0.25">
      <c r="A1" s="1"/>
      <c r="B1" s="1"/>
      <c r="C1" s="1"/>
      <c r="D1" s="60" t="s">
        <v>7</v>
      </c>
      <c r="E1" s="61"/>
      <c r="F1" s="61"/>
      <c r="G1" s="61"/>
      <c r="H1" s="61"/>
      <c r="I1" s="61"/>
      <c r="J1" s="62"/>
      <c r="K1" s="65" t="s">
        <v>8</v>
      </c>
      <c r="L1" s="66"/>
      <c r="M1" s="66"/>
      <c r="N1" s="66"/>
      <c r="O1" s="66"/>
      <c r="P1" s="66"/>
      <c r="Q1" s="67"/>
      <c r="R1" s="68" t="s">
        <v>9</v>
      </c>
      <c r="S1" s="69"/>
      <c r="T1" s="69"/>
      <c r="U1" s="69"/>
      <c r="V1" s="69"/>
      <c r="W1" s="70"/>
      <c r="X1" s="8"/>
      <c r="Y1" s="63" t="s">
        <v>10</v>
      </c>
      <c r="Z1" s="64"/>
      <c r="AA1" s="64"/>
      <c r="AB1" s="64"/>
      <c r="AC1" s="13"/>
      <c r="AD1" s="56" t="s">
        <v>39</v>
      </c>
      <c r="AE1" s="57"/>
      <c r="AF1" s="57"/>
      <c r="AG1" s="57"/>
      <c r="AH1" s="57"/>
      <c r="AI1" s="58"/>
      <c r="AJ1" s="15"/>
    </row>
    <row r="2" spans="1:36" ht="45" x14ac:dyDescent="0.25">
      <c r="A2" s="2" t="s">
        <v>11</v>
      </c>
      <c r="B2" s="2" t="s">
        <v>12</v>
      </c>
      <c r="C2" s="2" t="s">
        <v>13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31</v>
      </c>
      <c r="AC2" s="11" t="s">
        <v>32</v>
      </c>
      <c r="AD2" s="12" t="s">
        <v>40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</row>
    <row r="3" spans="1:36" ht="13.5" customHeight="1" x14ac:dyDescent="0.25">
      <c r="A3">
        <v>1</v>
      </c>
      <c r="B3" s="3">
        <v>43562</v>
      </c>
      <c r="C3" t="s">
        <v>41</v>
      </c>
      <c r="D3">
        <v>300</v>
      </c>
      <c r="E3">
        <v>43.3</v>
      </c>
      <c r="F3">
        <v>101.3</v>
      </c>
      <c r="G3">
        <v>16.600000000000001</v>
      </c>
      <c r="H3">
        <v>40.5</v>
      </c>
      <c r="I3">
        <v>25.3</v>
      </c>
      <c r="J3">
        <v>155.4</v>
      </c>
      <c r="K3">
        <v>3403.8</v>
      </c>
      <c r="L3">
        <v>832.6</v>
      </c>
      <c r="M3">
        <v>847</v>
      </c>
      <c r="N3">
        <v>117.2</v>
      </c>
      <c r="O3">
        <v>353.1</v>
      </c>
      <c r="P3">
        <v>211.75</v>
      </c>
      <c r="Q3">
        <v>1724.2</v>
      </c>
      <c r="S3">
        <v>19.2</v>
      </c>
      <c r="T3">
        <v>8.6999999999999993</v>
      </c>
      <c r="U3">
        <v>0</v>
      </c>
      <c r="V3">
        <v>5.7</v>
      </c>
      <c r="W3">
        <v>11.1</v>
      </c>
      <c r="Y3">
        <v>81.5</v>
      </c>
      <c r="Z3">
        <v>0</v>
      </c>
      <c r="AA3">
        <v>51.8</v>
      </c>
      <c r="AB3">
        <v>52.8</v>
      </c>
      <c r="AC3">
        <v>0</v>
      </c>
      <c r="AD3">
        <v>42</v>
      </c>
      <c r="AE3">
        <v>4</v>
      </c>
      <c r="AF3">
        <v>30</v>
      </c>
      <c r="AG3">
        <v>5</v>
      </c>
      <c r="AH3">
        <v>11</v>
      </c>
      <c r="AI3">
        <v>7.5</v>
      </c>
      <c r="AJ3">
        <v>8</v>
      </c>
    </row>
    <row r="4" spans="1:36" x14ac:dyDescent="0.25">
      <c r="A4">
        <v>2</v>
      </c>
      <c r="B4" s="3">
        <v>43562</v>
      </c>
      <c r="C4" t="s">
        <v>41</v>
      </c>
      <c r="D4">
        <v>300</v>
      </c>
      <c r="E4">
        <v>46.1</v>
      </c>
      <c r="F4">
        <v>118.7</v>
      </c>
      <c r="G4">
        <v>14.9</v>
      </c>
      <c r="H4">
        <v>41.1</v>
      </c>
      <c r="I4">
        <v>29.7</v>
      </c>
      <c r="J4">
        <v>138.80000000000001</v>
      </c>
      <c r="K4">
        <v>2524.6999999999998</v>
      </c>
      <c r="L4">
        <v>585.6</v>
      </c>
      <c r="M4">
        <v>541.4</v>
      </c>
      <c r="N4">
        <v>76.8</v>
      </c>
      <c r="O4">
        <v>207.1</v>
      </c>
      <c r="P4">
        <v>135.4</v>
      </c>
      <c r="Q4">
        <v>1397.8</v>
      </c>
      <c r="R4">
        <v>8.3000000000000007</v>
      </c>
      <c r="S4">
        <v>12.7</v>
      </c>
      <c r="T4">
        <v>5.7</v>
      </c>
      <c r="U4">
        <v>3.9</v>
      </c>
      <c r="V4">
        <v>4.7</v>
      </c>
      <c r="W4">
        <v>10.1</v>
      </c>
      <c r="X4">
        <v>49.9</v>
      </c>
      <c r="Y4">
        <v>65.099999999999994</v>
      </c>
      <c r="Z4">
        <v>28.9</v>
      </c>
      <c r="AA4">
        <v>51.1</v>
      </c>
      <c r="AB4">
        <v>55.7</v>
      </c>
      <c r="AC4">
        <v>0</v>
      </c>
      <c r="AD4">
        <v>35</v>
      </c>
      <c r="AE4">
        <v>5</v>
      </c>
      <c r="AF4">
        <v>23</v>
      </c>
      <c r="AG4">
        <v>1</v>
      </c>
      <c r="AH4">
        <v>8</v>
      </c>
      <c r="AI4">
        <v>5.8</v>
      </c>
      <c r="AJ4">
        <v>7</v>
      </c>
    </row>
    <row r="5" spans="1:36" x14ac:dyDescent="0.25">
      <c r="A5">
        <v>3</v>
      </c>
      <c r="B5" s="3">
        <v>43562</v>
      </c>
      <c r="C5" t="s">
        <v>41</v>
      </c>
      <c r="D5">
        <v>300</v>
      </c>
      <c r="E5">
        <v>55.9</v>
      </c>
      <c r="F5">
        <v>113.6</v>
      </c>
      <c r="G5">
        <v>12.6</v>
      </c>
      <c r="H5">
        <v>38.1</v>
      </c>
      <c r="I5">
        <v>28.4</v>
      </c>
      <c r="J5">
        <v>138.80000000000001</v>
      </c>
      <c r="K5">
        <v>4013.9</v>
      </c>
      <c r="L5">
        <v>1308.5</v>
      </c>
      <c r="M5">
        <v>885.7</v>
      </c>
      <c r="N5">
        <v>64.099999999999994</v>
      </c>
      <c r="O5">
        <v>427.4</v>
      </c>
      <c r="P5">
        <v>221.4</v>
      </c>
      <c r="Q5">
        <v>1819.7</v>
      </c>
      <c r="R5" s="14">
        <v>13</v>
      </c>
      <c r="S5">
        <v>24.3</v>
      </c>
      <c r="T5">
        <v>11.2</v>
      </c>
      <c r="U5">
        <v>5.0999999999999996</v>
      </c>
      <c r="V5">
        <v>7.2</v>
      </c>
      <c r="W5">
        <v>13.1</v>
      </c>
      <c r="X5">
        <v>61.6</v>
      </c>
      <c r="Y5">
        <v>85</v>
      </c>
      <c r="Z5">
        <v>40.200000000000003</v>
      </c>
      <c r="AA5">
        <v>61.5</v>
      </c>
      <c r="AB5">
        <v>62.5</v>
      </c>
      <c r="AC5">
        <v>2</v>
      </c>
      <c r="AD5">
        <v>64</v>
      </c>
      <c r="AE5">
        <v>5</v>
      </c>
      <c r="AF5">
        <v>31</v>
      </c>
      <c r="AG5">
        <v>6</v>
      </c>
      <c r="AH5">
        <v>10</v>
      </c>
      <c r="AI5">
        <v>7.8</v>
      </c>
      <c r="AJ5">
        <v>28</v>
      </c>
    </row>
    <row r="6" spans="1:36" s="22" customFormat="1" x14ac:dyDescent="0.25">
      <c r="A6" s="23">
        <v>8</v>
      </c>
      <c r="B6" s="24">
        <v>43697</v>
      </c>
      <c r="C6" s="25" t="s">
        <v>41</v>
      </c>
      <c r="D6" s="26">
        <v>300</v>
      </c>
      <c r="E6" s="22">
        <v>66.099999999999994</v>
      </c>
      <c r="F6" s="22">
        <v>116.6</v>
      </c>
      <c r="G6" s="22">
        <v>17</v>
      </c>
      <c r="H6" s="22">
        <v>49.9</v>
      </c>
      <c r="I6" s="22">
        <v>29.2</v>
      </c>
      <c r="J6" s="22">
        <v>157.4</v>
      </c>
      <c r="K6" s="22">
        <v>3258.6</v>
      </c>
      <c r="L6" s="22">
        <v>905.9</v>
      </c>
      <c r="M6" s="22">
        <v>590.79999999999995</v>
      </c>
      <c r="N6" s="22">
        <v>105.4</v>
      </c>
      <c r="O6" s="22">
        <v>222.2</v>
      </c>
      <c r="P6" s="22">
        <v>147.69999999999999</v>
      </c>
      <c r="Q6" s="22">
        <v>1761.9</v>
      </c>
      <c r="R6" s="22">
        <v>9.6</v>
      </c>
      <c r="S6" s="22">
        <v>13.7</v>
      </c>
      <c r="T6" s="22">
        <v>13</v>
      </c>
      <c r="U6" s="22">
        <v>3</v>
      </c>
      <c r="V6" s="22">
        <v>6.2</v>
      </c>
      <c r="W6" s="22">
        <v>11.2</v>
      </c>
      <c r="X6" s="22">
        <v>48</v>
      </c>
      <c r="Y6" s="22">
        <v>65.5</v>
      </c>
      <c r="Z6" s="22">
        <v>22</v>
      </c>
      <c r="AA6" s="22">
        <v>44.6</v>
      </c>
      <c r="AB6" s="22">
        <v>54.2</v>
      </c>
    </row>
    <row r="7" spans="1:36" s="22" customFormat="1" x14ac:dyDescent="0.25">
      <c r="A7" s="28">
        <v>9</v>
      </c>
      <c r="B7" s="27">
        <v>43697</v>
      </c>
      <c r="C7" s="29" t="s">
        <v>41</v>
      </c>
      <c r="D7" s="29">
        <v>300</v>
      </c>
      <c r="E7" s="22">
        <v>48</v>
      </c>
      <c r="F7" s="22">
        <v>129.80000000000001</v>
      </c>
      <c r="G7" s="22">
        <v>17.7</v>
      </c>
      <c r="H7" s="22">
        <v>44.2</v>
      </c>
      <c r="I7" s="22">
        <v>32.5</v>
      </c>
      <c r="J7" s="22">
        <v>123.3</v>
      </c>
      <c r="K7" s="22">
        <v>4246.1000000000004</v>
      </c>
      <c r="L7" s="22">
        <v>1224.8</v>
      </c>
      <c r="M7" s="22">
        <v>871.1</v>
      </c>
      <c r="N7" s="22">
        <v>135.69999999999999</v>
      </c>
      <c r="O7" s="22">
        <v>304</v>
      </c>
      <c r="P7" s="22">
        <v>217.8</v>
      </c>
      <c r="Q7" s="22">
        <v>2150.1</v>
      </c>
      <c r="R7" s="22">
        <v>14.1</v>
      </c>
      <c r="S7" s="22">
        <v>25.5</v>
      </c>
      <c r="T7" s="22">
        <v>8.1999999999999993</v>
      </c>
      <c r="U7" s="22">
        <v>5.5</v>
      </c>
      <c r="V7" s="22">
        <v>6.9</v>
      </c>
      <c r="W7" s="22">
        <v>17.399999999999999</v>
      </c>
      <c r="X7" s="22">
        <v>59.5</v>
      </c>
      <c r="Y7" s="22">
        <v>89.8</v>
      </c>
      <c r="Z7" s="22">
        <v>35.200000000000003</v>
      </c>
      <c r="AA7" s="22">
        <v>45.9</v>
      </c>
      <c r="AB7" s="22">
        <v>69.099999999999994</v>
      </c>
    </row>
    <row r="8" spans="1:36" s="22" customFormat="1" x14ac:dyDescent="0.25">
      <c r="A8" s="28">
        <v>10</v>
      </c>
      <c r="B8" s="27">
        <v>43697</v>
      </c>
      <c r="C8" s="29" t="s">
        <v>41</v>
      </c>
      <c r="D8" s="29">
        <v>300</v>
      </c>
      <c r="E8" s="22">
        <v>71.900000000000006</v>
      </c>
      <c r="F8" s="22">
        <v>115.3</v>
      </c>
      <c r="G8" s="22">
        <v>8.6</v>
      </c>
      <c r="H8" s="22">
        <v>45.2</v>
      </c>
      <c r="I8" s="22">
        <v>28.8</v>
      </c>
      <c r="J8" s="22">
        <v>107.1</v>
      </c>
      <c r="K8" s="22">
        <v>3131.3</v>
      </c>
      <c r="L8" s="22">
        <v>959.1</v>
      </c>
      <c r="M8" s="22">
        <v>683.8</v>
      </c>
      <c r="N8" s="22">
        <v>64.5</v>
      </c>
      <c r="O8" s="22">
        <v>314.89999999999998</v>
      </c>
      <c r="P8" s="22">
        <v>171</v>
      </c>
      <c r="Q8" s="22">
        <v>1488.3</v>
      </c>
      <c r="R8" s="22">
        <v>10.1</v>
      </c>
      <c r="S8" s="22">
        <v>16.5</v>
      </c>
      <c r="T8" s="22">
        <v>7</v>
      </c>
      <c r="U8" s="22">
        <v>3.9</v>
      </c>
      <c r="V8" s="22">
        <v>5</v>
      </c>
      <c r="W8" s="22">
        <v>12.6</v>
      </c>
      <c r="X8" s="22">
        <v>51.3</v>
      </c>
      <c r="Y8" s="22">
        <v>77.900000000000006</v>
      </c>
      <c r="Z8" s="22">
        <v>29.8</v>
      </c>
      <c r="AA8" s="22">
        <v>39.1</v>
      </c>
      <c r="AB8" s="22">
        <v>61.2</v>
      </c>
    </row>
    <row r="9" spans="1:36" s="22" customFormat="1" x14ac:dyDescent="0.25">
      <c r="A9" s="31">
        <v>11</v>
      </c>
      <c r="B9" s="27">
        <v>43700</v>
      </c>
      <c r="C9" s="29" t="s">
        <v>41</v>
      </c>
      <c r="D9" s="29">
        <v>300</v>
      </c>
      <c r="E9" s="30">
        <v>26.9</v>
      </c>
      <c r="F9" s="30">
        <v>189.2</v>
      </c>
      <c r="G9" s="22">
        <v>32.4</v>
      </c>
      <c r="H9" s="22">
        <v>70.900000000000006</v>
      </c>
      <c r="I9" s="22">
        <v>47.3</v>
      </c>
      <c r="J9" s="22">
        <v>83.9</v>
      </c>
      <c r="K9" s="22">
        <v>2259.6</v>
      </c>
      <c r="L9" s="22">
        <v>445.4</v>
      </c>
      <c r="M9" s="22">
        <v>639.29999999999995</v>
      </c>
      <c r="N9" s="22">
        <v>73.900000000000006</v>
      </c>
      <c r="O9" s="22">
        <v>357.4</v>
      </c>
      <c r="P9" s="22">
        <v>159.80000000000001</v>
      </c>
      <c r="Q9" s="22">
        <v>1175.0999999999999</v>
      </c>
      <c r="R9" s="22">
        <v>6.9</v>
      </c>
      <c r="S9" s="22">
        <v>16.5</v>
      </c>
      <c r="T9" s="22">
        <v>7.1</v>
      </c>
      <c r="U9" s="22">
        <v>2.2999999999999998</v>
      </c>
      <c r="V9" s="22">
        <v>3.4</v>
      </c>
      <c r="W9" s="22">
        <v>10.5</v>
      </c>
      <c r="X9" s="22">
        <v>36.9</v>
      </c>
      <c r="Y9" s="22">
        <v>81.2</v>
      </c>
      <c r="Z9" s="22">
        <v>12.9</v>
      </c>
      <c r="AA9" s="22">
        <v>25</v>
      </c>
      <c r="AB9" s="22">
        <v>57</v>
      </c>
    </row>
    <row r="10" spans="1:36" s="18" customFormat="1" x14ac:dyDescent="0.25">
      <c r="A10" s="16">
        <v>4</v>
      </c>
      <c r="B10" s="17">
        <v>43633</v>
      </c>
      <c r="C10" s="18" t="s">
        <v>43</v>
      </c>
      <c r="D10" s="18">
        <v>300</v>
      </c>
      <c r="E10" s="18">
        <v>32.5</v>
      </c>
      <c r="F10" s="18">
        <v>168.2</v>
      </c>
      <c r="G10" s="18">
        <v>24.2</v>
      </c>
      <c r="H10" s="18">
        <v>56.1</v>
      </c>
      <c r="I10" s="18">
        <v>42.1</v>
      </c>
      <c r="J10" s="18">
        <v>111.9</v>
      </c>
      <c r="K10" s="18">
        <v>3771.5</v>
      </c>
      <c r="L10" s="18">
        <v>731.1</v>
      </c>
      <c r="M10" s="18">
        <v>1119</v>
      </c>
      <c r="N10" s="18">
        <v>194.8</v>
      </c>
      <c r="O10" s="18">
        <v>344.5</v>
      </c>
      <c r="P10" s="18">
        <v>279.8</v>
      </c>
      <c r="Q10" s="18">
        <v>1921.2</v>
      </c>
      <c r="R10" s="18">
        <v>12.1</v>
      </c>
      <c r="S10" s="18">
        <v>22.5</v>
      </c>
      <c r="T10" s="18">
        <v>9.3000000000000007</v>
      </c>
      <c r="U10" s="18">
        <v>4.9000000000000004</v>
      </c>
      <c r="V10" s="18">
        <v>7</v>
      </c>
      <c r="W10" s="18">
        <v>17.2</v>
      </c>
      <c r="X10" s="18">
        <v>57.6</v>
      </c>
      <c r="Y10" s="18">
        <v>84.6</v>
      </c>
      <c r="Z10" s="18">
        <v>32.799999999999997</v>
      </c>
      <c r="AA10" s="18">
        <v>50.8</v>
      </c>
      <c r="AB10" s="18">
        <v>74.8</v>
      </c>
      <c r="AC10" s="18">
        <v>1</v>
      </c>
      <c r="AD10" s="18">
        <v>57</v>
      </c>
      <c r="AE10" s="18">
        <v>3</v>
      </c>
      <c r="AF10" s="18">
        <v>31</v>
      </c>
      <c r="AG10" s="18">
        <v>4</v>
      </c>
      <c r="AH10" s="18">
        <v>10</v>
      </c>
      <c r="AI10" s="18">
        <v>7.8</v>
      </c>
      <c r="AJ10" s="18">
        <v>23</v>
      </c>
    </row>
    <row r="11" spans="1:36" s="18" customFormat="1" x14ac:dyDescent="0.25">
      <c r="A11" s="16">
        <v>5</v>
      </c>
      <c r="B11" s="17">
        <v>43633</v>
      </c>
      <c r="C11" s="18" t="s">
        <v>43</v>
      </c>
      <c r="D11" s="18">
        <v>300</v>
      </c>
      <c r="E11" s="18">
        <v>56.9</v>
      </c>
      <c r="F11" s="18">
        <v>127.5</v>
      </c>
      <c r="G11" s="18">
        <v>15.1</v>
      </c>
      <c r="H11" s="18">
        <v>43.7</v>
      </c>
      <c r="I11" s="18">
        <v>32.9</v>
      </c>
      <c r="J11" s="18">
        <v>121.3</v>
      </c>
      <c r="K11" s="18">
        <v>4463.7</v>
      </c>
      <c r="L11" s="18">
        <v>1085.3</v>
      </c>
      <c r="M11" s="18">
        <v>1254.9000000000001</v>
      </c>
      <c r="N11" s="18">
        <v>190</v>
      </c>
      <c r="O11" s="18">
        <v>503.5</v>
      </c>
      <c r="P11" s="18">
        <v>313.7</v>
      </c>
      <c r="Q11" s="18">
        <v>2123.5</v>
      </c>
      <c r="R11" s="18">
        <v>14.6</v>
      </c>
      <c r="S11" s="18">
        <v>19.100000000000001</v>
      </c>
      <c r="T11" s="18">
        <v>12.6</v>
      </c>
      <c r="U11" s="18">
        <v>7.8</v>
      </c>
      <c r="V11" s="18">
        <v>10.1</v>
      </c>
      <c r="W11" s="18">
        <v>17.5</v>
      </c>
      <c r="X11" s="18">
        <v>68.3</v>
      </c>
      <c r="Y11" s="18">
        <v>83</v>
      </c>
      <c r="Z11" s="18">
        <v>49.1</v>
      </c>
      <c r="AA11" s="18">
        <v>69.400000000000006</v>
      </c>
      <c r="AB11" s="18">
        <v>75.900000000000006</v>
      </c>
      <c r="AC11" s="18">
        <v>0</v>
      </c>
      <c r="AD11" s="18">
        <v>60</v>
      </c>
      <c r="AE11" s="18">
        <v>4</v>
      </c>
      <c r="AF11" s="18">
        <v>26</v>
      </c>
      <c r="AG11" s="18">
        <v>4</v>
      </c>
      <c r="AH11" s="18">
        <v>10</v>
      </c>
      <c r="AI11" s="18">
        <v>6.5</v>
      </c>
      <c r="AJ11" s="18">
        <v>31</v>
      </c>
    </row>
    <row r="12" spans="1:36" s="18" customFormat="1" x14ac:dyDescent="0.25">
      <c r="A12" s="16">
        <v>6</v>
      </c>
      <c r="B12" s="17">
        <v>43633</v>
      </c>
      <c r="C12" s="18" t="s">
        <v>43</v>
      </c>
      <c r="D12" s="18">
        <v>300</v>
      </c>
      <c r="E12" s="18">
        <v>59</v>
      </c>
      <c r="F12" s="18">
        <v>125.1</v>
      </c>
      <c r="G12" s="18">
        <v>15.4</v>
      </c>
      <c r="H12" s="18">
        <v>57.2</v>
      </c>
      <c r="I12" s="18">
        <v>36.299999999999997</v>
      </c>
      <c r="J12" s="18">
        <v>115.1</v>
      </c>
      <c r="K12" s="18">
        <v>2807.6</v>
      </c>
      <c r="L12" s="18">
        <v>862.9</v>
      </c>
      <c r="M12" s="18">
        <v>572.29999999999995</v>
      </c>
      <c r="N12" s="18">
        <v>49.8</v>
      </c>
      <c r="O12" s="18">
        <v>228.2</v>
      </c>
      <c r="P12" s="18">
        <v>143.1</v>
      </c>
      <c r="Q12" s="18">
        <v>1372.5</v>
      </c>
      <c r="R12" s="18">
        <v>9.3000000000000007</v>
      </c>
      <c r="S12" s="18">
        <v>14.9</v>
      </c>
      <c r="T12" s="18">
        <v>7.9</v>
      </c>
      <c r="U12" s="18">
        <v>4.4000000000000004</v>
      </c>
      <c r="V12" s="18">
        <v>6</v>
      </c>
      <c r="W12" s="18">
        <v>13.9</v>
      </c>
      <c r="X12" s="18">
        <v>48.9</v>
      </c>
      <c r="Y12" s="18">
        <v>67.2</v>
      </c>
      <c r="Z12" s="18">
        <v>32.200000000000003</v>
      </c>
      <c r="AA12" s="18">
        <v>40.9</v>
      </c>
      <c r="AB12" s="18">
        <v>65.099999999999994</v>
      </c>
      <c r="AC12" s="18">
        <v>0</v>
      </c>
      <c r="AD12" s="18">
        <v>44</v>
      </c>
      <c r="AE12" s="18">
        <v>6</v>
      </c>
      <c r="AF12" s="18">
        <v>17</v>
      </c>
      <c r="AG12" s="18">
        <v>2</v>
      </c>
      <c r="AH12" s="18">
        <v>7</v>
      </c>
      <c r="AI12" s="18">
        <v>4.3</v>
      </c>
      <c r="AJ12" s="18">
        <v>21</v>
      </c>
    </row>
    <row r="13" spans="1:36" s="18" customFormat="1" x14ac:dyDescent="0.25">
      <c r="A13" s="16">
        <v>7</v>
      </c>
      <c r="B13" s="20">
        <v>43683</v>
      </c>
      <c r="C13" s="19" t="s">
        <v>43</v>
      </c>
      <c r="D13" s="18">
        <v>300</v>
      </c>
      <c r="E13" s="18">
        <v>48.1</v>
      </c>
      <c r="F13" s="18">
        <v>112.6</v>
      </c>
      <c r="G13" s="18">
        <v>18.7</v>
      </c>
      <c r="H13" s="18">
        <v>47.1</v>
      </c>
      <c r="I13" s="18">
        <v>28.2</v>
      </c>
      <c r="J13" s="18">
        <v>139.6</v>
      </c>
      <c r="K13" s="18">
        <v>3828.1</v>
      </c>
      <c r="L13" s="18">
        <v>841.4</v>
      </c>
      <c r="M13" s="18">
        <v>1139.2</v>
      </c>
      <c r="N13" s="18">
        <v>167.4</v>
      </c>
      <c r="O13" s="18">
        <v>469.2</v>
      </c>
      <c r="P13" s="18">
        <v>284.8</v>
      </c>
      <c r="Q13" s="18">
        <v>1847.5</v>
      </c>
      <c r="R13" s="18">
        <v>12.7</v>
      </c>
      <c r="S13" s="18">
        <v>17.5</v>
      </c>
      <c r="T13" s="18">
        <v>17.5</v>
      </c>
      <c r="U13" s="18">
        <v>6.7</v>
      </c>
      <c r="V13" s="18">
        <v>10.6</v>
      </c>
      <c r="W13" s="18">
        <v>13.2</v>
      </c>
      <c r="X13" s="18">
        <v>62.6</v>
      </c>
      <c r="Y13" s="18">
        <v>75.3</v>
      </c>
      <c r="Z13" s="18">
        <v>44.6</v>
      </c>
      <c r="AA13" s="18">
        <v>61.4</v>
      </c>
      <c r="AB13" s="18">
        <v>66.3</v>
      </c>
      <c r="AC13" s="18">
        <v>2</v>
      </c>
      <c r="AD13" s="18">
        <v>42</v>
      </c>
      <c r="AE13" s="18">
        <v>6</v>
      </c>
      <c r="AF13" s="18">
        <v>19</v>
      </c>
      <c r="AG13" s="18">
        <v>3</v>
      </c>
      <c r="AH13" s="18">
        <v>6</v>
      </c>
      <c r="AI13" s="18">
        <v>4.8</v>
      </c>
      <c r="AJ13" s="18">
        <v>17</v>
      </c>
    </row>
    <row r="14" spans="1:36" s="43" customFormat="1" x14ac:dyDescent="0.25">
      <c r="A14" s="40">
        <v>12</v>
      </c>
      <c r="B14" s="41">
        <v>43733</v>
      </c>
      <c r="C14" s="42" t="s">
        <v>43</v>
      </c>
      <c r="D14" s="43">
        <v>300</v>
      </c>
      <c r="E14" s="43">
        <v>20.3</v>
      </c>
      <c r="F14" s="43">
        <v>197</v>
      </c>
      <c r="G14" s="43">
        <v>26.5</v>
      </c>
      <c r="H14" s="43">
        <v>76.900000000000006</v>
      </c>
      <c r="I14" s="43">
        <v>49.3</v>
      </c>
      <c r="J14" s="43">
        <v>108.5</v>
      </c>
      <c r="K14" s="43">
        <v>2979.5</v>
      </c>
      <c r="L14" s="43">
        <v>318.39999999999998</v>
      </c>
      <c r="M14" s="43">
        <v>1054.8</v>
      </c>
      <c r="N14" s="43">
        <v>167.2</v>
      </c>
      <c r="O14" s="43">
        <v>342.8</v>
      </c>
      <c r="P14" s="43">
        <v>263.7</v>
      </c>
      <c r="Q14" s="43">
        <v>1606.3</v>
      </c>
      <c r="R14" s="43">
        <v>9.1</v>
      </c>
      <c r="S14" s="43">
        <v>15.6</v>
      </c>
      <c r="T14" s="43">
        <v>8.1999999999999993</v>
      </c>
      <c r="U14" s="43">
        <v>4.5</v>
      </c>
      <c r="V14" s="43">
        <v>5.9</v>
      </c>
      <c r="W14" s="43">
        <v>14.8</v>
      </c>
      <c r="X14" s="43">
        <v>53.1</v>
      </c>
      <c r="Y14" s="43">
        <v>86.8</v>
      </c>
      <c r="Z14" s="43">
        <v>30</v>
      </c>
      <c r="AA14" s="43">
        <v>45.8</v>
      </c>
      <c r="AB14" s="43">
        <v>78.2</v>
      </c>
    </row>
    <row r="15" spans="1:36" s="43" customFormat="1" x14ac:dyDescent="0.25">
      <c r="A15" s="44">
        <v>13</v>
      </c>
      <c r="B15" s="41">
        <v>43733</v>
      </c>
      <c r="C15" s="42" t="s">
        <v>43</v>
      </c>
      <c r="D15" s="43">
        <v>300</v>
      </c>
      <c r="E15" s="43">
        <v>35.9</v>
      </c>
      <c r="F15" s="43">
        <v>187.1</v>
      </c>
      <c r="G15" s="43">
        <v>13</v>
      </c>
      <c r="H15" s="43">
        <v>102.4</v>
      </c>
      <c r="I15" s="43">
        <v>46.8</v>
      </c>
      <c r="J15" s="43">
        <v>106.5</v>
      </c>
      <c r="K15" s="43">
        <v>2548.9</v>
      </c>
      <c r="L15" s="43">
        <v>597.4</v>
      </c>
      <c r="M15" s="43">
        <v>808.9</v>
      </c>
      <c r="N15" s="43">
        <v>86.7</v>
      </c>
      <c r="O15" s="43">
        <v>420.4</v>
      </c>
      <c r="P15" s="43">
        <v>202.2</v>
      </c>
      <c r="Q15" s="43">
        <v>1142.5</v>
      </c>
      <c r="R15" s="43">
        <v>7.7</v>
      </c>
      <c r="S15" s="43">
        <v>16.600000000000001</v>
      </c>
      <c r="T15" s="43">
        <v>6.7</v>
      </c>
      <c r="U15" s="43">
        <v>4.0999999999999996</v>
      </c>
      <c r="V15" s="43">
        <v>4.8</v>
      </c>
      <c r="W15" s="43">
        <v>10.7</v>
      </c>
      <c r="X15" s="43">
        <v>42.7</v>
      </c>
      <c r="Y15" s="43">
        <v>82</v>
      </c>
      <c r="Z15" s="43">
        <v>21.2</v>
      </c>
      <c r="AA15" s="43">
        <v>48</v>
      </c>
      <c r="AB15" s="43">
        <v>57.1</v>
      </c>
    </row>
    <row r="16" spans="1:36" s="43" customFormat="1" x14ac:dyDescent="0.25">
      <c r="A16" s="44">
        <v>14</v>
      </c>
      <c r="B16" s="41">
        <v>43733</v>
      </c>
      <c r="C16" s="42" t="s">
        <v>43</v>
      </c>
      <c r="D16" s="43">
        <v>300</v>
      </c>
      <c r="E16" s="43">
        <v>17.100000000000001</v>
      </c>
      <c r="F16" s="43">
        <v>222.9</v>
      </c>
      <c r="G16" s="43">
        <v>27.6</v>
      </c>
      <c r="H16" s="43">
        <v>108.1</v>
      </c>
      <c r="I16" s="43">
        <v>55.7</v>
      </c>
      <c r="J16" s="43">
        <v>89.6</v>
      </c>
      <c r="K16" s="43">
        <v>2293.3000000000002</v>
      </c>
      <c r="L16" s="43">
        <v>237.4</v>
      </c>
      <c r="M16" s="43">
        <v>866.5</v>
      </c>
      <c r="N16" s="43">
        <v>135.4</v>
      </c>
      <c r="O16" s="43">
        <v>378.7</v>
      </c>
      <c r="P16" s="43">
        <v>216.6</v>
      </c>
      <c r="Q16" s="43">
        <v>1189.4000000000001</v>
      </c>
      <c r="R16" s="43">
        <v>7</v>
      </c>
      <c r="S16" s="43">
        <v>13.8</v>
      </c>
      <c r="T16" s="43">
        <v>7</v>
      </c>
      <c r="U16" s="43">
        <v>2</v>
      </c>
      <c r="V16" s="43">
        <v>4.5</v>
      </c>
      <c r="W16" s="43">
        <v>13.3</v>
      </c>
      <c r="X16" s="43">
        <v>40</v>
      </c>
      <c r="Y16" s="43">
        <v>79</v>
      </c>
      <c r="Z16" s="43">
        <v>16.5</v>
      </c>
      <c r="AA16" s="43">
        <v>36.799999999999997</v>
      </c>
      <c r="AB16" s="43">
        <v>68.5</v>
      </c>
    </row>
    <row r="17" spans="1:38" x14ac:dyDescent="0.25">
      <c r="A17">
        <v>1</v>
      </c>
      <c r="B17" s="3">
        <v>43585</v>
      </c>
      <c r="C17" t="s">
        <v>42</v>
      </c>
      <c r="D17">
        <v>300</v>
      </c>
      <c r="E17">
        <v>7.8</v>
      </c>
      <c r="F17">
        <v>196.4</v>
      </c>
      <c r="G17">
        <v>34.799999999999997</v>
      </c>
      <c r="H17">
        <v>67.3</v>
      </c>
      <c r="I17">
        <v>49.1</v>
      </c>
      <c r="J17">
        <v>100.9</v>
      </c>
      <c r="K17">
        <v>2605.1999999999998</v>
      </c>
      <c r="L17">
        <v>188.7</v>
      </c>
      <c r="M17">
        <v>918.5</v>
      </c>
      <c r="N17">
        <v>165.4</v>
      </c>
      <c r="O17">
        <v>341</v>
      </c>
      <c r="P17">
        <v>229.6</v>
      </c>
      <c r="Q17">
        <v>1498.1</v>
      </c>
      <c r="R17">
        <v>8.5</v>
      </c>
      <c r="S17">
        <v>23.9</v>
      </c>
      <c r="T17">
        <v>5.9</v>
      </c>
      <c r="U17">
        <v>3.1</v>
      </c>
      <c r="V17">
        <v>4.8</v>
      </c>
      <c r="W17">
        <v>14.8</v>
      </c>
      <c r="X17">
        <v>48.6</v>
      </c>
      <c r="Y17">
        <v>92.1</v>
      </c>
      <c r="Z17">
        <v>29.1</v>
      </c>
      <c r="AA17">
        <v>45.2</v>
      </c>
      <c r="AB17">
        <v>70.900000000000006</v>
      </c>
      <c r="AC17">
        <v>0</v>
      </c>
      <c r="AD17">
        <v>34</v>
      </c>
      <c r="AE17">
        <v>0</v>
      </c>
      <c r="AF17">
        <v>17</v>
      </c>
      <c r="AG17">
        <v>2</v>
      </c>
      <c r="AH17">
        <v>7</v>
      </c>
      <c r="AI17">
        <v>4.3</v>
      </c>
      <c r="AJ17">
        <v>17</v>
      </c>
    </row>
    <row r="18" spans="1:38" x14ac:dyDescent="0.25">
      <c r="A18">
        <v>2</v>
      </c>
      <c r="B18" s="3">
        <v>43585</v>
      </c>
      <c r="C18" t="s">
        <v>42</v>
      </c>
      <c r="D18">
        <v>300</v>
      </c>
      <c r="E18">
        <v>26.8</v>
      </c>
      <c r="F18">
        <v>195.9</v>
      </c>
      <c r="G18">
        <v>26.6</v>
      </c>
      <c r="H18">
        <v>85.9</v>
      </c>
      <c r="I18">
        <v>49.1</v>
      </c>
      <c r="J18">
        <v>99.2</v>
      </c>
      <c r="K18">
        <v>2281.6</v>
      </c>
      <c r="L18" s="14">
        <v>373</v>
      </c>
      <c r="M18">
        <v>758.6</v>
      </c>
      <c r="N18">
        <v>106.7</v>
      </c>
      <c r="O18">
        <v>227.3</v>
      </c>
      <c r="P18">
        <v>189.7</v>
      </c>
      <c r="Q18">
        <v>1149.9000000000001</v>
      </c>
      <c r="R18">
        <v>7.1</v>
      </c>
      <c r="S18">
        <v>13.9</v>
      </c>
      <c r="T18">
        <v>5.7</v>
      </c>
      <c r="U18">
        <v>2.6</v>
      </c>
      <c r="V18">
        <v>4.3</v>
      </c>
      <c r="W18">
        <v>11.6</v>
      </c>
      <c r="X18">
        <v>46.9</v>
      </c>
      <c r="Y18">
        <v>80.099999999999994</v>
      </c>
      <c r="Z18">
        <v>23.6</v>
      </c>
      <c r="AA18">
        <v>40.200000000000003</v>
      </c>
      <c r="AB18">
        <v>67.2</v>
      </c>
      <c r="AC18">
        <v>0</v>
      </c>
      <c r="AD18">
        <v>35</v>
      </c>
      <c r="AE18">
        <v>0</v>
      </c>
      <c r="AF18">
        <v>26</v>
      </c>
      <c r="AG18">
        <v>5</v>
      </c>
      <c r="AH18">
        <v>10</v>
      </c>
      <c r="AI18">
        <v>6.5</v>
      </c>
      <c r="AJ18">
        <v>9</v>
      </c>
    </row>
    <row r="19" spans="1:38" x14ac:dyDescent="0.25">
      <c r="A19">
        <v>3</v>
      </c>
      <c r="B19" s="21">
        <v>43585</v>
      </c>
      <c r="C19" t="s">
        <v>42</v>
      </c>
      <c r="D19">
        <v>300</v>
      </c>
      <c r="E19">
        <v>21.2</v>
      </c>
      <c r="F19">
        <v>177.6</v>
      </c>
      <c r="G19">
        <v>18.2</v>
      </c>
      <c r="H19">
        <v>90.4</v>
      </c>
      <c r="I19">
        <v>44.4</v>
      </c>
      <c r="J19">
        <v>104.5</v>
      </c>
      <c r="K19">
        <v>1965</v>
      </c>
      <c r="L19">
        <v>317.8</v>
      </c>
      <c r="M19">
        <v>601.5</v>
      </c>
      <c r="N19">
        <v>125.6</v>
      </c>
      <c r="O19">
        <v>198.6</v>
      </c>
      <c r="P19">
        <v>150.4</v>
      </c>
      <c r="Q19">
        <v>1045.7</v>
      </c>
      <c r="R19">
        <v>6.5</v>
      </c>
      <c r="S19">
        <v>15</v>
      </c>
      <c r="T19">
        <v>6.9</v>
      </c>
      <c r="U19">
        <v>2.2000000000000002</v>
      </c>
      <c r="V19">
        <v>4.3</v>
      </c>
      <c r="W19">
        <v>10</v>
      </c>
      <c r="X19">
        <v>47.2</v>
      </c>
      <c r="Y19">
        <v>90.1</v>
      </c>
      <c r="Z19">
        <v>22.4</v>
      </c>
      <c r="AA19">
        <v>44.1</v>
      </c>
      <c r="AB19">
        <v>67.599999999999994</v>
      </c>
      <c r="AC19">
        <v>0</v>
      </c>
      <c r="AD19">
        <v>35</v>
      </c>
      <c r="AE19">
        <v>0</v>
      </c>
      <c r="AF19">
        <v>23</v>
      </c>
      <c r="AG19">
        <v>3</v>
      </c>
      <c r="AH19">
        <v>8</v>
      </c>
      <c r="AI19">
        <v>5.8</v>
      </c>
      <c r="AJ19">
        <v>12</v>
      </c>
    </row>
    <row r="20" spans="1:38" s="22" customFormat="1" x14ac:dyDescent="0.25">
      <c r="A20" s="28">
        <v>8</v>
      </c>
      <c r="B20" s="27">
        <v>43720</v>
      </c>
      <c r="C20" s="29" t="s">
        <v>42</v>
      </c>
      <c r="D20" s="29">
        <v>300</v>
      </c>
      <c r="E20" s="22">
        <v>14.6</v>
      </c>
      <c r="F20" s="22">
        <v>212.8</v>
      </c>
      <c r="G20" s="22">
        <v>42.4</v>
      </c>
      <c r="H20" s="22">
        <v>62.9</v>
      </c>
      <c r="I20" s="22">
        <v>53.2</v>
      </c>
      <c r="J20" s="22">
        <v>97.1</v>
      </c>
      <c r="K20" s="22">
        <v>3109.8</v>
      </c>
      <c r="L20" s="22">
        <v>301.2</v>
      </c>
      <c r="M20" s="22">
        <v>1040.0999999999999</v>
      </c>
      <c r="N20" s="22">
        <v>226.5</v>
      </c>
      <c r="O20" s="22">
        <v>293.2</v>
      </c>
      <c r="P20" s="22">
        <v>260</v>
      </c>
      <c r="Q20" s="22">
        <v>1768.6</v>
      </c>
      <c r="R20" s="22">
        <v>9.6</v>
      </c>
      <c r="S20" s="22">
        <v>20.7</v>
      </c>
      <c r="T20" s="22">
        <v>6</v>
      </c>
      <c r="U20" s="22">
        <v>4.5</v>
      </c>
      <c r="V20" s="22">
        <v>5</v>
      </c>
      <c r="W20" s="22">
        <v>18.2</v>
      </c>
      <c r="X20" s="22">
        <v>46.9</v>
      </c>
      <c r="Y20" s="22">
        <v>78.2</v>
      </c>
      <c r="Z20" s="22">
        <v>30.6</v>
      </c>
      <c r="AA20" s="22">
        <v>40.4</v>
      </c>
      <c r="AB20" s="22">
        <v>72.900000000000006</v>
      </c>
    </row>
    <row r="21" spans="1:38" s="22" customFormat="1" x14ac:dyDescent="0.25">
      <c r="A21" s="28">
        <v>9</v>
      </c>
      <c r="B21" s="27">
        <v>43720</v>
      </c>
      <c r="C21" s="29" t="s">
        <v>42</v>
      </c>
      <c r="D21" s="29">
        <v>300</v>
      </c>
      <c r="E21" s="22">
        <v>18.8</v>
      </c>
      <c r="F21" s="22">
        <v>246.8</v>
      </c>
      <c r="G21" s="22">
        <v>19.600000000000001</v>
      </c>
      <c r="H21" s="22">
        <v>59.6</v>
      </c>
      <c r="I21" s="22">
        <v>61.7</v>
      </c>
      <c r="J21" s="22">
        <v>130.69999999999999</v>
      </c>
      <c r="K21" s="22">
        <v>2739.1</v>
      </c>
      <c r="L21" s="22">
        <v>303.39999999999998</v>
      </c>
      <c r="M21" s="22">
        <v>864.2</v>
      </c>
      <c r="N21" s="22">
        <v>145.80000000000001</v>
      </c>
      <c r="O21" s="22">
        <v>353.5</v>
      </c>
      <c r="P21" s="22">
        <v>216.1</v>
      </c>
      <c r="Q21" s="22">
        <v>1571.6</v>
      </c>
      <c r="R21" s="22">
        <v>8.8000000000000007</v>
      </c>
      <c r="S21" s="22">
        <v>16.100000000000001</v>
      </c>
      <c r="T21" s="22">
        <v>8</v>
      </c>
      <c r="U21" s="22">
        <v>3.6</v>
      </c>
      <c r="V21" s="22">
        <v>5.8</v>
      </c>
      <c r="W21" s="22">
        <v>12</v>
      </c>
      <c r="X21" s="22">
        <v>49</v>
      </c>
      <c r="Y21" s="22">
        <v>80</v>
      </c>
      <c r="Z21" s="22">
        <v>25.6</v>
      </c>
      <c r="AA21" s="22">
        <v>53.4</v>
      </c>
      <c r="AB21" s="22">
        <v>59.5</v>
      </c>
    </row>
    <row r="22" spans="1:38" s="22" customFormat="1" x14ac:dyDescent="0.25">
      <c r="A22" s="28">
        <v>10</v>
      </c>
      <c r="B22" s="27">
        <v>43720</v>
      </c>
      <c r="C22" s="29" t="s">
        <v>42</v>
      </c>
      <c r="D22" s="29">
        <v>300</v>
      </c>
      <c r="E22" s="22">
        <v>25.1</v>
      </c>
      <c r="F22" s="22">
        <v>169.8</v>
      </c>
      <c r="G22" s="22">
        <v>34.9</v>
      </c>
      <c r="H22" s="22">
        <v>56.4</v>
      </c>
      <c r="I22" s="22">
        <v>42.5</v>
      </c>
      <c r="J22" s="22">
        <v>113</v>
      </c>
      <c r="K22" s="22">
        <v>2885.4</v>
      </c>
      <c r="L22" s="22">
        <v>502.8</v>
      </c>
      <c r="M22" s="22">
        <v>887.9</v>
      </c>
      <c r="N22" s="22">
        <v>157.5</v>
      </c>
      <c r="O22" s="22">
        <v>269.10000000000002</v>
      </c>
      <c r="P22" s="22">
        <v>222</v>
      </c>
      <c r="Q22" s="22">
        <v>1494.8</v>
      </c>
      <c r="R22" s="22">
        <v>9.4</v>
      </c>
      <c r="S22" s="22">
        <v>20</v>
      </c>
      <c r="T22" s="22">
        <v>7</v>
      </c>
      <c r="U22" s="22">
        <v>4.5</v>
      </c>
      <c r="V22" s="22">
        <v>5.3</v>
      </c>
      <c r="W22" s="22">
        <v>13.2</v>
      </c>
      <c r="X22" s="22">
        <v>49</v>
      </c>
      <c r="Y22" s="22">
        <v>73.599999999999994</v>
      </c>
      <c r="Z22" s="22">
        <v>27.5</v>
      </c>
      <c r="AA22" s="22">
        <v>46.6</v>
      </c>
      <c r="AB22" s="22">
        <v>63.3</v>
      </c>
    </row>
    <row r="23" spans="1:38" x14ac:dyDescent="0.25">
      <c r="A23" s="28">
        <v>11</v>
      </c>
      <c r="B23" s="3">
        <v>43733</v>
      </c>
      <c r="C23" s="29" t="s">
        <v>42</v>
      </c>
      <c r="D23" s="29">
        <v>300</v>
      </c>
      <c r="E23" s="22">
        <v>14.3</v>
      </c>
      <c r="F23" s="22">
        <v>215.8</v>
      </c>
      <c r="G23" s="22">
        <v>34.5</v>
      </c>
      <c r="H23" s="22">
        <v>86.1</v>
      </c>
      <c r="I23" s="22">
        <v>54</v>
      </c>
      <c r="J23" s="22">
        <v>95.8</v>
      </c>
      <c r="K23" s="22">
        <v>2558.8000000000002</v>
      </c>
      <c r="L23" s="22">
        <v>242.1</v>
      </c>
      <c r="M23" s="22">
        <v>992.8</v>
      </c>
      <c r="N23" s="22">
        <v>205.4</v>
      </c>
      <c r="O23" s="22">
        <v>323.5</v>
      </c>
      <c r="P23" s="22">
        <v>248.2</v>
      </c>
      <c r="Q23" s="22">
        <v>1323.9</v>
      </c>
      <c r="R23" s="22">
        <v>7.8</v>
      </c>
      <c r="S23" s="22">
        <v>16.899999999999999</v>
      </c>
      <c r="T23" s="22">
        <v>5.9</v>
      </c>
      <c r="U23" s="22">
        <v>3.8</v>
      </c>
      <c r="V23" s="22">
        <v>4.9000000000000004</v>
      </c>
      <c r="W23" s="22">
        <v>13.8</v>
      </c>
      <c r="X23" s="22">
        <v>40.6</v>
      </c>
      <c r="Y23" s="22">
        <v>70.8</v>
      </c>
      <c r="Z23" s="22">
        <v>24.6</v>
      </c>
      <c r="AA23" s="22">
        <v>37.5</v>
      </c>
      <c r="AB23" s="22">
        <v>60.8</v>
      </c>
    </row>
    <row r="25" spans="1:38" s="22" customFormat="1" x14ac:dyDescent="0.25">
      <c r="C25" s="22" t="s">
        <v>44</v>
      </c>
      <c r="D25" s="22">
        <f>AVERAGE(E3,E4,E5,E6,E7,E8)</f>
        <v>55.216666666666661</v>
      </c>
      <c r="E25" s="22">
        <f>AVERAGE(E3:E8)</f>
        <v>55.216666666666661</v>
      </c>
      <c r="F25" s="36">
        <f>AVERAGE(F3:F5,F6:F8)</f>
        <v>115.88333333333333</v>
      </c>
      <c r="G25" s="22">
        <f t="shared" ref="G25:AB25" si="0">AVERAGE(G3:G9)</f>
        <v>17.11428571428571</v>
      </c>
      <c r="H25" s="22">
        <f t="shared" si="0"/>
        <v>47.128571428571426</v>
      </c>
      <c r="I25" s="22">
        <f t="shared" si="0"/>
        <v>31.600000000000005</v>
      </c>
      <c r="J25" s="22">
        <f t="shared" si="0"/>
        <v>129.24285714285716</v>
      </c>
      <c r="K25" s="22">
        <f t="shared" si="0"/>
        <v>3262.571428571428</v>
      </c>
      <c r="L25" s="22">
        <f t="shared" si="0"/>
        <v>894.55714285714282</v>
      </c>
      <c r="M25" s="22">
        <f t="shared" si="0"/>
        <v>722.72857142857151</v>
      </c>
      <c r="N25" s="22">
        <f t="shared" si="0"/>
        <v>91.085714285714289</v>
      </c>
      <c r="O25" s="22">
        <f t="shared" si="0"/>
        <v>312.3</v>
      </c>
      <c r="P25" s="22">
        <f t="shared" si="0"/>
        <v>180.69285714285712</v>
      </c>
      <c r="Q25" s="22">
        <f t="shared" si="0"/>
        <v>1645.3</v>
      </c>
      <c r="R25" s="22">
        <f t="shared" si="0"/>
        <v>10.333333333333334</v>
      </c>
      <c r="S25" s="22">
        <f t="shared" si="0"/>
        <v>18.342857142857145</v>
      </c>
      <c r="T25" s="22">
        <f t="shared" si="0"/>
        <v>8.6999999999999993</v>
      </c>
      <c r="U25" s="22">
        <f t="shared" si="0"/>
        <v>3.3857142857142857</v>
      </c>
      <c r="V25" s="22">
        <f t="shared" si="0"/>
        <v>5.5857142857142863</v>
      </c>
      <c r="W25" s="22">
        <f t="shared" si="0"/>
        <v>12.285714285714286</v>
      </c>
      <c r="X25" s="22">
        <f t="shared" si="0"/>
        <v>51.199999999999996</v>
      </c>
      <c r="Y25" s="22">
        <f t="shared" si="0"/>
        <v>78.000000000000014</v>
      </c>
      <c r="Z25" s="22">
        <f t="shared" si="0"/>
        <v>24.142857142857142</v>
      </c>
      <c r="AA25" s="22">
        <f t="shared" si="0"/>
        <v>45.571428571428569</v>
      </c>
      <c r="AB25" s="22">
        <f t="shared" si="0"/>
        <v>58.928571428571423</v>
      </c>
    </row>
    <row r="26" spans="1:38" s="22" customFormat="1" x14ac:dyDescent="0.25">
      <c r="C26" s="22" t="s">
        <v>45</v>
      </c>
      <c r="D26" s="22">
        <f>_xlfn.STDEV.S(E3:E5,E6:E8)</f>
        <v>11.614201077416711</v>
      </c>
      <c r="E26" s="22">
        <f>_xlfn.STDEV.S(E3:E8)</f>
        <v>11.614201077416711</v>
      </c>
      <c r="F26" s="36">
        <f>_xlfn.STDEV.S(F3:F5,F6:F8)</f>
        <v>9.1689512304661509</v>
      </c>
      <c r="G26" s="22">
        <f t="shared" ref="G26:AB26" si="1">_xlfn.STDEV.S(G3:G9)</f>
        <v>7.4391819826798651</v>
      </c>
      <c r="H26" s="22">
        <f t="shared" si="1"/>
        <v>11.156868480255344</v>
      </c>
      <c r="I26" s="22">
        <f t="shared" si="1"/>
        <v>7.2392448961660349</v>
      </c>
      <c r="J26" s="22">
        <f t="shared" si="1"/>
        <v>26.58726870407828</v>
      </c>
      <c r="K26" s="22">
        <f t="shared" si="1"/>
        <v>721.04351166506717</v>
      </c>
      <c r="L26" s="22">
        <f t="shared" si="1"/>
        <v>312.44701341263669</v>
      </c>
      <c r="M26" s="22">
        <f t="shared" si="1"/>
        <v>143.04900925074244</v>
      </c>
      <c r="N26" s="22">
        <f t="shared" si="1"/>
        <v>28.318864653055837</v>
      </c>
      <c r="O26" s="22">
        <f t="shared" si="1"/>
        <v>77.68243044601526</v>
      </c>
      <c r="P26" s="22">
        <f t="shared" si="1"/>
        <v>35.751438532496373</v>
      </c>
      <c r="Q26" s="22">
        <f t="shared" si="1"/>
        <v>319.38807637939811</v>
      </c>
      <c r="R26" s="22">
        <f t="shared" si="1"/>
        <v>2.7500303028633479</v>
      </c>
      <c r="S26" s="22">
        <f t="shared" si="1"/>
        <v>4.960462728031577</v>
      </c>
      <c r="T26" s="22">
        <f t="shared" si="1"/>
        <v>2.5638512697372491</v>
      </c>
      <c r="U26" s="22">
        <f t="shared" si="1"/>
        <v>1.8586989817509201</v>
      </c>
      <c r="V26" s="22">
        <f t="shared" si="1"/>
        <v>1.330950251297385</v>
      </c>
      <c r="W26" s="22">
        <f t="shared" si="1"/>
        <v>2.4989521613592056</v>
      </c>
      <c r="X26" s="22">
        <f t="shared" si="1"/>
        <v>8.8710765975725803</v>
      </c>
      <c r="Y26" s="22">
        <f t="shared" si="1"/>
        <v>9.4286796530584187</v>
      </c>
      <c r="Z26" s="22">
        <f t="shared" si="1"/>
        <v>13.835926320375412</v>
      </c>
      <c r="AA26" s="22">
        <f t="shared" si="1"/>
        <v>11.468756730892018</v>
      </c>
      <c r="AB26" s="22">
        <f t="shared" si="1"/>
        <v>5.7072218243538542</v>
      </c>
    </row>
    <row r="27" spans="1:38" s="22" customFormat="1" x14ac:dyDescent="0.25">
      <c r="F27" s="36"/>
    </row>
    <row r="28" spans="1:38" s="22" customFormat="1" x14ac:dyDescent="0.25">
      <c r="C28" s="22" t="s">
        <v>46</v>
      </c>
      <c r="D28" s="22">
        <f>AVERAGE(E17:E19,E20:E23)</f>
        <v>18.37142857142857</v>
      </c>
      <c r="E28" s="22">
        <f>AVERAGE(E17:E23)</f>
        <v>18.37142857142857</v>
      </c>
      <c r="F28" s="36">
        <f>AVERAGE(F17:F19,F20:F23)</f>
        <v>202.15714285714284</v>
      </c>
      <c r="G28" s="22">
        <f t="shared" ref="G28:AB28" si="2">AVERAGE(G17:G23)</f>
        <v>30.142857142857142</v>
      </c>
      <c r="H28" s="22">
        <f t="shared" si="2"/>
        <v>72.657142857142858</v>
      </c>
      <c r="I28" s="22">
        <f t="shared" si="2"/>
        <v>50.571428571428569</v>
      </c>
      <c r="J28" s="22">
        <f t="shared" si="2"/>
        <v>105.88571428571429</v>
      </c>
      <c r="K28" s="22">
        <f t="shared" si="2"/>
        <v>2592.1285714285709</v>
      </c>
      <c r="L28" s="22">
        <f t="shared" si="2"/>
        <v>318.42857142857144</v>
      </c>
      <c r="M28" s="22">
        <f t="shared" si="2"/>
        <v>866.2285714285714</v>
      </c>
      <c r="N28" s="22">
        <f t="shared" si="2"/>
        <v>161.84285714285716</v>
      </c>
      <c r="O28" s="22">
        <f t="shared" si="2"/>
        <v>286.59999999999997</v>
      </c>
      <c r="P28" s="22">
        <f t="shared" si="2"/>
        <v>216.57142857142858</v>
      </c>
      <c r="Q28" s="22">
        <f t="shared" si="2"/>
        <v>1407.5142857142855</v>
      </c>
      <c r="R28" s="22">
        <f t="shared" si="2"/>
        <v>8.242857142857142</v>
      </c>
      <c r="S28" s="22">
        <f t="shared" si="2"/>
        <v>18.071428571428573</v>
      </c>
      <c r="T28" s="22">
        <f t="shared" si="2"/>
        <v>6.4857142857142858</v>
      </c>
      <c r="U28" s="22">
        <f t="shared" si="2"/>
        <v>3.4714285714285715</v>
      </c>
      <c r="V28" s="22">
        <f t="shared" si="2"/>
        <v>4.9142857142857137</v>
      </c>
      <c r="W28" s="22">
        <f t="shared" si="2"/>
        <v>13.37142857142857</v>
      </c>
      <c r="X28" s="22">
        <f t="shared" si="2"/>
        <v>46.885714285714293</v>
      </c>
      <c r="Y28" s="22">
        <f t="shared" si="2"/>
        <v>80.699999999999974</v>
      </c>
      <c r="Z28" s="22">
        <f t="shared" si="2"/>
        <v>26.199999999999996</v>
      </c>
      <c r="AA28" s="22">
        <f t="shared" si="2"/>
        <v>43.914285714285718</v>
      </c>
      <c r="AB28" s="22">
        <f t="shared" si="2"/>
        <v>66.028571428571439</v>
      </c>
    </row>
    <row r="29" spans="1:38" s="22" customFormat="1" x14ac:dyDescent="0.25">
      <c r="C29" s="22" t="s">
        <v>45</v>
      </c>
      <c r="D29" s="22">
        <f>_xlfn.STDEV.S(E17:E19,E20:E23)</f>
        <v>6.6715101453155006</v>
      </c>
      <c r="E29" s="37">
        <f>_xlfn.STDEV.S(E17:E23)</f>
        <v>6.6715101453155006</v>
      </c>
      <c r="F29" s="22">
        <f>_xlfn.STDEV.S(F17:F19,F20:F23)</f>
        <v>25.867344738289709</v>
      </c>
      <c r="G29" s="22">
        <f t="shared" ref="G29:AB29" si="3">_xlfn.STDEV.S(G17:G23)</f>
        <v>8.9431271828999375</v>
      </c>
      <c r="H29" s="22">
        <f t="shared" si="3"/>
        <v>14.315359716385863</v>
      </c>
      <c r="I29" s="22">
        <f t="shared" si="3"/>
        <v>6.4559311968954409</v>
      </c>
      <c r="J29" s="22">
        <f t="shared" si="3"/>
        <v>12.360883001283877</v>
      </c>
      <c r="K29" s="22">
        <f t="shared" si="3"/>
        <v>380.04217623085844</v>
      </c>
      <c r="L29" s="22">
        <f t="shared" si="3"/>
        <v>100.12450106884801</v>
      </c>
      <c r="M29" s="22">
        <f t="shared" si="3"/>
        <v>147.83030490267922</v>
      </c>
      <c r="N29" s="22">
        <f t="shared" si="3"/>
        <v>42.270827495364372</v>
      </c>
      <c r="O29" s="22">
        <f t="shared" si="3"/>
        <v>58.319350705119199</v>
      </c>
      <c r="P29" s="22">
        <f t="shared" si="3"/>
        <v>36.938178726340055</v>
      </c>
      <c r="Q29" s="22">
        <f t="shared" si="3"/>
        <v>250.7979361197078</v>
      </c>
      <c r="R29" s="22">
        <f t="shared" si="3"/>
        <v>1.1616900660347478</v>
      </c>
      <c r="S29" s="22">
        <f t="shared" si="3"/>
        <v>3.5752455793107369</v>
      </c>
      <c r="T29" s="22">
        <f t="shared" si="3"/>
        <v>0.84346225252146256</v>
      </c>
      <c r="U29" s="22">
        <f t="shared" si="3"/>
        <v>0.89015782442269886</v>
      </c>
      <c r="V29" s="22">
        <f t="shared" si="3"/>
        <v>0.53363086938623372</v>
      </c>
      <c r="W29" s="22">
        <f t="shared" si="3"/>
        <v>2.6443110543922335</v>
      </c>
      <c r="X29" s="22">
        <f t="shared" si="3"/>
        <v>2.9294075461479525</v>
      </c>
      <c r="Y29" s="22">
        <f t="shared" si="3"/>
        <v>7.8934572062352153</v>
      </c>
      <c r="Z29" s="22">
        <f t="shared" si="3"/>
        <v>2.9883105594968105</v>
      </c>
      <c r="AA29" s="22">
        <f t="shared" si="3"/>
        <v>5.2625812967365579</v>
      </c>
      <c r="AB29" s="22">
        <f t="shared" si="3"/>
        <v>5.0364386510424524</v>
      </c>
    </row>
    <row r="30" spans="1:38" s="22" customFormat="1" x14ac:dyDescent="0.25">
      <c r="F30" s="36"/>
    </row>
    <row r="31" spans="1:38" x14ac:dyDescent="0.25">
      <c r="C31" s="22" t="s">
        <v>48</v>
      </c>
      <c r="D31" s="22"/>
      <c r="E31" s="22">
        <f>AVERAGE(E10:E13)</f>
        <v>49.125</v>
      </c>
      <c r="F31" s="36">
        <f t="shared" ref="F31:AB31" si="4">AVERAGE(F10:F13)</f>
        <v>133.35</v>
      </c>
      <c r="G31" s="22">
        <f t="shared" si="4"/>
        <v>18.349999999999998</v>
      </c>
      <c r="H31">
        <f t="shared" si="4"/>
        <v>51.024999999999999</v>
      </c>
      <c r="I31">
        <f t="shared" si="4"/>
        <v>34.875</v>
      </c>
      <c r="J31">
        <f t="shared" si="4"/>
        <v>121.97499999999999</v>
      </c>
      <c r="K31">
        <f t="shared" si="4"/>
        <v>3717.7250000000004</v>
      </c>
      <c r="L31">
        <f t="shared" si="4"/>
        <v>880.17500000000007</v>
      </c>
      <c r="M31">
        <f t="shared" si="4"/>
        <v>1021.3499999999999</v>
      </c>
      <c r="N31">
        <f t="shared" si="4"/>
        <v>150.5</v>
      </c>
      <c r="O31">
        <f t="shared" si="4"/>
        <v>386.35</v>
      </c>
      <c r="P31">
        <f t="shared" si="4"/>
        <v>255.35000000000002</v>
      </c>
      <c r="Q31">
        <f t="shared" si="4"/>
        <v>1816.175</v>
      </c>
      <c r="R31">
        <f t="shared" si="4"/>
        <v>12.175000000000001</v>
      </c>
      <c r="S31">
        <f t="shared" si="4"/>
        <v>18.5</v>
      </c>
      <c r="T31">
        <f t="shared" si="4"/>
        <v>11.824999999999999</v>
      </c>
      <c r="U31">
        <f t="shared" si="4"/>
        <v>5.95</v>
      </c>
      <c r="V31">
        <f t="shared" si="4"/>
        <v>8.4250000000000007</v>
      </c>
      <c r="W31">
        <f t="shared" si="4"/>
        <v>15.45</v>
      </c>
      <c r="X31">
        <f t="shared" si="4"/>
        <v>59.35</v>
      </c>
      <c r="Y31">
        <f t="shared" si="4"/>
        <v>77.525000000000006</v>
      </c>
      <c r="Z31">
        <f t="shared" si="4"/>
        <v>39.675000000000004</v>
      </c>
      <c r="AA31">
        <f t="shared" si="4"/>
        <v>55.625</v>
      </c>
      <c r="AB31">
        <f t="shared" si="4"/>
        <v>70.524999999999991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x14ac:dyDescent="0.25">
      <c r="C32" s="22" t="s">
        <v>45</v>
      </c>
      <c r="D32" s="22"/>
      <c r="E32" s="37">
        <f t="shared" ref="E32:AB32" si="5">_xlfn.STDEV.S(E10:E13)</f>
        <v>12.047233430681633</v>
      </c>
      <c r="F32" s="22">
        <f t="shared" si="5"/>
        <v>24.134139028908098</v>
      </c>
      <c r="G32" s="22">
        <f t="shared" si="5"/>
        <v>4.2272922775696644</v>
      </c>
      <c r="H32">
        <f t="shared" si="5"/>
        <v>6.6570138450610132</v>
      </c>
      <c r="I32">
        <f t="shared" si="5"/>
        <v>5.8505697728226753</v>
      </c>
      <c r="J32">
        <f t="shared" si="5"/>
        <v>12.381000228845268</v>
      </c>
      <c r="K32">
        <f t="shared" si="5"/>
        <v>683.10092165555034</v>
      </c>
      <c r="L32">
        <f t="shared" si="5"/>
        <v>148.4380314025569</v>
      </c>
      <c r="M32">
        <f t="shared" si="5"/>
        <v>305.29529420983073</v>
      </c>
      <c r="N32">
        <f t="shared" si="5"/>
        <v>68.18807324843057</v>
      </c>
      <c r="O32">
        <f t="shared" si="5"/>
        <v>125.63318298390222</v>
      </c>
      <c r="P32">
        <f t="shared" si="5"/>
        <v>76.310527888795605</v>
      </c>
      <c r="Q32">
        <f t="shared" si="5"/>
        <v>317.96628096912019</v>
      </c>
      <c r="R32">
        <f t="shared" si="5"/>
        <v>2.1929812280698324</v>
      </c>
      <c r="S32">
        <f t="shared" si="5"/>
        <v>3.1790984046843724</v>
      </c>
      <c r="T32">
        <f t="shared" si="5"/>
        <v>4.2656574327216434</v>
      </c>
      <c r="U32">
        <f t="shared" si="5"/>
        <v>1.5800843859321756</v>
      </c>
      <c r="V32">
        <f t="shared" si="5"/>
        <v>2.2691775308835238</v>
      </c>
      <c r="W32">
        <f t="shared" si="5"/>
        <v>2.2158519806160353</v>
      </c>
      <c r="X32">
        <f t="shared" si="5"/>
        <v>8.224556725643847</v>
      </c>
      <c r="Y32">
        <f t="shared" si="5"/>
        <v>7.9914016292512766</v>
      </c>
      <c r="Z32">
        <f t="shared" si="5"/>
        <v>8.4897487202703896</v>
      </c>
      <c r="AA32">
        <f t="shared" si="5"/>
        <v>12.425880250509424</v>
      </c>
      <c r="AB32">
        <f t="shared" si="5"/>
        <v>5.610926839658493</v>
      </c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11.25" customHeight="1" x14ac:dyDescent="0.25">
      <c r="C33" s="22"/>
      <c r="D33" s="22"/>
      <c r="E33" s="22"/>
      <c r="F33" s="36"/>
      <c r="G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idden="1" x14ac:dyDescent="0.25">
      <c r="C34" s="22"/>
      <c r="D34" s="22"/>
      <c r="E34" s="22"/>
      <c r="F34" s="22"/>
      <c r="G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29.25" customHeight="1" x14ac:dyDescent="0.25">
      <c r="C35" s="32" t="s">
        <v>47</v>
      </c>
      <c r="D35" s="22"/>
      <c r="E35" s="22">
        <f>_xlfn.T.TEST(E3:E8,E17:E23,2,2)</f>
        <v>1.8484849291430288E-5</v>
      </c>
      <c r="F35" s="38">
        <f>_xlfn.T.TEST(F3:F8,F17:F23,2,2)</f>
        <v>9.1190244377753018E-6</v>
      </c>
      <c r="G35" s="38">
        <f t="shared" ref="G35:AB35" si="6">_xlfn.T.TEST(G3:G9,G17:G23,2,2)</f>
        <v>1.1849629278232051E-2</v>
      </c>
      <c r="H35" s="38">
        <f t="shared" si="6"/>
        <v>2.9192171522625611E-3</v>
      </c>
      <c r="I35" s="38">
        <f t="shared" si="6"/>
        <v>2.3134114534865898E-4</v>
      </c>
      <c r="J35" s="38">
        <f t="shared" si="6"/>
        <v>5.6766597385828566E-2</v>
      </c>
      <c r="K35" s="38">
        <f t="shared" si="6"/>
        <v>5.0226255895953552E-2</v>
      </c>
      <c r="L35" s="38">
        <f t="shared" si="6"/>
        <v>5.6446595640546697E-4</v>
      </c>
      <c r="M35" s="38">
        <f t="shared" si="6"/>
        <v>8.9751133888211002E-2</v>
      </c>
      <c r="N35" s="38">
        <f t="shared" si="6"/>
        <v>3.1525479658944073E-3</v>
      </c>
      <c r="O35" s="38">
        <f t="shared" si="6"/>
        <v>0.49727717596776499</v>
      </c>
      <c r="P35" s="38">
        <f t="shared" si="6"/>
        <v>8.960428319151735E-2</v>
      </c>
      <c r="Q35" s="38">
        <f t="shared" si="6"/>
        <v>0.14728761557823544</v>
      </c>
      <c r="R35" s="38">
        <f t="shared" si="6"/>
        <v>9.3003292338175336E-2</v>
      </c>
      <c r="S35" s="38">
        <f t="shared" si="6"/>
        <v>0.90845014872270602</v>
      </c>
      <c r="T35" s="38">
        <f t="shared" si="6"/>
        <v>5.074257272495189E-2</v>
      </c>
      <c r="U35" s="38">
        <f t="shared" si="6"/>
        <v>0.91419589974252013</v>
      </c>
      <c r="V35" s="38">
        <f t="shared" si="6"/>
        <v>0.23908809822127905</v>
      </c>
      <c r="W35" s="38">
        <f t="shared" si="6"/>
        <v>0.44512431872299896</v>
      </c>
      <c r="X35" s="38">
        <f t="shared" si="6"/>
        <v>0.24824809783924687</v>
      </c>
      <c r="Y35" s="38">
        <f t="shared" si="6"/>
        <v>0.57203405979301292</v>
      </c>
      <c r="Z35" s="38">
        <f t="shared" si="6"/>
        <v>0.70732963849359565</v>
      </c>
      <c r="AA35" s="38">
        <f t="shared" si="6"/>
        <v>0.73426647250263088</v>
      </c>
      <c r="AB35" s="38">
        <f t="shared" si="6"/>
        <v>2.9607841333749243E-2</v>
      </c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x14ac:dyDescent="0.25">
      <c r="C36" s="22"/>
      <c r="D36" s="22"/>
      <c r="E36" s="22"/>
      <c r="F36" s="22"/>
      <c r="G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ht="37.5" customHeight="1" x14ac:dyDescent="0.25">
      <c r="C37" s="34" t="s">
        <v>49</v>
      </c>
      <c r="E37">
        <f>_xlfn.T.TEST(E3:E5,E10:E13,2,2)</f>
        <v>0.93287641272606159</v>
      </c>
      <c r="F37" s="22">
        <f>_xlfn.T.TEST(F3:F8,F10:F13,2,2)</f>
        <v>0.13883194904264604</v>
      </c>
      <c r="G37" s="22">
        <f t="shared" ref="G37:AB37" si="7">_xlfn.T.TEST(G3:G9,G10:G13,2,2)</f>
        <v>0.77012243783548218</v>
      </c>
      <c r="H37">
        <f t="shared" si="7"/>
        <v>0.54513742477114957</v>
      </c>
      <c r="I37">
        <f t="shared" si="7"/>
        <v>0.46244115000398289</v>
      </c>
      <c r="J37">
        <f t="shared" si="7"/>
        <v>0.62410743765002441</v>
      </c>
      <c r="K37">
        <f t="shared" si="7"/>
        <v>0.33222586574745011</v>
      </c>
      <c r="L37">
        <f t="shared" si="7"/>
        <v>0.9339194742983028</v>
      </c>
      <c r="M37">
        <f t="shared" si="7"/>
        <v>5.073748758901122E-2</v>
      </c>
      <c r="N37">
        <f t="shared" si="7"/>
        <v>6.7679470713110243E-2</v>
      </c>
      <c r="O37">
        <f t="shared" si="7"/>
        <v>0.2512652819834757</v>
      </c>
      <c r="P37">
        <f t="shared" si="7"/>
        <v>5.0693182774850833E-2</v>
      </c>
      <c r="Q37">
        <f t="shared" si="7"/>
        <v>0.41481359770936477</v>
      </c>
      <c r="R37">
        <f t="shared" si="7"/>
        <v>0.29661932536220503</v>
      </c>
      <c r="S37">
        <f t="shared" si="7"/>
        <v>0.95626933556629723</v>
      </c>
      <c r="T37">
        <f t="shared" si="7"/>
        <v>0.15734382616330636</v>
      </c>
      <c r="U37">
        <f t="shared" si="7"/>
        <v>4.6199943336207257E-2</v>
      </c>
      <c r="V37">
        <f t="shared" si="7"/>
        <v>2.5990857884447546E-2</v>
      </c>
      <c r="W37">
        <f t="shared" si="7"/>
        <v>6.5512015201716234E-2</v>
      </c>
      <c r="X37">
        <f t="shared" si="7"/>
        <v>0.18180259806009122</v>
      </c>
      <c r="Y37">
        <f t="shared" si="7"/>
        <v>0.93455746501888926</v>
      </c>
      <c r="Z37">
        <f t="shared" si="7"/>
        <v>7.5046675420447906E-2</v>
      </c>
      <c r="AA37">
        <f t="shared" si="7"/>
        <v>0.20700145312314361</v>
      </c>
      <c r="AB37">
        <f t="shared" si="7"/>
        <v>9.8387233382682768E-3</v>
      </c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x14ac:dyDescent="0.25">
      <c r="F38" s="22"/>
      <c r="G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ht="46.5" customHeight="1" x14ac:dyDescent="0.25">
      <c r="C39" s="34" t="s">
        <v>50</v>
      </c>
      <c r="E39">
        <f t="shared" ref="E39:AB39" si="8">_xlfn.T.TEST(E17:E23,E10:E13,2,2)</f>
        <v>3.5470307584394229E-4</v>
      </c>
      <c r="F39">
        <f t="shared" si="8"/>
        <v>1.8813650348055778E-3</v>
      </c>
      <c r="G39">
        <f t="shared" si="8"/>
        <v>3.7134059625101273E-2</v>
      </c>
      <c r="H39">
        <f t="shared" si="8"/>
        <v>2.0544489103716014E-2</v>
      </c>
      <c r="I39">
        <f t="shared" si="8"/>
        <v>3.1102546394060487E-3</v>
      </c>
      <c r="J39">
        <f t="shared" si="8"/>
        <v>6.7751488866301723E-2</v>
      </c>
      <c r="K39">
        <f t="shared" si="8"/>
        <v>5.9438860298899696E-3</v>
      </c>
      <c r="L39">
        <f t="shared" si="8"/>
        <v>3.4426869779163297E-5</v>
      </c>
      <c r="M39">
        <f t="shared" si="8"/>
        <v>0.27647883484548891</v>
      </c>
      <c r="N39">
        <f t="shared" si="8"/>
        <v>0.73754349995912749</v>
      </c>
      <c r="O39">
        <f t="shared" si="8"/>
        <v>9.9834197648552683E-2</v>
      </c>
      <c r="P39">
        <f t="shared" si="8"/>
        <v>0.27637109396352544</v>
      </c>
      <c r="Q39">
        <f t="shared" si="8"/>
        <v>4.1856923749214923E-2</v>
      </c>
      <c r="R39">
        <f t="shared" si="8"/>
        <v>3.2765928430627165E-3</v>
      </c>
      <c r="S39">
        <f t="shared" si="8"/>
        <v>0.8472229721412059</v>
      </c>
      <c r="T39">
        <f t="shared" si="8"/>
        <v>8.7832848457612238E-3</v>
      </c>
      <c r="U39">
        <f t="shared" si="8"/>
        <v>7.99524921987293E-3</v>
      </c>
      <c r="V39">
        <f t="shared" si="8"/>
        <v>2.855350544045827E-3</v>
      </c>
      <c r="W39">
        <f t="shared" si="8"/>
        <v>0.21896930175104079</v>
      </c>
      <c r="X39">
        <f t="shared" si="8"/>
        <v>4.6239363830209773E-3</v>
      </c>
      <c r="Y39">
        <f t="shared" si="8"/>
        <v>0.53869013776104202</v>
      </c>
      <c r="Z39">
        <f t="shared" si="8"/>
        <v>3.4764669146280626E-3</v>
      </c>
      <c r="AA39">
        <f t="shared" si="8"/>
        <v>5.2332181226883032E-2</v>
      </c>
      <c r="AB39">
        <f t="shared" si="8"/>
        <v>0.20377798910801098</v>
      </c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x14ac:dyDescent="0.25">
      <c r="F40" s="22"/>
      <c r="G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x14ac:dyDescent="0.25"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x14ac:dyDescent="0.25"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x14ac:dyDescent="0.25">
      <c r="A43" s="1"/>
      <c r="B43" s="1"/>
      <c r="C43" s="1"/>
      <c r="D43" s="60" t="s">
        <v>7</v>
      </c>
      <c r="E43" s="61"/>
      <c r="F43" s="61"/>
      <c r="G43" s="61"/>
      <c r="H43" s="61"/>
      <c r="I43" s="61"/>
      <c r="J43" s="62"/>
      <c r="K43" s="65" t="s">
        <v>8</v>
      </c>
      <c r="L43" s="66"/>
      <c r="M43" s="66"/>
      <c r="N43" s="66"/>
      <c r="O43" s="66"/>
      <c r="P43" s="66"/>
      <c r="Q43" s="67"/>
      <c r="R43" s="68" t="s">
        <v>9</v>
      </c>
      <c r="S43" s="69"/>
      <c r="T43" s="69"/>
      <c r="U43" s="69"/>
      <c r="V43" s="69"/>
      <c r="W43" s="70"/>
      <c r="X43" s="39"/>
      <c r="Y43" s="63" t="s">
        <v>10</v>
      </c>
      <c r="Z43" s="64"/>
      <c r="AA43" s="64"/>
      <c r="AB43" s="64"/>
      <c r="AC43" s="13"/>
      <c r="AD43" s="56" t="s">
        <v>39</v>
      </c>
      <c r="AE43" s="57"/>
      <c r="AF43" s="57"/>
      <c r="AG43" s="57"/>
      <c r="AH43" s="57"/>
      <c r="AI43" s="58"/>
      <c r="AJ43" s="15"/>
      <c r="AK43" s="22"/>
      <c r="AL43" s="22"/>
    </row>
    <row r="44" spans="1:38" ht="45" x14ac:dyDescent="0.25">
      <c r="A44" s="2" t="s">
        <v>11</v>
      </c>
      <c r="B44" s="2" t="s">
        <v>12</v>
      </c>
      <c r="C44" s="2" t="s">
        <v>13</v>
      </c>
      <c r="D44" s="4" t="s">
        <v>0</v>
      </c>
      <c r="E44" s="5" t="s">
        <v>1</v>
      </c>
      <c r="F44" s="5" t="s">
        <v>2</v>
      </c>
      <c r="G44" s="5" t="s">
        <v>3</v>
      </c>
      <c r="H44" s="5" t="s">
        <v>4</v>
      </c>
      <c r="I44" s="5" t="s">
        <v>5</v>
      </c>
      <c r="J44" s="5" t="s">
        <v>6</v>
      </c>
      <c r="K44" s="6" t="s">
        <v>14</v>
      </c>
      <c r="L44" s="6" t="s">
        <v>15</v>
      </c>
      <c r="M44" s="6" t="s">
        <v>16</v>
      </c>
      <c r="N44" s="6" t="s">
        <v>17</v>
      </c>
      <c r="O44" s="6" t="s">
        <v>18</v>
      </c>
      <c r="P44" s="6" t="s">
        <v>19</v>
      </c>
      <c r="Q44" s="6" t="s">
        <v>20</v>
      </c>
      <c r="R44" s="7" t="s">
        <v>21</v>
      </c>
      <c r="S44" s="7" t="s">
        <v>22</v>
      </c>
      <c r="T44" s="7" t="s">
        <v>23</v>
      </c>
      <c r="U44" s="7" t="s">
        <v>24</v>
      </c>
      <c r="V44" s="7" t="s">
        <v>25</v>
      </c>
      <c r="W44" s="7" t="s">
        <v>26</v>
      </c>
      <c r="X44" s="9" t="s">
        <v>27</v>
      </c>
      <c r="Y44" s="9" t="s">
        <v>28</v>
      </c>
      <c r="Z44" s="9" t="s">
        <v>29</v>
      </c>
      <c r="AA44" s="9" t="s">
        <v>30</v>
      </c>
      <c r="AB44" s="10" t="s">
        <v>31</v>
      </c>
      <c r="AC44" s="11" t="s">
        <v>32</v>
      </c>
      <c r="AD44" s="12" t="s">
        <v>40</v>
      </c>
      <c r="AE44" s="12" t="s">
        <v>33</v>
      </c>
      <c r="AF44" s="12" t="s">
        <v>34</v>
      </c>
      <c r="AG44" s="12" t="s">
        <v>35</v>
      </c>
      <c r="AH44" s="12" t="s">
        <v>36</v>
      </c>
      <c r="AI44" s="12" t="s">
        <v>37</v>
      </c>
      <c r="AJ44" s="12" t="s">
        <v>38</v>
      </c>
      <c r="AK44" s="22"/>
      <c r="AL44" s="22"/>
    </row>
    <row r="45" spans="1:38" x14ac:dyDescent="0.25">
      <c r="A45" t="s">
        <v>57</v>
      </c>
      <c r="B45" s="3">
        <v>43747</v>
      </c>
      <c r="C45" t="s">
        <v>41</v>
      </c>
      <c r="D45">
        <v>300</v>
      </c>
      <c r="E45">
        <v>62.4</v>
      </c>
      <c r="F45">
        <v>158.80000000000001</v>
      </c>
      <c r="G45">
        <v>16.600000000000001</v>
      </c>
      <c r="H45">
        <v>61</v>
      </c>
      <c r="I45">
        <v>39.700000000000003</v>
      </c>
      <c r="J45">
        <v>108.9</v>
      </c>
      <c r="K45">
        <v>4724.5</v>
      </c>
      <c r="L45">
        <v>1494.7</v>
      </c>
      <c r="M45">
        <v>861.4</v>
      </c>
      <c r="N45">
        <v>128.1</v>
      </c>
      <c r="O45">
        <v>297.2</v>
      </c>
      <c r="P45">
        <v>215.4</v>
      </c>
      <c r="Q45">
        <v>2296.4</v>
      </c>
      <c r="R45">
        <v>14.3</v>
      </c>
      <c r="S45">
        <v>23.9</v>
      </c>
      <c r="T45">
        <v>7.7</v>
      </c>
      <c r="U45">
        <v>4.5999999999999996</v>
      </c>
      <c r="V45">
        <v>6.4</v>
      </c>
      <c r="W45">
        <v>21.1</v>
      </c>
      <c r="X45">
        <v>57.9</v>
      </c>
      <c r="Y45">
        <v>84.6</v>
      </c>
      <c r="Z45">
        <v>24</v>
      </c>
      <c r="AA45">
        <v>50</v>
      </c>
      <c r="AB45">
        <v>76.900000000000006</v>
      </c>
    </row>
    <row r="46" spans="1:38" x14ac:dyDescent="0.25">
      <c r="A46" t="s">
        <v>58</v>
      </c>
      <c r="B46" s="3">
        <v>43747</v>
      </c>
      <c r="C46" t="s">
        <v>41</v>
      </c>
      <c r="D46">
        <v>300</v>
      </c>
      <c r="E46">
        <v>55.2</v>
      </c>
      <c r="F46">
        <v>146.1</v>
      </c>
      <c r="G46" s="22">
        <v>19.600000000000001</v>
      </c>
      <c r="H46" s="22">
        <v>53.1</v>
      </c>
      <c r="I46" s="22">
        <v>36.5</v>
      </c>
      <c r="J46" s="22">
        <v>130.1</v>
      </c>
      <c r="K46" s="22">
        <v>3386.6</v>
      </c>
      <c r="L46" s="22">
        <v>786.3</v>
      </c>
      <c r="M46" s="22">
        <v>735.5</v>
      </c>
      <c r="N46" s="22">
        <v>112.4</v>
      </c>
      <c r="O46" s="22">
        <v>232.7</v>
      </c>
      <c r="P46" s="22">
        <v>183.9</v>
      </c>
      <c r="Q46" s="22">
        <v>1864.8</v>
      </c>
      <c r="R46" s="22">
        <v>10.3</v>
      </c>
      <c r="S46" s="22">
        <v>14.2</v>
      </c>
      <c r="T46" s="22">
        <v>6.3</v>
      </c>
      <c r="U46" s="22">
        <v>4.4000000000000004</v>
      </c>
      <c r="V46" s="22">
        <v>5.3</v>
      </c>
      <c r="W46" s="22">
        <v>14.3</v>
      </c>
      <c r="X46" s="22">
        <v>51.3</v>
      </c>
      <c r="Y46" s="22">
        <v>67.3</v>
      </c>
      <c r="Z46" s="22">
        <v>26.4</v>
      </c>
      <c r="AA46" s="22">
        <v>41.8</v>
      </c>
      <c r="AB46" s="22">
        <v>66</v>
      </c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s="22" customFormat="1" x14ac:dyDescent="0.25">
      <c r="A47" s="22" t="s">
        <v>59</v>
      </c>
      <c r="B47" s="27">
        <v>43747</v>
      </c>
      <c r="C47" s="22" t="s">
        <v>41</v>
      </c>
      <c r="D47" s="22">
        <v>300</v>
      </c>
      <c r="E47" s="22">
        <v>37</v>
      </c>
      <c r="F47" s="22">
        <v>148</v>
      </c>
      <c r="G47" s="22">
        <v>20</v>
      </c>
      <c r="H47" s="22">
        <v>66.5</v>
      </c>
      <c r="I47" s="22">
        <v>37</v>
      </c>
      <c r="J47" s="22">
        <v>135.6</v>
      </c>
      <c r="K47" s="22">
        <v>3361.1</v>
      </c>
      <c r="L47" s="22">
        <v>727.1</v>
      </c>
      <c r="M47" s="22">
        <v>750.5</v>
      </c>
      <c r="N47" s="22">
        <v>138.9</v>
      </c>
      <c r="O47" s="22">
        <v>234.8</v>
      </c>
      <c r="P47" s="22">
        <v>187.6</v>
      </c>
      <c r="Q47" s="22">
        <v>1883.6</v>
      </c>
      <c r="R47" s="22">
        <v>10.5</v>
      </c>
      <c r="S47" s="22">
        <v>19.7</v>
      </c>
      <c r="T47" s="22">
        <v>7.1</v>
      </c>
      <c r="U47" s="22">
        <v>3.5</v>
      </c>
      <c r="V47" s="22">
        <v>5.6</v>
      </c>
      <c r="W47" s="22">
        <v>13.9</v>
      </c>
      <c r="X47" s="22">
        <v>52.6</v>
      </c>
      <c r="Y47" s="22">
        <v>83.5</v>
      </c>
      <c r="Z47" s="22">
        <v>20.7</v>
      </c>
      <c r="AA47" s="22">
        <v>49.4</v>
      </c>
      <c r="AB47" s="22">
        <v>64.599999999999994</v>
      </c>
    </row>
    <row r="48" spans="1:38" x14ac:dyDescent="0.25"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x14ac:dyDescent="0.25">
      <c r="A49" t="s">
        <v>60</v>
      </c>
      <c r="B49" s="3">
        <v>43747</v>
      </c>
      <c r="C49" t="s">
        <v>43</v>
      </c>
      <c r="D49">
        <v>300</v>
      </c>
      <c r="E49">
        <v>23.1</v>
      </c>
      <c r="F49">
        <v>180.4</v>
      </c>
      <c r="G49" s="29">
        <v>34.1</v>
      </c>
      <c r="H49" s="29">
        <v>59.5</v>
      </c>
      <c r="I49" s="29">
        <v>45.1</v>
      </c>
      <c r="J49" s="29">
        <v>117</v>
      </c>
      <c r="K49" s="29">
        <v>4658.8</v>
      </c>
      <c r="L49" s="29">
        <v>743.4</v>
      </c>
      <c r="M49" s="29">
        <v>1156.3</v>
      </c>
      <c r="N49" s="29">
        <v>227.7</v>
      </c>
      <c r="O49" s="29">
        <v>345.4</v>
      </c>
      <c r="P49" s="29">
        <v>289.10000000000002</v>
      </c>
      <c r="Q49" s="29">
        <v>2759.1</v>
      </c>
      <c r="R49" s="29">
        <v>14.5</v>
      </c>
      <c r="S49" s="29">
        <v>32.200000000000003</v>
      </c>
      <c r="T49" s="29">
        <v>10.1</v>
      </c>
      <c r="U49" s="29">
        <v>4.5999999999999996</v>
      </c>
      <c r="V49" s="29">
        <v>7.1</v>
      </c>
      <c r="W49" s="29">
        <v>23.6</v>
      </c>
      <c r="X49" s="29">
        <v>57.7</v>
      </c>
      <c r="Y49" s="29">
        <v>96</v>
      </c>
      <c r="Z49" s="29">
        <v>31.7</v>
      </c>
      <c r="AA49" s="29">
        <v>49.8</v>
      </c>
      <c r="AB49" s="29">
        <v>81.599999999999994</v>
      </c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x14ac:dyDescent="0.25">
      <c r="A50" t="s">
        <v>61</v>
      </c>
      <c r="B50" s="3">
        <v>43747</v>
      </c>
      <c r="C50" t="s">
        <v>43</v>
      </c>
      <c r="D50">
        <v>300</v>
      </c>
      <c r="E50">
        <v>52.2</v>
      </c>
      <c r="F50">
        <v>130.69999999999999</v>
      </c>
      <c r="G50" s="29">
        <v>20.2</v>
      </c>
      <c r="H50" s="29">
        <v>61.3</v>
      </c>
      <c r="I50" s="29">
        <v>32.700000000000003</v>
      </c>
      <c r="J50" s="29">
        <v>146</v>
      </c>
      <c r="K50" s="29">
        <v>4479.2</v>
      </c>
      <c r="L50" s="29">
        <v>1350</v>
      </c>
      <c r="M50" s="29">
        <v>828.6</v>
      </c>
      <c r="N50" s="29">
        <v>152.19999999999999</v>
      </c>
      <c r="O50" s="29">
        <v>245.4</v>
      </c>
      <c r="P50" s="29">
        <v>207.2</v>
      </c>
      <c r="Q50" s="29">
        <v>2300.6999999999998</v>
      </c>
      <c r="R50" s="29">
        <v>13.6</v>
      </c>
      <c r="S50" s="29">
        <v>25.9</v>
      </c>
      <c r="T50" s="29">
        <v>9.1</v>
      </c>
      <c r="U50" s="29">
        <v>4</v>
      </c>
      <c r="V50" s="29">
        <v>7.2</v>
      </c>
      <c r="W50" s="29">
        <v>15.8</v>
      </c>
      <c r="X50" s="29">
        <v>60.1</v>
      </c>
      <c r="Y50" s="29">
        <v>95.8</v>
      </c>
      <c r="Z50" s="29">
        <v>26</v>
      </c>
      <c r="AA50" s="29">
        <v>53.3</v>
      </c>
      <c r="AB50" s="29">
        <v>67.099999999999994</v>
      </c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t="s">
        <v>62</v>
      </c>
      <c r="B51" s="3">
        <v>43747</v>
      </c>
      <c r="C51" t="s">
        <v>43</v>
      </c>
      <c r="D51">
        <v>300</v>
      </c>
      <c r="E51">
        <v>20.3</v>
      </c>
      <c r="F51">
        <v>199.8</v>
      </c>
      <c r="G51" s="29">
        <v>16</v>
      </c>
      <c r="H51" s="29">
        <v>75.599999999999994</v>
      </c>
      <c r="I51" s="29">
        <v>50</v>
      </c>
      <c r="J51" s="29">
        <v>105.6</v>
      </c>
      <c r="K51" s="29">
        <v>2859.3</v>
      </c>
      <c r="L51" s="29">
        <v>409.3</v>
      </c>
      <c r="M51" s="29">
        <v>714.7</v>
      </c>
      <c r="N51" s="29">
        <v>113.5</v>
      </c>
      <c r="O51" s="29">
        <v>251.8</v>
      </c>
      <c r="P51" s="29">
        <v>178.7</v>
      </c>
      <c r="Q51" s="29">
        <v>1735.4</v>
      </c>
      <c r="R51" s="29">
        <v>8.8000000000000007</v>
      </c>
      <c r="S51" s="29">
        <v>20.100000000000001</v>
      </c>
      <c r="T51" s="29">
        <v>7.1</v>
      </c>
      <c r="U51" s="29">
        <v>2.8</v>
      </c>
      <c r="V51" s="29">
        <v>4.5999999999999996</v>
      </c>
      <c r="W51" s="29">
        <v>16.399999999999999</v>
      </c>
      <c r="X51" s="29">
        <v>45.6</v>
      </c>
      <c r="Y51" s="29">
        <v>91.1</v>
      </c>
      <c r="Z51" s="29">
        <v>19.3</v>
      </c>
      <c r="AA51" s="29">
        <v>50.9</v>
      </c>
      <c r="AB51" s="29">
        <v>74.3</v>
      </c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t="s">
        <v>63</v>
      </c>
      <c r="B52" s="3">
        <v>43747</v>
      </c>
      <c r="C52" t="s">
        <v>43</v>
      </c>
      <c r="D52">
        <v>300</v>
      </c>
      <c r="E52">
        <v>27.4</v>
      </c>
      <c r="F52">
        <v>169.5</v>
      </c>
      <c r="G52" s="29">
        <v>31.2</v>
      </c>
      <c r="H52" s="29">
        <v>71.099999999999994</v>
      </c>
      <c r="I52" s="29">
        <v>42.4</v>
      </c>
      <c r="J52" s="29">
        <v>115.7</v>
      </c>
      <c r="K52" s="29">
        <v>3239.6</v>
      </c>
      <c r="L52" s="29">
        <v>661.6</v>
      </c>
      <c r="M52" s="29">
        <v>749.1</v>
      </c>
      <c r="N52" s="29">
        <v>142.9</v>
      </c>
      <c r="O52" s="29">
        <v>271.3</v>
      </c>
      <c r="P52" s="29">
        <v>187.3</v>
      </c>
      <c r="Q52" s="29">
        <v>1828.8</v>
      </c>
      <c r="R52" s="29">
        <v>10.4</v>
      </c>
      <c r="S52" s="29">
        <v>24.1</v>
      </c>
      <c r="T52" s="29">
        <v>5.5</v>
      </c>
      <c r="U52" s="29">
        <v>3.8</v>
      </c>
      <c r="V52" s="29">
        <v>4.5999999999999996</v>
      </c>
      <c r="W52" s="29">
        <v>15.8</v>
      </c>
      <c r="X52" s="29">
        <v>51</v>
      </c>
      <c r="Y52" s="29">
        <v>88.1</v>
      </c>
      <c r="Z52" s="29">
        <v>28.9</v>
      </c>
      <c r="AA52" s="29">
        <v>36.299999999999997</v>
      </c>
      <c r="AB52" s="29">
        <v>71</v>
      </c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x14ac:dyDescent="0.25"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x14ac:dyDescent="0.25"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x14ac:dyDescent="0.25"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x14ac:dyDescent="0.25">
      <c r="G56" s="22"/>
      <c r="H56" s="22"/>
      <c r="I56" s="22"/>
      <c r="J56" s="22"/>
      <c r="K56" s="22"/>
      <c r="L56" s="22"/>
      <c r="M56" s="22"/>
      <c r="N56" s="22"/>
      <c r="O56" s="22"/>
      <c r="P56" s="22">
        <v>273.3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x14ac:dyDescent="0.25"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</row>
    <row r="58" spans="1:38" x14ac:dyDescent="0.25"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</row>
    <row r="59" spans="1:38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</row>
    <row r="60" spans="1:38" x14ac:dyDescent="0.25">
      <c r="C60" s="22"/>
      <c r="E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</row>
    <row r="61" spans="1:38" x14ac:dyDescent="0.25">
      <c r="C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1:38" x14ac:dyDescent="0.25">
      <c r="C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</row>
    <row r="63" spans="1:38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</row>
    <row r="64" spans="1:38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2:38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2:38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2:38" x14ac:dyDescent="0.25">
      <c r="B67" s="33"/>
      <c r="C67" s="22"/>
      <c r="D67" s="59"/>
      <c r="E67" s="59"/>
      <c r="F67" s="5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</row>
    <row r="68" spans="2:38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2:38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  <row r="70" spans="2:38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2:38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2:38" x14ac:dyDescent="0.25">
      <c r="B72" s="18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</row>
    <row r="73" spans="2:38" x14ac:dyDescent="0.25">
      <c r="B73" s="18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</row>
    <row r="74" spans="2:38" x14ac:dyDescent="0.25">
      <c r="B74" s="18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</row>
    <row r="75" spans="2:38" x14ac:dyDescent="0.25">
      <c r="B75" s="18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</row>
    <row r="76" spans="2:38" x14ac:dyDescent="0.25"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</row>
    <row r="77" spans="2:38" x14ac:dyDescent="0.25"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</row>
    <row r="78" spans="2:38" x14ac:dyDescent="0.25"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</row>
    <row r="79" spans="2:38" x14ac:dyDescent="0.25"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</row>
    <row r="80" spans="2:38" x14ac:dyDescent="0.25"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</row>
    <row r="81" spans="6:38" x14ac:dyDescent="0.25"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</row>
    <row r="82" spans="6:38" x14ac:dyDescent="0.25"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</row>
    <row r="83" spans="6:38" x14ac:dyDescent="0.25"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</row>
    <row r="84" spans="6:38" x14ac:dyDescent="0.25"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</row>
    <row r="85" spans="6:38" x14ac:dyDescent="0.25"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</row>
    <row r="86" spans="6:38" x14ac:dyDescent="0.25"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</row>
    <row r="87" spans="6:38" x14ac:dyDescent="0.25"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</row>
    <row r="88" spans="6:38" x14ac:dyDescent="0.25"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</row>
    <row r="89" spans="6:38" x14ac:dyDescent="0.25"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</row>
    <row r="90" spans="6:38" x14ac:dyDescent="0.25"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</row>
    <row r="91" spans="6:38" x14ac:dyDescent="0.25"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</row>
    <row r="92" spans="6:38" x14ac:dyDescent="0.25"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</row>
    <row r="93" spans="6:38" x14ac:dyDescent="0.25"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</row>
    <row r="94" spans="6:38" x14ac:dyDescent="0.25"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</row>
    <row r="95" spans="6:38" x14ac:dyDescent="0.25"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  <row r="96" spans="6:38" x14ac:dyDescent="0.25"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</row>
    <row r="97" spans="6:38" x14ac:dyDescent="0.25"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</row>
    <row r="98" spans="6:38" x14ac:dyDescent="0.25"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</row>
    <row r="99" spans="6:38" x14ac:dyDescent="0.25"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</row>
    <row r="100" spans="6:38" x14ac:dyDescent="0.25"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</row>
    <row r="101" spans="6:38" x14ac:dyDescent="0.25"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</row>
    <row r="102" spans="6:38" x14ac:dyDescent="0.25"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</row>
    <row r="103" spans="6:38" x14ac:dyDescent="0.25"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</row>
    <row r="104" spans="6:38" x14ac:dyDescent="0.25"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</row>
    <row r="105" spans="6:38" x14ac:dyDescent="0.25"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</row>
    <row r="106" spans="6:38" x14ac:dyDescent="0.25"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</row>
    <row r="107" spans="6:38" x14ac:dyDescent="0.25"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</row>
    <row r="108" spans="6:38" x14ac:dyDescent="0.25"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</row>
    <row r="109" spans="6:38" x14ac:dyDescent="0.25"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</row>
    <row r="110" spans="6:38" x14ac:dyDescent="0.25"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</row>
    <row r="111" spans="6:38" x14ac:dyDescent="0.25"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</row>
    <row r="112" spans="6:38" x14ac:dyDescent="0.25"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</row>
    <row r="113" spans="6:38" x14ac:dyDescent="0.25"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</row>
    <row r="114" spans="6:38" x14ac:dyDescent="0.25"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</row>
    <row r="115" spans="6:38" x14ac:dyDescent="0.25"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</row>
    <row r="116" spans="6:38" x14ac:dyDescent="0.25"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</row>
    <row r="117" spans="6:38" x14ac:dyDescent="0.25"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6:38" x14ac:dyDescent="0.25"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6:38" x14ac:dyDescent="0.25"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6:38" x14ac:dyDescent="0.25"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</row>
    <row r="121" spans="6:38" x14ac:dyDescent="0.25"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</row>
    <row r="122" spans="6:38" x14ac:dyDescent="0.25"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</row>
    <row r="123" spans="6:38" x14ac:dyDescent="0.25"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</row>
    <row r="124" spans="6:38" x14ac:dyDescent="0.25"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</row>
    <row r="125" spans="6:38" x14ac:dyDescent="0.25"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</row>
    <row r="126" spans="6:38" x14ac:dyDescent="0.25"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</row>
    <row r="127" spans="6:38" x14ac:dyDescent="0.25"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</row>
    <row r="128" spans="6:38" x14ac:dyDescent="0.25"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</row>
    <row r="129" spans="6:38" x14ac:dyDescent="0.25"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</row>
    <row r="130" spans="6:38" x14ac:dyDescent="0.25"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</row>
    <row r="131" spans="6:38" x14ac:dyDescent="0.25"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</row>
    <row r="132" spans="6:38" x14ac:dyDescent="0.25"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</row>
    <row r="133" spans="6:38" x14ac:dyDescent="0.25"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</row>
    <row r="134" spans="6:38" x14ac:dyDescent="0.25"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</row>
    <row r="135" spans="6:38" x14ac:dyDescent="0.25"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</row>
    <row r="136" spans="6:38" x14ac:dyDescent="0.25"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</row>
    <row r="137" spans="6:38" x14ac:dyDescent="0.25"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</row>
    <row r="138" spans="6:38" x14ac:dyDescent="0.25"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</row>
    <row r="139" spans="6:38" x14ac:dyDescent="0.25"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</row>
    <row r="140" spans="6:38" x14ac:dyDescent="0.25"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</row>
    <row r="141" spans="6:38" x14ac:dyDescent="0.25"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</row>
    <row r="142" spans="6:38" x14ac:dyDescent="0.25"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</row>
    <row r="143" spans="6:38" x14ac:dyDescent="0.25"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</row>
    <row r="144" spans="6:38" x14ac:dyDescent="0.25"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</row>
    <row r="145" spans="6:38" x14ac:dyDescent="0.25"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</row>
    <row r="146" spans="6:38" x14ac:dyDescent="0.25"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</row>
    <row r="147" spans="6:38" x14ac:dyDescent="0.25"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</row>
    <row r="148" spans="6:38" x14ac:dyDescent="0.25"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</row>
    <row r="149" spans="6:38" x14ac:dyDescent="0.25"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</row>
    <row r="150" spans="6:38" x14ac:dyDescent="0.25"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</row>
    <row r="151" spans="6:38" x14ac:dyDescent="0.25"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</row>
    <row r="152" spans="6:38" x14ac:dyDescent="0.25"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</row>
    <row r="153" spans="6:38" x14ac:dyDescent="0.25"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</row>
    <row r="154" spans="6:38" x14ac:dyDescent="0.25"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</row>
    <row r="155" spans="6:38" x14ac:dyDescent="0.25"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</row>
    <row r="156" spans="6:38" x14ac:dyDescent="0.25"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</row>
    <row r="157" spans="6:38" x14ac:dyDescent="0.25"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</row>
    <row r="158" spans="6:38" x14ac:dyDescent="0.25"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</row>
    <row r="159" spans="6:38" x14ac:dyDescent="0.25"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</row>
    <row r="160" spans="6:38" x14ac:dyDescent="0.25"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</row>
    <row r="161" spans="6:38" x14ac:dyDescent="0.25"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</row>
    <row r="162" spans="6:38" x14ac:dyDescent="0.25"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</row>
    <row r="163" spans="6:38" x14ac:dyDescent="0.25"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</row>
    <row r="164" spans="6:38" x14ac:dyDescent="0.25"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</row>
    <row r="165" spans="6:38" x14ac:dyDescent="0.25"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</row>
    <row r="166" spans="6:38" x14ac:dyDescent="0.25"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</row>
    <row r="167" spans="6:38" x14ac:dyDescent="0.25"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</row>
    <row r="168" spans="6:38" x14ac:dyDescent="0.25"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</row>
    <row r="169" spans="6:38" x14ac:dyDescent="0.25"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</row>
    <row r="170" spans="6:38" x14ac:dyDescent="0.25"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</row>
    <row r="171" spans="6:38" x14ac:dyDescent="0.25"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</row>
    <row r="172" spans="6:38" x14ac:dyDescent="0.25"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</row>
    <row r="173" spans="6:38" x14ac:dyDescent="0.25"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</row>
    <row r="174" spans="6:38" x14ac:dyDescent="0.25"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</row>
    <row r="175" spans="6:38" x14ac:dyDescent="0.25"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</row>
    <row r="176" spans="6:38" x14ac:dyDescent="0.25"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</row>
    <row r="177" spans="6:38" x14ac:dyDescent="0.25"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</row>
    <row r="178" spans="6:38" x14ac:dyDescent="0.25"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</row>
    <row r="179" spans="6:38" x14ac:dyDescent="0.25"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</row>
    <row r="180" spans="6:38" x14ac:dyDescent="0.25"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</row>
    <row r="181" spans="6:38" x14ac:dyDescent="0.25"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</row>
    <row r="182" spans="6:38" x14ac:dyDescent="0.25"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</row>
    <row r="183" spans="6:38" x14ac:dyDescent="0.25"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</row>
    <row r="184" spans="6:38" x14ac:dyDescent="0.25"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</row>
    <row r="185" spans="6:38" x14ac:dyDescent="0.25"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</row>
    <row r="186" spans="6:38" x14ac:dyDescent="0.25"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</row>
    <row r="187" spans="6:38" x14ac:dyDescent="0.25"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</row>
    <row r="188" spans="6:38" x14ac:dyDescent="0.25"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</row>
    <row r="189" spans="6:38" x14ac:dyDescent="0.25"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</row>
    <row r="190" spans="6:38" x14ac:dyDescent="0.25"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</row>
    <row r="191" spans="6:38" x14ac:dyDescent="0.25"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</row>
    <row r="192" spans="6:38" x14ac:dyDescent="0.25"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</row>
    <row r="193" spans="6:38" x14ac:dyDescent="0.25"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</row>
    <row r="194" spans="6:38" x14ac:dyDescent="0.25"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</row>
    <row r="195" spans="6:38" x14ac:dyDescent="0.25"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</row>
    <row r="196" spans="6:38" x14ac:dyDescent="0.25"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</row>
    <row r="197" spans="6:38" x14ac:dyDescent="0.25"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</row>
    <row r="198" spans="6:38" x14ac:dyDescent="0.25"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</row>
    <row r="199" spans="6:38" x14ac:dyDescent="0.25"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</row>
    <row r="200" spans="6:38" x14ac:dyDescent="0.25"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</row>
    <row r="201" spans="6:38" x14ac:dyDescent="0.25"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</row>
    <row r="202" spans="6:38" x14ac:dyDescent="0.25"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</row>
    <row r="203" spans="6:38" x14ac:dyDescent="0.25"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</row>
    <row r="204" spans="6:38" x14ac:dyDescent="0.25"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</row>
    <row r="205" spans="6:38" x14ac:dyDescent="0.25"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</row>
    <row r="206" spans="6:38" x14ac:dyDescent="0.25"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</row>
    <row r="207" spans="6:38" x14ac:dyDescent="0.25"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</row>
    <row r="208" spans="6:38" x14ac:dyDescent="0.25"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</row>
    <row r="209" spans="6:38" x14ac:dyDescent="0.25"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</row>
    <row r="210" spans="6:38" x14ac:dyDescent="0.25"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</row>
    <row r="211" spans="6:38" x14ac:dyDescent="0.25"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</row>
    <row r="212" spans="6:38" x14ac:dyDescent="0.25"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</row>
    <row r="213" spans="6:38" x14ac:dyDescent="0.25"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</row>
    <row r="214" spans="6:38" x14ac:dyDescent="0.25"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</row>
    <row r="215" spans="6:38" x14ac:dyDescent="0.25"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</row>
    <row r="216" spans="6:38" x14ac:dyDescent="0.25"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</row>
    <row r="217" spans="6:38" x14ac:dyDescent="0.25"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</row>
    <row r="218" spans="6:38" x14ac:dyDescent="0.25"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</row>
    <row r="219" spans="6:38" x14ac:dyDescent="0.25"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</row>
    <row r="220" spans="6:38" x14ac:dyDescent="0.25"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</row>
    <row r="221" spans="6:38" x14ac:dyDescent="0.25"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</row>
    <row r="222" spans="6:38" x14ac:dyDescent="0.25"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</row>
    <row r="223" spans="6:38" x14ac:dyDescent="0.25"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</row>
    <row r="224" spans="6:38" x14ac:dyDescent="0.25"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</row>
    <row r="225" spans="6:38" x14ac:dyDescent="0.25"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</row>
    <row r="226" spans="6:38" x14ac:dyDescent="0.25"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</row>
    <row r="227" spans="6:38" x14ac:dyDescent="0.25"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</row>
    <row r="228" spans="6:38" x14ac:dyDescent="0.25"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</row>
    <row r="229" spans="6:38" x14ac:dyDescent="0.25"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</row>
    <row r="230" spans="6:38" x14ac:dyDescent="0.25"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</row>
    <row r="231" spans="6:38" x14ac:dyDescent="0.25"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</row>
    <row r="232" spans="6:38" x14ac:dyDescent="0.25"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</row>
    <row r="233" spans="6:38" x14ac:dyDescent="0.25"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</row>
    <row r="234" spans="6:38" x14ac:dyDescent="0.25"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</row>
    <row r="235" spans="6:38" x14ac:dyDescent="0.25"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</row>
    <row r="236" spans="6:38" x14ac:dyDescent="0.25"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</row>
    <row r="237" spans="6:38" x14ac:dyDescent="0.25"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</row>
    <row r="238" spans="6:38" x14ac:dyDescent="0.25"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</row>
    <row r="239" spans="6:38" x14ac:dyDescent="0.25"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</row>
    <row r="240" spans="6:38" x14ac:dyDescent="0.25"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</row>
    <row r="241" spans="6:38" x14ac:dyDescent="0.25"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</row>
    <row r="242" spans="6:38" x14ac:dyDescent="0.25"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</row>
    <row r="243" spans="6:38" x14ac:dyDescent="0.25"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</row>
    <row r="244" spans="6:38" x14ac:dyDescent="0.25"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</row>
    <row r="245" spans="6:38" x14ac:dyDescent="0.25"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</row>
    <row r="246" spans="6:38" x14ac:dyDescent="0.25"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</row>
    <row r="247" spans="6:38" x14ac:dyDescent="0.25"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</row>
    <row r="248" spans="6:38" x14ac:dyDescent="0.25"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</row>
    <row r="249" spans="6:38" x14ac:dyDescent="0.25"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</row>
    <row r="250" spans="6:38" x14ac:dyDescent="0.25"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</row>
    <row r="251" spans="6:38" x14ac:dyDescent="0.25"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</row>
    <row r="252" spans="6:38" x14ac:dyDescent="0.25"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</row>
    <row r="253" spans="6:38" x14ac:dyDescent="0.25"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</row>
    <row r="254" spans="6:38" x14ac:dyDescent="0.25"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</row>
    <row r="255" spans="6:38" x14ac:dyDescent="0.25"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</row>
    <row r="256" spans="6:38" x14ac:dyDescent="0.25"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</row>
    <row r="257" spans="6:38" x14ac:dyDescent="0.25"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</row>
    <row r="258" spans="6:38" x14ac:dyDescent="0.25"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</row>
    <row r="259" spans="6:38" x14ac:dyDescent="0.25"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</row>
    <row r="260" spans="6:38" x14ac:dyDescent="0.25"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</row>
    <row r="261" spans="6:38" x14ac:dyDescent="0.25"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</row>
    <row r="262" spans="6:38" x14ac:dyDescent="0.25"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</row>
    <row r="263" spans="6:38" x14ac:dyDescent="0.25"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</row>
    <row r="264" spans="6:38" x14ac:dyDescent="0.25"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</row>
    <row r="265" spans="6:38" x14ac:dyDescent="0.25"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</row>
    <row r="266" spans="6:38" x14ac:dyDescent="0.25"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</row>
    <row r="267" spans="6:38" x14ac:dyDescent="0.25"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</row>
    <row r="268" spans="6:38" x14ac:dyDescent="0.25"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</row>
    <row r="269" spans="6:38" x14ac:dyDescent="0.25"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</row>
    <row r="270" spans="6:38" x14ac:dyDescent="0.25"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</row>
    <row r="271" spans="6:38" x14ac:dyDescent="0.25"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</row>
    <row r="272" spans="6:38" x14ac:dyDescent="0.25"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</row>
    <row r="273" spans="6:38" x14ac:dyDescent="0.25"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</row>
    <row r="274" spans="6:38" x14ac:dyDescent="0.25"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</row>
    <row r="275" spans="6:38" x14ac:dyDescent="0.25"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</row>
    <row r="276" spans="6:38" x14ac:dyDescent="0.25"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</row>
    <row r="277" spans="6:38" x14ac:dyDescent="0.25"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</row>
    <row r="278" spans="6:38" x14ac:dyDescent="0.25"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</row>
    <row r="279" spans="6:38" x14ac:dyDescent="0.25"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</row>
    <row r="280" spans="6:38" x14ac:dyDescent="0.25"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</row>
    <row r="281" spans="6:38" x14ac:dyDescent="0.25"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</row>
    <row r="282" spans="6:38" x14ac:dyDescent="0.25"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</row>
    <row r="283" spans="6:38" x14ac:dyDescent="0.25"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6:38" x14ac:dyDescent="0.25"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</row>
    <row r="285" spans="6:38" x14ac:dyDescent="0.25"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</row>
    <row r="286" spans="6:38" x14ac:dyDescent="0.25"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</row>
    <row r="287" spans="6:38" x14ac:dyDescent="0.25"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</row>
    <row r="288" spans="6:38" x14ac:dyDescent="0.25"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</row>
    <row r="289" spans="6:38" x14ac:dyDescent="0.25"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</row>
    <row r="290" spans="6:38" x14ac:dyDescent="0.25"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</row>
    <row r="291" spans="6:38" x14ac:dyDescent="0.25"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</row>
    <row r="292" spans="6:38" x14ac:dyDescent="0.25"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</row>
    <row r="293" spans="6:38" x14ac:dyDescent="0.25"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</row>
    <row r="294" spans="6:38" x14ac:dyDescent="0.25"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</row>
    <row r="295" spans="6:38" x14ac:dyDescent="0.25"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</row>
    <row r="296" spans="6:38" x14ac:dyDescent="0.25"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</row>
    <row r="297" spans="6:38" x14ac:dyDescent="0.25"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</row>
    <row r="298" spans="6:38" x14ac:dyDescent="0.25"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</row>
    <row r="299" spans="6:38" x14ac:dyDescent="0.25"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</row>
    <row r="300" spans="6:38" x14ac:dyDescent="0.25"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</row>
    <row r="301" spans="6:38" x14ac:dyDescent="0.25"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</row>
    <row r="302" spans="6:38" x14ac:dyDescent="0.25"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</row>
    <row r="303" spans="6:38" x14ac:dyDescent="0.25"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</row>
    <row r="304" spans="6:38" x14ac:dyDescent="0.25"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</row>
    <row r="305" spans="6:38" x14ac:dyDescent="0.25"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</row>
  </sheetData>
  <mergeCells count="11">
    <mergeCell ref="AD1:AI1"/>
    <mergeCell ref="D67:F67"/>
    <mergeCell ref="D1:J1"/>
    <mergeCell ref="Y1:AB1"/>
    <mergeCell ref="K1:Q1"/>
    <mergeCell ref="R1:W1"/>
    <mergeCell ref="D43:J43"/>
    <mergeCell ref="K43:Q43"/>
    <mergeCell ref="R43:W43"/>
    <mergeCell ref="Y43:AB43"/>
    <mergeCell ref="AD43:AI4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7"/>
  <sheetViews>
    <sheetView zoomScale="70" zoomScaleNormal="70" workbookViewId="0">
      <selection activeCell="E32" sqref="E32"/>
    </sheetView>
  </sheetViews>
  <sheetFormatPr defaultRowHeight="15" x14ac:dyDescent="0.25"/>
  <cols>
    <col min="2" max="2" width="13.28515625" customWidth="1"/>
    <col min="3" max="3" width="15.42578125" customWidth="1"/>
    <col min="4" max="4" width="13.85546875" customWidth="1"/>
    <col min="5" max="5" width="14.42578125" customWidth="1"/>
    <col min="6" max="6" width="12" customWidth="1"/>
    <col min="7" max="7" width="20.28515625" customWidth="1"/>
  </cols>
  <sheetData>
    <row r="2" spans="2:34" ht="60" x14ac:dyDescent="0.25">
      <c r="C2" s="5" t="s">
        <v>51</v>
      </c>
      <c r="D2" s="5" t="s">
        <v>52</v>
      </c>
      <c r="E2" s="5" t="s">
        <v>53</v>
      </c>
      <c r="F2" s="5" t="s">
        <v>55</v>
      </c>
      <c r="G2" s="5" t="s">
        <v>54</v>
      </c>
      <c r="H2" s="5" t="s">
        <v>56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9" t="s">
        <v>27</v>
      </c>
      <c r="W2" s="9" t="s">
        <v>28</v>
      </c>
      <c r="X2" s="9" t="s">
        <v>29</v>
      </c>
      <c r="Y2" s="9" t="s">
        <v>30</v>
      </c>
      <c r="Z2" s="10" t="s">
        <v>31</v>
      </c>
      <c r="AA2" s="11" t="s">
        <v>32</v>
      </c>
      <c r="AB2" s="12" t="s">
        <v>40</v>
      </c>
      <c r="AC2" s="12" t="s">
        <v>33</v>
      </c>
      <c r="AD2" s="12" t="s">
        <v>34</v>
      </c>
      <c r="AE2" s="12" t="s">
        <v>35</v>
      </c>
      <c r="AF2" s="12" t="s">
        <v>36</v>
      </c>
      <c r="AG2" s="12" t="s">
        <v>37</v>
      </c>
      <c r="AH2" s="12" t="s">
        <v>38</v>
      </c>
    </row>
    <row r="3" spans="2:34" ht="12" customHeight="1" x14ac:dyDescent="0.25"/>
    <row r="4" spans="2:34" ht="14.25" customHeight="1" x14ac:dyDescent="0.25">
      <c r="B4" s="22" t="s">
        <v>44</v>
      </c>
      <c r="C4">
        <v>55.216666666666661</v>
      </c>
      <c r="D4">
        <v>115.88333333333333</v>
      </c>
      <c r="E4">
        <v>17.11428571428571</v>
      </c>
      <c r="F4">
        <v>47.128571428571426</v>
      </c>
      <c r="G4">
        <v>31.600000000000005</v>
      </c>
      <c r="H4">
        <f>'2019'!J25</f>
        <v>129.24285714285716</v>
      </c>
      <c r="I4">
        <f>'2019'!K25</f>
        <v>3262.571428571428</v>
      </c>
      <c r="J4">
        <f>'2019'!L25</f>
        <v>894.55714285714282</v>
      </c>
      <c r="K4">
        <f>'2019'!M25</f>
        <v>722.72857142857151</v>
      </c>
      <c r="L4">
        <f>'2019'!N25</f>
        <v>91.085714285714289</v>
      </c>
      <c r="M4">
        <f>'2019'!O25</f>
        <v>312.3</v>
      </c>
      <c r="N4">
        <f>'2019'!P25</f>
        <v>180.69285714285712</v>
      </c>
      <c r="O4">
        <f>'2019'!Q25</f>
        <v>1645.3</v>
      </c>
      <c r="P4">
        <f>'2019'!R25</f>
        <v>10.333333333333334</v>
      </c>
      <c r="Q4">
        <f>'2019'!S25</f>
        <v>18.342857142857145</v>
      </c>
      <c r="R4">
        <f>'2019'!T25</f>
        <v>8.6999999999999993</v>
      </c>
      <c r="S4">
        <f>'2019'!U25</f>
        <v>3.3857142857142857</v>
      </c>
      <c r="T4">
        <f>'2019'!V25</f>
        <v>5.5857142857142863</v>
      </c>
      <c r="U4">
        <f>'2019'!W25</f>
        <v>12.285714285714286</v>
      </c>
      <c r="V4">
        <f>'2019'!X25</f>
        <v>51.199999999999996</v>
      </c>
      <c r="W4">
        <f>'2019'!Y25</f>
        <v>78.000000000000014</v>
      </c>
      <c r="X4">
        <f>'2019'!Z25</f>
        <v>24.142857142857142</v>
      </c>
      <c r="Y4">
        <f>'2019'!AA25</f>
        <v>45.571428571428569</v>
      </c>
      <c r="Z4">
        <f>'2019'!AB25</f>
        <v>58.928571428571423</v>
      </c>
    </row>
    <row r="5" spans="2:34" x14ac:dyDescent="0.25">
      <c r="B5" s="22" t="s">
        <v>45</v>
      </c>
      <c r="C5">
        <v>11.614201077416711</v>
      </c>
      <c r="D5">
        <v>9.1689512304661509</v>
      </c>
      <c r="E5">
        <v>7.4391819826798651</v>
      </c>
      <c r="F5">
        <v>11.156868480255344</v>
      </c>
      <c r="G5">
        <v>7.2392448961660349</v>
      </c>
      <c r="H5">
        <f>'2019'!J26</f>
        <v>26.58726870407828</v>
      </c>
      <c r="I5">
        <f>'2019'!K26</f>
        <v>721.04351166506717</v>
      </c>
      <c r="J5">
        <f>'2019'!L26</f>
        <v>312.44701341263669</v>
      </c>
      <c r="K5">
        <f>'2019'!M26</f>
        <v>143.04900925074244</v>
      </c>
      <c r="L5">
        <f>'2019'!N26</f>
        <v>28.318864653055837</v>
      </c>
      <c r="M5">
        <f>'2019'!O26</f>
        <v>77.68243044601526</v>
      </c>
      <c r="N5">
        <f>'2019'!P26</f>
        <v>35.751438532496373</v>
      </c>
      <c r="O5">
        <f>'2019'!Q26</f>
        <v>319.38807637939811</v>
      </c>
      <c r="P5">
        <f>'2019'!R26</f>
        <v>2.7500303028633479</v>
      </c>
      <c r="Q5">
        <f>'2019'!S26</f>
        <v>4.960462728031577</v>
      </c>
      <c r="R5">
        <f>'2019'!T26</f>
        <v>2.5638512697372491</v>
      </c>
      <c r="S5">
        <f>'2019'!U26</f>
        <v>1.8586989817509201</v>
      </c>
      <c r="T5">
        <f>'2019'!V26</f>
        <v>1.330950251297385</v>
      </c>
      <c r="U5">
        <f>'2019'!W26</f>
        <v>2.4989521613592056</v>
      </c>
      <c r="V5">
        <f>'2019'!X26</f>
        <v>8.8710765975725803</v>
      </c>
      <c r="W5">
        <f>'2019'!Y26</f>
        <v>9.4286796530584187</v>
      </c>
      <c r="X5">
        <f>'2019'!Z26</f>
        <v>13.835926320375412</v>
      </c>
      <c r="Y5">
        <f>'2019'!AA26</f>
        <v>11.468756730892018</v>
      </c>
      <c r="Z5">
        <f>'2019'!AB26</f>
        <v>5.7072218243538542</v>
      </c>
    </row>
    <row r="7" spans="2:34" ht="30" x14ac:dyDescent="0.25">
      <c r="B7" s="34" t="s">
        <v>46</v>
      </c>
      <c r="C7">
        <v>19.049999999999997</v>
      </c>
      <c r="D7">
        <v>199.88333333333333</v>
      </c>
      <c r="E7">
        <v>29.416666666666668</v>
      </c>
      <c r="F7">
        <v>70.416666666666671</v>
      </c>
      <c r="G7">
        <v>50</v>
      </c>
      <c r="H7">
        <f>'2019'!J28</f>
        <v>105.88571428571429</v>
      </c>
      <c r="I7">
        <f>'2019'!K28</f>
        <v>2592.1285714285709</v>
      </c>
      <c r="J7">
        <f>'2019'!L28</f>
        <v>318.42857142857144</v>
      </c>
      <c r="K7">
        <f>'2019'!M28</f>
        <v>866.2285714285714</v>
      </c>
      <c r="L7">
        <f>'2019'!N28</f>
        <v>161.84285714285716</v>
      </c>
      <c r="M7">
        <f>'2019'!O28</f>
        <v>286.59999999999997</v>
      </c>
      <c r="N7">
        <f>'2019'!P28</f>
        <v>216.57142857142858</v>
      </c>
      <c r="O7">
        <f>'2019'!Q28</f>
        <v>1407.5142857142855</v>
      </c>
      <c r="P7">
        <f>'2019'!R28</f>
        <v>8.242857142857142</v>
      </c>
      <c r="Q7">
        <f>'2019'!S28</f>
        <v>18.071428571428573</v>
      </c>
      <c r="R7">
        <f>'2019'!T28</f>
        <v>6.4857142857142858</v>
      </c>
      <c r="S7">
        <f>'2019'!U28</f>
        <v>3.4714285714285715</v>
      </c>
      <c r="T7">
        <f>'2019'!V28</f>
        <v>4.9142857142857137</v>
      </c>
      <c r="U7">
        <f>'2019'!W28</f>
        <v>13.37142857142857</v>
      </c>
      <c r="V7">
        <f>'2019'!X28</f>
        <v>46.885714285714293</v>
      </c>
      <c r="W7">
        <f>'2019'!Y28</f>
        <v>80.699999999999974</v>
      </c>
      <c r="X7">
        <f>'2019'!Z28</f>
        <v>26.199999999999996</v>
      </c>
      <c r="Y7">
        <f>'2019'!AA28</f>
        <v>43.914285714285718</v>
      </c>
      <c r="Z7">
        <f>'2019'!AB28</f>
        <v>66.028571428571439</v>
      </c>
    </row>
    <row r="8" spans="2:34" x14ac:dyDescent="0.25">
      <c r="B8" t="s">
        <v>45</v>
      </c>
      <c r="C8">
        <v>7.0386788533076379</v>
      </c>
      <c r="D8">
        <v>27.559275510554805</v>
      </c>
      <c r="E8">
        <v>9.5679499719985213</v>
      </c>
      <c r="F8">
        <v>14.274090747458018</v>
      </c>
      <c r="G8">
        <v>6.8754636207313409</v>
      </c>
      <c r="H8">
        <f>'2019'!J29</f>
        <v>12.360883001283877</v>
      </c>
      <c r="I8">
        <f>'2019'!K29</f>
        <v>380.04217623085844</v>
      </c>
      <c r="J8">
        <f>'2019'!L29</f>
        <v>100.12450106884801</v>
      </c>
      <c r="K8">
        <f>'2019'!M29</f>
        <v>147.83030490267922</v>
      </c>
      <c r="L8">
        <f>'2019'!N29</f>
        <v>42.270827495364372</v>
      </c>
      <c r="M8">
        <f>'2019'!O29</f>
        <v>58.319350705119199</v>
      </c>
      <c r="N8">
        <f>'2019'!P29</f>
        <v>36.938178726340055</v>
      </c>
      <c r="O8">
        <f>'2019'!Q29</f>
        <v>250.7979361197078</v>
      </c>
      <c r="P8">
        <f>'2019'!R29</f>
        <v>1.1616900660347478</v>
      </c>
      <c r="Q8">
        <f>'2019'!S29</f>
        <v>3.5752455793107369</v>
      </c>
      <c r="R8">
        <f>'2019'!T29</f>
        <v>0.84346225252146256</v>
      </c>
      <c r="S8">
        <f>'2019'!U29</f>
        <v>0.89015782442269886</v>
      </c>
      <c r="T8">
        <f>'2019'!V29</f>
        <v>0.53363086938623372</v>
      </c>
      <c r="U8">
        <f>'2019'!W29</f>
        <v>2.6443110543922335</v>
      </c>
      <c r="V8">
        <f>'2019'!X29</f>
        <v>2.9294075461479525</v>
      </c>
      <c r="W8">
        <f>'2019'!Y29</f>
        <v>7.8934572062352153</v>
      </c>
      <c r="X8">
        <f>'2019'!Z29</f>
        <v>2.9883105594968105</v>
      </c>
      <c r="Y8">
        <f>'2019'!AA29</f>
        <v>5.2625812967365579</v>
      </c>
      <c r="Z8">
        <f>'2019'!AB29</f>
        <v>5.0364386510424524</v>
      </c>
    </row>
    <row r="10" spans="2:34" ht="30" x14ac:dyDescent="0.25">
      <c r="B10" s="34" t="s">
        <v>48</v>
      </c>
      <c r="C10">
        <v>49.125</v>
      </c>
      <c r="D10">
        <v>133.35</v>
      </c>
      <c r="E10">
        <v>18.349999999999998</v>
      </c>
      <c r="F10">
        <v>51.024999999999999</v>
      </c>
      <c r="G10">
        <v>34.875</v>
      </c>
      <c r="H10">
        <f>'2019'!J31</f>
        <v>121.97499999999999</v>
      </c>
      <c r="I10">
        <f>'2019'!K31</f>
        <v>3717.7250000000004</v>
      </c>
      <c r="J10">
        <f>'2019'!L31</f>
        <v>880.17500000000007</v>
      </c>
      <c r="K10">
        <f>'2019'!M31</f>
        <v>1021.3499999999999</v>
      </c>
      <c r="L10">
        <f>'2019'!N31</f>
        <v>150.5</v>
      </c>
      <c r="M10">
        <f>'2019'!O31</f>
        <v>386.35</v>
      </c>
      <c r="N10">
        <f>'2019'!P31</f>
        <v>255.35000000000002</v>
      </c>
      <c r="O10">
        <f>'2019'!Q31</f>
        <v>1816.175</v>
      </c>
      <c r="P10">
        <f>'2019'!R31</f>
        <v>12.175000000000001</v>
      </c>
      <c r="Q10">
        <f>'2019'!S31</f>
        <v>18.5</v>
      </c>
      <c r="R10">
        <f>'2019'!T31</f>
        <v>11.824999999999999</v>
      </c>
      <c r="S10">
        <f>'2019'!U31</f>
        <v>5.95</v>
      </c>
      <c r="T10">
        <f>'2019'!V31</f>
        <v>8.4250000000000007</v>
      </c>
      <c r="U10">
        <f>'2019'!W31</f>
        <v>15.45</v>
      </c>
      <c r="V10">
        <f>'2019'!X31</f>
        <v>59.35</v>
      </c>
      <c r="W10">
        <f>'2019'!Y31</f>
        <v>77.525000000000006</v>
      </c>
      <c r="X10">
        <f>'2019'!Z31</f>
        <v>39.675000000000004</v>
      </c>
      <c r="Y10">
        <f>'2019'!AA31</f>
        <v>55.625</v>
      </c>
      <c r="Z10">
        <f>'2019'!AB31</f>
        <v>70.524999999999991</v>
      </c>
    </row>
    <row r="11" spans="2:34" x14ac:dyDescent="0.25">
      <c r="B11" t="s">
        <v>45</v>
      </c>
      <c r="C11">
        <v>12.047233430681633</v>
      </c>
      <c r="D11">
        <v>24.134139028908098</v>
      </c>
      <c r="E11">
        <v>4.2272922775696644</v>
      </c>
      <c r="F11">
        <v>6.6570138450610132</v>
      </c>
      <c r="G11">
        <v>5.8505697728226753</v>
      </c>
      <c r="H11">
        <f>'2019'!J32</f>
        <v>12.381000228845268</v>
      </c>
      <c r="I11">
        <f>'2019'!K32</f>
        <v>683.10092165555034</v>
      </c>
      <c r="J11">
        <f>'2019'!L32</f>
        <v>148.4380314025569</v>
      </c>
      <c r="K11">
        <f>'2019'!M32</f>
        <v>305.29529420983073</v>
      </c>
      <c r="L11">
        <f>'2019'!N32</f>
        <v>68.18807324843057</v>
      </c>
      <c r="M11">
        <f>'2019'!O32</f>
        <v>125.63318298390222</v>
      </c>
      <c r="N11">
        <f>'2019'!P32</f>
        <v>76.310527888795605</v>
      </c>
      <c r="O11">
        <f>'2019'!Q32</f>
        <v>317.96628096912019</v>
      </c>
      <c r="P11">
        <f>'2019'!R32</f>
        <v>2.1929812280698324</v>
      </c>
      <c r="Q11">
        <f>'2019'!S32</f>
        <v>3.1790984046843724</v>
      </c>
      <c r="R11">
        <f>'2019'!T32</f>
        <v>4.2656574327216434</v>
      </c>
      <c r="S11">
        <f>'2019'!U32</f>
        <v>1.5800843859321756</v>
      </c>
      <c r="T11">
        <f>'2019'!V32</f>
        <v>2.2691775308835238</v>
      </c>
      <c r="U11">
        <f>'2019'!W32</f>
        <v>2.2158519806160353</v>
      </c>
      <c r="V11">
        <f>'2019'!X32</f>
        <v>8.224556725643847</v>
      </c>
      <c r="W11">
        <f>'2019'!Y32</f>
        <v>7.9914016292512766</v>
      </c>
      <c r="X11">
        <f>'2019'!Z32</f>
        <v>8.4897487202703896</v>
      </c>
      <c r="Y11">
        <f>'2019'!AA32</f>
        <v>12.425880250509424</v>
      </c>
      <c r="Z11">
        <f>'2019'!AB32</f>
        <v>5.610926839658493</v>
      </c>
    </row>
    <row r="13" spans="2:34" ht="33" customHeight="1" x14ac:dyDescent="0.25">
      <c r="B13" s="32" t="s">
        <v>47</v>
      </c>
      <c r="C13" s="35">
        <v>6.695203463806739E-5</v>
      </c>
      <c r="D13" s="35">
        <v>3.3581938011731517E-5</v>
      </c>
      <c r="E13">
        <v>2.4271614865803207E-2</v>
      </c>
      <c r="F13">
        <v>7.0282417852259513E-3</v>
      </c>
      <c r="G13">
        <v>6.7834511608268948E-4</v>
      </c>
      <c r="H13">
        <f>'2019'!J35</f>
        <v>5.6766597385828566E-2</v>
      </c>
      <c r="I13">
        <f>'2019'!K35</f>
        <v>5.0226255895953552E-2</v>
      </c>
      <c r="J13">
        <f>'2019'!L35</f>
        <v>5.6446595640546697E-4</v>
      </c>
      <c r="K13">
        <f>'2019'!M35</f>
        <v>8.9751133888211002E-2</v>
      </c>
      <c r="L13">
        <f>'2019'!N35</f>
        <v>3.1525479658944073E-3</v>
      </c>
      <c r="M13">
        <f>'2019'!O35</f>
        <v>0.49727717596776499</v>
      </c>
      <c r="N13">
        <f>'2019'!P35</f>
        <v>8.960428319151735E-2</v>
      </c>
      <c r="O13">
        <f>'2019'!Q35</f>
        <v>0.14728761557823544</v>
      </c>
      <c r="P13">
        <f>'2019'!R35</f>
        <v>9.3003292338175336E-2</v>
      </c>
      <c r="Q13">
        <f>'2019'!S35</f>
        <v>0.90845014872270602</v>
      </c>
      <c r="R13">
        <f>'2019'!T35</f>
        <v>5.074257272495189E-2</v>
      </c>
      <c r="S13">
        <f>'2019'!U35</f>
        <v>0.91419589974252013</v>
      </c>
      <c r="T13">
        <f>'2019'!V35</f>
        <v>0.23908809822127905</v>
      </c>
      <c r="U13">
        <f>'2019'!W35</f>
        <v>0.44512431872299896</v>
      </c>
      <c r="V13">
        <f>'2019'!X35</f>
        <v>0.24824809783924687</v>
      </c>
      <c r="W13">
        <f>'2019'!Y35</f>
        <v>0.57203405979301292</v>
      </c>
      <c r="X13">
        <f>'2019'!Z35</f>
        <v>0.70732963849359565</v>
      </c>
      <c r="Y13">
        <f>'2019'!AA35</f>
        <v>0.73426647250263088</v>
      </c>
      <c r="Z13">
        <f>'2019'!AB35</f>
        <v>2.9607841333749243E-2</v>
      </c>
    </row>
    <row r="15" spans="2:34" ht="45" x14ac:dyDescent="0.25">
      <c r="B15" s="34" t="s">
        <v>49</v>
      </c>
      <c r="C15">
        <v>0.44614462695310197</v>
      </c>
      <c r="D15">
        <v>0.13883194904264604</v>
      </c>
      <c r="E15">
        <v>0.77012243783548218</v>
      </c>
      <c r="F15">
        <v>0.54513742477114957</v>
      </c>
      <c r="G15">
        <v>0.46244115000398289</v>
      </c>
      <c r="H15">
        <f>'2019'!J37</f>
        <v>0.62410743765002441</v>
      </c>
      <c r="I15">
        <f>'2019'!K37</f>
        <v>0.33222586574745011</v>
      </c>
      <c r="J15">
        <f>'2019'!L37</f>
        <v>0.9339194742983028</v>
      </c>
      <c r="K15">
        <f>'2019'!M37</f>
        <v>5.073748758901122E-2</v>
      </c>
      <c r="L15">
        <f>'2019'!N37</f>
        <v>6.7679470713110243E-2</v>
      </c>
      <c r="M15">
        <f>'2019'!O37</f>
        <v>0.2512652819834757</v>
      </c>
      <c r="N15">
        <f>'2019'!P37</f>
        <v>5.0693182774850833E-2</v>
      </c>
      <c r="O15">
        <f>'2019'!Q37</f>
        <v>0.41481359770936477</v>
      </c>
      <c r="P15">
        <f>'2019'!R37</f>
        <v>0.29661932536220503</v>
      </c>
      <c r="Q15">
        <f>'2019'!S37</f>
        <v>0.95626933556629723</v>
      </c>
      <c r="R15">
        <f>'2019'!T37</f>
        <v>0.15734382616330636</v>
      </c>
      <c r="S15">
        <f>'2019'!U37</f>
        <v>4.6199943336207257E-2</v>
      </c>
      <c r="T15">
        <f>'2019'!V37</f>
        <v>2.5990857884447546E-2</v>
      </c>
      <c r="U15">
        <f>'2019'!W37</f>
        <v>6.5512015201716234E-2</v>
      </c>
      <c r="V15">
        <f>'2019'!X37</f>
        <v>0.18180259806009122</v>
      </c>
      <c r="W15">
        <f>'2019'!Y37</f>
        <v>0.93455746501888926</v>
      </c>
      <c r="X15">
        <f>'2019'!Z37</f>
        <v>7.5046675420447906E-2</v>
      </c>
      <c r="Y15">
        <f>'2019'!AA37</f>
        <v>0.20700145312314361</v>
      </c>
      <c r="Z15">
        <f>'2019'!AB37</f>
        <v>9.8387233382682768E-3</v>
      </c>
    </row>
    <row r="17" spans="2:26" ht="30" x14ac:dyDescent="0.25">
      <c r="B17" s="34" t="s">
        <v>50</v>
      </c>
      <c r="C17">
        <v>9.99077506427097E-4</v>
      </c>
      <c r="D17">
        <v>4.44905267084465E-3</v>
      </c>
      <c r="E17">
        <v>6.433032578887446E-2</v>
      </c>
      <c r="F17">
        <v>3.6724871914701952E-2</v>
      </c>
      <c r="G17">
        <v>6.9895955787600845E-3</v>
      </c>
      <c r="H17">
        <f>'2019'!J39</f>
        <v>6.7751488866301723E-2</v>
      </c>
      <c r="I17">
        <f>'2019'!K39</f>
        <v>5.9438860298899696E-3</v>
      </c>
      <c r="J17">
        <f>'2019'!L39</f>
        <v>3.4426869779163297E-5</v>
      </c>
      <c r="K17">
        <f>'2019'!M39</f>
        <v>0.27647883484548891</v>
      </c>
      <c r="L17">
        <f>'2019'!N39</f>
        <v>0.73754349995912749</v>
      </c>
      <c r="M17">
        <f>'2019'!O39</f>
        <v>9.9834197648552683E-2</v>
      </c>
      <c r="N17">
        <f>'2019'!P39</f>
        <v>0.27637109396352544</v>
      </c>
      <c r="O17">
        <f>'2019'!Q39</f>
        <v>4.1856923749214923E-2</v>
      </c>
      <c r="P17">
        <f>'2019'!R39</f>
        <v>3.2765928430627165E-3</v>
      </c>
      <c r="Q17">
        <f>'2019'!S39</f>
        <v>0.8472229721412059</v>
      </c>
      <c r="R17">
        <f>'2019'!T39</f>
        <v>8.7832848457612238E-3</v>
      </c>
      <c r="S17">
        <f>'2019'!U39</f>
        <v>7.99524921987293E-3</v>
      </c>
      <c r="T17">
        <f>'2019'!V39</f>
        <v>2.855350544045827E-3</v>
      </c>
      <c r="U17">
        <f>'2019'!W39</f>
        <v>0.21896930175104079</v>
      </c>
      <c r="V17">
        <f>'2019'!X39</f>
        <v>4.6239363830209773E-3</v>
      </c>
      <c r="W17">
        <f>'2019'!Y39</f>
        <v>0.53869013776104202</v>
      </c>
      <c r="X17">
        <f>'2019'!Z39</f>
        <v>3.4764669146280626E-3</v>
      </c>
      <c r="Y17">
        <f>'2019'!AA39</f>
        <v>5.2332181226883032E-2</v>
      </c>
      <c r="Z17">
        <f>'2019'!AB39</f>
        <v>0.20377798910801098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9"/>
  </sheetPr>
  <dimension ref="A1:AJ24"/>
  <sheetViews>
    <sheetView tabSelected="1" zoomScale="69" zoomScaleNormal="69" workbookViewId="0">
      <selection activeCell="AD23" sqref="AD23"/>
    </sheetView>
  </sheetViews>
  <sheetFormatPr defaultRowHeight="15" x14ac:dyDescent="0.25"/>
  <cols>
    <col min="2" max="2" width="12.85546875" customWidth="1"/>
    <col min="3" max="3" width="10.7109375" customWidth="1"/>
    <col min="4" max="4" width="12.5703125" customWidth="1"/>
  </cols>
  <sheetData>
    <row r="1" spans="1:36" x14ac:dyDescent="0.25">
      <c r="A1" s="1"/>
      <c r="B1" s="1"/>
      <c r="C1" s="1"/>
      <c r="D1" s="60" t="s">
        <v>7</v>
      </c>
      <c r="E1" s="61"/>
      <c r="F1" s="61"/>
      <c r="G1" s="61"/>
      <c r="H1" s="61"/>
      <c r="I1" s="61"/>
      <c r="J1" s="62"/>
      <c r="K1" s="65" t="s">
        <v>8</v>
      </c>
      <c r="L1" s="66"/>
      <c r="M1" s="66"/>
      <c r="N1" s="66"/>
      <c r="O1" s="66"/>
      <c r="P1" s="66"/>
      <c r="Q1" s="67"/>
      <c r="R1" s="68" t="s">
        <v>9</v>
      </c>
      <c r="S1" s="69"/>
      <c r="T1" s="69"/>
      <c r="U1" s="69"/>
      <c r="V1" s="69"/>
      <c r="W1" s="70"/>
      <c r="X1" s="45"/>
      <c r="Y1" s="63" t="s">
        <v>10</v>
      </c>
      <c r="Z1" s="64"/>
      <c r="AA1" s="64"/>
      <c r="AB1" s="64"/>
      <c r="AC1" s="13"/>
      <c r="AD1" s="56" t="s">
        <v>39</v>
      </c>
      <c r="AE1" s="57"/>
      <c r="AF1" s="57"/>
      <c r="AG1" s="57"/>
      <c r="AH1" s="57"/>
      <c r="AI1" s="58"/>
      <c r="AJ1" s="15"/>
    </row>
    <row r="2" spans="1:36" ht="60" x14ac:dyDescent="0.25">
      <c r="A2" s="2" t="s">
        <v>11</v>
      </c>
      <c r="B2" s="2" t="s">
        <v>12</v>
      </c>
      <c r="C2" s="2" t="s">
        <v>13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31</v>
      </c>
      <c r="AC2" s="11" t="s">
        <v>32</v>
      </c>
      <c r="AD2" s="12" t="s">
        <v>40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</row>
    <row r="3" spans="1:36" x14ac:dyDescent="0.25">
      <c r="A3" t="s">
        <v>64</v>
      </c>
      <c r="B3" s="3">
        <v>43841</v>
      </c>
      <c r="C3" t="s">
        <v>41</v>
      </c>
      <c r="E3">
        <v>104</v>
      </c>
      <c r="F3">
        <v>103.6</v>
      </c>
      <c r="G3">
        <v>10.4</v>
      </c>
      <c r="H3">
        <v>61.6</v>
      </c>
      <c r="I3">
        <v>25.9</v>
      </c>
      <c r="J3">
        <v>111</v>
      </c>
      <c r="K3">
        <v>2299</v>
      </c>
      <c r="L3">
        <v>1204.7</v>
      </c>
      <c r="M3">
        <v>253.3</v>
      </c>
      <c r="N3">
        <v>28.2</v>
      </c>
      <c r="O3">
        <v>121.1</v>
      </c>
      <c r="P3">
        <v>63.3</v>
      </c>
      <c r="Q3">
        <v>840.9</v>
      </c>
      <c r="R3">
        <v>7.2</v>
      </c>
      <c r="S3">
        <v>11.6</v>
      </c>
      <c r="T3">
        <v>4.2</v>
      </c>
      <c r="U3">
        <v>2</v>
      </c>
      <c r="V3">
        <v>2.9</v>
      </c>
      <c r="W3">
        <v>7.6</v>
      </c>
      <c r="X3">
        <v>43.1</v>
      </c>
      <c r="Y3">
        <v>64.099999999999994</v>
      </c>
      <c r="Z3">
        <v>15.8</v>
      </c>
      <c r="AA3">
        <v>36.6</v>
      </c>
      <c r="AB3">
        <v>45.4</v>
      </c>
    </row>
    <row r="4" spans="1:36" x14ac:dyDescent="0.25">
      <c r="A4" t="s">
        <v>65</v>
      </c>
      <c r="B4" s="3">
        <v>43841</v>
      </c>
      <c r="C4" t="s">
        <v>41</v>
      </c>
      <c r="E4">
        <v>43.9</v>
      </c>
      <c r="F4">
        <v>146.19999999999999</v>
      </c>
      <c r="G4">
        <v>17.5</v>
      </c>
      <c r="H4">
        <v>80.3</v>
      </c>
      <c r="I4">
        <v>36.5</v>
      </c>
      <c r="J4">
        <v>124.6</v>
      </c>
      <c r="K4">
        <v>2612.1</v>
      </c>
      <c r="L4">
        <v>778.8</v>
      </c>
      <c r="M4">
        <v>466.7</v>
      </c>
      <c r="N4">
        <v>86.1</v>
      </c>
      <c r="O4">
        <v>205.4</v>
      </c>
      <c r="P4">
        <v>116.7</v>
      </c>
      <c r="Q4">
        <v>1366.5</v>
      </c>
      <c r="R4">
        <v>8.3000000000000007</v>
      </c>
      <c r="S4">
        <v>17.7</v>
      </c>
      <c r="T4">
        <v>4.9000000000000004</v>
      </c>
      <c r="U4">
        <v>2.6</v>
      </c>
      <c r="V4">
        <v>3.75</v>
      </c>
      <c r="W4">
        <v>11</v>
      </c>
      <c r="X4">
        <v>45.8</v>
      </c>
      <c r="Y4">
        <v>80</v>
      </c>
      <c r="Z4">
        <v>21.1</v>
      </c>
      <c r="AA4">
        <v>36.299999999999997</v>
      </c>
      <c r="AB4">
        <v>58</v>
      </c>
    </row>
    <row r="5" spans="1:36" x14ac:dyDescent="0.25">
      <c r="A5" t="s">
        <v>66</v>
      </c>
      <c r="B5" s="3">
        <v>43841</v>
      </c>
      <c r="C5" t="s">
        <v>41</v>
      </c>
      <c r="E5">
        <v>40.700000000000003</v>
      </c>
      <c r="F5">
        <v>178.3</v>
      </c>
      <c r="G5">
        <v>36.6</v>
      </c>
      <c r="H5">
        <v>56.5</v>
      </c>
      <c r="I5">
        <v>44.6</v>
      </c>
      <c r="J5">
        <v>100.8</v>
      </c>
      <c r="K5">
        <v>2639</v>
      </c>
      <c r="L5">
        <v>704</v>
      </c>
      <c r="M5">
        <v>590.9</v>
      </c>
      <c r="N5">
        <v>126.3</v>
      </c>
      <c r="O5">
        <v>189.7</v>
      </c>
      <c r="P5">
        <v>147.69999999999999</v>
      </c>
      <c r="Q5">
        <v>1344</v>
      </c>
      <c r="R5">
        <v>8.1999999999999993</v>
      </c>
      <c r="S5">
        <v>17.3</v>
      </c>
      <c r="T5">
        <v>4.5999999999999996</v>
      </c>
      <c r="U5">
        <v>2.7</v>
      </c>
      <c r="V5">
        <v>3.4</v>
      </c>
      <c r="W5">
        <v>13.3</v>
      </c>
      <c r="X5">
        <v>43.5</v>
      </c>
      <c r="Y5">
        <v>81.900000000000006</v>
      </c>
      <c r="Z5">
        <v>20.6</v>
      </c>
      <c r="AA5">
        <v>33.1</v>
      </c>
      <c r="AB5">
        <v>60.8</v>
      </c>
    </row>
    <row r="6" spans="1:36" s="22" customFormat="1" x14ac:dyDescent="0.25">
      <c r="A6" s="22" t="s">
        <v>67</v>
      </c>
      <c r="B6" s="27">
        <v>43841</v>
      </c>
      <c r="C6" s="22" t="s">
        <v>41</v>
      </c>
      <c r="E6" s="22">
        <v>18</v>
      </c>
      <c r="F6" s="22">
        <v>199.3</v>
      </c>
      <c r="G6" s="22">
        <v>23.5</v>
      </c>
      <c r="H6" s="22">
        <v>77.5</v>
      </c>
      <c r="I6" s="22">
        <v>49.8</v>
      </c>
      <c r="J6" s="22">
        <v>86.5</v>
      </c>
      <c r="K6" s="22">
        <v>2144.8000000000002</v>
      </c>
      <c r="L6" s="22">
        <v>225.6</v>
      </c>
      <c r="M6" s="22">
        <v>545.20000000000005</v>
      </c>
      <c r="N6" s="22">
        <v>102.5</v>
      </c>
      <c r="O6" s="22">
        <v>210.9</v>
      </c>
      <c r="P6" s="22">
        <v>136.30000000000001</v>
      </c>
      <c r="Q6" s="22">
        <v>1374</v>
      </c>
      <c r="R6" s="22">
        <v>7.1</v>
      </c>
      <c r="S6" s="22">
        <v>12.5</v>
      </c>
      <c r="T6" s="22">
        <v>4.7</v>
      </c>
      <c r="U6" s="22">
        <v>1.6</v>
      </c>
      <c r="V6" s="22">
        <v>3.2</v>
      </c>
      <c r="W6" s="22">
        <v>15.9</v>
      </c>
      <c r="X6" s="22">
        <v>37.9</v>
      </c>
      <c r="Y6" s="22">
        <v>70.3</v>
      </c>
      <c r="Z6" s="22">
        <v>14.3</v>
      </c>
      <c r="AA6" s="22">
        <v>34.700000000000003</v>
      </c>
      <c r="AB6" s="22">
        <v>71.5</v>
      </c>
    </row>
    <row r="7" spans="1:36" x14ac:dyDescent="0.25">
      <c r="A7" t="s">
        <v>68</v>
      </c>
      <c r="B7" s="3">
        <v>43841</v>
      </c>
      <c r="C7" t="s">
        <v>41</v>
      </c>
      <c r="E7">
        <v>38.6</v>
      </c>
      <c r="F7">
        <v>177.4</v>
      </c>
      <c r="G7">
        <v>22.3</v>
      </c>
      <c r="H7">
        <v>70.5</v>
      </c>
      <c r="I7">
        <v>44.4</v>
      </c>
      <c r="J7">
        <v>103.7</v>
      </c>
      <c r="K7">
        <v>2191</v>
      </c>
      <c r="L7">
        <v>515.6</v>
      </c>
      <c r="M7">
        <v>461.1</v>
      </c>
      <c r="N7">
        <v>77</v>
      </c>
      <c r="O7">
        <v>132.5</v>
      </c>
      <c r="P7">
        <v>115.3</v>
      </c>
      <c r="Q7">
        <v>1214.3</v>
      </c>
      <c r="R7">
        <v>6.8</v>
      </c>
      <c r="S7">
        <v>13.3</v>
      </c>
      <c r="T7">
        <v>4.5999999999999996</v>
      </c>
      <c r="U7">
        <v>2.2000000000000002</v>
      </c>
      <c r="V7">
        <v>3</v>
      </c>
      <c r="W7">
        <v>11.7</v>
      </c>
      <c r="X7">
        <v>41.3</v>
      </c>
      <c r="Y7">
        <v>73.900000000000006</v>
      </c>
      <c r="Z7">
        <v>15.2</v>
      </c>
      <c r="AA7">
        <v>36.6</v>
      </c>
      <c r="AB7">
        <v>64</v>
      </c>
    </row>
    <row r="8" spans="1:36" x14ac:dyDescent="0.25">
      <c r="A8" t="s">
        <v>71</v>
      </c>
      <c r="B8" s="3">
        <v>44254</v>
      </c>
      <c r="C8" t="s">
        <v>41</v>
      </c>
      <c r="E8">
        <v>69.099999999999994</v>
      </c>
      <c r="F8">
        <v>101.5</v>
      </c>
      <c r="G8">
        <v>15.6</v>
      </c>
      <c r="H8">
        <v>38.1</v>
      </c>
      <c r="I8">
        <v>25.4</v>
      </c>
      <c r="J8">
        <v>149.80000000000001</v>
      </c>
      <c r="K8">
        <v>2441.5</v>
      </c>
      <c r="L8">
        <v>743.3</v>
      </c>
      <c r="M8">
        <v>432</v>
      </c>
      <c r="N8">
        <v>67.7</v>
      </c>
      <c r="O8">
        <v>168.5</v>
      </c>
      <c r="P8">
        <v>108</v>
      </c>
      <c r="Q8">
        <v>1266.0999999999999</v>
      </c>
      <c r="R8">
        <v>7.6</v>
      </c>
      <c r="S8">
        <v>10.8</v>
      </c>
      <c r="T8">
        <v>6.5</v>
      </c>
      <c r="U8">
        <v>3.3</v>
      </c>
      <c r="V8">
        <v>4.4000000000000004</v>
      </c>
      <c r="W8">
        <v>8.4</v>
      </c>
      <c r="X8">
        <v>48.7</v>
      </c>
      <c r="Y8">
        <v>60.8</v>
      </c>
      <c r="Z8">
        <v>27.5</v>
      </c>
      <c r="AA8">
        <v>47.6</v>
      </c>
      <c r="AB8">
        <v>54.2</v>
      </c>
    </row>
    <row r="9" spans="1:36" x14ac:dyDescent="0.25">
      <c r="A9" t="s">
        <v>72</v>
      </c>
      <c r="B9" s="3">
        <v>44254</v>
      </c>
      <c r="C9" t="s">
        <v>41</v>
      </c>
      <c r="E9">
        <v>68.8</v>
      </c>
      <c r="F9">
        <v>122.3</v>
      </c>
      <c r="G9">
        <v>13</v>
      </c>
      <c r="H9">
        <v>47</v>
      </c>
      <c r="I9">
        <v>30.6</v>
      </c>
      <c r="J9">
        <v>108.9</v>
      </c>
      <c r="K9">
        <v>2326.9</v>
      </c>
      <c r="L9">
        <v>841.8</v>
      </c>
      <c r="M9">
        <v>392.8</v>
      </c>
      <c r="N9">
        <v>70.7</v>
      </c>
      <c r="O9">
        <v>128.4</v>
      </c>
      <c r="P9">
        <v>98.2</v>
      </c>
      <c r="Q9">
        <v>1092.3</v>
      </c>
      <c r="R9">
        <v>7.5</v>
      </c>
      <c r="S9">
        <v>12.2</v>
      </c>
      <c r="T9">
        <v>5.4</v>
      </c>
      <c r="U9">
        <v>2.6</v>
      </c>
      <c r="V9">
        <v>3.7</v>
      </c>
      <c r="W9">
        <v>11.3</v>
      </c>
      <c r="X9">
        <v>43.3</v>
      </c>
      <c r="Y9">
        <v>62.9</v>
      </c>
      <c r="Z9">
        <v>18.5</v>
      </c>
      <c r="AA9">
        <v>40.799999999999997</v>
      </c>
      <c r="AB9">
        <v>58.9</v>
      </c>
    </row>
    <row r="10" spans="1:36" x14ac:dyDescent="0.25">
      <c r="A10" t="s">
        <v>79</v>
      </c>
      <c r="B10" s="3">
        <v>44254</v>
      </c>
      <c r="C10" t="s">
        <v>41</v>
      </c>
      <c r="E10">
        <v>93.1</v>
      </c>
      <c r="F10">
        <v>84.7</v>
      </c>
      <c r="G10">
        <v>7.9</v>
      </c>
      <c r="H10">
        <v>31.4</v>
      </c>
      <c r="I10">
        <v>21.2</v>
      </c>
      <c r="J10">
        <v>122.2</v>
      </c>
      <c r="K10">
        <v>2629</v>
      </c>
      <c r="L10">
        <v>1209.8</v>
      </c>
      <c r="M10">
        <v>360.2</v>
      </c>
      <c r="N10">
        <v>55</v>
      </c>
      <c r="O10">
        <v>126.7</v>
      </c>
      <c r="P10">
        <v>90</v>
      </c>
      <c r="Q10">
        <v>1059</v>
      </c>
      <c r="R10">
        <v>7.5</v>
      </c>
      <c r="S10">
        <v>13</v>
      </c>
      <c r="T10">
        <v>6.9</v>
      </c>
      <c r="U10">
        <v>3.8</v>
      </c>
      <c r="V10">
        <v>3.5</v>
      </c>
      <c r="W10">
        <v>8.6999999999999993</v>
      </c>
      <c r="X10">
        <v>43.3</v>
      </c>
      <c r="Y10">
        <v>69.8</v>
      </c>
      <c r="Z10">
        <v>31.3</v>
      </c>
      <c r="AA10">
        <v>46.7</v>
      </c>
      <c r="AB10">
        <v>53.6</v>
      </c>
    </row>
    <row r="17" spans="1:28" x14ac:dyDescent="0.25">
      <c r="A17" t="s">
        <v>69</v>
      </c>
      <c r="B17" s="3">
        <v>43861</v>
      </c>
      <c r="C17" t="s">
        <v>42</v>
      </c>
      <c r="E17">
        <v>44</v>
      </c>
      <c r="F17">
        <v>150.1</v>
      </c>
      <c r="G17">
        <v>16.3</v>
      </c>
      <c r="H17">
        <v>59.9</v>
      </c>
      <c r="I17">
        <v>37.5</v>
      </c>
      <c r="J17">
        <v>107.4</v>
      </c>
      <c r="K17">
        <v>2480.5</v>
      </c>
      <c r="L17">
        <v>591.1</v>
      </c>
      <c r="M17">
        <v>663.3</v>
      </c>
      <c r="N17">
        <v>99.7</v>
      </c>
      <c r="O17">
        <v>240.8</v>
      </c>
      <c r="P17">
        <v>165.8</v>
      </c>
      <c r="Q17">
        <v>1226.0999999999999</v>
      </c>
      <c r="R17">
        <v>8.1999999999999993</v>
      </c>
      <c r="S17">
        <v>13.4</v>
      </c>
      <c r="T17">
        <v>6.1</v>
      </c>
      <c r="U17">
        <v>2.6</v>
      </c>
      <c r="V17">
        <v>4.9000000000000004</v>
      </c>
      <c r="W17">
        <v>11.4</v>
      </c>
      <c r="X17">
        <v>44.2</v>
      </c>
      <c r="Y17">
        <v>60</v>
      </c>
      <c r="Z17">
        <v>21.9</v>
      </c>
      <c r="AA17">
        <v>40.6</v>
      </c>
      <c r="AB17">
        <v>56.9</v>
      </c>
    </row>
    <row r="18" spans="1:28" x14ac:dyDescent="0.25">
      <c r="A18" t="s">
        <v>65</v>
      </c>
      <c r="B18" s="3">
        <v>43861</v>
      </c>
      <c r="C18" t="s">
        <v>42</v>
      </c>
      <c r="E18">
        <v>13.3</v>
      </c>
      <c r="F18">
        <v>215.3</v>
      </c>
      <c r="G18">
        <v>24.1</v>
      </c>
      <c r="H18">
        <v>108.7</v>
      </c>
      <c r="I18">
        <v>53.8</v>
      </c>
      <c r="J18">
        <v>74.400000000000006</v>
      </c>
      <c r="K18">
        <v>2693.4</v>
      </c>
      <c r="L18">
        <v>243</v>
      </c>
      <c r="M18">
        <v>987.4</v>
      </c>
      <c r="N18">
        <v>182.9</v>
      </c>
      <c r="O18">
        <v>386.7</v>
      </c>
      <c r="P18">
        <v>246.9</v>
      </c>
      <c r="Q18">
        <v>1462.9</v>
      </c>
      <c r="R18">
        <v>8.9</v>
      </c>
      <c r="S18">
        <v>18.3</v>
      </c>
      <c r="T18">
        <v>7.6</v>
      </c>
      <c r="U18">
        <v>3.6</v>
      </c>
      <c r="V18">
        <v>5.5</v>
      </c>
      <c r="W18">
        <v>19.600000000000001</v>
      </c>
      <c r="X18">
        <v>44</v>
      </c>
      <c r="Y18">
        <v>83.1</v>
      </c>
      <c r="Z18">
        <v>24</v>
      </c>
      <c r="AA18">
        <v>45.5</v>
      </c>
      <c r="AB18">
        <v>76.7</v>
      </c>
    </row>
    <row r="19" spans="1:28" x14ac:dyDescent="0.25">
      <c r="A19" t="s">
        <v>66</v>
      </c>
      <c r="B19" s="3">
        <v>43861</v>
      </c>
      <c r="C19" t="s">
        <v>42</v>
      </c>
      <c r="E19">
        <v>24.7</v>
      </c>
      <c r="F19">
        <v>211.2</v>
      </c>
      <c r="G19">
        <v>22.4</v>
      </c>
      <c r="H19">
        <v>136.6</v>
      </c>
      <c r="I19">
        <v>52.8</v>
      </c>
      <c r="J19">
        <v>68.8</v>
      </c>
      <c r="K19">
        <v>2337.3000000000002</v>
      </c>
      <c r="L19">
        <v>445.6</v>
      </c>
      <c r="M19">
        <v>750.5</v>
      </c>
      <c r="N19">
        <v>116.5</v>
      </c>
      <c r="O19">
        <v>310.10000000000002</v>
      </c>
      <c r="P19">
        <v>187.6</v>
      </c>
      <c r="Q19">
        <v>1141.4000000000001</v>
      </c>
      <c r="R19">
        <v>7.7</v>
      </c>
      <c r="S19">
        <v>18</v>
      </c>
      <c r="T19">
        <v>7.1</v>
      </c>
      <c r="U19">
        <v>2.2999999999999998</v>
      </c>
      <c r="V19">
        <v>5</v>
      </c>
      <c r="W19">
        <v>16.600000000000001</v>
      </c>
      <c r="X19">
        <v>38.799999999999997</v>
      </c>
      <c r="Y19">
        <v>80.7</v>
      </c>
      <c r="Z19">
        <v>15</v>
      </c>
      <c r="AA19">
        <v>44.4</v>
      </c>
      <c r="AB19">
        <v>69.900000000000006</v>
      </c>
    </row>
    <row r="20" spans="1:28" x14ac:dyDescent="0.25">
      <c r="A20" t="s">
        <v>70</v>
      </c>
      <c r="B20" s="3">
        <v>43868</v>
      </c>
      <c r="C20" t="s">
        <v>42</v>
      </c>
      <c r="E20">
        <v>21.4</v>
      </c>
      <c r="F20">
        <v>191</v>
      </c>
      <c r="G20">
        <v>39.1</v>
      </c>
      <c r="H20">
        <v>69</v>
      </c>
      <c r="I20">
        <v>47.8</v>
      </c>
      <c r="J20">
        <v>89.8</v>
      </c>
      <c r="K20">
        <v>2663.9</v>
      </c>
      <c r="L20">
        <v>377.2</v>
      </c>
      <c r="M20">
        <v>848.9</v>
      </c>
      <c r="N20">
        <v>171.7</v>
      </c>
      <c r="O20">
        <v>251.8</v>
      </c>
      <c r="P20">
        <v>212.2</v>
      </c>
      <c r="Q20">
        <v>1437.8</v>
      </c>
      <c r="R20">
        <v>8.8000000000000007</v>
      </c>
      <c r="S20">
        <v>17.600000000000001</v>
      </c>
      <c r="T20">
        <v>5.3</v>
      </c>
      <c r="U20">
        <v>3.6</v>
      </c>
      <c r="V20">
        <v>4.5999999999999996</v>
      </c>
      <c r="W20">
        <v>16</v>
      </c>
      <c r="X20">
        <v>45.3</v>
      </c>
      <c r="Y20">
        <v>85.2</v>
      </c>
      <c r="Z20">
        <v>26.6</v>
      </c>
      <c r="AA20">
        <v>34.4</v>
      </c>
      <c r="AB20">
        <v>66.7</v>
      </c>
    </row>
    <row r="21" spans="1:28" x14ac:dyDescent="0.25">
      <c r="A21" t="s">
        <v>68</v>
      </c>
      <c r="B21" s="3">
        <v>43868</v>
      </c>
      <c r="C21" t="s">
        <v>42</v>
      </c>
      <c r="E21">
        <v>26.1</v>
      </c>
      <c r="F21">
        <v>146.19999999999999</v>
      </c>
      <c r="G21">
        <v>22.8</v>
      </c>
      <c r="H21">
        <v>63.7</v>
      </c>
      <c r="I21">
        <v>36.549999999999997</v>
      </c>
      <c r="J21">
        <v>130.4</v>
      </c>
      <c r="K21">
        <v>3125.4</v>
      </c>
      <c r="L21">
        <v>628.6</v>
      </c>
      <c r="M21">
        <v>825.7</v>
      </c>
      <c r="N21">
        <v>143.19999999999999</v>
      </c>
      <c r="O21">
        <v>330.3</v>
      </c>
      <c r="P21">
        <v>206.4</v>
      </c>
      <c r="Q21">
        <v>1671.2</v>
      </c>
      <c r="R21">
        <v>10.3</v>
      </c>
      <c r="S21">
        <v>24</v>
      </c>
      <c r="T21">
        <v>7.2</v>
      </c>
      <c r="U21">
        <v>4.5</v>
      </c>
      <c r="V21">
        <v>5.9</v>
      </c>
      <c r="W21">
        <v>12.8</v>
      </c>
      <c r="X21">
        <v>51.5</v>
      </c>
      <c r="Y21">
        <v>91.3</v>
      </c>
      <c r="Z21">
        <v>30.1</v>
      </c>
      <c r="AA21">
        <v>48.3</v>
      </c>
      <c r="AB21">
        <v>59.2</v>
      </c>
    </row>
    <row r="22" spans="1:28" x14ac:dyDescent="0.25">
      <c r="A22" t="s">
        <v>71</v>
      </c>
      <c r="B22" s="3">
        <v>44285</v>
      </c>
      <c r="C22" t="s">
        <v>42</v>
      </c>
      <c r="E22">
        <v>19</v>
      </c>
      <c r="F22">
        <v>207.7</v>
      </c>
      <c r="G22">
        <v>19.8</v>
      </c>
      <c r="H22">
        <v>114.7</v>
      </c>
      <c r="I22">
        <v>51.9</v>
      </c>
      <c r="J22">
        <v>78.599999999999994</v>
      </c>
      <c r="K22">
        <v>1820.4</v>
      </c>
      <c r="L22">
        <v>334.9</v>
      </c>
      <c r="M22">
        <v>480.7</v>
      </c>
      <c r="N22">
        <v>86.2</v>
      </c>
      <c r="O22">
        <v>193</v>
      </c>
      <c r="P22">
        <v>120.2</v>
      </c>
      <c r="Q22">
        <v>1004.9</v>
      </c>
      <c r="R22">
        <v>6</v>
      </c>
      <c r="S22">
        <v>17.600000000000001</v>
      </c>
      <c r="T22">
        <v>5</v>
      </c>
      <c r="U22">
        <v>1.7</v>
      </c>
      <c r="V22">
        <v>2.9</v>
      </c>
      <c r="W22">
        <v>12.8</v>
      </c>
      <c r="X22">
        <v>36.200000000000003</v>
      </c>
      <c r="Y22">
        <v>85.9</v>
      </c>
      <c r="Z22">
        <v>15</v>
      </c>
      <c r="AA22">
        <v>33.4</v>
      </c>
      <c r="AB22">
        <v>69.8</v>
      </c>
    </row>
    <row r="23" spans="1:28" x14ac:dyDescent="0.25">
      <c r="A23" t="s">
        <v>72</v>
      </c>
      <c r="B23" s="3">
        <v>44285</v>
      </c>
      <c r="C23" t="s">
        <v>42</v>
      </c>
      <c r="E23">
        <v>29.4</v>
      </c>
      <c r="F23">
        <v>174.9</v>
      </c>
      <c r="G23">
        <v>17.399999999999999</v>
      </c>
      <c r="H23">
        <v>104.8</v>
      </c>
      <c r="I23">
        <v>43.7</v>
      </c>
      <c r="J23">
        <v>89.2</v>
      </c>
      <c r="K23">
        <v>1588.3</v>
      </c>
      <c r="L23">
        <v>449.3</v>
      </c>
      <c r="M23">
        <v>334.1</v>
      </c>
      <c r="N23">
        <v>71.099999999999994</v>
      </c>
      <c r="O23">
        <v>100.4</v>
      </c>
      <c r="P23">
        <v>83.5</v>
      </c>
      <c r="Q23">
        <v>804.5</v>
      </c>
      <c r="R23">
        <v>5.4</v>
      </c>
      <c r="S23">
        <v>15.3</v>
      </c>
      <c r="T23">
        <v>4.5999999999999996</v>
      </c>
      <c r="U23">
        <v>0.8</v>
      </c>
      <c r="V23">
        <v>3</v>
      </c>
      <c r="W23">
        <v>9</v>
      </c>
      <c r="X23">
        <v>34.200000000000003</v>
      </c>
      <c r="Y23">
        <v>78.400000000000006</v>
      </c>
      <c r="Z23">
        <v>7.9</v>
      </c>
      <c r="AA23">
        <v>37.299999999999997</v>
      </c>
      <c r="AB23">
        <v>54.4</v>
      </c>
    </row>
    <row r="24" spans="1:28" x14ac:dyDescent="0.25">
      <c r="A24" t="s">
        <v>79</v>
      </c>
      <c r="B24" s="3">
        <v>44285</v>
      </c>
      <c r="C24" t="s">
        <v>42</v>
      </c>
      <c r="E24">
        <v>51.9</v>
      </c>
      <c r="F24">
        <v>99.8</v>
      </c>
      <c r="G24">
        <v>12.8</v>
      </c>
      <c r="H24">
        <v>36.200000000000003</v>
      </c>
      <c r="I24">
        <v>24.9</v>
      </c>
      <c r="J24">
        <v>141.80000000000001</v>
      </c>
      <c r="K24">
        <v>2036.4</v>
      </c>
      <c r="L24">
        <v>669.4</v>
      </c>
      <c r="M24">
        <v>380.1</v>
      </c>
      <c r="N24">
        <v>74.8</v>
      </c>
      <c r="O24">
        <v>120.9</v>
      </c>
      <c r="P24">
        <v>95</v>
      </c>
      <c r="Q24">
        <v>986.8</v>
      </c>
      <c r="R24">
        <v>6.9</v>
      </c>
      <c r="S24">
        <v>12.9</v>
      </c>
      <c r="T24">
        <v>5.8</v>
      </c>
      <c r="U24">
        <v>2.6</v>
      </c>
      <c r="V24">
        <v>4.3</v>
      </c>
      <c r="W24">
        <v>7</v>
      </c>
      <c r="X24">
        <v>41.5</v>
      </c>
      <c r="Y24">
        <v>65.599999999999994</v>
      </c>
      <c r="Z24">
        <v>23.4</v>
      </c>
      <c r="AA24">
        <v>40.1</v>
      </c>
      <c r="AB24">
        <v>41.4</v>
      </c>
    </row>
  </sheetData>
  <mergeCells count="5">
    <mergeCell ref="D1:J1"/>
    <mergeCell ref="K1:Q1"/>
    <mergeCell ref="R1:W1"/>
    <mergeCell ref="Y1:AB1"/>
    <mergeCell ref="AD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E8C6"/>
  </sheetPr>
  <dimension ref="A1:AL58"/>
  <sheetViews>
    <sheetView zoomScale="70" zoomScaleNormal="70" workbookViewId="0">
      <selection activeCell="S38" sqref="S38"/>
    </sheetView>
  </sheetViews>
  <sheetFormatPr defaultRowHeight="15" x14ac:dyDescent="0.25"/>
  <cols>
    <col min="2" max="2" width="11.140625" bestFit="1" customWidth="1"/>
    <col min="3" max="3" width="12.140625" customWidth="1"/>
    <col min="4" max="4" width="10.140625" customWidth="1"/>
    <col min="5" max="5" width="11.42578125" customWidth="1"/>
  </cols>
  <sheetData>
    <row r="1" spans="1:36" x14ac:dyDescent="0.25">
      <c r="A1" s="1"/>
      <c r="B1" s="1"/>
      <c r="C1" s="1"/>
      <c r="D1" s="60" t="s">
        <v>7</v>
      </c>
      <c r="E1" s="61"/>
      <c r="F1" s="61"/>
      <c r="G1" s="61"/>
      <c r="H1" s="61"/>
      <c r="I1" s="61"/>
      <c r="J1" s="62"/>
      <c r="K1" s="65" t="s">
        <v>8</v>
      </c>
      <c r="L1" s="66"/>
      <c r="M1" s="66"/>
      <c r="N1" s="66"/>
      <c r="O1" s="66"/>
      <c r="P1" s="66"/>
      <c r="Q1" s="67"/>
      <c r="R1" s="68" t="s">
        <v>9</v>
      </c>
      <c r="S1" s="69"/>
      <c r="T1" s="69"/>
      <c r="U1" s="69"/>
      <c r="V1" s="69"/>
      <c r="W1" s="70"/>
      <c r="X1" s="46"/>
      <c r="Y1" s="63" t="s">
        <v>10</v>
      </c>
      <c r="Z1" s="64"/>
      <c r="AA1" s="64"/>
      <c r="AB1" s="64"/>
      <c r="AC1" s="13"/>
      <c r="AD1" s="56" t="s">
        <v>39</v>
      </c>
      <c r="AE1" s="57"/>
      <c r="AF1" s="57"/>
      <c r="AG1" s="57"/>
      <c r="AH1" s="57"/>
      <c r="AI1" s="58"/>
      <c r="AJ1" s="15"/>
    </row>
    <row r="2" spans="1:36" ht="60" x14ac:dyDescent="0.25">
      <c r="A2" s="2" t="s">
        <v>11</v>
      </c>
      <c r="B2" s="2" t="s">
        <v>12</v>
      </c>
      <c r="C2" s="2" t="s">
        <v>13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31</v>
      </c>
      <c r="AC2" s="11" t="s">
        <v>32</v>
      </c>
      <c r="AD2" s="12" t="s">
        <v>40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</row>
    <row r="3" spans="1:36" x14ac:dyDescent="0.25">
      <c r="A3" t="s">
        <v>64</v>
      </c>
      <c r="B3" s="3">
        <v>43861</v>
      </c>
      <c r="C3" s="49" t="s">
        <v>41</v>
      </c>
      <c r="E3">
        <v>42.7</v>
      </c>
      <c r="F3">
        <v>124.5</v>
      </c>
      <c r="G3">
        <v>26.3</v>
      </c>
      <c r="H3">
        <v>36.299999999999997</v>
      </c>
      <c r="I3">
        <v>31.1</v>
      </c>
      <c r="J3">
        <v>148.4</v>
      </c>
      <c r="K3">
        <v>1985.2</v>
      </c>
      <c r="L3">
        <v>568.70000000000005</v>
      </c>
      <c r="M3">
        <v>448.9</v>
      </c>
      <c r="N3">
        <v>65.900000000000006</v>
      </c>
      <c r="O3">
        <v>141.19999999999999</v>
      </c>
      <c r="P3">
        <v>112.2</v>
      </c>
      <c r="Q3">
        <v>967.5</v>
      </c>
      <c r="R3">
        <v>6.3</v>
      </c>
      <c r="S3">
        <v>13.3</v>
      </c>
      <c r="T3">
        <v>4.7</v>
      </c>
      <c r="U3">
        <v>1.8</v>
      </c>
      <c r="V3">
        <v>3.7</v>
      </c>
      <c r="W3">
        <v>6.5</v>
      </c>
      <c r="X3">
        <v>41.9</v>
      </c>
      <c r="Y3">
        <v>77.2</v>
      </c>
      <c r="Z3">
        <v>15.1</v>
      </c>
      <c r="AA3">
        <v>38.299999999999997</v>
      </c>
      <c r="AB3">
        <v>43.5</v>
      </c>
    </row>
    <row r="4" spans="1:36" x14ac:dyDescent="0.25">
      <c r="A4" t="s">
        <v>66</v>
      </c>
      <c r="B4" s="3">
        <v>43861</v>
      </c>
      <c r="C4" s="49" t="s">
        <v>41</v>
      </c>
      <c r="E4">
        <v>59</v>
      </c>
      <c r="F4">
        <v>149.1</v>
      </c>
      <c r="G4">
        <v>29.9</v>
      </c>
      <c r="H4">
        <v>51.4</v>
      </c>
      <c r="I4">
        <v>37.299999999999997</v>
      </c>
      <c r="J4">
        <v>82.3</v>
      </c>
      <c r="K4">
        <v>3537.4</v>
      </c>
      <c r="L4">
        <v>1131.5999999999999</v>
      </c>
      <c r="M4">
        <v>782.2</v>
      </c>
      <c r="N4">
        <v>164.2</v>
      </c>
      <c r="O4">
        <v>164.2</v>
      </c>
      <c r="P4">
        <v>195.6</v>
      </c>
      <c r="Q4">
        <v>1623.7</v>
      </c>
      <c r="R4">
        <v>11.4</v>
      </c>
      <c r="S4">
        <v>19.2</v>
      </c>
      <c r="T4">
        <v>6.8</v>
      </c>
      <c r="U4">
        <v>4.0999999999999996</v>
      </c>
      <c r="V4">
        <v>5.5</v>
      </c>
      <c r="W4">
        <v>15.9</v>
      </c>
      <c r="X4">
        <v>53.7</v>
      </c>
      <c r="Y4">
        <v>76.099999999999994</v>
      </c>
      <c r="Z4">
        <v>31</v>
      </c>
      <c r="AA4">
        <v>42.2</v>
      </c>
      <c r="AB4">
        <v>70</v>
      </c>
    </row>
    <row r="5" spans="1:36" x14ac:dyDescent="0.25">
      <c r="A5" t="s">
        <v>71</v>
      </c>
      <c r="B5" s="3">
        <v>43861</v>
      </c>
      <c r="C5" s="49" t="s">
        <v>41</v>
      </c>
      <c r="E5">
        <v>35.700000000000003</v>
      </c>
      <c r="F5">
        <v>164.8</v>
      </c>
      <c r="G5">
        <v>31.8</v>
      </c>
      <c r="H5">
        <v>64.7</v>
      </c>
      <c r="I5">
        <v>41.2</v>
      </c>
      <c r="J5">
        <v>115.5</v>
      </c>
      <c r="K5">
        <v>3605</v>
      </c>
      <c r="L5">
        <v>802.8</v>
      </c>
      <c r="M5">
        <v>871.1</v>
      </c>
      <c r="N5">
        <v>193.9</v>
      </c>
      <c r="O5">
        <v>259.5</v>
      </c>
      <c r="P5">
        <v>217.7</v>
      </c>
      <c r="Q5">
        <v>1931.1</v>
      </c>
      <c r="R5">
        <v>11.4</v>
      </c>
      <c r="S5">
        <v>22.5</v>
      </c>
      <c r="T5">
        <v>6.2</v>
      </c>
      <c r="U5">
        <v>4</v>
      </c>
      <c r="V5">
        <v>5.6</v>
      </c>
      <c r="W5">
        <v>16.7</v>
      </c>
      <c r="X5">
        <v>54.6</v>
      </c>
      <c r="Y5">
        <v>86.5</v>
      </c>
      <c r="Z5">
        <v>28.6</v>
      </c>
      <c r="AA5">
        <v>41</v>
      </c>
      <c r="AB5">
        <v>72.900000000000006</v>
      </c>
    </row>
    <row r="6" spans="1:36" x14ac:dyDescent="0.25">
      <c r="A6" t="s">
        <v>72</v>
      </c>
      <c r="B6" s="3">
        <v>43861</v>
      </c>
      <c r="C6" s="49" t="s">
        <v>41</v>
      </c>
      <c r="E6">
        <v>60.3</v>
      </c>
      <c r="F6">
        <v>136.30000000000001</v>
      </c>
      <c r="G6">
        <v>18.8</v>
      </c>
      <c r="H6">
        <v>54.7</v>
      </c>
      <c r="I6">
        <v>34.1</v>
      </c>
      <c r="J6">
        <v>105.2</v>
      </c>
      <c r="K6">
        <v>3476.9</v>
      </c>
      <c r="L6">
        <v>1329</v>
      </c>
      <c r="M6">
        <v>715.4</v>
      </c>
      <c r="N6">
        <v>151.30000000000001</v>
      </c>
      <c r="O6">
        <v>210.5</v>
      </c>
      <c r="P6">
        <v>178.9</v>
      </c>
      <c r="Q6">
        <v>1432.5</v>
      </c>
      <c r="R6">
        <v>11.5</v>
      </c>
      <c r="S6">
        <v>22</v>
      </c>
      <c r="T6">
        <v>8</v>
      </c>
      <c r="U6">
        <v>3.1</v>
      </c>
      <c r="V6">
        <v>5.9</v>
      </c>
      <c r="W6">
        <v>13.6</v>
      </c>
      <c r="X6">
        <v>55.1</v>
      </c>
      <c r="Y6">
        <v>82.2</v>
      </c>
      <c r="Z6">
        <v>23.1</v>
      </c>
      <c r="AA6">
        <v>55</v>
      </c>
      <c r="AB6">
        <v>64.7</v>
      </c>
    </row>
    <row r="7" spans="1:36" x14ac:dyDescent="0.25">
      <c r="A7" t="s">
        <v>64</v>
      </c>
      <c r="B7" s="3">
        <v>44100</v>
      </c>
      <c r="C7" s="49" t="s">
        <v>41</v>
      </c>
      <c r="E7">
        <v>41.1</v>
      </c>
      <c r="F7">
        <f>20.4+30.2+37.8+43.9</f>
        <v>132.29999999999998</v>
      </c>
      <c r="G7">
        <v>20.399999999999999</v>
      </c>
      <c r="H7">
        <v>43.9</v>
      </c>
      <c r="I7">
        <f>132.3/4</f>
        <v>33.075000000000003</v>
      </c>
      <c r="J7">
        <v>133.4</v>
      </c>
      <c r="K7">
        <v>2597.6</v>
      </c>
      <c r="L7">
        <v>713.3</v>
      </c>
      <c r="M7">
        <f>93+112.3+146.7+140.4</f>
        <v>492.4</v>
      </c>
      <c r="N7">
        <v>93</v>
      </c>
      <c r="O7">
        <v>146.69999999999999</v>
      </c>
      <c r="P7">
        <f>492.4/4</f>
        <v>123.1</v>
      </c>
      <c r="Q7">
        <v>1391.9</v>
      </c>
      <c r="R7">
        <v>8.5</v>
      </c>
      <c r="S7">
        <v>17.3</v>
      </c>
      <c r="T7">
        <v>4.5</v>
      </c>
      <c r="U7">
        <v>3.2</v>
      </c>
      <c r="V7">
        <f>15.3/4</f>
        <v>3.8250000000000002</v>
      </c>
      <c r="W7">
        <v>10.4</v>
      </c>
      <c r="X7">
        <v>47</v>
      </c>
      <c r="Y7">
        <v>78.099999999999994</v>
      </c>
      <c r="Z7">
        <v>24.6</v>
      </c>
      <c r="AA7">
        <v>31.9</v>
      </c>
      <c r="AB7">
        <v>55.6</v>
      </c>
    </row>
    <row r="8" spans="1:36" x14ac:dyDescent="0.25">
      <c r="A8" t="s">
        <v>65</v>
      </c>
      <c r="B8" s="3">
        <v>44100</v>
      </c>
      <c r="C8" s="49" t="s">
        <v>41</v>
      </c>
      <c r="E8">
        <v>51.6</v>
      </c>
      <c r="F8">
        <f>30.1+32.5+43.1+20.1</f>
        <v>125.80000000000001</v>
      </c>
      <c r="G8">
        <v>20.100000000000001</v>
      </c>
      <c r="H8">
        <v>43.1</v>
      </c>
      <c r="I8">
        <f>125.8/4</f>
        <v>31.45</v>
      </c>
      <c r="J8">
        <v>129.69999999999999</v>
      </c>
      <c r="K8">
        <v>2508.6</v>
      </c>
      <c r="L8">
        <v>818.6</v>
      </c>
      <c r="M8">
        <f>133.9+130.3+131.5+86.9</f>
        <v>482.6</v>
      </c>
      <c r="N8">
        <v>86.9</v>
      </c>
      <c r="O8">
        <v>133.9</v>
      </c>
      <c r="P8">
        <f>482.6/4</f>
        <v>120.65</v>
      </c>
      <c r="Q8">
        <v>1207.5</v>
      </c>
      <c r="R8">
        <v>8.1999999999999993</v>
      </c>
      <c r="S8">
        <v>15.9</v>
      </c>
      <c r="T8">
        <v>4.4000000000000004</v>
      </c>
      <c r="U8">
        <v>3</v>
      </c>
      <c r="V8">
        <f>15.7/4</f>
        <v>3.9249999999999998</v>
      </c>
      <c r="W8">
        <v>9.3000000000000007</v>
      </c>
      <c r="X8">
        <v>46.3</v>
      </c>
      <c r="Y8">
        <v>69.400000000000006</v>
      </c>
      <c r="Z8">
        <v>23</v>
      </c>
      <c r="AA8">
        <v>34.9</v>
      </c>
      <c r="AB8">
        <v>53.7</v>
      </c>
    </row>
    <row r="9" spans="1:36" x14ac:dyDescent="0.25">
      <c r="A9" t="s">
        <v>71</v>
      </c>
      <c r="B9" s="3">
        <v>44100</v>
      </c>
      <c r="C9" s="49" t="s">
        <v>41</v>
      </c>
      <c r="E9">
        <v>67.3</v>
      </c>
      <c r="F9">
        <f>10.3+55.8+15.2+17.9</f>
        <v>99.199999999999989</v>
      </c>
      <c r="G9">
        <v>10.3</v>
      </c>
      <c r="H9">
        <v>55.8</v>
      </c>
      <c r="I9">
        <f>99.2/4</f>
        <v>24.8</v>
      </c>
      <c r="J9">
        <v>141.5</v>
      </c>
      <c r="K9">
        <v>1831.1</v>
      </c>
      <c r="L9">
        <v>495.6</v>
      </c>
      <c r="M9">
        <f>50.6+127.1+65.4+59.3</f>
        <v>302.39999999999998</v>
      </c>
      <c r="N9">
        <v>50.6</v>
      </c>
      <c r="O9">
        <v>127.1</v>
      </c>
      <c r="P9">
        <f>302.4/4</f>
        <v>75.599999999999994</v>
      </c>
      <c r="Q9">
        <v>1033.0999999999999</v>
      </c>
      <c r="R9">
        <v>5.9</v>
      </c>
      <c r="S9">
        <v>7.4</v>
      </c>
      <c r="T9">
        <v>4.9000000000000004</v>
      </c>
      <c r="U9">
        <v>2.2999999999999998</v>
      </c>
      <c r="V9">
        <f>14.8/4</f>
        <v>3.7</v>
      </c>
      <c r="W9">
        <v>7.3</v>
      </c>
      <c r="X9">
        <v>43.2</v>
      </c>
      <c r="Y9">
        <v>50.2</v>
      </c>
      <c r="Z9">
        <v>20.6</v>
      </c>
      <c r="AA9">
        <v>38.4</v>
      </c>
      <c r="AB9">
        <v>51.6</v>
      </c>
    </row>
    <row r="10" spans="1:36" x14ac:dyDescent="0.25">
      <c r="A10" t="s">
        <v>65</v>
      </c>
      <c r="B10" s="3">
        <v>43861</v>
      </c>
      <c r="C10" s="49" t="s">
        <v>41</v>
      </c>
      <c r="E10">
        <v>41.1</v>
      </c>
      <c r="F10">
        <v>177.5</v>
      </c>
      <c r="G10">
        <v>13.6</v>
      </c>
      <c r="H10">
        <v>64</v>
      </c>
      <c r="I10">
        <v>44.4</v>
      </c>
      <c r="J10">
        <v>88.3</v>
      </c>
      <c r="K10">
        <v>2694.9</v>
      </c>
      <c r="L10">
        <v>690.9</v>
      </c>
      <c r="M10">
        <v>653.70000000000005</v>
      </c>
      <c r="N10">
        <v>78.8</v>
      </c>
      <c r="O10">
        <v>222.9</v>
      </c>
      <c r="P10">
        <v>163.4</v>
      </c>
      <c r="Q10">
        <v>1350.3</v>
      </c>
      <c r="R10">
        <v>8.8000000000000007</v>
      </c>
      <c r="S10">
        <v>16.8</v>
      </c>
      <c r="T10">
        <v>5.8</v>
      </c>
      <c r="U10">
        <v>2.7</v>
      </c>
      <c r="V10">
        <v>4.2</v>
      </c>
      <c r="W10">
        <v>15.3</v>
      </c>
      <c r="X10">
        <v>46.9</v>
      </c>
      <c r="Y10">
        <v>82.8</v>
      </c>
      <c r="Z10">
        <v>20.9</v>
      </c>
      <c r="AA10">
        <v>39.9</v>
      </c>
      <c r="AB10">
        <v>72.099999999999994</v>
      </c>
    </row>
    <row r="15" spans="1:36" x14ac:dyDescent="0.25">
      <c r="A15" t="s">
        <v>69</v>
      </c>
      <c r="B15" s="3">
        <v>43884</v>
      </c>
      <c r="C15" s="50" t="s">
        <v>42</v>
      </c>
      <c r="E15">
        <v>16.8</v>
      </c>
      <c r="F15">
        <f>28.3+24.8+15.2+107</f>
        <v>175.3</v>
      </c>
      <c r="G15">
        <v>15.2</v>
      </c>
      <c r="H15">
        <v>107</v>
      </c>
      <c r="I15">
        <f>F15/4</f>
        <v>43.825000000000003</v>
      </c>
      <c r="J15">
        <v>105.3</v>
      </c>
      <c r="K15">
        <v>2222.8000000000002</v>
      </c>
      <c r="L15">
        <v>309.89999999999998</v>
      </c>
      <c r="M15">
        <f>142.1+149.7+335.3+89.1</f>
        <v>716.19999999999993</v>
      </c>
      <c r="N15">
        <v>89.1</v>
      </c>
      <c r="O15">
        <v>335.3</v>
      </c>
      <c r="P15">
        <f>M15/4</f>
        <v>179.04999999999998</v>
      </c>
      <c r="Q15">
        <v>1196.8</v>
      </c>
      <c r="R15">
        <v>7.5</v>
      </c>
      <c r="S15">
        <v>18.399999999999999</v>
      </c>
      <c r="T15">
        <v>6</v>
      </c>
      <c r="U15">
        <v>3.1</v>
      </c>
      <c r="V15">
        <f>(3.1+5.9+5+6)/4</f>
        <v>5</v>
      </c>
      <c r="W15">
        <v>11.4</v>
      </c>
      <c r="X15">
        <v>40.299999999999997</v>
      </c>
      <c r="Y15">
        <v>83.3</v>
      </c>
      <c r="Z15">
        <v>20.100000000000001</v>
      </c>
      <c r="AA15">
        <v>39.799999999999997</v>
      </c>
      <c r="AB15">
        <v>55.9</v>
      </c>
    </row>
    <row r="16" spans="1:36" x14ac:dyDescent="0.25">
      <c r="A16" t="s">
        <v>65</v>
      </c>
      <c r="B16" s="3">
        <v>43884</v>
      </c>
      <c r="C16" s="50" t="s">
        <v>42</v>
      </c>
      <c r="E16">
        <v>11</v>
      </c>
      <c r="F16">
        <f>43.8+35.6+50.6+49.4</f>
        <v>179.4</v>
      </c>
      <c r="G16">
        <v>35.6</v>
      </c>
      <c r="H16">
        <v>50.6</v>
      </c>
      <c r="I16">
        <f>F16/4</f>
        <v>44.85</v>
      </c>
      <c r="J16">
        <v>104.5</v>
      </c>
      <c r="K16">
        <v>3216.2</v>
      </c>
      <c r="L16">
        <v>243.5</v>
      </c>
      <c r="M16">
        <f>186.4+271.7+333.2+254.2</f>
        <v>1045.5</v>
      </c>
      <c r="N16">
        <v>186.4</v>
      </c>
      <c r="O16">
        <v>333.2</v>
      </c>
      <c r="P16">
        <f>M16/4</f>
        <v>261.375</v>
      </c>
      <c r="Q16">
        <v>1927.3</v>
      </c>
      <c r="R16">
        <v>10.9</v>
      </c>
      <c r="S16">
        <v>22</v>
      </c>
      <c r="T16">
        <v>7.6</v>
      </c>
      <c r="U16">
        <v>4.3</v>
      </c>
      <c r="V16">
        <f>(6.7+4.3+7.6+5)/4</f>
        <v>5.9</v>
      </c>
      <c r="W16">
        <v>18.399999999999999</v>
      </c>
      <c r="X16">
        <v>48.4</v>
      </c>
      <c r="Y16">
        <v>90.2</v>
      </c>
      <c r="Z16">
        <v>24.2</v>
      </c>
      <c r="AA16">
        <v>44.1</v>
      </c>
      <c r="AB16">
        <v>67.900000000000006</v>
      </c>
    </row>
    <row r="17" spans="1:28" x14ac:dyDescent="0.25">
      <c r="A17" t="s">
        <v>71</v>
      </c>
      <c r="B17" s="3">
        <v>43896</v>
      </c>
      <c r="C17" s="50" t="s">
        <v>42</v>
      </c>
      <c r="E17">
        <v>46.8</v>
      </c>
      <c r="F17">
        <f>25.4+63.4+22.2+25.3</f>
        <v>136.30000000000001</v>
      </c>
      <c r="G17">
        <v>22.2</v>
      </c>
      <c r="H17">
        <v>63.4</v>
      </c>
      <c r="I17">
        <f>F17/4</f>
        <v>34.075000000000003</v>
      </c>
      <c r="J17">
        <v>115.5</v>
      </c>
      <c r="K17">
        <v>3208.2</v>
      </c>
      <c r="L17">
        <v>921.2</v>
      </c>
      <c r="M17">
        <f>153.5+311.2+168.7+156.4</f>
        <v>789.8</v>
      </c>
      <c r="N17">
        <v>153.5</v>
      </c>
      <c r="O17">
        <v>311.2</v>
      </c>
      <c r="P17">
        <f>M17/4</f>
        <v>197.45</v>
      </c>
      <c r="Q17">
        <v>1497.2</v>
      </c>
      <c r="R17">
        <v>10.7</v>
      </c>
      <c r="S17">
        <v>19.7</v>
      </c>
      <c r="T17">
        <v>7</v>
      </c>
      <c r="U17">
        <v>4.9000000000000004</v>
      </c>
      <c r="V17">
        <f>(6.7+7+6+4.9)/4</f>
        <v>6.15</v>
      </c>
      <c r="W17">
        <v>13</v>
      </c>
      <c r="X17">
        <v>53.3</v>
      </c>
      <c r="Y17">
        <v>79.3</v>
      </c>
      <c r="Z17">
        <v>33.1</v>
      </c>
      <c r="AA17">
        <v>44.6</v>
      </c>
      <c r="AB17">
        <v>62.5</v>
      </c>
    </row>
    <row r="18" spans="1:28" x14ac:dyDescent="0.25">
      <c r="A18" t="s">
        <v>72</v>
      </c>
      <c r="B18" s="3">
        <v>43896</v>
      </c>
      <c r="C18" s="50" t="s">
        <v>42</v>
      </c>
      <c r="E18">
        <v>25.4</v>
      </c>
      <c r="F18">
        <f>24.2+48+38+78</f>
        <v>188.2</v>
      </c>
      <c r="G18">
        <v>24.2</v>
      </c>
      <c r="H18">
        <v>78</v>
      </c>
      <c r="I18">
        <f>F18/4</f>
        <v>47.05</v>
      </c>
      <c r="J18">
        <v>78.8</v>
      </c>
      <c r="K18">
        <v>2628.8</v>
      </c>
      <c r="L18">
        <v>575.1</v>
      </c>
      <c r="M18">
        <f>222.9+241.2+342.4+143.6</f>
        <v>950.1</v>
      </c>
      <c r="N18">
        <v>143.6</v>
      </c>
      <c r="O18">
        <v>342.4</v>
      </c>
      <c r="P18">
        <f>M18/4</f>
        <v>237.52500000000001</v>
      </c>
      <c r="Q18">
        <v>1103.5999999999999</v>
      </c>
      <c r="R18">
        <v>9</v>
      </c>
      <c r="S18">
        <v>22.6</v>
      </c>
      <c r="T18">
        <v>6.3</v>
      </c>
      <c r="U18">
        <v>4.4000000000000004</v>
      </c>
      <c r="V18">
        <v>5.3</v>
      </c>
      <c r="W18">
        <v>14</v>
      </c>
      <c r="X18">
        <v>46.8</v>
      </c>
      <c r="Y18">
        <v>83.2</v>
      </c>
      <c r="Z18">
        <v>29.8</v>
      </c>
      <c r="AA18">
        <v>42.4</v>
      </c>
      <c r="AB18">
        <v>65.3</v>
      </c>
    </row>
    <row r="19" spans="1:28" x14ac:dyDescent="0.25">
      <c r="A19" t="s">
        <v>64</v>
      </c>
      <c r="B19" s="3">
        <v>44128</v>
      </c>
      <c r="C19" s="50" t="s">
        <v>42</v>
      </c>
      <c r="E19">
        <v>17.3</v>
      </c>
      <c r="F19">
        <f>14.5+54.9+103.3+32.2</f>
        <v>204.89999999999998</v>
      </c>
      <c r="G19">
        <v>14.5</v>
      </c>
      <c r="H19">
        <v>103.3</v>
      </c>
      <c r="I19">
        <f>204.9/4</f>
        <v>51.225000000000001</v>
      </c>
      <c r="J19">
        <v>83.7</v>
      </c>
      <c r="K19">
        <v>2559.6999999999998</v>
      </c>
      <c r="L19">
        <v>347.1</v>
      </c>
      <c r="M19">
        <f>93.9+223.1+233.8+230.5</f>
        <v>781.3</v>
      </c>
      <c r="N19">
        <v>93.9</v>
      </c>
      <c r="O19">
        <v>233.8</v>
      </c>
      <c r="P19">
        <f>781.3/4</f>
        <v>195.32499999999999</v>
      </c>
      <c r="Q19">
        <v>1431.3</v>
      </c>
      <c r="R19">
        <v>8.4</v>
      </c>
      <c r="S19">
        <v>20</v>
      </c>
      <c r="T19">
        <v>7.2</v>
      </c>
      <c r="U19">
        <v>2.2999999999999998</v>
      </c>
      <c r="V19">
        <f>20.1/4</f>
        <v>5.0250000000000004</v>
      </c>
      <c r="W19">
        <v>17.100000000000001</v>
      </c>
      <c r="X19">
        <v>40.5</v>
      </c>
      <c r="Y19">
        <v>71.8</v>
      </c>
      <c r="Z19">
        <v>17.5</v>
      </c>
      <c r="AA19">
        <v>44.5</v>
      </c>
      <c r="AB19">
        <v>68.2</v>
      </c>
    </row>
    <row r="20" spans="1:28" x14ac:dyDescent="0.25">
      <c r="A20" t="s">
        <v>65</v>
      </c>
      <c r="B20" s="3">
        <v>44128</v>
      </c>
      <c r="C20" s="50" t="s">
        <v>42</v>
      </c>
      <c r="E20">
        <v>19.100000000000001</v>
      </c>
      <c r="F20">
        <f>20.6+69.8+22+60.8</f>
        <v>173.2</v>
      </c>
      <c r="G20">
        <v>20.6</v>
      </c>
      <c r="H20">
        <v>69.8</v>
      </c>
      <c r="I20">
        <f>173.2/4</f>
        <v>43.3</v>
      </c>
      <c r="J20">
        <v>116</v>
      </c>
      <c r="K20">
        <v>1766.5</v>
      </c>
      <c r="L20">
        <v>190.6</v>
      </c>
      <c r="M20">
        <f>100.6+222.5+75+130.9</f>
        <v>529</v>
      </c>
      <c r="N20">
        <v>75</v>
      </c>
      <c r="O20">
        <v>222.5</v>
      </c>
      <c r="P20">
        <f>529/4</f>
        <v>132.25</v>
      </c>
      <c r="Q20">
        <v>1046.9000000000001</v>
      </c>
      <c r="R20">
        <v>5.7</v>
      </c>
      <c r="S20">
        <v>10</v>
      </c>
      <c r="T20">
        <v>4.9000000000000004</v>
      </c>
      <c r="U20">
        <v>2.2000000000000002</v>
      </c>
      <c r="V20">
        <f>13.7/4</f>
        <v>3.4249999999999998</v>
      </c>
      <c r="W20">
        <v>9</v>
      </c>
      <c r="X20">
        <v>30.5</v>
      </c>
      <c r="Y20">
        <v>38.700000000000003</v>
      </c>
      <c r="Z20">
        <v>17.8</v>
      </c>
      <c r="AA20">
        <v>28.3</v>
      </c>
      <c r="AB20">
        <v>43.7</v>
      </c>
    </row>
    <row r="21" spans="1:28" x14ac:dyDescent="0.25">
      <c r="A21" t="s">
        <v>71</v>
      </c>
      <c r="B21" s="3">
        <v>44128</v>
      </c>
      <c r="C21" s="50" t="s">
        <v>42</v>
      </c>
      <c r="E21">
        <v>17.899999999999999</v>
      </c>
      <c r="F21">
        <f>15.8+140.7+28+23.2</f>
        <v>207.7</v>
      </c>
      <c r="G21">
        <f>15.8</f>
        <v>15.8</v>
      </c>
      <c r="H21">
        <v>140.69999999999999</v>
      </c>
      <c r="I21">
        <f>207.7/4</f>
        <v>51.924999999999997</v>
      </c>
      <c r="J21">
        <v>80.5</v>
      </c>
      <c r="K21">
        <v>1412.2</v>
      </c>
      <c r="L21">
        <v>190.9</v>
      </c>
      <c r="M21">
        <f>70.2+114.2+122.8+122.3</f>
        <v>429.5</v>
      </c>
      <c r="N21">
        <v>70.2</v>
      </c>
      <c r="O21">
        <v>122.8</v>
      </c>
      <c r="P21">
        <f>429.5/4</f>
        <v>107.375</v>
      </c>
      <c r="Q21">
        <v>791.8</v>
      </c>
      <c r="R21">
        <v>4.5999999999999996</v>
      </c>
      <c r="S21">
        <v>10.6</v>
      </c>
      <c r="T21">
        <v>5.3</v>
      </c>
      <c r="U21">
        <v>0.8</v>
      </c>
      <c r="V21">
        <f>14.9/4</f>
        <v>3.7250000000000001</v>
      </c>
      <c r="W21">
        <v>9.8000000000000007</v>
      </c>
      <c r="X21">
        <v>27.8</v>
      </c>
      <c r="Y21">
        <v>62.5</v>
      </c>
      <c r="Z21">
        <v>6.1</v>
      </c>
      <c r="AA21">
        <v>37.5</v>
      </c>
      <c r="AB21">
        <v>53.2</v>
      </c>
    </row>
    <row r="23" spans="1:28" x14ac:dyDescent="0.25">
      <c r="D23" s="49" t="s">
        <v>44</v>
      </c>
      <c r="E23">
        <f t="shared" ref="E23:AB23" si="0">AVERAGE(E3:E9)</f>
        <v>51.1</v>
      </c>
      <c r="F23">
        <f t="shared" si="0"/>
        <v>133.14285714285714</v>
      </c>
      <c r="G23">
        <f t="shared" si="0"/>
        <v>22.514285714285712</v>
      </c>
      <c r="H23">
        <f t="shared" si="0"/>
        <v>49.98571428571428</v>
      </c>
      <c r="I23">
        <f t="shared" si="0"/>
        <v>33.289285714285718</v>
      </c>
      <c r="J23">
        <f t="shared" si="0"/>
        <v>122.28571428571429</v>
      </c>
      <c r="K23">
        <f t="shared" si="0"/>
        <v>2791.6857142857143</v>
      </c>
      <c r="L23">
        <f t="shared" si="0"/>
        <v>837.08571428571429</v>
      </c>
      <c r="M23">
        <f t="shared" si="0"/>
        <v>585</v>
      </c>
      <c r="N23">
        <f t="shared" si="0"/>
        <v>115.11428571428571</v>
      </c>
      <c r="O23">
        <f t="shared" si="0"/>
        <v>169.01428571428571</v>
      </c>
      <c r="P23">
        <f t="shared" si="0"/>
        <v>146.25</v>
      </c>
      <c r="Q23">
        <f t="shared" si="0"/>
        <v>1369.6142857142856</v>
      </c>
      <c r="R23">
        <f t="shared" si="0"/>
        <v>9.0285714285714285</v>
      </c>
      <c r="S23">
        <f t="shared" si="0"/>
        <v>16.8</v>
      </c>
      <c r="T23">
        <f t="shared" si="0"/>
        <v>5.6428571428571432</v>
      </c>
      <c r="U23">
        <f t="shared" si="0"/>
        <v>3.0714285714285716</v>
      </c>
      <c r="V23">
        <f t="shared" si="0"/>
        <v>4.5928571428571425</v>
      </c>
      <c r="W23">
        <f t="shared" si="0"/>
        <v>11.385714285714284</v>
      </c>
      <c r="X23">
        <f t="shared" si="0"/>
        <v>48.828571428571422</v>
      </c>
      <c r="Y23">
        <f t="shared" si="0"/>
        <v>74.242857142857147</v>
      </c>
      <c r="Z23">
        <f t="shared" si="0"/>
        <v>23.714285714285715</v>
      </c>
      <c r="AA23">
        <f t="shared" si="0"/>
        <v>40.24285714285714</v>
      </c>
      <c r="AB23">
        <f t="shared" si="0"/>
        <v>58.857142857142868</v>
      </c>
    </row>
    <row r="24" spans="1:28" x14ac:dyDescent="0.25">
      <c r="D24" t="s">
        <v>73</v>
      </c>
      <c r="E24">
        <f t="shared" ref="E24:AB24" si="1">_xlfn.STDEV.S(E3:E9)</f>
        <v>11.672331957810906</v>
      </c>
      <c r="F24">
        <f t="shared" si="1"/>
        <v>20.608320095118319</v>
      </c>
      <c r="G24">
        <f t="shared" si="1"/>
        <v>7.3980692461904276</v>
      </c>
      <c r="H24">
        <f t="shared" si="1"/>
        <v>9.5419125566154772</v>
      </c>
      <c r="I24">
        <f t="shared" si="1"/>
        <v>5.1577178646595696</v>
      </c>
      <c r="J24">
        <f t="shared" si="1"/>
        <v>22.97269600862646</v>
      </c>
      <c r="K24">
        <f t="shared" si="1"/>
        <v>750.33764050719594</v>
      </c>
      <c r="L24">
        <f t="shared" si="1"/>
        <v>298.38505563880267</v>
      </c>
      <c r="M24">
        <f t="shared" si="1"/>
        <v>206.23275685496722</v>
      </c>
      <c r="N24">
        <f t="shared" si="1"/>
        <v>54.459814804784571</v>
      </c>
      <c r="O24">
        <f t="shared" si="1"/>
        <v>48.636900551310774</v>
      </c>
      <c r="P24">
        <f t="shared" si="1"/>
        <v>51.556853731261199</v>
      </c>
      <c r="Q24">
        <f t="shared" si="1"/>
        <v>338.00784718983169</v>
      </c>
      <c r="R24">
        <f t="shared" si="1"/>
        <v>2.4342790073683669</v>
      </c>
      <c r="S24">
        <f t="shared" si="1"/>
        <v>5.2750987352528931</v>
      </c>
      <c r="T24">
        <f t="shared" si="1"/>
        <v>1.3842653200129245</v>
      </c>
      <c r="U24">
        <f t="shared" si="1"/>
        <v>0.83209431699835024</v>
      </c>
      <c r="V24">
        <f t="shared" si="1"/>
        <v>1.0145518597836563</v>
      </c>
      <c r="W24">
        <f t="shared" si="1"/>
        <v>4.070392516465124</v>
      </c>
      <c r="X24">
        <f t="shared" si="1"/>
        <v>5.564684563002225</v>
      </c>
      <c r="Y24">
        <f t="shared" si="1"/>
        <v>11.847201799420427</v>
      </c>
      <c r="Z24">
        <f t="shared" si="1"/>
        <v>5.2046224875676783</v>
      </c>
      <c r="AA24">
        <f t="shared" si="1"/>
        <v>7.3880211926372468</v>
      </c>
      <c r="AB24">
        <f t="shared" si="1"/>
        <v>10.655336244163752</v>
      </c>
    </row>
    <row r="26" spans="1:28" x14ac:dyDescent="0.25">
      <c r="D26" s="50" t="s">
        <v>46</v>
      </c>
      <c r="E26">
        <f t="shared" ref="E26:AB26" si="2">AVERAGE(E15:E21)</f>
        <v>22.042857142857144</v>
      </c>
      <c r="F26">
        <f t="shared" si="2"/>
        <v>180.71428571428572</v>
      </c>
      <c r="G26">
        <f t="shared" si="2"/>
        <v>21.157142857142862</v>
      </c>
      <c r="H26">
        <f t="shared" si="2"/>
        <v>87.54285714285713</v>
      </c>
      <c r="I26">
        <f t="shared" si="2"/>
        <v>45.178571428571431</v>
      </c>
      <c r="J26">
        <f t="shared" si="2"/>
        <v>97.757142857142853</v>
      </c>
      <c r="K26">
        <f t="shared" si="2"/>
        <v>2430.6285714285718</v>
      </c>
      <c r="L26">
        <f t="shared" si="2"/>
        <v>396.9</v>
      </c>
      <c r="M26">
        <f t="shared" si="2"/>
        <v>748.77142857142849</v>
      </c>
      <c r="N26">
        <f t="shared" si="2"/>
        <v>115.95714285714287</v>
      </c>
      <c r="O26">
        <f t="shared" si="2"/>
        <v>271.59999999999997</v>
      </c>
      <c r="P26">
        <f t="shared" si="2"/>
        <v>187.19285714285712</v>
      </c>
      <c r="Q26">
        <f t="shared" si="2"/>
        <v>1284.9857142857143</v>
      </c>
      <c r="R26">
        <f t="shared" si="2"/>
        <v>8.1142857142857139</v>
      </c>
      <c r="S26">
        <f t="shared" si="2"/>
        <v>17.61428571428571</v>
      </c>
      <c r="T26">
        <f t="shared" si="2"/>
        <v>6.3285714285714283</v>
      </c>
      <c r="U26">
        <f t="shared" si="2"/>
        <v>3.1428571428571432</v>
      </c>
      <c r="V26">
        <f t="shared" si="2"/>
        <v>4.9321428571428569</v>
      </c>
      <c r="W26">
        <f t="shared" si="2"/>
        <v>13.242857142857144</v>
      </c>
      <c r="X26">
        <f t="shared" si="2"/>
        <v>41.085714285714289</v>
      </c>
      <c r="Y26">
        <f t="shared" si="2"/>
        <v>72.714285714285708</v>
      </c>
      <c r="Z26">
        <f t="shared" si="2"/>
        <v>21.228571428571428</v>
      </c>
      <c r="AA26">
        <f t="shared" si="2"/>
        <v>40.171428571428578</v>
      </c>
      <c r="AB26">
        <f t="shared" si="2"/>
        <v>59.528571428571425</v>
      </c>
    </row>
    <row r="27" spans="1:28" x14ac:dyDescent="0.25">
      <c r="D27" t="s">
        <v>45</v>
      </c>
      <c r="E27">
        <f t="shared" ref="E27:AB27" si="3">_xlfn.STDEV.S(E15:E21)</f>
        <v>11.704252381486125</v>
      </c>
      <c r="F27">
        <f t="shared" si="3"/>
        <v>23.90728121803259</v>
      </c>
      <c r="G27">
        <f t="shared" si="3"/>
        <v>7.3909532860240912</v>
      </c>
      <c r="H27">
        <f t="shared" si="3"/>
        <v>31.107547698420785</v>
      </c>
      <c r="I27">
        <f t="shared" si="3"/>
        <v>5.9768203045081476</v>
      </c>
      <c r="J27">
        <f t="shared" si="3"/>
        <v>16.354189793735596</v>
      </c>
      <c r="K27">
        <f t="shared" si="3"/>
        <v>683.02359333160484</v>
      </c>
      <c r="L27">
        <f t="shared" si="3"/>
        <v>266.2148317931717</v>
      </c>
      <c r="M27">
        <f t="shared" si="3"/>
        <v>217.03191558144718</v>
      </c>
      <c r="N27">
        <f t="shared" si="3"/>
        <v>44.934799326092296</v>
      </c>
      <c r="O27">
        <f t="shared" si="3"/>
        <v>82.071249533560788</v>
      </c>
      <c r="P27">
        <f t="shared" si="3"/>
        <v>54.257978895361795</v>
      </c>
      <c r="Q27">
        <f t="shared" si="3"/>
        <v>369.59546997842307</v>
      </c>
      <c r="R27">
        <f t="shared" si="3"/>
        <v>2.3758707676895869</v>
      </c>
      <c r="S27">
        <f t="shared" si="3"/>
        <v>5.1950067601587717</v>
      </c>
      <c r="T27">
        <f t="shared" si="3"/>
        <v>1.0028530728448142</v>
      </c>
      <c r="U27">
        <f t="shared" si="3"/>
        <v>1.4774495398683309</v>
      </c>
      <c r="V27">
        <f t="shared" si="3"/>
        <v>1.0244626930854142</v>
      </c>
      <c r="W27">
        <f t="shared" si="3"/>
        <v>3.5439418462389836</v>
      </c>
      <c r="X27">
        <f t="shared" si="3"/>
        <v>9.3529725348733326</v>
      </c>
      <c r="Y27">
        <f t="shared" si="3"/>
        <v>17.479838726508969</v>
      </c>
      <c r="Z27">
        <f t="shared" si="3"/>
        <v>8.9352698682830916</v>
      </c>
      <c r="AA27">
        <f t="shared" si="3"/>
        <v>5.8730214500187294</v>
      </c>
      <c r="AB27">
        <f t="shared" si="3"/>
        <v>9.047783206530875</v>
      </c>
    </row>
    <row r="30" spans="1:28" ht="51.75" customHeight="1" x14ac:dyDescent="0.25">
      <c r="D30" s="34" t="s">
        <v>74</v>
      </c>
      <c r="E30" s="53">
        <f>_xlfn.T.TEST(E3:E10,E15:E21,2,2)</f>
        <v>4.4499972765385911E-4</v>
      </c>
      <c r="F30" s="53">
        <f t="shared" ref="F30:AB30" si="4">_xlfn.T.TEST(F3:F10,F15:F21,2,2)</f>
        <v>5.3554054758088348E-3</v>
      </c>
      <c r="G30" s="52">
        <f t="shared" si="4"/>
        <v>0.95087661579419014</v>
      </c>
      <c r="H30" s="53">
        <f t="shared" si="4"/>
        <v>8.6409933423917586E-3</v>
      </c>
      <c r="I30" s="53">
        <f t="shared" si="4"/>
        <v>5.4033313395055972E-3</v>
      </c>
      <c r="J30" s="52">
        <f t="shared" si="4"/>
        <v>8.5947624903810485E-2</v>
      </c>
      <c r="K30" s="52">
        <f t="shared" si="4"/>
        <v>0.34616770352721538</v>
      </c>
      <c r="L30" s="53">
        <f t="shared" si="4"/>
        <v>1.0805638475314575E-2</v>
      </c>
      <c r="M30" s="52">
        <f t="shared" si="4"/>
        <v>0.16573007802325748</v>
      </c>
      <c r="N30" s="52">
        <f t="shared" si="4"/>
        <v>0.8348301723587892</v>
      </c>
      <c r="O30" s="53">
        <f t="shared" si="4"/>
        <v>1.5224899468162564E-2</v>
      </c>
      <c r="P30" s="52">
        <f t="shared" si="4"/>
        <v>0.16568932527804184</v>
      </c>
      <c r="Q30" s="52">
        <f t="shared" si="4"/>
        <v>0.64836457875367637</v>
      </c>
      <c r="R30" s="52">
        <f t="shared" si="4"/>
        <v>0.47226556921625817</v>
      </c>
      <c r="S30" s="52">
        <f t="shared" si="4"/>
        <v>0.75939094372160243</v>
      </c>
      <c r="T30" s="52">
        <f t="shared" si="4"/>
        <v>0.28812687943517679</v>
      </c>
      <c r="U30" s="52">
        <f t="shared" si="4"/>
        <v>0.84688002145105179</v>
      </c>
      <c r="V30" s="52">
        <f t="shared" si="4"/>
        <v>0.45965023983300091</v>
      </c>
      <c r="W30" s="52">
        <f t="shared" si="4"/>
        <v>0.49948555314788901</v>
      </c>
      <c r="X30" s="52">
        <f t="shared" si="4"/>
        <v>7.2306134820033605E-2</v>
      </c>
      <c r="Y30" s="52">
        <f t="shared" si="4"/>
        <v>0.73500379999574239</v>
      </c>
      <c r="Z30" s="52">
        <f t="shared" si="4"/>
        <v>0.5693611368709921</v>
      </c>
      <c r="AA30" s="52">
        <f t="shared" si="4"/>
        <v>0.99326175567636121</v>
      </c>
      <c r="AB30" s="52">
        <f t="shared" si="4"/>
        <v>0.85358660224843175</v>
      </c>
    </row>
    <row r="32" spans="1:28" ht="45" x14ac:dyDescent="0.25">
      <c r="D32" s="34" t="s">
        <v>77</v>
      </c>
      <c r="E32">
        <f>_xlfn.T.TEST(E3:E10,E48:E55,2,2)</f>
        <v>0.17193934036626321</v>
      </c>
      <c r="F32">
        <f t="shared" ref="F32:AB32" si="5">_xlfn.T.TEST(F3:F10,F48:F55,2,2)</f>
        <v>0.3734247255491514</v>
      </c>
      <c r="G32">
        <f t="shared" si="5"/>
        <v>0.90282360539510875</v>
      </c>
      <c r="H32">
        <f t="shared" si="5"/>
        <v>0.18967479984807248</v>
      </c>
      <c r="I32">
        <f t="shared" si="5"/>
        <v>0.25507547071711689</v>
      </c>
      <c r="J32">
        <f t="shared" si="5"/>
        <v>0.73119545434303679</v>
      </c>
      <c r="K32" s="54">
        <f t="shared" si="5"/>
        <v>1.5834485961593842E-2</v>
      </c>
      <c r="L32">
        <f t="shared" si="5"/>
        <v>0.90672828193927679</v>
      </c>
      <c r="M32" s="54">
        <f>_xlfn.T.TEST(M3:M10,M48:M55,2,2)</f>
        <v>8.0166828669547205E-3</v>
      </c>
      <c r="N32">
        <f t="shared" si="5"/>
        <v>0.12090415915556729</v>
      </c>
      <c r="O32" s="54">
        <f t="shared" si="5"/>
        <v>1.838594435426353E-3</v>
      </c>
      <c r="P32" s="54">
        <f t="shared" si="5"/>
        <v>7.9964680396379332E-3</v>
      </c>
      <c r="Q32" s="54">
        <f t="shared" si="5"/>
        <v>4.5787173533078712E-3</v>
      </c>
      <c r="R32">
        <f t="shared" si="5"/>
        <v>1.9022737248435933E-2</v>
      </c>
      <c r="S32">
        <f t="shared" si="5"/>
        <v>6.2041645443854258E-2</v>
      </c>
      <c r="T32" s="54">
        <f t="shared" si="5"/>
        <v>8.9814135281480433E-3</v>
      </c>
      <c r="U32" s="54">
        <f t="shared" si="5"/>
        <v>1.1496773267253704E-2</v>
      </c>
      <c r="V32" s="54">
        <f t="shared" si="5"/>
        <v>8.8951426257582768E-3</v>
      </c>
      <c r="W32" s="54">
        <f t="shared" si="5"/>
        <v>1.8863426794135257E-2</v>
      </c>
      <c r="X32" s="54">
        <f t="shared" si="5"/>
        <v>2.8903601159035675E-2</v>
      </c>
      <c r="Y32">
        <f t="shared" si="5"/>
        <v>8.7858135477701146E-2</v>
      </c>
      <c r="Z32" s="54">
        <f t="shared" si="5"/>
        <v>2.3587266197868589E-2</v>
      </c>
      <c r="AA32" s="54">
        <f t="shared" si="5"/>
        <v>2.1958223977851798E-2</v>
      </c>
      <c r="AB32" s="54">
        <f t="shared" si="5"/>
        <v>1.9294395344740034E-2</v>
      </c>
    </row>
    <row r="34" spans="1:36" ht="45" x14ac:dyDescent="0.25">
      <c r="D34" s="34" t="s">
        <v>78</v>
      </c>
      <c r="E34" s="55">
        <f>_xlfn.T.TEST(E15:E21,E48:E55,2,2)</f>
        <v>2.8760730904802669E-2</v>
      </c>
      <c r="F34">
        <f t="shared" ref="F34:AB34" si="6">_xlfn.T.TEST(F15:F21,F48:F58,2,2)</f>
        <v>0.34525449604477365</v>
      </c>
      <c r="G34">
        <f t="shared" si="6"/>
        <v>0.81265898839095851</v>
      </c>
      <c r="H34">
        <f t="shared" si="6"/>
        <v>0.14708703858654218</v>
      </c>
      <c r="I34">
        <f t="shared" si="6"/>
        <v>0.39824442106977465</v>
      </c>
      <c r="J34" s="55">
        <f t="shared" si="6"/>
        <v>3.0208379657686371E-2</v>
      </c>
      <c r="K34" s="55">
        <f t="shared" si="6"/>
        <v>1.599780780595934E-2</v>
      </c>
      <c r="L34" s="55">
        <f t="shared" si="6"/>
        <v>4.8822156602198755E-2</v>
      </c>
      <c r="M34">
        <f t="shared" si="6"/>
        <v>0.10147978422438066</v>
      </c>
      <c r="N34">
        <f t="shared" si="6"/>
        <v>0.19297080544548798</v>
      </c>
      <c r="O34">
        <f t="shared" si="6"/>
        <v>0.10332139434797565</v>
      </c>
      <c r="P34">
        <f t="shared" si="6"/>
        <v>0.10138169472007819</v>
      </c>
      <c r="Q34" s="55">
        <f t="shared" si="6"/>
        <v>2.8062838647497292E-2</v>
      </c>
      <c r="R34" s="55">
        <f t="shared" si="6"/>
        <v>4.2321062058290081E-2</v>
      </c>
      <c r="S34">
        <f t="shared" si="6"/>
        <v>0.33711167009669174</v>
      </c>
      <c r="T34" s="55">
        <f t="shared" si="6"/>
        <v>4.6099602858737307E-2</v>
      </c>
      <c r="U34">
        <f t="shared" si="6"/>
        <v>8.9302030454758638E-2</v>
      </c>
      <c r="V34">
        <f t="shared" si="6"/>
        <v>7.6163643755807794E-2</v>
      </c>
      <c r="W34">
        <f t="shared" si="6"/>
        <v>0.16157120551112625</v>
      </c>
      <c r="X34" s="55">
        <f t="shared" si="6"/>
        <v>1.1901075537120514E-2</v>
      </c>
      <c r="Y34">
        <f t="shared" si="6"/>
        <v>7.4008471051123806E-2</v>
      </c>
      <c r="Z34">
        <f t="shared" si="6"/>
        <v>6.9939077733008337E-2</v>
      </c>
      <c r="AA34" s="55">
        <f t="shared" si="6"/>
        <v>4.1613377969969834E-2</v>
      </c>
      <c r="AB34" s="55">
        <f t="shared" si="6"/>
        <v>8.2859325745079232E-3</v>
      </c>
    </row>
    <row r="35" spans="1:36" x14ac:dyDescent="0.25">
      <c r="D35" s="34"/>
    </row>
    <row r="41" spans="1:36" ht="30" x14ac:dyDescent="0.25">
      <c r="D41" s="51" t="s">
        <v>75</v>
      </c>
      <c r="E41">
        <v>35.709090909090911</v>
      </c>
      <c r="F41">
        <v>165.52727272727273</v>
      </c>
      <c r="G41">
        <v>21.999999999999996</v>
      </c>
      <c r="H41">
        <v>69</v>
      </c>
      <c r="I41">
        <v>41.954545454545453</v>
      </c>
      <c r="J41">
        <v>116.07272727272726</v>
      </c>
      <c r="K41">
        <v>3448.1363636363644</v>
      </c>
      <c r="L41">
        <v>712.56363636363631</v>
      </c>
      <c r="M41">
        <v>933.11818181818171</v>
      </c>
      <c r="N41">
        <v>147.9636363636364</v>
      </c>
      <c r="O41">
        <v>345.56363636363642</v>
      </c>
      <c r="P41">
        <v>233.29090909090908</v>
      </c>
      <c r="Q41">
        <v>1802.4454545454546</v>
      </c>
      <c r="R41">
        <v>10.890909090909091</v>
      </c>
      <c r="S41">
        <v>20.209090909090907</v>
      </c>
      <c r="T41">
        <v>9.1818181818181817</v>
      </c>
      <c r="U41">
        <v>4.5090909090909088</v>
      </c>
      <c r="V41">
        <v>6.581818181818182</v>
      </c>
      <c r="W41">
        <v>15.654545454545456</v>
      </c>
      <c r="X41">
        <v>53.418181818181829</v>
      </c>
      <c r="Y41">
        <v>84.445454545454538</v>
      </c>
      <c r="Z41">
        <v>30.209090909090911</v>
      </c>
      <c r="AA41">
        <v>49.4</v>
      </c>
      <c r="AB41">
        <v>70.899999999999991</v>
      </c>
    </row>
    <row r="42" spans="1:36" x14ac:dyDescent="0.25">
      <c r="D42" t="s">
        <v>76</v>
      </c>
      <c r="E42">
        <v>15.737055286517529</v>
      </c>
      <c r="F42">
        <v>36.41560354872874</v>
      </c>
      <c r="G42">
        <v>7.1400280111495436</v>
      </c>
      <c r="H42">
        <v>20.807787003907933</v>
      </c>
      <c r="I42">
        <v>8.5440463056287008</v>
      </c>
      <c r="J42">
        <v>15.669466545424696</v>
      </c>
      <c r="K42">
        <v>834.95509971821161</v>
      </c>
      <c r="L42">
        <v>327.83014892693234</v>
      </c>
      <c r="M42">
        <v>220.84678769763374</v>
      </c>
      <c r="N42">
        <v>50.837884942772128</v>
      </c>
      <c r="O42">
        <v>92.22300442652309</v>
      </c>
      <c r="P42">
        <v>55.205949942835872</v>
      </c>
      <c r="Q42">
        <v>481.92557592150285</v>
      </c>
      <c r="R42">
        <v>2.7300016650011569</v>
      </c>
      <c r="S42">
        <v>5.5557995905998272</v>
      </c>
      <c r="T42">
        <v>3.3638722276026423</v>
      </c>
      <c r="U42">
        <v>1.6108721522545157</v>
      </c>
      <c r="V42">
        <v>2.1334564358421644</v>
      </c>
      <c r="W42">
        <v>3.3082816193194899</v>
      </c>
      <c r="X42">
        <v>8.7673049658167255</v>
      </c>
      <c r="Y42">
        <v>8.6279039906994353</v>
      </c>
      <c r="Z42">
        <v>9.9219407925520855</v>
      </c>
      <c r="AA42">
        <v>9.9051501755400082</v>
      </c>
      <c r="AB42">
        <v>6.9641941385920596</v>
      </c>
    </row>
    <row r="48" spans="1:36" s="18" customFormat="1" x14ac:dyDescent="0.25">
      <c r="A48" s="16">
        <v>4</v>
      </c>
      <c r="B48" s="17">
        <v>43633</v>
      </c>
      <c r="C48" s="18" t="s">
        <v>43</v>
      </c>
      <c r="D48" s="18">
        <v>300</v>
      </c>
      <c r="E48" s="18">
        <v>32.5</v>
      </c>
      <c r="F48" s="18">
        <v>168.2</v>
      </c>
      <c r="G48" s="18">
        <v>24.2</v>
      </c>
      <c r="H48" s="18">
        <v>56.1</v>
      </c>
      <c r="I48" s="18">
        <v>42.1</v>
      </c>
      <c r="J48" s="18">
        <v>111.9</v>
      </c>
      <c r="K48" s="18">
        <v>3771.5</v>
      </c>
      <c r="L48" s="18">
        <v>731.1</v>
      </c>
      <c r="M48" s="18">
        <v>1119</v>
      </c>
      <c r="N48" s="18">
        <v>194.8</v>
      </c>
      <c r="O48" s="18">
        <v>344.5</v>
      </c>
      <c r="P48" s="18">
        <v>279.8</v>
      </c>
      <c r="Q48" s="18">
        <v>1921.2</v>
      </c>
      <c r="R48" s="18">
        <v>12.1</v>
      </c>
      <c r="S48" s="18">
        <v>22.5</v>
      </c>
      <c r="T48" s="18">
        <v>9.3000000000000007</v>
      </c>
      <c r="U48" s="18">
        <v>4.9000000000000004</v>
      </c>
      <c r="V48" s="18">
        <v>7</v>
      </c>
      <c r="W48" s="18">
        <v>17.2</v>
      </c>
      <c r="X48" s="18">
        <v>57.6</v>
      </c>
      <c r="Y48" s="18">
        <v>84.6</v>
      </c>
      <c r="Z48" s="18">
        <v>32.799999999999997</v>
      </c>
      <c r="AA48" s="18">
        <v>50.8</v>
      </c>
      <c r="AB48" s="18">
        <v>74.8</v>
      </c>
      <c r="AC48" s="18">
        <v>1</v>
      </c>
      <c r="AD48" s="18">
        <v>57</v>
      </c>
      <c r="AE48" s="18">
        <v>3</v>
      </c>
      <c r="AF48" s="18">
        <v>31</v>
      </c>
      <c r="AG48" s="18">
        <v>4</v>
      </c>
      <c r="AH48" s="18">
        <v>10</v>
      </c>
      <c r="AI48" s="18">
        <v>7.8</v>
      </c>
      <c r="AJ48" s="18">
        <v>23</v>
      </c>
    </row>
    <row r="49" spans="1:38" s="18" customFormat="1" x14ac:dyDescent="0.25">
      <c r="A49" s="16">
        <v>5</v>
      </c>
      <c r="B49" s="17">
        <v>43633</v>
      </c>
      <c r="C49" s="18" t="s">
        <v>43</v>
      </c>
      <c r="D49" s="18">
        <v>300</v>
      </c>
      <c r="E49" s="18">
        <v>56.9</v>
      </c>
      <c r="F49" s="18">
        <v>127.5</v>
      </c>
      <c r="G49" s="18">
        <v>15.1</v>
      </c>
      <c r="H49" s="18">
        <v>43.7</v>
      </c>
      <c r="I49" s="18">
        <v>32.9</v>
      </c>
      <c r="J49" s="18">
        <v>121.3</v>
      </c>
      <c r="K49" s="18">
        <v>4463.7</v>
      </c>
      <c r="L49" s="18">
        <v>1085.3</v>
      </c>
      <c r="M49" s="18">
        <v>1254.9000000000001</v>
      </c>
      <c r="N49" s="18">
        <v>190</v>
      </c>
      <c r="O49" s="18">
        <v>503.5</v>
      </c>
      <c r="P49" s="18">
        <v>313.7</v>
      </c>
      <c r="Q49" s="18">
        <v>2123.5</v>
      </c>
      <c r="R49" s="18">
        <v>14.6</v>
      </c>
      <c r="S49" s="18">
        <v>19.100000000000001</v>
      </c>
      <c r="T49" s="18">
        <v>12.6</v>
      </c>
      <c r="U49" s="18">
        <v>7.8</v>
      </c>
      <c r="V49" s="18">
        <v>10.1</v>
      </c>
      <c r="W49" s="18">
        <v>17.5</v>
      </c>
      <c r="X49" s="18">
        <v>68.3</v>
      </c>
      <c r="Y49" s="18">
        <v>83</v>
      </c>
      <c r="Z49" s="18">
        <v>49.1</v>
      </c>
      <c r="AA49" s="18">
        <v>69.400000000000006</v>
      </c>
      <c r="AB49" s="18">
        <v>75.900000000000006</v>
      </c>
      <c r="AC49" s="18">
        <v>0</v>
      </c>
      <c r="AD49" s="18">
        <v>60</v>
      </c>
      <c r="AE49" s="18">
        <v>4</v>
      </c>
      <c r="AF49" s="18">
        <v>26</v>
      </c>
      <c r="AG49" s="18">
        <v>4</v>
      </c>
      <c r="AH49" s="18">
        <v>10</v>
      </c>
      <c r="AI49" s="18">
        <v>6.5</v>
      </c>
      <c r="AJ49" s="18">
        <v>31</v>
      </c>
    </row>
    <row r="50" spans="1:38" s="18" customFormat="1" x14ac:dyDescent="0.25">
      <c r="A50" s="16">
        <v>6</v>
      </c>
      <c r="B50" s="17">
        <v>43633</v>
      </c>
      <c r="C50" s="18" t="s">
        <v>43</v>
      </c>
      <c r="D50" s="18">
        <v>300</v>
      </c>
      <c r="E50" s="18">
        <v>59</v>
      </c>
      <c r="F50" s="18">
        <v>125.1</v>
      </c>
      <c r="G50" s="18">
        <v>15.4</v>
      </c>
      <c r="H50" s="18">
        <v>57.2</v>
      </c>
      <c r="I50" s="18">
        <v>36.299999999999997</v>
      </c>
      <c r="J50" s="18">
        <v>115.1</v>
      </c>
      <c r="K50" s="18">
        <v>2807.6</v>
      </c>
      <c r="L50" s="18">
        <v>862.9</v>
      </c>
      <c r="M50" s="18">
        <v>572.29999999999995</v>
      </c>
      <c r="N50" s="18">
        <v>49.8</v>
      </c>
      <c r="O50" s="18">
        <v>228.2</v>
      </c>
      <c r="P50" s="18">
        <v>143.1</v>
      </c>
      <c r="Q50" s="18">
        <v>1372.5</v>
      </c>
      <c r="R50" s="18">
        <v>9.3000000000000007</v>
      </c>
      <c r="S50" s="18">
        <v>14.9</v>
      </c>
      <c r="T50" s="18">
        <v>7.9</v>
      </c>
      <c r="U50" s="18">
        <v>4.4000000000000004</v>
      </c>
      <c r="V50" s="18">
        <v>6</v>
      </c>
      <c r="W50" s="18">
        <v>13.9</v>
      </c>
      <c r="X50" s="18">
        <v>48.9</v>
      </c>
      <c r="Y50" s="18">
        <v>67.2</v>
      </c>
      <c r="Z50" s="18">
        <v>32.200000000000003</v>
      </c>
      <c r="AA50" s="18">
        <v>40.9</v>
      </c>
      <c r="AB50" s="18">
        <v>65.099999999999994</v>
      </c>
      <c r="AC50" s="18">
        <v>0</v>
      </c>
      <c r="AD50" s="18">
        <v>44</v>
      </c>
      <c r="AE50" s="18">
        <v>6</v>
      </c>
      <c r="AF50" s="18">
        <v>17</v>
      </c>
      <c r="AG50" s="18">
        <v>2</v>
      </c>
      <c r="AH50" s="18">
        <v>7</v>
      </c>
      <c r="AI50" s="18">
        <v>4.3</v>
      </c>
      <c r="AJ50" s="18">
        <v>21</v>
      </c>
    </row>
    <row r="51" spans="1:38" s="18" customFormat="1" x14ac:dyDescent="0.25">
      <c r="A51" s="16">
        <v>7</v>
      </c>
      <c r="B51" s="20">
        <v>43683</v>
      </c>
      <c r="C51" s="19" t="s">
        <v>43</v>
      </c>
      <c r="D51" s="18">
        <v>300</v>
      </c>
      <c r="E51" s="18">
        <v>48.1</v>
      </c>
      <c r="F51" s="18">
        <v>112.6</v>
      </c>
      <c r="G51" s="18">
        <v>18.7</v>
      </c>
      <c r="H51" s="18">
        <v>47.1</v>
      </c>
      <c r="I51" s="18">
        <v>28.2</v>
      </c>
      <c r="J51" s="18">
        <v>139.6</v>
      </c>
      <c r="K51" s="18">
        <v>3828.1</v>
      </c>
      <c r="L51" s="18">
        <v>841.4</v>
      </c>
      <c r="M51" s="18">
        <v>1139.2</v>
      </c>
      <c r="N51" s="18">
        <v>167.4</v>
      </c>
      <c r="O51" s="18">
        <v>469.2</v>
      </c>
      <c r="P51" s="18">
        <v>284.8</v>
      </c>
      <c r="Q51" s="18">
        <v>1847.5</v>
      </c>
      <c r="R51" s="18">
        <v>12.7</v>
      </c>
      <c r="S51" s="18">
        <v>17.5</v>
      </c>
      <c r="T51" s="18">
        <v>17.5</v>
      </c>
      <c r="U51" s="18">
        <v>6.7</v>
      </c>
      <c r="V51" s="18">
        <v>10.6</v>
      </c>
      <c r="W51" s="18">
        <v>13.2</v>
      </c>
      <c r="X51" s="18">
        <v>62.6</v>
      </c>
      <c r="Y51" s="18">
        <v>75.3</v>
      </c>
      <c r="Z51" s="18">
        <v>44.6</v>
      </c>
      <c r="AA51" s="18">
        <v>61.4</v>
      </c>
      <c r="AB51" s="18">
        <v>66.3</v>
      </c>
      <c r="AC51" s="18">
        <v>2</v>
      </c>
      <c r="AD51" s="18">
        <v>42</v>
      </c>
      <c r="AE51" s="18">
        <v>6</v>
      </c>
      <c r="AF51" s="18">
        <v>19</v>
      </c>
      <c r="AG51" s="18">
        <v>3</v>
      </c>
      <c r="AH51" s="18">
        <v>6</v>
      </c>
      <c r="AI51" s="18">
        <v>4.8</v>
      </c>
      <c r="AJ51" s="18">
        <v>17</v>
      </c>
    </row>
    <row r="52" spans="1:38" x14ac:dyDescent="0.25">
      <c r="A52" t="s">
        <v>60</v>
      </c>
      <c r="B52" s="3">
        <v>43747</v>
      </c>
      <c r="C52" t="s">
        <v>43</v>
      </c>
      <c r="D52">
        <v>300</v>
      </c>
      <c r="E52">
        <v>23.1</v>
      </c>
      <c r="F52">
        <v>180.4</v>
      </c>
      <c r="G52" s="29">
        <v>34.1</v>
      </c>
      <c r="H52" s="29">
        <v>59.5</v>
      </c>
      <c r="I52" s="29">
        <v>45.1</v>
      </c>
      <c r="J52" s="29">
        <v>117</v>
      </c>
      <c r="K52" s="29">
        <v>4658.8</v>
      </c>
      <c r="L52" s="29">
        <v>743.4</v>
      </c>
      <c r="M52" s="29">
        <v>1156.3</v>
      </c>
      <c r="N52" s="29">
        <v>227.7</v>
      </c>
      <c r="O52" s="29">
        <v>345.4</v>
      </c>
      <c r="P52" s="29">
        <v>289.10000000000002</v>
      </c>
      <c r="Q52" s="29">
        <v>2759.1</v>
      </c>
      <c r="R52" s="29">
        <v>14.5</v>
      </c>
      <c r="S52" s="29">
        <v>32.200000000000003</v>
      </c>
      <c r="T52" s="29">
        <v>10.1</v>
      </c>
      <c r="U52" s="29">
        <v>4.5999999999999996</v>
      </c>
      <c r="V52" s="29">
        <v>7.1</v>
      </c>
      <c r="W52" s="29">
        <v>23.6</v>
      </c>
      <c r="X52" s="29">
        <v>57.7</v>
      </c>
      <c r="Y52" s="29">
        <v>96</v>
      </c>
      <c r="Z52" s="29">
        <v>31.7</v>
      </c>
      <c r="AA52" s="29">
        <v>49.8</v>
      </c>
      <c r="AB52" s="29">
        <v>81.599999999999994</v>
      </c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x14ac:dyDescent="0.25">
      <c r="A53" t="s">
        <v>61</v>
      </c>
      <c r="B53" s="3">
        <v>43747</v>
      </c>
      <c r="C53" t="s">
        <v>43</v>
      </c>
      <c r="D53">
        <v>300</v>
      </c>
      <c r="E53">
        <v>52.2</v>
      </c>
      <c r="F53">
        <v>130.69999999999999</v>
      </c>
      <c r="G53" s="29">
        <v>20.2</v>
      </c>
      <c r="H53" s="29">
        <v>61.3</v>
      </c>
      <c r="I53" s="29">
        <v>32.700000000000003</v>
      </c>
      <c r="J53" s="29">
        <v>146</v>
      </c>
      <c r="K53" s="29">
        <v>4479.2</v>
      </c>
      <c r="L53" s="29">
        <v>1350</v>
      </c>
      <c r="M53" s="29">
        <v>828.6</v>
      </c>
      <c r="N53" s="29">
        <v>152.19999999999999</v>
      </c>
      <c r="O53" s="29">
        <v>245.4</v>
      </c>
      <c r="P53" s="29">
        <v>207.2</v>
      </c>
      <c r="Q53" s="29">
        <v>2300.6999999999998</v>
      </c>
      <c r="R53" s="29">
        <v>13.6</v>
      </c>
      <c r="S53" s="29">
        <v>25.9</v>
      </c>
      <c r="T53" s="29">
        <v>9.1</v>
      </c>
      <c r="U53" s="29">
        <v>4</v>
      </c>
      <c r="V53" s="29">
        <v>7.2</v>
      </c>
      <c r="W53" s="29">
        <v>15.8</v>
      </c>
      <c r="X53" s="29">
        <v>60.1</v>
      </c>
      <c r="Y53" s="29">
        <v>95.8</v>
      </c>
      <c r="Z53" s="29">
        <v>26</v>
      </c>
      <c r="AA53" s="29">
        <v>53.3</v>
      </c>
      <c r="AB53" s="29">
        <v>67.099999999999994</v>
      </c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x14ac:dyDescent="0.25">
      <c r="A54" t="s">
        <v>62</v>
      </c>
      <c r="B54" s="3">
        <v>43747</v>
      </c>
      <c r="C54" t="s">
        <v>43</v>
      </c>
      <c r="D54">
        <v>300</v>
      </c>
      <c r="E54">
        <v>20.3</v>
      </c>
      <c r="F54">
        <v>199.8</v>
      </c>
      <c r="G54" s="29">
        <v>16</v>
      </c>
      <c r="H54" s="29">
        <v>75.599999999999994</v>
      </c>
      <c r="I54" s="29">
        <v>50</v>
      </c>
      <c r="J54" s="29">
        <v>105.6</v>
      </c>
      <c r="K54" s="29">
        <v>2859.3</v>
      </c>
      <c r="L54" s="29">
        <v>409.3</v>
      </c>
      <c r="M54" s="29">
        <v>714.7</v>
      </c>
      <c r="N54" s="29">
        <v>113.5</v>
      </c>
      <c r="O54" s="29">
        <v>251.8</v>
      </c>
      <c r="P54" s="29">
        <v>178.7</v>
      </c>
      <c r="Q54" s="29">
        <v>1735.4</v>
      </c>
      <c r="R54" s="29">
        <v>8.8000000000000007</v>
      </c>
      <c r="S54" s="29">
        <v>20.100000000000001</v>
      </c>
      <c r="T54" s="29">
        <v>7.1</v>
      </c>
      <c r="U54" s="29">
        <v>2.8</v>
      </c>
      <c r="V54" s="29">
        <v>4.5999999999999996</v>
      </c>
      <c r="W54" s="29">
        <v>16.399999999999999</v>
      </c>
      <c r="X54" s="29">
        <v>45.6</v>
      </c>
      <c r="Y54" s="29">
        <v>91.1</v>
      </c>
      <c r="Z54" s="29">
        <v>19.3</v>
      </c>
      <c r="AA54" s="29">
        <v>50.9</v>
      </c>
      <c r="AB54" s="29">
        <v>74.3</v>
      </c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x14ac:dyDescent="0.25">
      <c r="A55" t="s">
        <v>63</v>
      </c>
      <c r="B55" s="3">
        <v>43747</v>
      </c>
      <c r="C55" t="s">
        <v>43</v>
      </c>
      <c r="D55">
        <v>300</v>
      </c>
      <c r="E55">
        <v>27.4</v>
      </c>
      <c r="F55">
        <v>169.5</v>
      </c>
      <c r="G55" s="29">
        <v>31.2</v>
      </c>
      <c r="H55" s="29">
        <v>71.099999999999994</v>
      </c>
      <c r="I55" s="29">
        <v>42.4</v>
      </c>
      <c r="J55" s="29">
        <v>115.7</v>
      </c>
      <c r="K55" s="29">
        <v>3239.6</v>
      </c>
      <c r="L55" s="29">
        <v>661.6</v>
      </c>
      <c r="M55" s="29">
        <v>749.1</v>
      </c>
      <c r="N55" s="29">
        <v>142.9</v>
      </c>
      <c r="O55" s="29">
        <v>271.3</v>
      </c>
      <c r="P55" s="29">
        <v>187.3</v>
      </c>
      <c r="Q55" s="29">
        <v>1828.8</v>
      </c>
      <c r="R55" s="29">
        <v>10.4</v>
      </c>
      <c r="S55" s="29">
        <v>24.1</v>
      </c>
      <c r="T55" s="29">
        <v>5.5</v>
      </c>
      <c r="U55" s="29">
        <v>3.8</v>
      </c>
      <c r="V55" s="29">
        <v>4.5999999999999996</v>
      </c>
      <c r="W55" s="29">
        <v>15.8</v>
      </c>
      <c r="X55" s="29">
        <v>51</v>
      </c>
      <c r="Y55" s="29">
        <v>88.1</v>
      </c>
      <c r="Z55" s="29">
        <v>28.9</v>
      </c>
      <c r="AA55" s="29">
        <v>36.299999999999997</v>
      </c>
      <c r="AB55" s="29">
        <v>71</v>
      </c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s="43" customFormat="1" x14ac:dyDescent="0.25">
      <c r="A56" s="40">
        <v>12</v>
      </c>
      <c r="B56" s="41">
        <v>43733</v>
      </c>
      <c r="C56" s="42" t="s">
        <v>43</v>
      </c>
      <c r="D56" s="43">
        <v>300</v>
      </c>
      <c r="E56" s="43">
        <v>20.3</v>
      </c>
      <c r="F56" s="43">
        <v>197</v>
      </c>
      <c r="G56" s="43">
        <v>26.5</v>
      </c>
      <c r="H56" s="43">
        <v>76.900000000000006</v>
      </c>
      <c r="I56" s="43">
        <v>49.3</v>
      </c>
      <c r="J56" s="43">
        <v>108.5</v>
      </c>
      <c r="K56" s="43">
        <v>2979.5</v>
      </c>
      <c r="L56" s="43">
        <v>318.39999999999998</v>
      </c>
      <c r="M56" s="43">
        <v>1054.8</v>
      </c>
      <c r="N56" s="43">
        <v>167.2</v>
      </c>
      <c r="O56" s="43">
        <v>342.8</v>
      </c>
      <c r="P56" s="43">
        <v>263.7</v>
      </c>
      <c r="Q56" s="43">
        <v>1606.3</v>
      </c>
      <c r="R56" s="43">
        <v>9.1</v>
      </c>
      <c r="S56" s="43">
        <v>15.6</v>
      </c>
      <c r="T56" s="43">
        <v>8.1999999999999993</v>
      </c>
      <c r="U56" s="43">
        <v>4.5</v>
      </c>
      <c r="V56" s="43">
        <v>5.9</v>
      </c>
      <c r="W56" s="43">
        <v>14.8</v>
      </c>
      <c r="X56" s="43">
        <v>53.1</v>
      </c>
      <c r="Y56" s="43">
        <v>86.8</v>
      </c>
      <c r="Z56" s="43">
        <v>30</v>
      </c>
      <c r="AA56" s="43">
        <v>45.8</v>
      </c>
      <c r="AB56" s="43">
        <v>78.2</v>
      </c>
    </row>
    <row r="57" spans="1:38" s="43" customFormat="1" x14ac:dyDescent="0.25">
      <c r="A57" s="44">
        <v>13</v>
      </c>
      <c r="B57" s="41">
        <v>43733</v>
      </c>
      <c r="C57" s="42" t="s">
        <v>43</v>
      </c>
      <c r="D57" s="43">
        <v>300</v>
      </c>
      <c r="E57" s="43">
        <v>35.9</v>
      </c>
      <c r="F57" s="43">
        <v>187.1</v>
      </c>
      <c r="G57" s="43">
        <v>13</v>
      </c>
      <c r="H57" s="43">
        <v>102.4</v>
      </c>
      <c r="I57" s="43">
        <v>46.8</v>
      </c>
      <c r="J57" s="43">
        <v>106.5</v>
      </c>
      <c r="K57" s="43">
        <v>2548.9</v>
      </c>
      <c r="L57" s="43">
        <v>597.4</v>
      </c>
      <c r="M57" s="43">
        <v>808.9</v>
      </c>
      <c r="N57" s="43">
        <v>86.7</v>
      </c>
      <c r="O57" s="43">
        <v>420.4</v>
      </c>
      <c r="P57" s="43">
        <v>202.2</v>
      </c>
      <c r="Q57" s="43">
        <v>1142.5</v>
      </c>
      <c r="R57" s="43">
        <v>7.7</v>
      </c>
      <c r="S57" s="43">
        <v>16.600000000000001</v>
      </c>
      <c r="T57" s="43">
        <v>6.7</v>
      </c>
      <c r="U57" s="43">
        <v>4.0999999999999996</v>
      </c>
      <c r="V57" s="43">
        <v>4.8</v>
      </c>
      <c r="W57" s="43">
        <v>10.7</v>
      </c>
      <c r="X57" s="43">
        <v>42.7</v>
      </c>
      <c r="Y57" s="43">
        <v>82</v>
      </c>
      <c r="Z57" s="43">
        <v>21.2</v>
      </c>
      <c r="AA57" s="43">
        <v>48</v>
      </c>
      <c r="AB57" s="43">
        <v>57.1</v>
      </c>
    </row>
    <row r="58" spans="1:38" s="43" customFormat="1" x14ac:dyDescent="0.25">
      <c r="A58" s="44">
        <v>14</v>
      </c>
      <c r="B58" s="41">
        <v>43733</v>
      </c>
      <c r="C58" s="42" t="s">
        <v>43</v>
      </c>
      <c r="D58" s="43">
        <v>300</v>
      </c>
      <c r="E58" s="43">
        <v>17.100000000000001</v>
      </c>
      <c r="F58" s="43">
        <v>222.9</v>
      </c>
      <c r="G58" s="43">
        <v>27.6</v>
      </c>
      <c r="H58" s="43">
        <v>108.1</v>
      </c>
      <c r="I58" s="43">
        <v>55.7</v>
      </c>
      <c r="J58" s="43">
        <v>89.6</v>
      </c>
      <c r="K58" s="43">
        <v>2293.3000000000002</v>
      </c>
      <c r="L58" s="43">
        <v>237.4</v>
      </c>
      <c r="M58" s="43">
        <v>866.5</v>
      </c>
      <c r="N58" s="43">
        <v>135.4</v>
      </c>
      <c r="O58" s="43">
        <v>378.7</v>
      </c>
      <c r="P58" s="43">
        <v>216.6</v>
      </c>
      <c r="Q58" s="43">
        <v>1189.4000000000001</v>
      </c>
      <c r="R58" s="43">
        <v>7</v>
      </c>
      <c r="S58" s="43">
        <v>13.8</v>
      </c>
      <c r="T58" s="43">
        <v>7</v>
      </c>
      <c r="U58" s="43">
        <v>2</v>
      </c>
      <c r="V58" s="43">
        <v>4.5</v>
      </c>
      <c r="W58" s="43">
        <v>13.3</v>
      </c>
      <c r="X58" s="43">
        <v>40</v>
      </c>
      <c r="Y58" s="43">
        <v>79</v>
      </c>
      <c r="Z58" s="43">
        <v>16.5</v>
      </c>
      <c r="AA58" s="43">
        <v>36.799999999999997</v>
      </c>
      <c r="AB58" s="43">
        <v>68.5</v>
      </c>
    </row>
  </sheetData>
  <mergeCells count="5">
    <mergeCell ref="D1:J1"/>
    <mergeCell ref="K1:Q1"/>
    <mergeCell ref="R1:W1"/>
    <mergeCell ref="Y1:AB1"/>
    <mergeCell ref="AD1:AI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DBDA"/>
  </sheetPr>
  <dimension ref="A1:AL30"/>
  <sheetViews>
    <sheetView zoomScale="70" zoomScaleNormal="70" workbookViewId="0">
      <selection activeCell="C3" sqref="C3:C15"/>
    </sheetView>
  </sheetViews>
  <sheetFormatPr defaultRowHeight="15" x14ac:dyDescent="0.25"/>
  <cols>
    <col min="1" max="1" width="15.42578125" customWidth="1"/>
    <col min="2" max="2" width="13.7109375" customWidth="1"/>
    <col min="3" max="3" width="14.140625" customWidth="1"/>
  </cols>
  <sheetData>
    <row r="1" spans="1:38" x14ac:dyDescent="0.25">
      <c r="A1" s="1"/>
      <c r="B1" s="1"/>
      <c r="C1" s="1"/>
      <c r="D1" s="60" t="s">
        <v>7</v>
      </c>
      <c r="E1" s="61"/>
      <c r="F1" s="61"/>
      <c r="G1" s="61"/>
      <c r="H1" s="61"/>
      <c r="I1" s="61"/>
      <c r="J1" s="62"/>
      <c r="K1" s="65" t="s">
        <v>8</v>
      </c>
      <c r="L1" s="66"/>
      <c r="M1" s="66"/>
      <c r="N1" s="66"/>
      <c r="O1" s="66"/>
      <c r="P1" s="66"/>
      <c r="Q1" s="67"/>
      <c r="R1" s="68" t="s">
        <v>9</v>
      </c>
      <c r="S1" s="69"/>
      <c r="T1" s="69"/>
      <c r="U1" s="69"/>
      <c r="V1" s="69"/>
      <c r="W1" s="70"/>
      <c r="X1" s="47"/>
      <c r="Y1" s="63" t="s">
        <v>10</v>
      </c>
      <c r="Z1" s="64"/>
      <c r="AA1" s="64"/>
      <c r="AB1" s="64"/>
      <c r="AC1" s="13"/>
      <c r="AD1" s="56" t="s">
        <v>39</v>
      </c>
      <c r="AE1" s="57"/>
      <c r="AF1" s="57"/>
      <c r="AG1" s="57"/>
      <c r="AH1" s="57"/>
      <c r="AI1" s="58"/>
      <c r="AJ1" s="15"/>
    </row>
    <row r="2" spans="1:38" ht="54.75" customHeight="1" x14ac:dyDescent="0.25">
      <c r="A2" s="2" t="s">
        <v>11</v>
      </c>
      <c r="B2" s="2" t="s">
        <v>12</v>
      </c>
      <c r="C2" s="2" t="s">
        <v>13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31</v>
      </c>
      <c r="AC2" s="11" t="s">
        <v>32</v>
      </c>
      <c r="AD2" s="12" t="s">
        <v>40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</row>
    <row r="3" spans="1:38" ht="13.5" customHeight="1" x14ac:dyDescent="0.25">
      <c r="A3">
        <v>1</v>
      </c>
      <c r="B3" s="3">
        <v>43562</v>
      </c>
      <c r="C3" t="s">
        <v>41</v>
      </c>
      <c r="D3">
        <v>300</v>
      </c>
      <c r="E3">
        <v>43.3</v>
      </c>
      <c r="F3">
        <v>101.3</v>
      </c>
      <c r="G3">
        <v>16.600000000000001</v>
      </c>
      <c r="H3">
        <v>40.5</v>
      </c>
      <c r="I3">
        <v>25.3</v>
      </c>
      <c r="J3">
        <v>155.4</v>
      </c>
      <c r="K3">
        <v>3403.8</v>
      </c>
      <c r="L3">
        <v>832.6</v>
      </c>
      <c r="M3">
        <v>847</v>
      </c>
      <c r="N3">
        <v>117.2</v>
      </c>
      <c r="O3">
        <v>353.1</v>
      </c>
      <c r="P3">
        <v>211.75</v>
      </c>
      <c r="Q3">
        <v>1724.2</v>
      </c>
      <c r="S3">
        <v>19.2</v>
      </c>
      <c r="T3">
        <v>8.6999999999999993</v>
      </c>
      <c r="U3">
        <v>0</v>
      </c>
      <c r="V3">
        <v>5.7</v>
      </c>
      <c r="W3">
        <v>11.1</v>
      </c>
      <c r="Y3">
        <v>81.5</v>
      </c>
      <c r="Z3">
        <v>0</v>
      </c>
      <c r="AA3">
        <v>51.8</v>
      </c>
      <c r="AB3">
        <v>52.8</v>
      </c>
      <c r="AC3">
        <v>0</v>
      </c>
      <c r="AD3">
        <v>42</v>
      </c>
      <c r="AE3">
        <v>4</v>
      </c>
      <c r="AF3">
        <v>30</v>
      </c>
      <c r="AG3">
        <v>5</v>
      </c>
      <c r="AH3">
        <v>11</v>
      </c>
      <c r="AI3">
        <v>7.5</v>
      </c>
      <c r="AJ3">
        <v>8</v>
      </c>
    </row>
    <row r="4" spans="1:38" x14ac:dyDescent="0.25">
      <c r="A4">
        <v>2</v>
      </c>
      <c r="B4" s="3">
        <v>43562</v>
      </c>
      <c r="C4" t="s">
        <v>41</v>
      </c>
      <c r="D4">
        <v>300</v>
      </c>
      <c r="E4">
        <v>46.1</v>
      </c>
      <c r="F4">
        <v>118.7</v>
      </c>
      <c r="G4">
        <v>14.9</v>
      </c>
      <c r="H4">
        <v>41.1</v>
      </c>
      <c r="I4">
        <v>29.7</v>
      </c>
      <c r="J4">
        <v>138.80000000000001</v>
      </c>
      <c r="K4">
        <v>2524.6999999999998</v>
      </c>
      <c r="L4">
        <v>585.6</v>
      </c>
      <c r="M4">
        <v>541.4</v>
      </c>
      <c r="N4">
        <v>76.8</v>
      </c>
      <c r="O4">
        <v>207.1</v>
      </c>
      <c r="P4">
        <v>135.4</v>
      </c>
      <c r="Q4">
        <v>1397.8</v>
      </c>
      <c r="R4">
        <v>8.3000000000000007</v>
      </c>
      <c r="S4">
        <v>12.7</v>
      </c>
      <c r="T4">
        <v>5.7</v>
      </c>
      <c r="U4">
        <v>3.9</v>
      </c>
      <c r="V4">
        <v>4.7</v>
      </c>
      <c r="W4">
        <v>10.1</v>
      </c>
      <c r="X4">
        <v>49.9</v>
      </c>
      <c r="Y4">
        <v>65.099999999999994</v>
      </c>
      <c r="Z4">
        <v>28.9</v>
      </c>
      <c r="AA4">
        <v>51.1</v>
      </c>
      <c r="AB4">
        <v>55.7</v>
      </c>
      <c r="AC4">
        <v>0</v>
      </c>
      <c r="AD4">
        <v>35</v>
      </c>
      <c r="AE4">
        <v>5</v>
      </c>
      <c r="AF4">
        <v>23</v>
      </c>
      <c r="AG4">
        <v>1</v>
      </c>
      <c r="AH4">
        <v>8</v>
      </c>
      <c r="AI4">
        <v>5.8</v>
      </c>
      <c r="AJ4">
        <v>7</v>
      </c>
    </row>
    <row r="5" spans="1:38" x14ac:dyDescent="0.25">
      <c r="A5">
        <v>3</v>
      </c>
      <c r="B5" s="3">
        <v>43562</v>
      </c>
      <c r="C5" t="s">
        <v>41</v>
      </c>
      <c r="D5">
        <v>300</v>
      </c>
      <c r="E5">
        <v>55.9</v>
      </c>
      <c r="F5">
        <v>113.6</v>
      </c>
      <c r="G5">
        <v>12.6</v>
      </c>
      <c r="H5">
        <v>38.1</v>
      </c>
      <c r="I5">
        <v>28.4</v>
      </c>
      <c r="J5">
        <v>138.80000000000001</v>
      </c>
      <c r="K5">
        <v>4013.9</v>
      </c>
      <c r="L5">
        <v>1308.5</v>
      </c>
      <c r="M5">
        <v>885.7</v>
      </c>
      <c r="N5">
        <v>64.099999999999994</v>
      </c>
      <c r="O5">
        <v>427.4</v>
      </c>
      <c r="P5">
        <v>221.4</v>
      </c>
      <c r="Q5">
        <v>1819.7</v>
      </c>
      <c r="R5" s="14">
        <v>13</v>
      </c>
      <c r="S5">
        <v>24.3</v>
      </c>
      <c r="T5">
        <v>11.2</v>
      </c>
      <c r="U5">
        <v>5.0999999999999996</v>
      </c>
      <c r="V5">
        <v>7.2</v>
      </c>
      <c r="W5">
        <v>13.1</v>
      </c>
      <c r="X5">
        <v>61.6</v>
      </c>
      <c r="Y5">
        <v>85</v>
      </c>
      <c r="Z5">
        <v>40.200000000000003</v>
      </c>
      <c r="AA5">
        <v>61.5</v>
      </c>
      <c r="AB5">
        <v>62.5</v>
      </c>
      <c r="AC5">
        <v>2</v>
      </c>
      <c r="AD5">
        <v>64</v>
      </c>
      <c r="AE5">
        <v>5</v>
      </c>
      <c r="AF5">
        <v>31</v>
      </c>
      <c r="AG5">
        <v>6</v>
      </c>
      <c r="AH5">
        <v>10</v>
      </c>
      <c r="AI5">
        <v>7.8</v>
      </c>
      <c r="AJ5">
        <v>28</v>
      </c>
    </row>
    <row r="6" spans="1:38" s="22" customFormat="1" x14ac:dyDescent="0.25">
      <c r="A6" s="23">
        <v>8</v>
      </c>
      <c r="B6" s="24">
        <v>43697</v>
      </c>
      <c r="C6" s="25" t="s">
        <v>41</v>
      </c>
      <c r="D6" s="26">
        <v>300</v>
      </c>
      <c r="E6" s="22">
        <v>66.099999999999994</v>
      </c>
      <c r="F6" s="22">
        <v>116.6</v>
      </c>
      <c r="G6" s="22">
        <v>17</v>
      </c>
      <c r="H6" s="22">
        <v>49.9</v>
      </c>
      <c r="I6" s="22">
        <v>29.2</v>
      </c>
      <c r="J6" s="22">
        <v>157.4</v>
      </c>
      <c r="K6" s="22">
        <v>3258.6</v>
      </c>
      <c r="L6" s="22">
        <v>905.9</v>
      </c>
      <c r="M6" s="22">
        <v>590.79999999999995</v>
      </c>
      <c r="N6" s="22">
        <v>105.4</v>
      </c>
      <c r="O6" s="22">
        <v>222.2</v>
      </c>
      <c r="P6" s="22">
        <v>147.69999999999999</v>
      </c>
      <c r="Q6" s="22">
        <v>1761.9</v>
      </c>
      <c r="R6" s="22">
        <v>9.6</v>
      </c>
      <c r="S6" s="22">
        <v>13.7</v>
      </c>
      <c r="T6" s="22">
        <v>13</v>
      </c>
      <c r="U6" s="22">
        <v>3</v>
      </c>
      <c r="V6" s="22">
        <v>6.2</v>
      </c>
      <c r="W6" s="22">
        <v>11.2</v>
      </c>
      <c r="X6" s="22">
        <v>48</v>
      </c>
      <c r="Y6" s="22">
        <v>65.5</v>
      </c>
      <c r="Z6" s="22">
        <v>22</v>
      </c>
      <c r="AA6" s="22">
        <v>44.6</v>
      </c>
      <c r="AB6" s="22">
        <v>54.2</v>
      </c>
    </row>
    <row r="7" spans="1:38" s="22" customFormat="1" x14ac:dyDescent="0.25">
      <c r="A7" s="28">
        <v>9</v>
      </c>
      <c r="B7" s="27">
        <v>43697</v>
      </c>
      <c r="C7" s="29" t="s">
        <v>41</v>
      </c>
      <c r="D7" s="29">
        <v>300</v>
      </c>
      <c r="E7" s="22">
        <v>48</v>
      </c>
      <c r="F7" s="22">
        <v>129.80000000000001</v>
      </c>
      <c r="G7" s="22">
        <v>17.7</v>
      </c>
      <c r="H7" s="22">
        <v>44.2</v>
      </c>
      <c r="I7" s="22">
        <v>32.5</v>
      </c>
      <c r="J7" s="22">
        <v>123.3</v>
      </c>
      <c r="K7" s="22">
        <v>4246.1000000000004</v>
      </c>
      <c r="L7" s="22">
        <v>1224.8</v>
      </c>
      <c r="M7" s="22">
        <v>871.1</v>
      </c>
      <c r="N7" s="22">
        <v>135.69999999999999</v>
      </c>
      <c r="O7" s="22">
        <v>304</v>
      </c>
      <c r="P7" s="22">
        <v>217.8</v>
      </c>
      <c r="Q7" s="22">
        <v>2150.1</v>
      </c>
      <c r="R7" s="22">
        <v>14.1</v>
      </c>
      <c r="S7" s="22">
        <v>25.5</v>
      </c>
      <c r="T7" s="22">
        <v>8.1999999999999993</v>
      </c>
      <c r="U7" s="22">
        <v>5.5</v>
      </c>
      <c r="V7" s="22">
        <v>6.9</v>
      </c>
      <c r="W7" s="22">
        <v>17.399999999999999</v>
      </c>
      <c r="X7" s="22">
        <v>59.5</v>
      </c>
      <c r="Y7" s="22">
        <v>89.8</v>
      </c>
      <c r="Z7" s="22">
        <v>35.200000000000003</v>
      </c>
      <c r="AA7" s="22">
        <v>45.9</v>
      </c>
      <c r="AB7" s="22">
        <v>69.099999999999994</v>
      </c>
    </row>
    <row r="8" spans="1:38" s="22" customFormat="1" x14ac:dyDescent="0.25">
      <c r="A8" s="28">
        <v>10</v>
      </c>
      <c r="B8" s="27">
        <v>43697</v>
      </c>
      <c r="C8" s="29" t="s">
        <v>41</v>
      </c>
      <c r="D8" s="29">
        <v>300</v>
      </c>
      <c r="E8" s="22">
        <v>71.900000000000006</v>
      </c>
      <c r="F8" s="22">
        <v>115.3</v>
      </c>
      <c r="G8" s="22">
        <v>8.6</v>
      </c>
      <c r="H8" s="22">
        <v>45.2</v>
      </c>
      <c r="I8" s="22">
        <v>28.8</v>
      </c>
      <c r="J8" s="22">
        <v>107.1</v>
      </c>
      <c r="K8" s="22">
        <v>3131.3</v>
      </c>
      <c r="L8" s="22">
        <v>959.1</v>
      </c>
      <c r="M8" s="22">
        <v>683.8</v>
      </c>
      <c r="N8" s="22">
        <v>64.5</v>
      </c>
      <c r="O8" s="22">
        <v>314.89999999999998</v>
      </c>
      <c r="P8" s="22">
        <v>171</v>
      </c>
      <c r="Q8" s="22">
        <v>1488.3</v>
      </c>
      <c r="R8" s="22">
        <v>10.1</v>
      </c>
      <c r="S8" s="22">
        <v>16.5</v>
      </c>
      <c r="T8" s="22">
        <v>7</v>
      </c>
      <c r="U8" s="22">
        <v>3.9</v>
      </c>
      <c r="V8" s="22">
        <v>5</v>
      </c>
      <c r="W8" s="22">
        <v>12.6</v>
      </c>
      <c r="X8" s="22">
        <v>51.3</v>
      </c>
      <c r="Y8" s="22">
        <v>77.900000000000006</v>
      </c>
      <c r="Z8" s="22">
        <v>29.8</v>
      </c>
      <c r="AA8" s="22">
        <v>39.1</v>
      </c>
      <c r="AB8" s="22">
        <v>61.2</v>
      </c>
    </row>
    <row r="9" spans="1:38" s="22" customFormat="1" x14ac:dyDescent="0.25">
      <c r="A9" s="31">
        <v>11</v>
      </c>
      <c r="B9" s="27">
        <v>43700</v>
      </c>
      <c r="C9" s="29" t="s">
        <v>41</v>
      </c>
      <c r="D9" s="29">
        <v>300</v>
      </c>
      <c r="E9" s="30">
        <v>26.9</v>
      </c>
      <c r="F9" s="30">
        <v>189.2</v>
      </c>
      <c r="G9" s="22">
        <v>32.4</v>
      </c>
      <c r="H9" s="22">
        <v>70.900000000000006</v>
      </c>
      <c r="I9" s="22">
        <v>47.3</v>
      </c>
      <c r="J9" s="22">
        <v>83.9</v>
      </c>
      <c r="K9" s="22">
        <v>2259.6</v>
      </c>
      <c r="L9" s="22">
        <v>445.4</v>
      </c>
      <c r="M9" s="22">
        <v>639.29999999999995</v>
      </c>
      <c r="N9" s="22">
        <v>73.900000000000006</v>
      </c>
      <c r="O9" s="22">
        <v>357.4</v>
      </c>
      <c r="P9" s="22">
        <v>159.80000000000001</v>
      </c>
      <c r="Q9" s="22">
        <v>1175.0999999999999</v>
      </c>
      <c r="R9" s="22">
        <v>6.9</v>
      </c>
      <c r="S9" s="22">
        <v>16.5</v>
      </c>
      <c r="T9" s="22">
        <v>7.1</v>
      </c>
      <c r="U9" s="22">
        <v>2.2999999999999998</v>
      </c>
      <c r="V9" s="22">
        <v>3.4</v>
      </c>
      <c r="W9" s="22">
        <v>10.5</v>
      </c>
      <c r="X9" s="22">
        <v>36.9</v>
      </c>
      <c r="Y9" s="22">
        <v>81.2</v>
      </c>
      <c r="Z9" s="22">
        <v>12.9</v>
      </c>
      <c r="AA9" s="22">
        <v>25</v>
      </c>
      <c r="AB9" s="22">
        <v>57</v>
      </c>
    </row>
    <row r="10" spans="1:38" x14ac:dyDescent="0.25">
      <c r="A10" t="s">
        <v>57</v>
      </c>
      <c r="B10" s="3">
        <v>43747</v>
      </c>
      <c r="C10" t="s">
        <v>41</v>
      </c>
      <c r="D10">
        <v>300</v>
      </c>
      <c r="E10">
        <v>62.4</v>
      </c>
      <c r="F10">
        <v>158.80000000000001</v>
      </c>
      <c r="G10">
        <v>16.600000000000001</v>
      </c>
      <c r="H10">
        <v>61</v>
      </c>
      <c r="I10">
        <v>39.700000000000003</v>
      </c>
      <c r="J10">
        <v>108.9</v>
      </c>
      <c r="K10">
        <v>4724.5</v>
      </c>
      <c r="L10">
        <v>1494.7</v>
      </c>
      <c r="M10">
        <v>861.4</v>
      </c>
      <c r="N10">
        <v>128.1</v>
      </c>
      <c r="O10">
        <v>297.2</v>
      </c>
      <c r="P10">
        <v>215.4</v>
      </c>
      <c r="Q10">
        <v>2296.4</v>
      </c>
      <c r="R10">
        <v>14.3</v>
      </c>
      <c r="S10">
        <v>23.9</v>
      </c>
      <c r="T10">
        <v>7.7</v>
      </c>
      <c r="U10">
        <v>4.5999999999999996</v>
      </c>
      <c r="V10">
        <v>6.4</v>
      </c>
      <c r="W10">
        <v>21.1</v>
      </c>
      <c r="X10">
        <v>57.9</v>
      </c>
      <c r="Y10">
        <v>84.6</v>
      </c>
      <c r="Z10">
        <v>24</v>
      </c>
      <c r="AA10">
        <v>50</v>
      </c>
      <c r="AB10">
        <v>76.900000000000006</v>
      </c>
    </row>
    <row r="11" spans="1:38" x14ac:dyDescent="0.25">
      <c r="A11" t="s">
        <v>58</v>
      </c>
      <c r="B11" s="3">
        <v>43747</v>
      </c>
      <c r="C11" t="s">
        <v>41</v>
      </c>
      <c r="D11">
        <v>300</v>
      </c>
      <c r="E11">
        <v>55.2</v>
      </c>
      <c r="F11">
        <v>146.1</v>
      </c>
      <c r="G11" s="22">
        <v>19.600000000000001</v>
      </c>
      <c r="H11" s="22">
        <v>53.1</v>
      </c>
      <c r="I11" s="22">
        <v>36.5</v>
      </c>
      <c r="J11" s="22">
        <v>130.1</v>
      </c>
      <c r="K11" s="22">
        <v>3386.6</v>
      </c>
      <c r="L11" s="22">
        <v>786.3</v>
      </c>
      <c r="M11" s="22">
        <v>735.5</v>
      </c>
      <c r="N11" s="22">
        <v>112.4</v>
      </c>
      <c r="O11" s="22">
        <v>232.7</v>
      </c>
      <c r="P11" s="22">
        <v>183.9</v>
      </c>
      <c r="Q11" s="22">
        <v>1864.8</v>
      </c>
      <c r="R11" s="22">
        <v>10.3</v>
      </c>
      <c r="S11" s="22">
        <v>14.2</v>
      </c>
      <c r="T11" s="22">
        <v>6.3</v>
      </c>
      <c r="U11" s="22">
        <v>4.4000000000000004</v>
      </c>
      <c r="V11" s="22">
        <v>5.3</v>
      </c>
      <c r="W11" s="22">
        <v>14.3</v>
      </c>
      <c r="X11" s="22">
        <v>51.3</v>
      </c>
      <c r="Y11" s="22">
        <v>67.3</v>
      </c>
      <c r="Z11" s="22">
        <v>26.4</v>
      </c>
      <c r="AA11" s="22">
        <v>41.8</v>
      </c>
      <c r="AB11" s="22">
        <v>66</v>
      </c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s="22" customFormat="1" x14ac:dyDescent="0.25">
      <c r="A12" s="22" t="s">
        <v>59</v>
      </c>
      <c r="B12" s="27">
        <v>43747</v>
      </c>
      <c r="C12" s="22" t="s">
        <v>41</v>
      </c>
      <c r="D12" s="22">
        <v>300</v>
      </c>
      <c r="E12" s="22">
        <v>37</v>
      </c>
      <c r="F12" s="22">
        <v>148</v>
      </c>
      <c r="G12" s="22">
        <v>20</v>
      </c>
      <c r="H12" s="22">
        <v>66.5</v>
      </c>
      <c r="I12" s="22">
        <v>37</v>
      </c>
      <c r="J12" s="22">
        <v>135.6</v>
      </c>
      <c r="K12" s="22">
        <v>3361.1</v>
      </c>
      <c r="L12" s="22">
        <v>727.1</v>
      </c>
      <c r="M12" s="22">
        <v>750.5</v>
      </c>
      <c r="N12" s="22">
        <v>138.9</v>
      </c>
      <c r="O12" s="22">
        <v>234.8</v>
      </c>
      <c r="P12" s="22">
        <v>187.6</v>
      </c>
      <c r="Q12" s="22">
        <v>1883.6</v>
      </c>
      <c r="R12" s="22">
        <v>10.5</v>
      </c>
      <c r="S12" s="22">
        <v>19.7</v>
      </c>
      <c r="T12" s="22">
        <v>7.1</v>
      </c>
      <c r="U12" s="22">
        <v>3.5</v>
      </c>
      <c r="V12" s="22">
        <v>5.6</v>
      </c>
      <c r="W12" s="22">
        <v>13.9</v>
      </c>
      <c r="X12" s="22">
        <v>52.6</v>
      </c>
      <c r="Y12" s="22">
        <v>83.5</v>
      </c>
      <c r="Z12" s="22">
        <v>20.7</v>
      </c>
      <c r="AA12" s="22">
        <v>49.4</v>
      </c>
      <c r="AB12" s="22">
        <v>64.599999999999994</v>
      </c>
    </row>
    <row r="13" spans="1:38" x14ac:dyDescent="0.25">
      <c r="A13" s="28">
        <v>1</v>
      </c>
      <c r="B13" s="3">
        <v>44076</v>
      </c>
      <c r="C13" t="s">
        <v>41</v>
      </c>
      <c r="D13" s="29">
        <v>300</v>
      </c>
      <c r="E13">
        <v>42.3</v>
      </c>
      <c r="F13">
        <f>29.4+87.5+17.1+16.6</f>
        <v>150.6</v>
      </c>
      <c r="G13">
        <v>16.600000000000001</v>
      </c>
      <c r="H13">
        <v>87.2</v>
      </c>
      <c r="I13">
        <f>150.6/4</f>
        <v>37.65</v>
      </c>
      <c r="J13">
        <v>126.6</v>
      </c>
      <c r="K13">
        <v>2250.4</v>
      </c>
      <c r="L13">
        <v>507.9</v>
      </c>
      <c r="M13">
        <f>152.5+183.6+78.3+65.5</f>
        <v>479.90000000000003</v>
      </c>
      <c r="N13">
        <v>65.5</v>
      </c>
      <c r="O13">
        <v>183.6</v>
      </c>
      <c r="P13">
        <f>479.9/4</f>
        <v>119.97499999999999</v>
      </c>
      <c r="Q13">
        <v>1262.5999999999999</v>
      </c>
      <c r="R13">
        <v>7</v>
      </c>
      <c r="S13">
        <v>12</v>
      </c>
      <c r="T13">
        <v>5.2</v>
      </c>
      <c r="U13">
        <v>2.1</v>
      </c>
      <c r="V13">
        <f>15.8/4</f>
        <v>3.95</v>
      </c>
      <c r="W13">
        <v>10</v>
      </c>
      <c r="X13">
        <v>44.5</v>
      </c>
      <c r="Y13">
        <v>70.900000000000006</v>
      </c>
      <c r="Z13">
        <v>16.899999999999999</v>
      </c>
      <c r="AA13">
        <v>34.9</v>
      </c>
      <c r="AB13">
        <v>60.8</v>
      </c>
    </row>
    <row r="14" spans="1:38" x14ac:dyDescent="0.25">
      <c r="A14" s="48">
        <v>2</v>
      </c>
      <c r="B14" s="3">
        <v>44082</v>
      </c>
      <c r="C14" t="s">
        <v>41</v>
      </c>
      <c r="D14">
        <v>300</v>
      </c>
      <c r="E14">
        <v>35.4</v>
      </c>
      <c r="F14">
        <f>27.4+33.6+13.1+26.4</f>
        <v>100.5</v>
      </c>
      <c r="G14">
        <v>13.1</v>
      </c>
      <c r="H14">
        <v>33.6</v>
      </c>
      <c r="I14">
        <f>100.5/4</f>
        <v>25.125</v>
      </c>
      <c r="J14">
        <v>159.69999999999999</v>
      </c>
      <c r="K14">
        <v>2204.6999999999998</v>
      </c>
      <c r="L14">
        <v>489.9</v>
      </c>
      <c r="M14">
        <f>162.2+137.6+69.2+116.9</f>
        <v>485.9</v>
      </c>
      <c r="N14">
        <v>69.2</v>
      </c>
      <c r="O14">
        <v>162.19999999999999</v>
      </c>
      <c r="P14">
        <f>485.9/4</f>
        <v>121.47499999999999</v>
      </c>
      <c r="Q14">
        <v>1228.9000000000001</v>
      </c>
      <c r="R14">
        <v>7.5</v>
      </c>
      <c r="S14">
        <v>13.8</v>
      </c>
      <c r="T14">
        <v>5.9</v>
      </c>
      <c r="U14">
        <v>4.0999999999999996</v>
      </c>
      <c r="V14">
        <f>19.6/4</f>
        <v>4.9000000000000004</v>
      </c>
      <c r="W14">
        <v>7.7</v>
      </c>
      <c r="X14">
        <v>48.9</v>
      </c>
      <c r="Y14">
        <v>75.5</v>
      </c>
      <c r="Z14">
        <v>33.9</v>
      </c>
      <c r="AA14">
        <v>43.9</v>
      </c>
      <c r="AB14">
        <v>50.3</v>
      </c>
    </row>
    <row r="15" spans="1:38" x14ac:dyDescent="0.25">
      <c r="A15">
        <v>3</v>
      </c>
      <c r="B15" s="3">
        <v>44089</v>
      </c>
      <c r="C15" t="s">
        <v>41</v>
      </c>
      <c r="D15">
        <v>300</v>
      </c>
      <c r="E15">
        <f>4*60+41.5</f>
        <v>281.5</v>
      </c>
      <c r="F15">
        <v>1</v>
      </c>
      <c r="G15">
        <v>0</v>
      </c>
      <c r="H15">
        <v>1</v>
      </c>
      <c r="I15">
        <v>1</v>
      </c>
      <c r="J15">
        <v>22.2</v>
      </c>
      <c r="K15">
        <v>1112.9000000000001</v>
      </c>
      <c r="L15">
        <v>1013.4</v>
      </c>
      <c r="M15">
        <v>1.4</v>
      </c>
      <c r="N15">
        <v>0</v>
      </c>
      <c r="O15">
        <v>1.4</v>
      </c>
      <c r="P15">
        <v>1.4</v>
      </c>
      <c r="Q15">
        <v>98.1</v>
      </c>
      <c r="R15">
        <v>3.6</v>
      </c>
      <c r="S15">
        <v>3.6</v>
      </c>
      <c r="T15">
        <v>1.3</v>
      </c>
      <c r="U15">
        <v>0</v>
      </c>
      <c r="V15">
        <v>1.3</v>
      </c>
      <c r="W15">
        <v>4.4000000000000004</v>
      </c>
      <c r="X15">
        <v>29.4</v>
      </c>
      <c r="Y15">
        <v>28.8</v>
      </c>
      <c r="Z15">
        <v>0</v>
      </c>
      <c r="AA15">
        <v>13.9</v>
      </c>
      <c r="AB15">
        <v>37.1</v>
      </c>
    </row>
    <row r="16" spans="1:38" x14ac:dyDescent="0.25">
      <c r="D16" s="22"/>
    </row>
    <row r="19" spans="1:36" x14ac:dyDescent="0.25">
      <c r="A19">
        <v>1</v>
      </c>
      <c r="B19" s="3">
        <v>43585</v>
      </c>
      <c r="C19" t="s">
        <v>42</v>
      </c>
      <c r="D19">
        <v>300</v>
      </c>
      <c r="E19">
        <v>7.8</v>
      </c>
      <c r="F19">
        <v>196.4</v>
      </c>
      <c r="G19">
        <v>34.799999999999997</v>
      </c>
      <c r="H19">
        <v>67.3</v>
      </c>
      <c r="I19">
        <v>49.1</v>
      </c>
      <c r="J19">
        <v>100.9</v>
      </c>
      <c r="K19">
        <v>2605.1999999999998</v>
      </c>
      <c r="L19">
        <v>188.7</v>
      </c>
      <c r="M19">
        <v>918.5</v>
      </c>
      <c r="N19">
        <v>165.4</v>
      </c>
      <c r="O19">
        <v>341</v>
      </c>
      <c r="P19">
        <v>229.6</v>
      </c>
      <c r="Q19">
        <v>1498.1</v>
      </c>
      <c r="R19">
        <v>8.5</v>
      </c>
      <c r="S19">
        <v>23.9</v>
      </c>
      <c r="T19">
        <v>5.9</v>
      </c>
      <c r="U19">
        <v>3.1</v>
      </c>
      <c r="V19">
        <v>4.8</v>
      </c>
      <c r="W19">
        <v>14.8</v>
      </c>
      <c r="X19">
        <v>48.6</v>
      </c>
      <c r="Y19">
        <v>92.1</v>
      </c>
      <c r="Z19">
        <v>29.1</v>
      </c>
      <c r="AA19">
        <v>45.2</v>
      </c>
      <c r="AB19">
        <v>70.900000000000006</v>
      </c>
      <c r="AC19">
        <v>0</v>
      </c>
      <c r="AD19">
        <v>34</v>
      </c>
      <c r="AE19">
        <v>0</v>
      </c>
      <c r="AF19">
        <v>17</v>
      </c>
      <c r="AG19">
        <v>2</v>
      </c>
      <c r="AH19">
        <v>7</v>
      </c>
      <c r="AI19">
        <v>4.3</v>
      </c>
      <c r="AJ19">
        <v>17</v>
      </c>
    </row>
    <row r="20" spans="1:36" x14ac:dyDescent="0.25">
      <c r="A20">
        <v>2</v>
      </c>
      <c r="B20" s="3">
        <v>43585</v>
      </c>
      <c r="C20" t="s">
        <v>42</v>
      </c>
      <c r="D20">
        <v>300</v>
      </c>
      <c r="E20">
        <v>26.8</v>
      </c>
      <c r="F20">
        <v>195.9</v>
      </c>
      <c r="G20">
        <v>26.6</v>
      </c>
      <c r="H20">
        <v>85.9</v>
      </c>
      <c r="I20">
        <v>49.1</v>
      </c>
      <c r="J20">
        <v>99.2</v>
      </c>
      <c r="K20">
        <v>2281.6</v>
      </c>
      <c r="L20" s="14">
        <v>373</v>
      </c>
      <c r="M20">
        <v>758.6</v>
      </c>
      <c r="N20">
        <v>106.7</v>
      </c>
      <c r="O20">
        <v>227.3</v>
      </c>
      <c r="P20">
        <v>189.7</v>
      </c>
      <c r="Q20">
        <v>1149.9000000000001</v>
      </c>
      <c r="R20">
        <v>7.1</v>
      </c>
      <c r="S20">
        <v>13.9</v>
      </c>
      <c r="T20">
        <v>5.7</v>
      </c>
      <c r="U20">
        <v>2.6</v>
      </c>
      <c r="V20">
        <v>4.3</v>
      </c>
      <c r="W20">
        <v>11.6</v>
      </c>
      <c r="X20">
        <v>46.9</v>
      </c>
      <c r="Y20">
        <v>80.099999999999994</v>
      </c>
      <c r="Z20">
        <v>23.6</v>
      </c>
      <c r="AA20">
        <v>40.200000000000003</v>
      </c>
      <c r="AB20">
        <v>67.2</v>
      </c>
      <c r="AC20">
        <v>0</v>
      </c>
      <c r="AD20">
        <v>35</v>
      </c>
      <c r="AE20">
        <v>0</v>
      </c>
      <c r="AF20">
        <v>26</v>
      </c>
      <c r="AG20">
        <v>5</v>
      </c>
      <c r="AH20">
        <v>10</v>
      </c>
      <c r="AI20">
        <v>6.5</v>
      </c>
      <c r="AJ20">
        <v>9</v>
      </c>
    </row>
    <row r="21" spans="1:36" x14ac:dyDescent="0.25">
      <c r="A21">
        <v>3</v>
      </c>
      <c r="B21" s="21">
        <v>43585</v>
      </c>
      <c r="C21" t="s">
        <v>42</v>
      </c>
      <c r="D21">
        <v>300</v>
      </c>
      <c r="E21">
        <v>21.2</v>
      </c>
      <c r="F21">
        <v>177.6</v>
      </c>
      <c r="G21">
        <v>18.2</v>
      </c>
      <c r="H21">
        <v>90.4</v>
      </c>
      <c r="I21">
        <v>44.4</v>
      </c>
      <c r="J21">
        <v>104.5</v>
      </c>
      <c r="K21">
        <v>1965</v>
      </c>
      <c r="L21">
        <v>317.8</v>
      </c>
      <c r="M21">
        <v>601.5</v>
      </c>
      <c r="N21">
        <v>125.6</v>
      </c>
      <c r="O21">
        <v>198.6</v>
      </c>
      <c r="P21">
        <v>150.4</v>
      </c>
      <c r="Q21">
        <v>1045.7</v>
      </c>
      <c r="R21">
        <v>6.5</v>
      </c>
      <c r="S21">
        <v>15</v>
      </c>
      <c r="T21">
        <v>6.9</v>
      </c>
      <c r="U21">
        <v>2.2000000000000002</v>
      </c>
      <c r="V21">
        <v>4.3</v>
      </c>
      <c r="W21">
        <v>10</v>
      </c>
      <c r="X21">
        <v>47.2</v>
      </c>
      <c r="Y21">
        <v>90.1</v>
      </c>
      <c r="Z21">
        <v>22.4</v>
      </c>
      <c r="AA21">
        <v>44.1</v>
      </c>
      <c r="AB21">
        <v>67.599999999999994</v>
      </c>
      <c r="AC21">
        <v>0</v>
      </c>
      <c r="AD21">
        <v>35</v>
      </c>
      <c r="AE21">
        <v>0</v>
      </c>
      <c r="AF21">
        <v>23</v>
      </c>
      <c r="AG21">
        <v>3</v>
      </c>
      <c r="AH21">
        <v>8</v>
      </c>
      <c r="AI21">
        <v>5.8</v>
      </c>
      <c r="AJ21">
        <v>12</v>
      </c>
    </row>
    <row r="22" spans="1:36" s="22" customFormat="1" x14ac:dyDescent="0.25">
      <c r="A22" s="28">
        <v>8</v>
      </c>
      <c r="B22" s="27">
        <v>43720</v>
      </c>
      <c r="C22" s="29" t="s">
        <v>42</v>
      </c>
      <c r="D22" s="29">
        <v>300</v>
      </c>
      <c r="E22" s="22">
        <v>14.6</v>
      </c>
      <c r="F22" s="22">
        <v>212.8</v>
      </c>
      <c r="G22" s="22">
        <v>42.4</v>
      </c>
      <c r="H22" s="22">
        <v>62.9</v>
      </c>
      <c r="I22" s="22">
        <v>53.2</v>
      </c>
      <c r="J22" s="22">
        <v>97.1</v>
      </c>
      <c r="K22" s="22">
        <v>3109.8</v>
      </c>
      <c r="L22" s="22">
        <v>301.2</v>
      </c>
      <c r="M22" s="22">
        <v>1040.0999999999999</v>
      </c>
      <c r="N22" s="22">
        <v>226.5</v>
      </c>
      <c r="O22" s="22">
        <v>293.2</v>
      </c>
      <c r="P22" s="22">
        <v>260</v>
      </c>
      <c r="Q22" s="22">
        <v>1768.6</v>
      </c>
      <c r="R22" s="22">
        <v>9.6</v>
      </c>
      <c r="S22" s="22">
        <v>20.7</v>
      </c>
      <c r="T22" s="22">
        <v>6</v>
      </c>
      <c r="U22" s="22">
        <v>4.5</v>
      </c>
      <c r="V22" s="22">
        <v>5</v>
      </c>
      <c r="W22" s="22">
        <v>18.2</v>
      </c>
      <c r="X22" s="22">
        <v>46.9</v>
      </c>
      <c r="Y22" s="22">
        <v>78.2</v>
      </c>
      <c r="Z22" s="22">
        <v>30.6</v>
      </c>
      <c r="AA22" s="22">
        <v>40.4</v>
      </c>
      <c r="AB22" s="22">
        <v>72.900000000000006</v>
      </c>
    </row>
    <row r="23" spans="1:36" s="22" customFormat="1" x14ac:dyDescent="0.25">
      <c r="A23" s="28">
        <v>9</v>
      </c>
      <c r="B23" s="27">
        <v>43720</v>
      </c>
      <c r="C23" s="29" t="s">
        <v>42</v>
      </c>
      <c r="D23" s="29">
        <v>300</v>
      </c>
      <c r="E23" s="22">
        <v>18.8</v>
      </c>
      <c r="F23" s="22">
        <v>246.8</v>
      </c>
      <c r="G23" s="22">
        <v>19.600000000000001</v>
      </c>
      <c r="H23" s="22">
        <v>59.6</v>
      </c>
      <c r="I23" s="22">
        <v>61.7</v>
      </c>
      <c r="J23" s="22">
        <v>130.69999999999999</v>
      </c>
      <c r="K23" s="22">
        <v>2739.1</v>
      </c>
      <c r="L23" s="22">
        <v>303.39999999999998</v>
      </c>
      <c r="M23" s="22">
        <v>864.2</v>
      </c>
      <c r="N23" s="22">
        <v>145.80000000000001</v>
      </c>
      <c r="O23" s="22">
        <v>353.5</v>
      </c>
      <c r="P23" s="22">
        <v>216.1</v>
      </c>
      <c r="Q23" s="22">
        <v>1571.6</v>
      </c>
      <c r="R23" s="22">
        <v>8.8000000000000007</v>
      </c>
      <c r="S23" s="22">
        <v>16.100000000000001</v>
      </c>
      <c r="T23" s="22">
        <v>8</v>
      </c>
      <c r="U23" s="22">
        <v>3.6</v>
      </c>
      <c r="V23" s="22">
        <v>5.8</v>
      </c>
      <c r="W23" s="22">
        <v>12</v>
      </c>
      <c r="X23" s="22">
        <v>49</v>
      </c>
      <c r="Y23" s="22">
        <v>80</v>
      </c>
      <c r="Z23" s="22">
        <v>25.6</v>
      </c>
      <c r="AA23" s="22">
        <v>53.4</v>
      </c>
      <c r="AB23" s="22">
        <v>59.5</v>
      </c>
    </row>
    <row r="24" spans="1:36" s="22" customFormat="1" x14ac:dyDescent="0.25">
      <c r="A24" s="28">
        <v>10</v>
      </c>
      <c r="B24" s="27">
        <v>43720</v>
      </c>
      <c r="C24" s="29" t="s">
        <v>42</v>
      </c>
      <c r="D24" s="29">
        <v>300</v>
      </c>
      <c r="E24" s="22">
        <v>25.1</v>
      </c>
      <c r="F24" s="22">
        <v>169.8</v>
      </c>
      <c r="G24" s="22">
        <v>34.9</v>
      </c>
      <c r="H24" s="22">
        <v>56.4</v>
      </c>
      <c r="I24" s="22">
        <v>42.5</v>
      </c>
      <c r="J24" s="22">
        <v>113</v>
      </c>
      <c r="K24" s="22">
        <v>2885.4</v>
      </c>
      <c r="L24" s="22">
        <v>502.8</v>
      </c>
      <c r="M24" s="22">
        <v>887.9</v>
      </c>
      <c r="N24" s="22">
        <v>157.5</v>
      </c>
      <c r="O24" s="22">
        <v>269.10000000000002</v>
      </c>
      <c r="P24" s="22">
        <v>222</v>
      </c>
      <c r="Q24" s="22">
        <v>1494.8</v>
      </c>
      <c r="R24" s="22">
        <v>9.4</v>
      </c>
      <c r="S24" s="22">
        <v>20</v>
      </c>
      <c r="T24" s="22">
        <v>7</v>
      </c>
      <c r="U24" s="22">
        <v>4.5</v>
      </c>
      <c r="V24" s="22">
        <v>5.3</v>
      </c>
      <c r="W24" s="22">
        <v>13.2</v>
      </c>
      <c r="X24" s="22">
        <v>49</v>
      </c>
      <c r="Y24" s="22">
        <v>73.599999999999994</v>
      </c>
      <c r="Z24" s="22">
        <v>27.5</v>
      </c>
      <c r="AA24" s="22">
        <v>46.6</v>
      </c>
      <c r="AB24" s="22">
        <v>63.3</v>
      </c>
    </row>
    <row r="25" spans="1:36" x14ac:dyDescent="0.25">
      <c r="A25" s="28">
        <v>11</v>
      </c>
      <c r="B25" s="3">
        <v>43733</v>
      </c>
      <c r="C25" s="29" t="s">
        <v>42</v>
      </c>
      <c r="D25" s="29">
        <v>300</v>
      </c>
      <c r="E25" s="22">
        <v>14.3</v>
      </c>
      <c r="F25" s="22">
        <v>215.8</v>
      </c>
      <c r="G25" s="22">
        <v>34.5</v>
      </c>
      <c r="H25" s="22">
        <v>86.1</v>
      </c>
      <c r="I25" s="22">
        <v>54</v>
      </c>
      <c r="J25" s="22">
        <v>95.8</v>
      </c>
      <c r="K25" s="22">
        <v>2558.8000000000002</v>
      </c>
      <c r="L25" s="22">
        <v>242.1</v>
      </c>
      <c r="M25" s="22">
        <v>992.8</v>
      </c>
      <c r="N25" s="22">
        <v>205.4</v>
      </c>
      <c r="O25" s="22">
        <v>323.5</v>
      </c>
      <c r="P25" s="22">
        <v>248.2</v>
      </c>
      <c r="Q25" s="22">
        <v>1323.9</v>
      </c>
      <c r="R25" s="22">
        <v>7.8</v>
      </c>
      <c r="S25" s="22">
        <v>16.899999999999999</v>
      </c>
      <c r="T25" s="22">
        <v>5.9</v>
      </c>
      <c r="U25" s="22">
        <v>3.8</v>
      </c>
      <c r="V25" s="22">
        <v>4.9000000000000004</v>
      </c>
      <c r="W25" s="22">
        <v>13.8</v>
      </c>
      <c r="X25" s="22">
        <v>40.6</v>
      </c>
      <c r="Y25" s="22">
        <v>70.8</v>
      </c>
      <c r="Z25" s="22">
        <v>24.6</v>
      </c>
      <c r="AA25" s="22">
        <v>37.5</v>
      </c>
      <c r="AB25" s="22">
        <v>60.8</v>
      </c>
    </row>
    <row r="26" spans="1:36" x14ac:dyDescent="0.25">
      <c r="A26" s="28">
        <v>12</v>
      </c>
      <c r="B26" s="3">
        <v>43770</v>
      </c>
      <c r="C26" s="29" t="s">
        <v>42</v>
      </c>
      <c r="D26">
        <v>300</v>
      </c>
      <c r="E26">
        <v>16.8</v>
      </c>
      <c r="F26">
        <v>185.9</v>
      </c>
      <c r="G26">
        <v>25.6</v>
      </c>
      <c r="H26">
        <v>75.900000000000006</v>
      </c>
      <c r="I26">
        <v>48.1</v>
      </c>
      <c r="J26">
        <v>97.2</v>
      </c>
      <c r="K26">
        <v>2218.6</v>
      </c>
      <c r="L26" s="14">
        <v>263</v>
      </c>
      <c r="M26">
        <v>778.5</v>
      </c>
      <c r="N26">
        <v>109.3</v>
      </c>
      <c r="O26">
        <v>285</v>
      </c>
      <c r="P26">
        <v>219.7</v>
      </c>
      <c r="Q26">
        <v>1231.9000000000001</v>
      </c>
      <c r="R26">
        <v>7.1</v>
      </c>
      <c r="S26">
        <v>13.5</v>
      </c>
      <c r="T26">
        <v>5.4</v>
      </c>
      <c r="U26">
        <v>2.4</v>
      </c>
      <c r="V26">
        <v>4.3</v>
      </c>
      <c r="W26">
        <v>11.8</v>
      </c>
      <c r="X26">
        <v>45.9</v>
      </c>
      <c r="Y26">
        <v>79.099999999999994</v>
      </c>
      <c r="Z26">
        <v>25.6</v>
      </c>
      <c r="AA26">
        <v>40.200000000000003</v>
      </c>
      <c r="AB26">
        <v>65.2</v>
      </c>
    </row>
    <row r="27" spans="1:36" x14ac:dyDescent="0.25">
      <c r="A27" s="28">
        <v>13</v>
      </c>
      <c r="B27" s="3">
        <v>43770</v>
      </c>
      <c r="C27" s="29" t="s">
        <v>42</v>
      </c>
      <c r="D27" s="29">
        <v>300</v>
      </c>
      <c r="E27">
        <v>25.6</v>
      </c>
      <c r="F27">
        <v>198.8</v>
      </c>
      <c r="G27">
        <v>24.7</v>
      </c>
      <c r="H27">
        <v>79.3</v>
      </c>
      <c r="I27">
        <v>48.3</v>
      </c>
      <c r="J27">
        <v>100.2</v>
      </c>
      <c r="K27">
        <v>2382.4</v>
      </c>
      <c r="L27" s="14">
        <v>370.1</v>
      </c>
      <c r="M27">
        <v>768.6</v>
      </c>
      <c r="N27">
        <v>96.7</v>
      </c>
      <c r="O27">
        <v>288.3</v>
      </c>
      <c r="P27">
        <v>199.7</v>
      </c>
      <c r="Q27">
        <v>1149.9000000000001</v>
      </c>
      <c r="R27">
        <v>6.9</v>
      </c>
      <c r="S27">
        <v>13.8</v>
      </c>
      <c r="T27">
        <v>5.6</v>
      </c>
      <c r="U27">
        <v>2.5</v>
      </c>
      <c r="V27">
        <v>4.4000000000000004</v>
      </c>
      <c r="W27">
        <v>11.7</v>
      </c>
      <c r="X27">
        <v>47.3</v>
      </c>
      <c r="Y27">
        <v>77.2</v>
      </c>
      <c r="Z27">
        <v>24.6</v>
      </c>
      <c r="AA27">
        <v>41.3</v>
      </c>
      <c r="AB27">
        <v>66.2</v>
      </c>
    </row>
    <row r="28" spans="1:36" x14ac:dyDescent="0.25">
      <c r="A28" s="28">
        <v>14</v>
      </c>
      <c r="B28" s="3">
        <v>43770</v>
      </c>
      <c r="C28" s="29" t="s">
        <v>42</v>
      </c>
      <c r="D28" s="29">
        <v>300</v>
      </c>
      <c r="E28" s="22">
        <v>15.8</v>
      </c>
      <c r="F28" s="22">
        <v>245.3</v>
      </c>
      <c r="G28" s="22">
        <v>29.6</v>
      </c>
      <c r="H28" s="22">
        <v>72.599999999999994</v>
      </c>
      <c r="I28" s="22">
        <v>50.3</v>
      </c>
      <c r="J28" s="22">
        <v>104.8</v>
      </c>
      <c r="K28" s="22">
        <v>2592.8000000000002</v>
      </c>
      <c r="L28" s="22">
        <v>311.5</v>
      </c>
      <c r="M28" s="22">
        <v>866.8</v>
      </c>
      <c r="N28" s="22">
        <v>161.4</v>
      </c>
      <c r="O28" s="22">
        <v>286.5</v>
      </c>
      <c r="P28" s="22">
        <v>216.2</v>
      </c>
      <c r="Q28" s="22">
        <v>1407.9</v>
      </c>
      <c r="R28" s="22">
        <v>8.1999999999999993</v>
      </c>
      <c r="S28" s="22">
        <v>18.100000000000001</v>
      </c>
      <c r="T28" s="22">
        <v>6.5</v>
      </c>
      <c r="U28" s="22">
        <v>3.5</v>
      </c>
      <c r="V28" s="22">
        <v>4.9000000000000004</v>
      </c>
      <c r="W28" s="22">
        <v>13.4</v>
      </c>
      <c r="X28" s="22">
        <v>46.6</v>
      </c>
      <c r="Y28" s="22">
        <v>80.8</v>
      </c>
      <c r="Z28" s="22">
        <v>26.2</v>
      </c>
      <c r="AA28" s="22">
        <v>43.5</v>
      </c>
      <c r="AB28" s="22">
        <v>65.8</v>
      </c>
    </row>
    <row r="29" spans="1:36" x14ac:dyDescent="0.25">
      <c r="A29" s="28">
        <v>2</v>
      </c>
      <c r="B29" s="3">
        <v>44100</v>
      </c>
      <c r="C29" t="s">
        <v>42</v>
      </c>
      <c r="E29">
        <v>29.1</v>
      </c>
      <c r="F29">
        <f>14.8+61+44.5+10.9</f>
        <v>131.19999999999999</v>
      </c>
      <c r="G29">
        <v>10.9</v>
      </c>
      <c r="H29">
        <v>61</v>
      </c>
      <c r="I29">
        <f>131.2/4</f>
        <v>32.799999999999997</v>
      </c>
      <c r="J29">
        <v>142.4</v>
      </c>
      <c r="K29">
        <v>2111.1</v>
      </c>
      <c r="L29">
        <v>392.6</v>
      </c>
      <c r="M29">
        <f>64+222.5+120.3+42.5</f>
        <v>449.3</v>
      </c>
      <c r="N29">
        <v>10.9</v>
      </c>
      <c r="O29">
        <v>222.5</v>
      </c>
      <c r="P29">
        <f>449.3/4</f>
        <v>112.325</v>
      </c>
      <c r="Q29">
        <v>1269.3</v>
      </c>
      <c r="R29">
        <v>7</v>
      </c>
      <c r="S29">
        <v>13.5</v>
      </c>
      <c r="T29">
        <v>4.3</v>
      </c>
      <c r="U29">
        <v>2.7</v>
      </c>
      <c r="V29">
        <f>14.5/4</f>
        <v>3.625</v>
      </c>
      <c r="W29">
        <v>8.9</v>
      </c>
      <c r="X29">
        <v>42.5</v>
      </c>
      <c r="Y29">
        <v>63.2</v>
      </c>
      <c r="Z29">
        <v>23.9</v>
      </c>
      <c r="AA29">
        <v>33.9</v>
      </c>
      <c r="AB29">
        <v>52.4</v>
      </c>
    </row>
    <row r="30" spans="1:36" x14ac:dyDescent="0.25">
      <c r="B30" s="41">
        <v>44114</v>
      </c>
      <c r="C30" s="43" t="s">
        <v>42</v>
      </c>
      <c r="E30">
        <f>5*60+4.3</f>
        <v>304.3</v>
      </c>
      <c r="F30">
        <v>0</v>
      </c>
      <c r="G30">
        <v>0</v>
      </c>
      <c r="H30">
        <v>0</v>
      </c>
      <c r="I30">
        <v>0</v>
      </c>
      <c r="J30">
        <v>6.5</v>
      </c>
      <c r="K30">
        <v>561.70000000000005</v>
      </c>
      <c r="L30">
        <v>539.5</v>
      </c>
      <c r="M30">
        <v>0</v>
      </c>
      <c r="N30">
        <v>0</v>
      </c>
      <c r="O30">
        <v>0</v>
      </c>
      <c r="P30">
        <v>0</v>
      </c>
      <c r="Q30">
        <v>22.2</v>
      </c>
      <c r="R30">
        <v>1.8</v>
      </c>
      <c r="S30">
        <v>1.8</v>
      </c>
      <c r="T30">
        <v>0</v>
      </c>
      <c r="U30">
        <v>0</v>
      </c>
      <c r="V30">
        <v>0</v>
      </c>
      <c r="W30">
        <v>3.4</v>
      </c>
      <c r="X30">
        <v>16.399999999999999</v>
      </c>
      <c r="Y30">
        <v>16.100000000000001</v>
      </c>
      <c r="Z30">
        <v>0</v>
      </c>
      <c r="AA30">
        <v>0</v>
      </c>
      <c r="AB30">
        <v>32.9</v>
      </c>
    </row>
  </sheetData>
  <mergeCells count="5">
    <mergeCell ref="D1:J1"/>
    <mergeCell ref="K1:Q1"/>
    <mergeCell ref="R1:W1"/>
    <mergeCell ref="Y1:AB1"/>
    <mergeCell ref="AD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FFFF"/>
  </sheetPr>
  <dimension ref="A1:AL24"/>
  <sheetViews>
    <sheetView zoomScale="70" zoomScaleNormal="70" workbookViewId="0">
      <selection activeCell="A3" sqref="A3:XFD13"/>
    </sheetView>
  </sheetViews>
  <sheetFormatPr defaultRowHeight="15" x14ac:dyDescent="0.25"/>
  <cols>
    <col min="1" max="1" width="15.5703125" customWidth="1"/>
    <col min="2" max="2" width="15.28515625" customWidth="1"/>
    <col min="4" max="4" width="10" customWidth="1"/>
  </cols>
  <sheetData>
    <row r="1" spans="1:38" x14ac:dyDescent="0.25">
      <c r="A1" s="1"/>
      <c r="B1" s="1"/>
      <c r="C1" s="1"/>
      <c r="D1" s="60" t="s">
        <v>7</v>
      </c>
      <c r="E1" s="61"/>
      <c r="F1" s="61"/>
      <c r="G1" s="61"/>
      <c r="H1" s="61"/>
      <c r="I1" s="61"/>
      <c r="J1" s="62"/>
      <c r="K1" s="65" t="s">
        <v>8</v>
      </c>
      <c r="L1" s="66"/>
      <c r="M1" s="66"/>
      <c r="N1" s="66"/>
      <c r="O1" s="66"/>
      <c r="P1" s="66"/>
      <c r="Q1" s="67"/>
      <c r="R1" s="68" t="s">
        <v>9</v>
      </c>
      <c r="S1" s="69"/>
      <c r="T1" s="69"/>
      <c r="U1" s="69"/>
      <c r="V1" s="69"/>
      <c r="W1" s="70"/>
      <c r="X1" s="47"/>
      <c r="Y1" s="63" t="s">
        <v>10</v>
      </c>
      <c r="Z1" s="64"/>
      <c r="AA1" s="64"/>
      <c r="AB1" s="64"/>
      <c r="AC1" s="13"/>
      <c r="AD1" s="56" t="s">
        <v>39</v>
      </c>
      <c r="AE1" s="57"/>
      <c r="AF1" s="57"/>
      <c r="AG1" s="57"/>
      <c r="AH1" s="57"/>
      <c r="AI1" s="58"/>
      <c r="AJ1" s="15"/>
    </row>
    <row r="2" spans="1:38" ht="45" x14ac:dyDescent="0.25">
      <c r="A2" s="2" t="s">
        <v>11</v>
      </c>
      <c r="B2" s="2" t="s">
        <v>12</v>
      </c>
      <c r="C2" s="2" t="s">
        <v>13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10" t="s">
        <v>31</v>
      </c>
      <c r="AC2" s="11" t="s">
        <v>32</v>
      </c>
      <c r="AD2" s="12" t="s">
        <v>40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</row>
    <row r="3" spans="1:38" s="18" customFormat="1" x14ac:dyDescent="0.25">
      <c r="A3" s="16">
        <v>4</v>
      </c>
      <c r="B3" s="17">
        <v>43633</v>
      </c>
      <c r="C3" s="18" t="s">
        <v>43</v>
      </c>
      <c r="D3" s="18">
        <v>300</v>
      </c>
      <c r="E3" s="18">
        <v>32.5</v>
      </c>
      <c r="F3" s="18">
        <v>168.2</v>
      </c>
      <c r="G3" s="18">
        <v>24.2</v>
      </c>
      <c r="H3" s="18">
        <v>56.1</v>
      </c>
      <c r="I3" s="18">
        <v>42.1</v>
      </c>
      <c r="J3" s="18">
        <v>111.9</v>
      </c>
      <c r="K3" s="18">
        <v>3771.5</v>
      </c>
      <c r="L3" s="18">
        <v>731.1</v>
      </c>
      <c r="M3" s="18">
        <v>1119</v>
      </c>
      <c r="N3" s="18">
        <v>194.8</v>
      </c>
      <c r="O3" s="18">
        <v>344.5</v>
      </c>
      <c r="P3" s="18">
        <v>279.8</v>
      </c>
      <c r="Q3" s="18">
        <v>1921.2</v>
      </c>
      <c r="R3" s="18">
        <v>12.1</v>
      </c>
      <c r="S3" s="18">
        <v>22.5</v>
      </c>
      <c r="T3" s="18">
        <v>9.3000000000000007</v>
      </c>
      <c r="U3" s="18">
        <v>4.9000000000000004</v>
      </c>
      <c r="V3" s="18">
        <v>7</v>
      </c>
      <c r="W3" s="18">
        <v>17.2</v>
      </c>
      <c r="X3" s="18">
        <v>57.6</v>
      </c>
      <c r="Y3" s="18">
        <v>84.6</v>
      </c>
      <c r="Z3" s="18">
        <v>32.799999999999997</v>
      </c>
      <c r="AA3" s="18">
        <v>50.8</v>
      </c>
      <c r="AB3" s="18">
        <v>74.8</v>
      </c>
      <c r="AC3" s="18">
        <v>1</v>
      </c>
      <c r="AD3" s="18">
        <v>57</v>
      </c>
      <c r="AE3" s="18">
        <v>3</v>
      </c>
      <c r="AF3" s="18">
        <v>31</v>
      </c>
      <c r="AG3" s="18">
        <v>4</v>
      </c>
      <c r="AH3" s="18">
        <v>10</v>
      </c>
      <c r="AI3" s="18">
        <v>7.8</v>
      </c>
      <c r="AJ3" s="18">
        <v>23</v>
      </c>
    </row>
    <row r="4" spans="1:38" s="18" customFormat="1" x14ac:dyDescent="0.25">
      <c r="A4" s="16">
        <v>5</v>
      </c>
      <c r="B4" s="17">
        <v>43633</v>
      </c>
      <c r="C4" s="18" t="s">
        <v>43</v>
      </c>
      <c r="D4" s="18">
        <v>300</v>
      </c>
      <c r="E4" s="18">
        <v>56.9</v>
      </c>
      <c r="F4" s="18">
        <v>127.5</v>
      </c>
      <c r="G4" s="18">
        <v>15.1</v>
      </c>
      <c r="H4" s="18">
        <v>43.7</v>
      </c>
      <c r="I4" s="18">
        <v>32.9</v>
      </c>
      <c r="J4" s="18">
        <v>121.3</v>
      </c>
      <c r="K4" s="18">
        <v>4463.7</v>
      </c>
      <c r="L4" s="18">
        <v>1085.3</v>
      </c>
      <c r="M4" s="18">
        <v>1254.9000000000001</v>
      </c>
      <c r="N4" s="18">
        <v>190</v>
      </c>
      <c r="O4" s="18">
        <v>503.5</v>
      </c>
      <c r="P4" s="18">
        <v>313.7</v>
      </c>
      <c r="Q4" s="18">
        <v>2123.5</v>
      </c>
      <c r="R4" s="18">
        <v>14.6</v>
      </c>
      <c r="S4" s="18">
        <v>19.100000000000001</v>
      </c>
      <c r="T4" s="18">
        <v>12.6</v>
      </c>
      <c r="U4" s="18">
        <v>7.8</v>
      </c>
      <c r="V4" s="18">
        <v>10.1</v>
      </c>
      <c r="W4" s="18">
        <v>17.5</v>
      </c>
      <c r="X4" s="18">
        <v>68.3</v>
      </c>
      <c r="Y4" s="18">
        <v>83</v>
      </c>
      <c r="Z4" s="18">
        <v>49.1</v>
      </c>
      <c r="AA4" s="18">
        <v>69.400000000000006</v>
      </c>
      <c r="AB4" s="18">
        <v>75.900000000000006</v>
      </c>
      <c r="AC4" s="18">
        <v>0</v>
      </c>
      <c r="AD4" s="18">
        <v>60</v>
      </c>
      <c r="AE4" s="18">
        <v>4</v>
      </c>
      <c r="AF4" s="18">
        <v>26</v>
      </c>
      <c r="AG4" s="18">
        <v>4</v>
      </c>
      <c r="AH4" s="18">
        <v>10</v>
      </c>
      <c r="AI4" s="18">
        <v>6.5</v>
      </c>
      <c r="AJ4" s="18">
        <v>31</v>
      </c>
    </row>
    <row r="5" spans="1:38" s="18" customFormat="1" x14ac:dyDescent="0.25">
      <c r="A5" s="16">
        <v>6</v>
      </c>
      <c r="B5" s="17">
        <v>43633</v>
      </c>
      <c r="C5" s="18" t="s">
        <v>43</v>
      </c>
      <c r="D5" s="18">
        <v>300</v>
      </c>
      <c r="E5" s="18">
        <v>59</v>
      </c>
      <c r="F5" s="18">
        <v>125.1</v>
      </c>
      <c r="G5" s="18">
        <v>15.4</v>
      </c>
      <c r="H5" s="18">
        <v>57.2</v>
      </c>
      <c r="I5" s="18">
        <v>36.299999999999997</v>
      </c>
      <c r="J5" s="18">
        <v>115.1</v>
      </c>
      <c r="K5" s="18">
        <v>2807.6</v>
      </c>
      <c r="L5" s="18">
        <v>862.9</v>
      </c>
      <c r="M5" s="18">
        <v>572.29999999999995</v>
      </c>
      <c r="N5" s="18">
        <v>49.8</v>
      </c>
      <c r="O5" s="18">
        <v>228.2</v>
      </c>
      <c r="P5" s="18">
        <v>143.1</v>
      </c>
      <c r="Q5" s="18">
        <v>1372.5</v>
      </c>
      <c r="R5" s="18">
        <v>9.3000000000000007</v>
      </c>
      <c r="S5" s="18">
        <v>14.9</v>
      </c>
      <c r="T5" s="18">
        <v>7.9</v>
      </c>
      <c r="U5" s="18">
        <v>4.4000000000000004</v>
      </c>
      <c r="V5" s="18">
        <v>6</v>
      </c>
      <c r="W5" s="18">
        <v>13.9</v>
      </c>
      <c r="X5" s="18">
        <v>48.9</v>
      </c>
      <c r="Y5" s="18">
        <v>67.2</v>
      </c>
      <c r="Z5" s="18">
        <v>32.200000000000003</v>
      </c>
      <c r="AA5" s="18">
        <v>40.9</v>
      </c>
      <c r="AB5" s="18">
        <v>65.099999999999994</v>
      </c>
      <c r="AC5" s="18">
        <v>0</v>
      </c>
      <c r="AD5" s="18">
        <v>44</v>
      </c>
      <c r="AE5" s="18">
        <v>6</v>
      </c>
      <c r="AF5" s="18">
        <v>17</v>
      </c>
      <c r="AG5" s="18">
        <v>2</v>
      </c>
      <c r="AH5" s="18">
        <v>7</v>
      </c>
      <c r="AI5" s="18">
        <v>4.3</v>
      </c>
      <c r="AJ5" s="18">
        <v>21</v>
      </c>
    </row>
    <row r="6" spans="1:38" s="18" customFormat="1" x14ac:dyDescent="0.25">
      <c r="A6" s="16">
        <v>7</v>
      </c>
      <c r="B6" s="20">
        <v>43683</v>
      </c>
      <c r="C6" s="19" t="s">
        <v>43</v>
      </c>
      <c r="D6" s="18">
        <v>300</v>
      </c>
      <c r="E6" s="18">
        <v>48.1</v>
      </c>
      <c r="F6" s="18">
        <v>112.6</v>
      </c>
      <c r="G6" s="18">
        <v>18.7</v>
      </c>
      <c r="H6" s="18">
        <v>47.1</v>
      </c>
      <c r="I6" s="18">
        <v>28.2</v>
      </c>
      <c r="J6" s="18">
        <v>139.6</v>
      </c>
      <c r="K6" s="18">
        <v>3828.1</v>
      </c>
      <c r="L6" s="18">
        <v>841.4</v>
      </c>
      <c r="M6" s="18">
        <v>1139.2</v>
      </c>
      <c r="N6" s="18">
        <v>167.4</v>
      </c>
      <c r="O6" s="18">
        <v>469.2</v>
      </c>
      <c r="P6" s="18">
        <v>284.8</v>
      </c>
      <c r="Q6" s="18">
        <v>1847.5</v>
      </c>
      <c r="R6" s="18">
        <v>12.7</v>
      </c>
      <c r="S6" s="18">
        <v>17.5</v>
      </c>
      <c r="T6" s="18">
        <v>17.5</v>
      </c>
      <c r="U6" s="18">
        <v>6.7</v>
      </c>
      <c r="V6" s="18">
        <v>10.6</v>
      </c>
      <c r="W6" s="18">
        <v>13.2</v>
      </c>
      <c r="X6" s="18">
        <v>62.6</v>
      </c>
      <c r="Y6" s="18">
        <v>75.3</v>
      </c>
      <c r="Z6" s="18">
        <v>44.6</v>
      </c>
      <c r="AA6" s="18">
        <v>61.4</v>
      </c>
      <c r="AB6" s="18">
        <v>66.3</v>
      </c>
      <c r="AC6" s="18">
        <v>2</v>
      </c>
      <c r="AD6" s="18">
        <v>42</v>
      </c>
      <c r="AE6" s="18">
        <v>6</v>
      </c>
      <c r="AF6" s="18">
        <v>19</v>
      </c>
      <c r="AG6" s="18">
        <v>3</v>
      </c>
      <c r="AH6" s="18">
        <v>6</v>
      </c>
      <c r="AI6" s="18">
        <v>4.8</v>
      </c>
      <c r="AJ6" s="18">
        <v>17</v>
      </c>
    </row>
    <row r="7" spans="1:38" x14ac:dyDescent="0.25">
      <c r="A7" t="s">
        <v>60</v>
      </c>
      <c r="B7" s="3">
        <v>43747</v>
      </c>
      <c r="C7" t="s">
        <v>43</v>
      </c>
      <c r="D7">
        <v>300</v>
      </c>
      <c r="E7">
        <v>23.1</v>
      </c>
      <c r="F7">
        <v>180.4</v>
      </c>
      <c r="G7" s="29">
        <v>34.1</v>
      </c>
      <c r="H7" s="29">
        <v>59.5</v>
      </c>
      <c r="I7" s="29">
        <v>45.1</v>
      </c>
      <c r="J7" s="29">
        <v>117</v>
      </c>
      <c r="K7" s="29">
        <v>4658.8</v>
      </c>
      <c r="L7" s="29">
        <v>743.4</v>
      </c>
      <c r="M7" s="29">
        <v>1156.3</v>
      </c>
      <c r="N7" s="29">
        <v>227.7</v>
      </c>
      <c r="O7" s="29">
        <v>345.4</v>
      </c>
      <c r="P7" s="29">
        <v>289.10000000000002</v>
      </c>
      <c r="Q7" s="29">
        <v>2759.1</v>
      </c>
      <c r="R7" s="29">
        <v>14.5</v>
      </c>
      <c r="S7" s="29">
        <v>32.200000000000003</v>
      </c>
      <c r="T7" s="29">
        <v>10.1</v>
      </c>
      <c r="U7" s="29">
        <v>4.5999999999999996</v>
      </c>
      <c r="V7" s="29">
        <v>7.1</v>
      </c>
      <c r="W7" s="29">
        <v>23.6</v>
      </c>
      <c r="X7" s="29">
        <v>57.7</v>
      </c>
      <c r="Y7" s="29">
        <v>96</v>
      </c>
      <c r="Z7" s="29">
        <v>31.7</v>
      </c>
      <c r="AA7" s="29">
        <v>49.8</v>
      </c>
      <c r="AB7" s="29">
        <v>81.599999999999994</v>
      </c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x14ac:dyDescent="0.25">
      <c r="A8" t="s">
        <v>61</v>
      </c>
      <c r="B8" s="3">
        <v>43747</v>
      </c>
      <c r="C8" t="s">
        <v>43</v>
      </c>
      <c r="D8">
        <v>300</v>
      </c>
      <c r="E8">
        <v>52.2</v>
      </c>
      <c r="F8">
        <v>130.69999999999999</v>
      </c>
      <c r="G8" s="29">
        <v>20.2</v>
      </c>
      <c r="H8" s="29">
        <v>61.3</v>
      </c>
      <c r="I8" s="29">
        <v>32.700000000000003</v>
      </c>
      <c r="J8" s="29">
        <v>146</v>
      </c>
      <c r="K8" s="29">
        <v>4479.2</v>
      </c>
      <c r="L8" s="29">
        <v>1350</v>
      </c>
      <c r="M8" s="29">
        <v>828.6</v>
      </c>
      <c r="N8" s="29">
        <v>152.19999999999999</v>
      </c>
      <c r="O8" s="29">
        <v>245.4</v>
      </c>
      <c r="P8" s="29">
        <v>207.2</v>
      </c>
      <c r="Q8" s="29">
        <v>2300.6999999999998</v>
      </c>
      <c r="R8" s="29">
        <v>13.6</v>
      </c>
      <c r="S8" s="29">
        <v>25.9</v>
      </c>
      <c r="T8" s="29">
        <v>9.1</v>
      </c>
      <c r="U8" s="29">
        <v>4</v>
      </c>
      <c r="V8" s="29">
        <v>7.2</v>
      </c>
      <c r="W8" s="29">
        <v>15.8</v>
      </c>
      <c r="X8" s="29">
        <v>60.1</v>
      </c>
      <c r="Y8" s="29">
        <v>95.8</v>
      </c>
      <c r="Z8" s="29">
        <v>26</v>
      </c>
      <c r="AA8" s="29">
        <v>53.3</v>
      </c>
      <c r="AB8" s="29">
        <v>67.099999999999994</v>
      </c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x14ac:dyDescent="0.25">
      <c r="A9" t="s">
        <v>62</v>
      </c>
      <c r="B9" s="3">
        <v>43747</v>
      </c>
      <c r="C9" t="s">
        <v>43</v>
      </c>
      <c r="D9">
        <v>300</v>
      </c>
      <c r="E9">
        <v>20.3</v>
      </c>
      <c r="F9">
        <v>199.8</v>
      </c>
      <c r="G9" s="29">
        <v>16</v>
      </c>
      <c r="H9" s="29">
        <v>75.599999999999994</v>
      </c>
      <c r="I9" s="29">
        <v>50</v>
      </c>
      <c r="J9" s="29">
        <v>105.6</v>
      </c>
      <c r="K9" s="29">
        <v>2859.3</v>
      </c>
      <c r="L9" s="29">
        <v>409.3</v>
      </c>
      <c r="M9" s="29">
        <v>714.7</v>
      </c>
      <c r="N9" s="29">
        <v>113.5</v>
      </c>
      <c r="O9" s="29">
        <v>251.8</v>
      </c>
      <c r="P9" s="29">
        <v>178.7</v>
      </c>
      <c r="Q9" s="29">
        <v>1735.4</v>
      </c>
      <c r="R9" s="29">
        <v>8.8000000000000007</v>
      </c>
      <c r="S9" s="29">
        <v>20.100000000000001</v>
      </c>
      <c r="T9" s="29">
        <v>7.1</v>
      </c>
      <c r="U9" s="29">
        <v>2.8</v>
      </c>
      <c r="V9" s="29">
        <v>4.5999999999999996</v>
      </c>
      <c r="W9" s="29">
        <v>16.399999999999999</v>
      </c>
      <c r="X9" s="29">
        <v>45.6</v>
      </c>
      <c r="Y9" s="29">
        <v>91.1</v>
      </c>
      <c r="Z9" s="29">
        <v>19.3</v>
      </c>
      <c r="AA9" s="29">
        <v>50.9</v>
      </c>
      <c r="AB9" s="29">
        <v>74.3</v>
      </c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x14ac:dyDescent="0.25">
      <c r="A10" t="s">
        <v>63</v>
      </c>
      <c r="B10" s="3">
        <v>43747</v>
      </c>
      <c r="C10" t="s">
        <v>43</v>
      </c>
      <c r="D10">
        <v>300</v>
      </c>
      <c r="E10">
        <v>27.4</v>
      </c>
      <c r="F10">
        <v>169.5</v>
      </c>
      <c r="G10" s="29">
        <v>31.2</v>
      </c>
      <c r="H10" s="29">
        <v>71.099999999999994</v>
      </c>
      <c r="I10" s="29">
        <v>42.4</v>
      </c>
      <c r="J10" s="29">
        <v>115.7</v>
      </c>
      <c r="K10" s="29">
        <v>3239.6</v>
      </c>
      <c r="L10" s="29">
        <v>661.6</v>
      </c>
      <c r="M10" s="29">
        <v>749.1</v>
      </c>
      <c r="N10" s="29">
        <v>142.9</v>
      </c>
      <c r="O10" s="29">
        <v>271.3</v>
      </c>
      <c r="P10" s="29">
        <v>187.3</v>
      </c>
      <c r="Q10" s="29">
        <v>1828.8</v>
      </c>
      <c r="R10" s="29">
        <v>10.4</v>
      </c>
      <c r="S10" s="29">
        <v>24.1</v>
      </c>
      <c r="T10" s="29">
        <v>5.5</v>
      </c>
      <c r="U10" s="29">
        <v>3.8</v>
      </c>
      <c r="V10" s="29">
        <v>4.5999999999999996</v>
      </c>
      <c r="W10" s="29">
        <v>15.8</v>
      </c>
      <c r="X10" s="29">
        <v>51</v>
      </c>
      <c r="Y10" s="29">
        <v>88.1</v>
      </c>
      <c r="Z10" s="29">
        <v>28.9</v>
      </c>
      <c r="AA10" s="29">
        <v>36.299999999999997</v>
      </c>
      <c r="AB10" s="29">
        <v>71</v>
      </c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s="43" customFormat="1" x14ac:dyDescent="0.25">
      <c r="A11" s="40">
        <v>12</v>
      </c>
      <c r="B11" s="41">
        <v>43733</v>
      </c>
      <c r="C11" s="42" t="s">
        <v>43</v>
      </c>
      <c r="D11" s="43">
        <v>300</v>
      </c>
      <c r="E11" s="43">
        <v>20.3</v>
      </c>
      <c r="F11" s="43">
        <v>197</v>
      </c>
      <c r="G11" s="43">
        <v>26.5</v>
      </c>
      <c r="H11" s="43">
        <v>76.900000000000006</v>
      </c>
      <c r="I11" s="43">
        <v>49.3</v>
      </c>
      <c r="J11" s="43">
        <v>108.5</v>
      </c>
      <c r="K11" s="43">
        <v>2979.5</v>
      </c>
      <c r="L11" s="43">
        <v>318.39999999999998</v>
      </c>
      <c r="M11" s="43">
        <v>1054.8</v>
      </c>
      <c r="N11" s="43">
        <v>167.2</v>
      </c>
      <c r="O11" s="43">
        <v>342.8</v>
      </c>
      <c r="P11" s="43">
        <v>263.7</v>
      </c>
      <c r="Q11" s="43">
        <v>1606.3</v>
      </c>
      <c r="R11" s="43">
        <v>9.1</v>
      </c>
      <c r="S11" s="43">
        <v>15.6</v>
      </c>
      <c r="T11" s="43">
        <v>8.1999999999999993</v>
      </c>
      <c r="U11" s="43">
        <v>4.5</v>
      </c>
      <c r="V11" s="43">
        <v>5.9</v>
      </c>
      <c r="W11" s="43">
        <v>14.8</v>
      </c>
      <c r="X11" s="43">
        <v>53.1</v>
      </c>
      <c r="Y11" s="43">
        <v>86.8</v>
      </c>
      <c r="Z11" s="43">
        <v>30</v>
      </c>
      <c r="AA11" s="43">
        <v>45.8</v>
      </c>
      <c r="AB11" s="43">
        <v>78.2</v>
      </c>
    </row>
    <row r="12" spans="1:38" s="43" customFormat="1" x14ac:dyDescent="0.25">
      <c r="A12" s="44">
        <v>13</v>
      </c>
      <c r="B12" s="41">
        <v>43733</v>
      </c>
      <c r="C12" s="42" t="s">
        <v>43</v>
      </c>
      <c r="D12" s="43">
        <v>300</v>
      </c>
      <c r="E12" s="43">
        <v>35.9</v>
      </c>
      <c r="F12" s="43">
        <v>187.1</v>
      </c>
      <c r="G12" s="43">
        <v>13</v>
      </c>
      <c r="H12" s="43">
        <v>102.4</v>
      </c>
      <c r="I12" s="43">
        <v>46.8</v>
      </c>
      <c r="J12" s="43">
        <v>106.5</v>
      </c>
      <c r="K12" s="43">
        <v>2548.9</v>
      </c>
      <c r="L12" s="43">
        <v>597.4</v>
      </c>
      <c r="M12" s="43">
        <v>808.9</v>
      </c>
      <c r="N12" s="43">
        <v>86.7</v>
      </c>
      <c r="O12" s="43">
        <v>420.4</v>
      </c>
      <c r="P12" s="43">
        <v>202.2</v>
      </c>
      <c r="Q12" s="43">
        <v>1142.5</v>
      </c>
      <c r="R12" s="43">
        <v>7.7</v>
      </c>
      <c r="S12" s="43">
        <v>16.600000000000001</v>
      </c>
      <c r="T12" s="43">
        <v>6.7</v>
      </c>
      <c r="U12" s="43">
        <v>4.0999999999999996</v>
      </c>
      <c r="V12" s="43">
        <v>4.8</v>
      </c>
      <c r="W12" s="43">
        <v>10.7</v>
      </c>
      <c r="X12" s="43">
        <v>42.7</v>
      </c>
      <c r="Y12" s="43">
        <v>82</v>
      </c>
      <c r="Z12" s="43">
        <v>21.2</v>
      </c>
      <c r="AA12" s="43">
        <v>48</v>
      </c>
      <c r="AB12" s="43">
        <v>57.1</v>
      </c>
    </row>
    <row r="13" spans="1:38" s="43" customFormat="1" x14ac:dyDescent="0.25">
      <c r="A13" s="44">
        <v>14</v>
      </c>
      <c r="B13" s="41">
        <v>43733</v>
      </c>
      <c r="C13" s="42" t="s">
        <v>43</v>
      </c>
      <c r="D13" s="43">
        <v>300</v>
      </c>
      <c r="E13" s="43">
        <v>17.100000000000001</v>
      </c>
      <c r="F13" s="43">
        <v>222.9</v>
      </c>
      <c r="G13" s="43">
        <v>27.6</v>
      </c>
      <c r="H13" s="43">
        <v>108.1</v>
      </c>
      <c r="I13" s="43">
        <v>55.7</v>
      </c>
      <c r="J13" s="43">
        <v>89.6</v>
      </c>
      <c r="K13" s="43">
        <v>2293.3000000000002</v>
      </c>
      <c r="L13" s="43">
        <v>237.4</v>
      </c>
      <c r="M13" s="43">
        <v>866.5</v>
      </c>
      <c r="N13" s="43">
        <v>135.4</v>
      </c>
      <c r="O13" s="43">
        <v>378.7</v>
      </c>
      <c r="P13" s="43">
        <v>216.6</v>
      </c>
      <c r="Q13" s="43">
        <v>1189.4000000000001</v>
      </c>
      <c r="R13" s="43">
        <v>7</v>
      </c>
      <c r="S13" s="43">
        <v>13.8</v>
      </c>
      <c r="T13" s="43">
        <v>7</v>
      </c>
      <c r="U13" s="43">
        <v>2</v>
      </c>
      <c r="V13" s="43">
        <v>4.5</v>
      </c>
      <c r="W13" s="43">
        <v>13.3</v>
      </c>
      <c r="X13" s="43">
        <v>40</v>
      </c>
      <c r="Y13" s="43">
        <v>79</v>
      </c>
      <c r="Z13" s="43">
        <v>16.5</v>
      </c>
      <c r="AA13" s="43">
        <v>36.799999999999997</v>
      </c>
      <c r="AB13" s="43">
        <v>68.5</v>
      </c>
    </row>
    <row r="23" spans="4:28" ht="30" x14ac:dyDescent="0.25">
      <c r="D23" s="34" t="s">
        <v>75</v>
      </c>
      <c r="E23">
        <f>AVERAGE(E3:E13)</f>
        <v>35.709090909090911</v>
      </c>
      <c r="F23">
        <f t="shared" ref="F23:AB23" si="0">AVERAGE(F3:F13)</f>
        <v>165.52727272727273</v>
      </c>
      <c r="G23">
        <f t="shared" si="0"/>
        <v>21.999999999999996</v>
      </c>
      <c r="H23">
        <f t="shared" si="0"/>
        <v>69</v>
      </c>
      <c r="I23">
        <f t="shared" si="0"/>
        <v>41.954545454545453</v>
      </c>
      <c r="J23">
        <f t="shared" si="0"/>
        <v>116.07272727272726</v>
      </c>
      <c r="K23">
        <f t="shared" si="0"/>
        <v>3448.1363636363644</v>
      </c>
      <c r="L23">
        <f t="shared" si="0"/>
        <v>712.56363636363631</v>
      </c>
      <c r="M23">
        <f t="shared" si="0"/>
        <v>933.11818181818171</v>
      </c>
      <c r="N23">
        <f t="shared" si="0"/>
        <v>147.9636363636364</v>
      </c>
      <c r="O23">
        <f t="shared" si="0"/>
        <v>345.56363636363642</v>
      </c>
      <c r="P23">
        <f t="shared" si="0"/>
        <v>233.29090909090908</v>
      </c>
      <c r="Q23">
        <f t="shared" si="0"/>
        <v>1802.4454545454546</v>
      </c>
      <c r="R23">
        <f t="shared" si="0"/>
        <v>10.890909090909091</v>
      </c>
      <c r="S23">
        <f t="shared" si="0"/>
        <v>20.209090909090907</v>
      </c>
      <c r="T23">
        <f t="shared" si="0"/>
        <v>9.1818181818181817</v>
      </c>
      <c r="U23">
        <f t="shared" si="0"/>
        <v>4.5090909090909088</v>
      </c>
      <c r="V23">
        <f t="shared" si="0"/>
        <v>6.581818181818182</v>
      </c>
      <c r="W23">
        <f t="shared" si="0"/>
        <v>15.654545454545456</v>
      </c>
      <c r="X23">
        <f t="shared" si="0"/>
        <v>53.418181818181829</v>
      </c>
      <c r="Y23">
        <f t="shared" si="0"/>
        <v>84.445454545454538</v>
      </c>
      <c r="Z23">
        <f t="shared" si="0"/>
        <v>30.209090909090911</v>
      </c>
      <c r="AA23">
        <f t="shared" si="0"/>
        <v>49.4</v>
      </c>
      <c r="AB23">
        <f t="shared" si="0"/>
        <v>70.899999999999991</v>
      </c>
    </row>
    <row r="24" spans="4:28" x14ac:dyDescent="0.25">
      <c r="D24" t="s">
        <v>76</v>
      </c>
      <c r="E24">
        <f>_xlfn.STDEV.S(E3:E13)</f>
        <v>15.737055286517529</v>
      </c>
      <c r="F24">
        <f t="shared" ref="F24:AB24" si="1">_xlfn.STDEV.S(F3:F13)</f>
        <v>36.41560354872874</v>
      </c>
      <c r="G24">
        <f t="shared" si="1"/>
        <v>7.1400280111495436</v>
      </c>
      <c r="H24">
        <f t="shared" si="1"/>
        <v>20.807787003907933</v>
      </c>
      <c r="I24">
        <f t="shared" si="1"/>
        <v>8.5440463056287008</v>
      </c>
      <c r="J24">
        <f t="shared" si="1"/>
        <v>15.669466545424696</v>
      </c>
      <c r="K24">
        <f t="shared" si="1"/>
        <v>834.95509971821161</v>
      </c>
      <c r="L24">
        <f t="shared" si="1"/>
        <v>327.83014892693234</v>
      </c>
      <c r="M24">
        <f t="shared" si="1"/>
        <v>220.84678769763374</v>
      </c>
      <c r="N24">
        <f t="shared" si="1"/>
        <v>50.837884942772128</v>
      </c>
      <c r="O24">
        <f t="shared" si="1"/>
        <v>92.22300442652309</v>
      </c>
      <c r="P24">
        <f t="shared" si="1"/>
        <v>55.205949942835872</v>
      </c>
      <c r="Q24">
        <f t="shared" si="1"/>
        <v>481.92557592150285</v>
      </c>
      <c r="R24">
        <f t="shared" si="1"/>
        <v>2.7300016650011569</v>
      </c>
      <c r="S24">
        <f t="shared" si="1"/>
        <v>5.5557995905998272</v>
      </c>
      <c r="T24">
        <f t="shared" si="1"/>
        <v>3.3638722276026423</v>
      </c>
      <c r="U24">
        <f t="shared" si="1"/>
        <v>1.6108721522545157</v>
      </c>
      <c r="V24">
        <f t="shared" si="1"/>
        <v>2.1334564358421644</v>
      </c>
      <c r="W24">
        <f t="shared" si="1"/>
        <v>3.3082816193194899</v>
      </c>
      <c r="X24">
        <f t="shared" si="1"/>
        <v>8.7673049658167255</v>
      </c>
      <c r="Y24">
        <f t="shared" si="1"/>
        <v>8.6279039906994353</v>
      </c>
      <c r="Z24">
        <f t="shared" si="1"/>
        <v>9.9219407925520855</v>
      </c>
      <c r="AA24">
        <f t="shared" si="1"/>
        <v>9.9051501755400082</v>
      </c>
      <c r="AB24">
        <f t="shared" si="1"/>
        <v>6.9641941385920596</v>
      </c>
    </row>
  </sheetData>
  <mergeCells count="5">
    <mergeCell ref="D1:J1"/>
    <mergeCell ref="K1:Q1"/>
    <mergeCell ref="R1:W1"/>
    <mergeCell ref="Y1:AB1"/>
    <mergeCell ref="AD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2019</vt:lpstr>
      <vt:lpstr>Results</vt:lpstr>
      <vt:lpstr>atomoxetin</vt:lpstr>
      <vt:lpstr>puree</vt:lpstr>
      <vt:lpstr>stress</vt:lpstr>
      <vt:lpstr>control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2019-08-06T11:54:16Z</dcterms:created>
  <dcterms:modified xsi:type="dcterms:W3CDTF">2021-03-30T12:56:26Z</dcterms:modified>
</cp:coreProperties>
</file>