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codeName="DieseArbeitsmappe" defaultThemeVersion="166925"/>
  <mc:AlternateContent xmlns:mc="http://schemas.openxmlformats.org/markup-compatibility/2006">
    <mc:Choice Requires="x15">
      <x15ac:absPath xmlns:x15ac="http://schemas.microsoft.com/office/spreadsheetml/2010/11/ac" url="C:\Users\Administrator\Desktop\IA1 Praktikum\HPLC 16.4\"/>
    </mc:Choice>
  </mc:AlternateContent>
  <xr:revisionPtr revIDLastSave="0" documentId="13_ncr:1_{FDF3DC18-BB08-420D-8276-ED55568F4B65}" xr6:coauthVersionLast="43" xr6:coauthVersionMax="43" xr10:uidLastSave="{00000000-0000-0000-0000-000000000000}"/>
  <bookViews>
    <workbookView xWindow="-120" yWindow="-120" windowWidth="25440" windowHeight="15990" activeTab="3" xr2:uid="{A7C595EC-3F57-4214-927F-8E07FA14E5D6}"/>
  </bookViews>
  <sheets>
    <sheet name="HPLC 16.4 Pipetten" sheetId="1" r:id="rId1"/>
    <sheet name="HPLC 23.4 2mL Pipette" sheetId="2" r:id="rId2"/>
    <sheet name="Messwerte 16.04" sheetId="5" r:id="rId3"/>
    <sheet name="Messwerte 23.04" sheetId="6" r:id="rId4"/>
    <sheet name="HPLC Standardherstellung" sheetId="3" r:id="rId5"/>
    <sheet name="HPLC 6 Wege Ventil"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 i="6" l="1"/>
  <c r="G7" i="6"/>
  <c r="G5" i="6"/>
  <c r="E7" i="6"/>
  <c r="E6" i="6"/>
  <c r="E5" i="6"/>
  <c r="I8" i="5"/>
  <c r="H8" i="5"/>
  <c r="E5" i="5"/>
  <c r="E6" i="5"/>
  <c r="E7" i="5"/>
  <c r="E8" i="5"/>
  <c r="F5" i="5"/>
  <c r="F6" i="5"/>
  <c r="F7" i="5"/>
  <c r="F8" i="5"/>
  <c r="I5" i="5"/>
  <c r="H5" i="5"/>
  <c r="I6" i="5"/>
  <c r="I7" i="5"/>
  <c r="H6" i="5"/>
  <c r="H7" i="5"/>
  <c r="O16" i="3" l="1"/>
  <c r="N16" i="3"/>
  <c r="J16" i="3"/>
  <c r="E16" i="3"/>
  <c r="F16" i="3" s="1"/>
  <c r="O15" i="3"/>
  <c r="N15" i="3"/>
  <c r="J15" i="3"/>
  <c r="E15" i="3"/>
  <c r="G15" i="3" s="1"/>
  <c r="O14" i="3"/>
  <c r="N14" i="3"/>
  <c r="J14" i="3"/>
  <c r="E14" i="3"/>
  <c r="F14" i="3" s="1"/>
  <c r="O13" i="3"/>
  <c r="N13" i="3"/>
  <c r="J13" i="3"/>
  <c r="E13" i="3"/>
  <c r="F13" i="3" s="1"/>
  <c r="O12" i="3"/>
  <c r="N12" i="3"/>
  <c r="J12" i="3"/>
  <c r="E12" i="3"/>
  <c r="F12" i="3" s="1"/>
  <c r="J4" i="3"/>
  <c r="J5" i="3"/>
  <c r="J6" i="3"/>
  <c r="J7" i="3"/>
  <c r="O7" i="3"/>
  <c r="N6" i="3"/>
  <c r="N5" i="3"/>
  <c r="N4" i="3"/>
  <c r="G4" i="3"/>
  <c r="G5" i="3"/>
  <c r="G6" i="3"/>
  <c r="G7" i="3"/>
  <c r="F4" i="3"/>
  <c r="F5" i="3"/>
  <c r="F6" i="3"/>
  <c r="F7" i="3"/>
  <c r="E4" i="3"/>
  <c r="E5" i="3"/>
  <c r="E6" i="3"/>
  <c r="E7" i="3"/>
  <c r="F3" i="3"/>
  <c r="G3" i="3"/>
  <c r="E3" i="3"/>
  <c r="B7" i="2"/>
  <c r="D6" i="2" s="1"/>
  <c r="G10" i="1"/>
  <c r="B9" i="1"/>
  <c r="B10" i="1"/>
  <c r="G7" i="1"/>
  <c r="B31" i="1"/>
  <c r="B34" i="1" s="1"/>
  <c r="B19" i="1"/>
  <c r="D16" i="1" s="1"/>
  <c r="B7" i="1"/>
  <c r="D6" i="1" s="1"/>
  <c r="G16" i="3" l="1"/>
  <c r="G14" i="3"/>
  <c r="G12" i="3"/>
  <c r="F15" i="3"/>
  <c r="G13" i="3"/>
  <c r="O5" i="3"/>
  <c r="O6" i="3"/>
  <c r="O4" i="3"/>
  <c r="N7" i="3"/>
  <c r="B10" i="2"/>
  <c r="D4" i="2"/>
  <c r="D5" i="2"/>
  <c r="D3" i="2"/>
  <c r="D2" i="2"/>
  <c r="D17" i="1"/>
  <c r="I2" i="1"/>
  <c r="I4" i="1"/>
  <c r="I5" i="1"/>
  <c r="I6" i="1"/>
  <c r="I3" i="1"/>
  <c r="D3" i="1"/>
  <c r="B22" i="1"/>
  <c r="D29" i="1"/>
  <c r="D27" i="1"/>
  <c r="D4" i="1"/>
  <c r="D14" i="1"/>
  <c r="D18" i="1"/>
  <c r="D28" i="1"/>
  <c r="D5" i="1"/>
  <c r="D15" i="1"/>
  <c r="D2" i="1"/>
  <c r="D7" i="1" s="1"/>
  <c r="B8" i="1" s="1"/>
  <c r="D26" i="1"/>
  <c r="D30" i="1"/>
  <c r="D7" i="2" l="1"/>
  <c r="B8" i="2" s="1"/>
  <c r="B9" i="2" s="1"/>
  <c r="D31" i="1"/>
  <c r="B32" i="1" s="1"/>
  <c r="B33" i="1" s="1"/>
  <c r="I7" i="1"/>
  <c r="G8" i="1" s="1"/>
  <c r="G9" i="1" s="1"/>
  <c r="D19" i="1"/>
  <c r="B20" i="1" s="1"/>
  <c r="B21" i="1" s="1"/>
  <c r="N3" i="3"/>
  <c r="O3" i="3"/>
  <c r="J3" i="3"/>
</calcChain>
</file>

<file path=xl/sharedStrings.xml><?xml version="1.0" encoding="utf-8"?>
<sst xmlns="http://schemas.openxmlformats.org/spreadsheetml/2006/main" count="168" uniqueCount="73">
  <si>
    <t>Nebenrechnung</t>
  </si>
  <si>
    <t>mg</t>
  </si>
  <si>
    <t>Mittelwert</t>
  </si>
  <si>
    <t>Standardabweichung</t>
  </si>
  <si>
    <t>Präzision (vk)</t>
  </si>
  <si>
    <t>Richtigkeit (bias)</t>
  </si>
  <si>
    <t>%</t>
  </si>
  <si>
    <t>500µL</t>
  </si>
  <si>
    <t>1000µL</t>
  </si>
  <si>
    <t>2000µL</t>
  </si>
  <si>
    <t>2500µL</t>
  </si>
  <si>
    <t>Std.</t>
  </si>
  <si>
    <t>Theobromin [mg/L]</t>
  </si>
  <si>
    <t>mg/L</t>
  </si>
  <si>
    <t>L</t>
  </si>
  <si>
    <t>Stammlösung [mg/L]</t>
  </si>
  <si>
    <t>µL</t>
  </si>
  <si>
    <t>mL</t>
  </si>
  <si>
    <t>Coffein [mg/L]</t>
  </si>
  <si>
    <t>Theobromin Löslichkeit =</t>
  </si>
  <si>
    <t>0.33 g/L</t>
  </si>
  <si>
    <t>https://www.chemie.de/lexikon/Theobromin.html</t>
  </si>
  <si>
    <t>Coffein Löslichkeit = 21,74 g/L</t>
  </si>
  <si>
    <t>https://www.chemie.de/lexikon/Koffein.html</t>
  </si>
  <si>
    <t>http://www.chemgapedia.de/vsengine/vlu/vsc/de/ch/3/anc/croma/hplc_detail1.vlu/Page/vsc/de/ch/3/anc/croma/hplc/injektion/injektihplcm63ht0600.vscml.html</t>
  </si>
  <si>
    <t>Abb.2</t>
  </si>
  <si>
    <r>
      <t>Die Probe wird in die </t>
    </r>
    <r>
      <rPr>
        <b/>
        <sz val="11"/>
        <color rgb="FF666666"/>
        <rFont val="Georgia"/>
        <family val="1"/>
      </rPr>
      <t>drucklose</t>
    </r>
    <r>
      <rPr>
        <sz val="11"/>
        <color rgb="FF666666"/>
        <rFont val="Georgia"/>
        <family val="1"/>
      </rPr>
      <t> Schleife mit der Spritze gefüllt. Man benutzt einen Volumenüberschuss (3-5fach), um die Schleife zu spülen und gleichmäßig zu füllen. In dieser Stellung fließt durch die 2 anderen Wege im Ventil der Eluent direkt zur Säule. Gleichgewichte und Druck werden dadurch konstant gehalten.</t>
    </r>
  </si>
  <si>
    <t>Loadstellung</t>
  </si>
  <si>
    <t>Injectstellung</t>
  </si>
  <si>
    <r>
      <t>Die Lage der Öffnungen im Ventil wird gewechselt, so dass der Eluent durch die Schleife fließt und dabei die Probe zur Säule schiebt. In dieser Zeit steht die Schleife unter </t>
    </r>
    <r>
      <rPr>
        <b/>
        <sz val="11"/>
        <color rgb="FF666666"/>
        <rFont val="Georgia"/>
        <family val="1"/>
      </rPr>
      <t>Druck</t>
    </r>
  </si>
  <si>
    <t>Dosierschleifen ermöglichen das reproduzierbare Einbringen von definierten Injektionsvolumina in das HPLC-System. Sie bestehen meist aus einem 6-Wege-Ventil, das in zwei Stellungen die verschiedenen Funktionen ausführt:</t>
  </si>
  <si>
    <t>Theobromin wird um den Faktor 3.3 vergrößert</t>
  </si>
  <si>
    <t>Coffein wird um den Faktor 10 vergrößert</t>
  </si>
  <si>
    <t>Primaide System Manager Report</t>
  </si>
  <si>
    <t>16.04.2019</t>
  </si>
  <si>
    <t>Power Focus</t>
  </si>
  <si>
    <t>Probe</t>
  </si>
  <si>
    <t>Verdünnung</t>
  </si>
  <si>
    <t>Konzentrationen der Ionen</t>
  </si>
  <si>
    <t>Theobromin</t>
  </si>
  <si>
    <t>Coffein</t>
  </si>
  <si>
    <t>Reistee</t>
  </si>
  <si>
    <t>Kaffee</t>
  </si>
  <si>
    <t>Earl Grey</t>
  </si>
  <si>
    <t>1:25</t>
  </si>
  <si>
    <t>Da die Werte mit den falschen Kalibrierungswerte gemessen sind.</t>
  </si>
  <si>
    <t>Konzentrationen in nicht verdünnte Lösungen</t>
  </si>
  <si>
    <t xml:space="preserve">m </t>
  </si>
  <si>
    <t>2g</t>
  </si>
  <si>
    <t>Theobromin (mg/L)</t>
  </si>
  <si>
    <t>Coffein (mg/L)</t>
  </si>
  <si>
    <t>10g</t>
  </si>
  <si>
    <t>Theobromin (mg/g)</t>
  </si>
  <si>
    <t>Coffein (mg/g)</t>
  </si>
  <si>
    <t>HPLC Lösungen</t>
  </si>
  <si>
    <t>Gehalt</t>
  </si>
  <si>
    <t>Primade System Manager Report</t>
  </si>
  <si>
    <t>23.04.2019</t>
  </si>
  <si>
    <t xml:space="preserve">Schokolade 99% </t>
  </si>
  <si>
    <t>Konzentrationen der Lösung</t>
  </si>
  <si>
    <t>Kakao 40%</t>
  </si>
  <si>
    <t>Kakao 35%</t>
  </si>
  <si>
    <t>Also es wurde auch versehen, dass die ins Wasser gelösten Proben mit unbekannten Menge genommen sind und muss eigentlich ungefähr gleich seien. Also den Wert von m wird als 2g genommen. Und die Proben wird  alle in 200mL/Messkolben eingegeben.</t>
  </si>
  <si>
    <t>20mL</t>
  </si>
  <si>
    <t>25mL</t>
  </si>
  <si>
    <t>50mL</t>
  </si>
  <si>
    <t>Masse Ionen in Lösung</t>
  </si>
  <si>
    <t>Theobromin (mg)</t>
  </si>
  <si>
    <t>Deswegen ist es auch nicht gewundert, dass Theobromin in unseren Proben viel viel kleiner als was in Standardlösungen entsteht.</t>
  </si>
  <si>
    <t>&gt; alle Standardlösung haben Theobromingehalt von 0.33g/L</t>
  </si>
  <si>
    <t>&gt; Coffeingehalt in allen Standardlösung sind zu hoch</t>
  </si>
  <si>
    <t>Über Theobrominsgehalt ist auch wie gezeigt, dass alle Kalibriersstandard nämlich gleiche Theobrominsgehalt hatten(Auf Grund maximale Lösbarkeit von Theobromin in Wasser).</t>
  </si>
  <si>
    <t>Bei der Kalibrierung ist wie gesagt falsch gesetzt und der Coffeingehalt in Standardlösungen sind weit zu hoch, es kann der Grund dafür, dass gar keine Werte von Coffein gezeigt wurden und der Rechner hat die rausgelöscht.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</si>
</sst>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0.000"/>
  </numFmts>
  <fonts count="7" x14ac:knownFonts="1">
    <font>
      <sz val="11"/>
      <color theme="1"/>
      <name val="Calibri"/>
      <family val="2"/>
      <scheme val="minor"/>
    </font>
    <font>
      <i/>
      <sz val="8"/>
      <color rgb="FF666666"/>
      <name val="Georgia"/>
      <family val="1"/>
    </font>
    <font>
      <b/>
      <sz val="9"/>
      <color rgb="FF333333"/>
      <name val="Arial"/>
      <family val="2"/>
    </font>
    <font>
      <sz val="11"/>
      <color rgb="FF666666"/>
      <name val="Georgia"/>
      <family val="1"/>
    </font>
    <font>
      <b/>
      <sz val="11"/>
      <color rgb="FF666666"/>
      <name val="Georgia"/>
      <family val="1"/>
    </font>
    <font>
      <b/>
      <i/>
      <sz val="11"/>
      <color rgb="FF7030A0"/>
      <name val="Calibri"/>
      <family val="2"/>
      <scheme val="minor"/>
    </font>
    <font>
      <i/>
      <sz val="11"/>
      <color rgb="FF002060"/>
      <name val="Arial"/>
      <family val="2"/>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1" xfId="0" applyBorder="1"/>
    <xf numFmtId="0" fontId="2" fillId="0" borderId="0" xfId="0" applyFont="1" applyAlignment="1">
      <alignment horizontal="left" vertical="center" wrapText="1" indent="1"/>
    </xf>
    <xf numFmtId="0" fontId="3" fillId="0" borderId="0" xfId="0" applyFont="1"/>
    <xf numFmtId="0" fontId="1" fillId="0" borderId="0" xfId="0" applyFont="1" applyAlignment="1">
      <alignment horizontal="center" vertical="center"/>
    </xf>
    <xf numFmtId="0" fontId="0" fillId="0" borderId="0" xfId="0" applyBorder="1"/>
    <xf numFmtId="0" fontId="0" fillId="2" borderId="1" xfId="0" applyFill="1" applyBorder="1"/>
    <xf numFmtId="0" fontId="0" fillId="3" borderId="1" xfId="0" applyFill="1" applyBorder="1"/>
    <xf numFmtId="0" fontId="5" fillId="0" borderId="0" xfId="0" applyFont="1"/>
    <xf numFmtId="0" fontId="6" fillId="0" borderId="0" xfId="0" applyFont="1"/>
    <xf numFmtId="0" fontId="0" fillId="0" borderId="0" xfId="0" applyAlignment="1">
      <alignment horizontal="center"/>
    </xf>
    <xf numFmtId="0" fontId="0" fillId="0" borderId="1" xfId="0" applyBorder="1" applyAlignment="1">
      <alignment horizontal="center"/>
    </xf>
    <xf numFmtId="0" fontId="3"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49" fontId="0" fillId="0" borderId="0" xfId="0" applyNumberFormat="1" applyAlignment="1">
      <alignment horizontal="center" vertical="center"/>
    </xf>
    <xf numFmtId="167" fontId="0" fillId="0" borderId="0" xfId="0" applyNumberFormat="1" applyAlignment="1">
      <alignment horizontal="right" vertical="center"/>
    </xf>
    <xf numFmtId="0" fontId="0" fillId="0" borderId="0" xfId="0" applyAlignment="1">
      <alignment horizontal="left" vertical="center"/>
    </xf>
    <xf numFmtId="0" fontId="0" fillId="0" borderId="0" xfId="0" applyFill="1" applyBorder="1" applyAlignment="1">
      <alignment horizontal="left" vertical="center"/>
    </xf>
    <xf numFmtId="0" fontId="0" fillId="0" borderId="0" xfId="0" applyAlignment="1"/>
    <xf numFmtId="0" fontId="0" fillId="0" borderId="0" xfId="0" applyAlignment="1">
      <alignment horizontal="left"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9525</xdr:rowOff>
    </xdr:from>
    <xdr:to>
      <xdr:col>5</xdr:col>
      <xdr:colOff>761999</xdr:colOff>
      <xdr:row>14</xdr:row>
      <xdr:rowOff>190099</xdr:rowOff>
    </xdr:to>
    <xdr:pic>
      <xdr:nvPicPr>
        <xdr:cNvPr id="2" name="Grafik 1" descr="http://www.chemgapedia.de/vsengine/media/vsc/de/ch/3/anc/croma/hplc/injektion/inj_aufbau2gr1102.gif">
          <a:extLst>
            <a:ext uri="{FF2B5EF4-FFF2-40B4-BE49-F238E27FC236}">
              <a16:creationId xmlns:a16="http://schemas.microsoft.com/office/drawing/2014/main" id="{6B31272B-C6E6-4D6A-A47A-86C09A6FAA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90525"/>
          <a:ext cx="4733924" cy="2466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xdr:row>
      <xdr:rowOff>0</xdr:rowOff>
    </xdr:from>
    <xdr:to>
      <xdr:col>15</xdr:col>
      <xdr:colOff>76200</xdr:colOff>
      <xdr:row>15</xdr:row>
      <xdr:rowOff>0</xdr:rowOff>
    </xdr:to>
    <xdr:pic>
      <xdr:nvPicPr>
        <xdr:cNvPr id="3" name="Grafik 2" descr="http://www.chemgapedia.de/vsengine/media/vsc/de/ch/3/anc/croma/hplc/injektion/inj_aufbau2bgr1102.gif">
          <a:extLst>
            <a:ext uri="{FF2B5EF4-FFF2-40B4-BE49-F238E27FC236}">
              <a16:creationId xmlns:a16="http://schemas.microsoft.com/office/drawing/2014/main" id="{E4163BF4-031E-4E4E-93F4-B26C3AE4454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19925" y="381000"/>
          <a:ext cx="4762500" cy="2476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923F-1BC0-4081-8A58-95713FE8F682}">
  <sheetPr codeName="Tabelle1"/>
  <dimension ref="A1:I34"/>
  <sheetViews>
    <sheetView workbookViewId="0">
      <selection activeCell="D23" sqref="D23"/>
    </sheetView>
  </sheetViews>
  <sheetFormatPr baseColWidth="10" defaultRowHeight="15" x14ac:dyDescent="0.25"/>
  <cols>
    <col min="1" max="1" width="19.7109375" bestFit="1" customWidth="1"/>
    <col min="3" max="3" width="3.7109375" bestFit="1" customWidth="1"/>
    <col min="4" max="4" width="15.28515625" bestFit="1" customWidth="1"/>
    <col min="6" max="6" width="19.7109375" bestFit="1" customWidth="1"/>
    <col min="8" max="8" width="3.7109375" bestFit="1" customWidth="1"/>
    <col min="9" max="9" width="15.28515625" bestFit="1" customWidth="1"/>
  </cols>
  <sheetData>
    <row r="1" spans="1:9" x14ac:dyDescent="0.25">
      <c r="B1" t="s">
        <v>9</v>
      </c>
      <c r="D1" t="s">
        <v>0</v>
      </c>
      <c r="G1" t="s">
        <v>10</v>
      </c>
      <c r="I1" t="s">
        <v>0</v>
      </c>
    </row>
    <row r="2" spans="1:9" x14ac:dyDescent="0.25">
      <c r="B2">
        <v>1964.8</v>
      </c>
      <c r="C2" t="s">
        <v>1</v>
      </c>
      <c r="D2">
        <f>(B2-$B$7)*(B2-$B$7)</f>
        <v>8.8804000000001082</v>
      </c>
      <c r="G2">
        <v>2494.1</v>
      </c>
      <c r="H2" t="s">
        <v>1</v>
      </c>
      <c r="I2">
        <f>(G2-$B$7)*(G2-$B$7)</f>
        <v>277012.74239999993</v>
      </c>
    </row>
    <row r="3" spans="1:9" x14ac:dyDescent="0.25">
      <c r="B3">
        <v>1957.7</v>
      </c>
      <c r="C3" t="s">
        <v>1</v>
      </c>
      <c r="D3">
        <f t="shared" ref="D3:D6" si="0">(B3-$B$7)*(B3-$B$7)</f>
        <v>101.60639999999853</v>
      </c>
      <c r="G3">
        <v>2497.9</v>
      </c>
      <c r="H3" t="s">
        <v>1</v>
      </c>
      <c r="I3">
        <f t="shared" ref="I3:I6" si="1">(G3-$B$7)*(G3-$B$7)</f>
        <v>281027.21440000011</v>
      </c>
    </row>
    <row r="4" spans="1:9" x14ac:dyDescent="0.25">
      <c r="B4">
        <v>1971.7</v>
      </c>
      <c r="C4" t="s">
        <v>1</v>
      </c>
      <c r="D4">
        <f t="shared" si="0"/>
        <v>15.366400000000571</v>
      </c>
      <c r="G4">
        <v>2502.5</v>
      </c>
      <c r="H4" t="s">
        <v>1</v>
      </c>
      <c r="I4">
        <f t="shared" si="1"/>
        <v>285925.47840000002</v>
      </c>
    </row>
    <row r="5" spans="1:9" x14ac:dyDescent="0.25">
      <c r="B5">
        <v>1968.6</v>
      </c>
      <c r="C5" t="s">
        <v>1</v>
      </c>
      <c r="D5">
        <f t="shared" si="0"/>
        <v>0.67239999999989564</v>
      </c>
      <c r="G5">
        <v>2495.4</v>
      </c>
      <c r="H5" t="s">
        <v>1</v>
      </c>
      <c r="I5">
        <f t="shared" si="1"/>
        <v>278382.86440000014</v>
      </c>
    </row>
    <row r="6" spans="1:9" x14ac:dyDescent="0.25">
      <c r="B6">
        <v>1976.1</v>
      </c>
      <c r="C6" t="s">
        <v>1</v>
      </c>
      <c r="D6">
        <f t="shared" si="0"/>
        <v>69.222399999998942</v>
      </c>
      <c r="G6">
        <v>2495.1</v>
      </c>
      <c r="H6" t="s">
        <v>1</v>
      </c>
      <c r="I6">
        <f t="shared" si="1"/>
        <v>278066.38239999994</v>
      </c>
    </row>
    <row r="7" spans="1:9" x14ac:dyDescent="0.25">
      <c r="A7" t="s">
        <v>2</v>
      </c>
      <c r="B7">
        <f>AVERAGE(B2:B6)</f>
        <v>1967.78</v>
      </c>
      <c r="C7" t="s">
        <v>1</v>
      </c>
      <c r="D7">
        <f>SUM(D2:D6)</f>
        <v>195.74799999999806</v>
      </c>
      <c r="F7" t="s">
        <v>2</v>
      </c>
      <c r="G7">
        <f>AVERAGE(G2:G6)</f>
        <v>2497</v>
      </c>
      <c r="H7" t="s">
        <v>1</v>
      </c>
      <c r="I7">
        <f>SUM(I2:I6)</f>
        <v>1400414.6820000003</v>
      </c>
    </row>
    <row r="8" spans="1:9" x14ac:dyDescent="0.25">
      <c r="A8" t="s">
        <v>3</v>
      </c>
      <c r="B8">
        <f>SQRT(D7/5)</f>
        <v>6.256964120082487</v>
      </c>
      <c r="F8" t="s">
        <v>3</v>
      </c>
      <c r="G8">
        <f>SQRT(I7/5)</f>
        <v>529.22862394243191</v>
      </c>
    </row>
    <row r="9" spans="1:9" x14ac:dyDescent="0.25">
      <c r="A9" t="s">
        <v>4</v>
      </c>
      <c r="B9">
        <f>(B8/B7)*100</f>
        <v>0.31797071421004824</v>
      </c>
      <c r="F9" t="s">
        <v>4</v>
      </c>
      <c r="G9">
        <f>(G8/G7)*100</f>
        <v>21.194578451839483</v>
      </c>
    </row>
    <row r="10" spans="1:9" x14ac:dyDescent="0.25">
      <c r="A10" t="s">
        <v>5</v>
      </c>
      <c r="B10">
        <f>((B7-2000)/2000)*100</f>
        <v>-1.6110000000000013</v>
      </c>
      <c r="C10" t="s">
        <v>6</v>
      </c>
      <c r="F10" t="s">
        <v>5</v>
      </c>
      <c r="G10">
        <f>((G7-2500)/2500)*100</f>
        <v>-0.12</v>
      </c>
      <c r="H10" t="s">
        <v>6</v>
      </c>
    </row>
    <row r="13" spans="1:9" x14ac:dyDescent="0.25">
      <c r="B13" t="s">
        <v>7</v>
      </c>
      <c r="D13" t="s">
        <v>0</v>
      </c>
    </row>
    <row r="14" spans="1:9" x14ac:dyDescent="0.25">
      <c r="B14">
        <v>498</v>
      </c>
      <c r="C14" t="s">
        <v>1</v>
      </c>
      <c r="D14">
        <f>(B14-$B$19)*(B14-$B$19)</f>
        <v>5.1075999999997022</v>
      </c>
    </row>
    <row r="15" spans="1:9" x14ac:dyDescent="0.25">
      <c r="B15">
        <v>499.8</v>
      </c>
      <c r="C15" t="s">
        <v>1</v>
      </c>
      <c r="D15">
        <f t="shared" ref="D15:D18" si="2">(B15-$B$19)*(B15-$B$19)</f>
        <v>0.21159999999992887</v>
      </c>
    </row>
    <row r="16" spans="1:9" x14ac:dyDescent="0.25">
      <c r="B16">
        <v>500.8</v>
      </c>
      <c r="C16" t="s">
        <v>1</v>
      </c>
      <c r="D16">
        <f t="shared" si="2"/>
        <v>0.29160000000008351</v>
      </c>
    </row>
    <row r="17" spans="1:4" x14ac:dyDescent="0.25">
      <c r="B17">
        <v>501</v>
      </c>
      <c r="C17" t="s">
        <v>1</v>
      </c>
      <c r="D17">
        <f t="shared" si="2"/>
        <v>0.54760000000009756</v>
      </c>
    </row>
    <row r="18" spans="1:4" x14ac:dyDescent="0.25">
      <c r="B18">
        <v>501.7</v>
      </c>
      <c r="C18" t="s">
        <v>1</v>
      </c>
      <c r="D18">
        <f t="shared" si="2"/>
        <v>2.0736000000001571</v>
      </c>
    </row>
    <row r="19" spans="1:4" x14ac:dyDescent="0.25">
      <c r="A19" t="s">
        <v>2</v>
      </c>
      <c r="B19">
        <f>AVERAGE(B14:B18)</f>
        <v>500.25999999999993</v>
      </c>
      <c r="C19" t="s">
        <v>1</v>
      </c>
      <c r="D19">
        <f>SUM(D14:D18)</f>
        <v>8.2319999999999691</v>
      </c>
    </row>
    <row r="20" spans="1:4" x14ac:dyDescent="0.25">
      <c r="A20" t="s">
        <v>3</v>
      </c>
      <c r="B20">
        <f>SQRT(D19/5)</f>
        <v>1.2831211945876329</v>
      </c>
    </row>
    <row r="21" spans="1:4" x14ac:dyDescent="0.25">
      <c r="A21" t="s">
        <v>4</v>
      </c>
      <c r="B21">
        <f>(B20/B19)*100</f>
        <v>0.25649086366841906</v>
      </c>
    </row>
    <row r="22" spans="1:4" x14ac:dyDescent="0.25">
      <c r="A22" t="s">
        <v>5</v>
      </c>
      <c r="B22">
        <f>((B19-500)/500)*100</f>
        <v>5.1999999999986814E-2</v>
      </c>
      <c r="C22" t="s">
        <v>6</v>
      </c>
    </row>
    <row r="25" spans="1:4" x14ac:dyDescent="0.25">
      <c r="B25" t="s">
        <v>8</v>
      </c>
      <c r="D25" t="s">
        <v>0</v>
      </c>
    </row>
    <row r="26" spans="1:4" x14ac:dyDescent="0.25">
      <c r="B26">
        <v>1006.8</v>
      </c>
      <c r="C26" t="s">
        <v>1</v>
      </c>
      <c r="D26">
        <f>(B26-$B$31)*(B26-$B$31)</f>
        <v>6.656400000000211</v>
      </c>
    </row>
    <row r="27" spans="1:4" x14ac:dyDescent="0.25">
      <c r="B27">
        <v>1004.3</v>
      </c>
      <c r="C27" t="s">
        <v>1</v>
      </c>
      <c r="D27">
        <f t="shared" ref="D27:D30" si="3">(B27-$B$31)*(B27-$B$31)</f>
        <v>6.400000000006548E-3</v>
      </c>
    </row>
    <row r="28" spans="1:4" x14ac:dyDescent="0.25">
      <c r="B28">
        <v>1001.6</v>
      </c>
      <c r="C28" t="s">
        <v>1</v>
      </c>
      <c r="D28">
        <f t="shared" si="3"/>
        <v>6.8643999999994278</v>
      </c>
    </row>
    <row r="29" spans="1:4" x14ac:dyDescent="0.25">
      <c r="B29">
        <v>1004.6</v>
      </c>
      <c r="C29" t="s">
        <v>1</v>
      </c>
      <c r="D29">
        <f t="shared" si="3"/>
        <v>0.14440000000008293</v>
      </c>
    </row>
    <row r="30" spans="1:4" x14ac:dyDescent="0.25">
      <c r="B30">
        <v>1003.8</v>
      </c>
      <c r="C30" t="s">
        <v>1</v>
      </c>
      <c r="D30">
        <f t="shared" si="3"/>
        <v>0.17639999999996561</v>
      </c>
    </row>
    <row r="31" spans="1:4" x14ac:dyDescent="0.25">
      <c r="A31" t="s">
        <v>2</v>
      </c>
      <c r="B31">
        <f>AVERAGE(B26:B30)</f>
        <v>1004.2199999999999</v>
      </c>
      <c r="C31" t="s">
        <v>1</v>
      </c>
      <c r="D31">
        <f>SUM(D26:D30)</f>
        <v>13.847999999999693</v>
      </c>
    </row>
    <row r="32" spans="1:4" x14ac:dyDescent="0.25">
      <c r="A32" t="s">
        <v>3</v>
      </c>
      <c r="B32">
        <f>SQRT(D31/5)</f>
        <v>1.6642115250171592</v>
      </c>
    </row>
    <row r="33" spans="1:3" x14ac:dyDescent="0.25">
      <c r="A33" t="s">
        <v>4</v>
      </c>
      <c r="B33">
        <f>(B32/B31)*100</f>
        <v>0.1657218064783772</v>
      </c>
    </row>
    <row r="34" spans="1:3" x14ac:dyDescent="0.25">
      <c r="A34" t="s">
        <v>5</v>
      </c>
      <c r="B34">
        <f>((B31-1000)/1000)*100</f>
        <v>0.42199999999999138</v>
      </c>
      <c r="C34" t="s">
        <v>6</v>
      </c>
    </row>
  </sheetData>
  <pageMargins left="0.7" right="0.7" top="0.78740157499999996" bottom="0.78740157499999996"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605B0-8705-42D7-8606-AD8AB453A931}">
  <sheetPr codeName="Tabelle2"/>
  <dimension ref="A1:D10"/>
  <sheetViews>
    <sheetView workbookViewId="0">
      <selection activeCell="G10" sqref="G10"/>
    </sheetView>
  </sheetViews>
  <sheetFormatPr baseColWidth="10" defaultRowHeight="15" x14ac:dyDescent="0.25"/>
  <cols>
    <col min="1" max="1" width="19.7109375" bestFit="1" customWidth="1"/>
    <col min="2" max="2" width="12" bestFit="1" customWidth="1"/>
    <col min="3" max="3" width="3.7109375" bestFit="1" customWidth="1"/>
    <col min="4" max="4" width="15.28515625" bestFit="1" customWidth="1"/>
  </cols>
  <sheetData>
    <row r="1" spans="1:4" x14ac:dyDescent="0.25">
      <c r="A1" s="5"/>
      <c r="B1" s="5" t="s">
        <v>9</v>
      </c>
      <c r="C1" s="5"/>
      <c r="D1" s="5" t="s">
        <v>0</v>
      </c>
    </row>
    <row r="2" spans="1:4" x14ac:dyDescent="0.25">
      <c r="A2" s="5"/>
      <c r="B2" s="5">
        <v>2019.7</v>
      </c>
      <c r="C2" s="5" t="s">
        <v>1</v>
      </c>
      <c r="D2" s="5">
        <f>(B2-$B$7)*(B2-$B$7)</f>
        <v>21.715600000002883</v>
      </c>
    </row>
    <row r="3" spans="1:4" x14ac:dyDescent="0.25">
      <c r="A3" s="5"/>
      <c r="B3" s="5">
        <v>2014.7</v>
      </c>
      <c r="C3" s="5" t="s">
        <v>1</v>
      </c>
      <c r="D3" s="5">
        <f t="shared" ref="D3:D6" si="0">(B3-$B$7)*(B3-$B$7)</f>
        <v>0.11559999999978972</v>
      </c>
    </row>
    <row r="4" spans="1:4" x14ac:dyDescent="0.25">
      <c r="A4" s="5"/>
      <c r="B4" s="5">
        <v>2012</v>
      </c>
      <c r="C4" s="5" t="s">
        <v>1</v>
      </c>
      <c r="D4" s="5">
        <f t="shared" si="0"/>
        <v>9.241599999998396</v>
      </c>
    </row>
    <row r="5" spans="1:4" x14ac:dyDescent="0.25">
      <c r="A5" s="5"/>
      <c r="B5" s="5">
        <v>2015.5</v>
      </c>
      <c r="C5" s="5" t="s">
        <v>1</v>
      </c>
      <c r="D5" s="5">
        <f t="shared" si="0"/>
        <v>0.21160000000024265</v>
      </c>
    </row>
    <row r="6" spans="1:4" x14ac:dyDescent="0.25">
      <c r="A6" s="5"/>
      <c r="B6" s="5">
        <v>2013.3</v>
      </c>
      <c r="C6" s="5" t="s">
        <v>1</v>
      </c>
      <c r="D6" s="5">
        <f t="shared" si="0"/>
        <v>3.0275999999992402</v>
      </c>
    </row>
    <row r="7" spans="1:4" x14ac:dyDescent="0.25">
      <c r="A7" s="5" t="s">
        <v>2</v>
      </c>
      <c r="B7" s="5">
        <f>AVERAGE(B2:B6)</f>
        <v>2015.0399999999997</v>
      </c>
      <c r="C7" s="5" t="s">
        <v>1</v>
      </c>
      <c r="D7" s="5">
        <f>SUM(D2:D6)</f>
        <v>34.312000000000552</v>
      </c>
    </row>
    <row r="8" spans="1:4" x14ac:dyDescent="0.25">
      <c r="A8" s="5" t="s">
        <v>3</v>
      </c>
      <c r="B8" s="5">
        <f>SQRT(D7/5)</f>
        <v>2.6196182928052916</v>
      </c>
      <c r="C8" s="5"/>
      <c r="D8" s="5"/>
    </row>
    <row r="9" spans="1:4" x14ac:dyDescent="0.25">
      <c r="A9" s="5" t="s">
        <v>4</v>
      </c>
      <c r="B9" s="5">
        <f>(B8/B7)*100</f>
        <v>0.13000328990021498</v>
      </c>
      <c r="C9" s="5"/>
      <c r="D9" s="5"/>
    </row>
    <row r="10" spans="1:4" x14ac:dyDescent="0.25">
      <c r="A10" s="5" t="s">
        <v>5</v>
      </c>
      <c r="B10" s="5">
        <f>((B7-2000)/2000)*100</f>
        <v>0.75199999999998679</v>
      </c>
      <c r="C10" s="5" t="s">
        <v>6</v>
      </c>
      <c r="D10" s="5"/>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40EE3-FFFB-43BE-891C-65903D7B75B6}">
  <dimension ref="A1:P11"/>
  <sheetViews>
    <sheetView workbookViewId="0">
      <selection activeCell="A10" sqref="A10:I10"/>
    </sheetView>
  </sheetViews>
  <sheetFormatPr baseColWidth="10" defaultRowHeight="15" x14ac:dyDescent="0.25"/>
  <cols>
    <col min="1" max="1" width="14.140625" customWidth="1"/>
    <col min="2" max="2" width="14.28515625" bestFit="1" customWidth="1"/>
    <col min="3" max="3" width="17.7109375" customWidth="1"/>
    <col min="4" max="4" width="13.85546875" bestFit="1" customWidth="1"/>
    <col min="5" max="5" width="20.85546875" customWidth="1"/>
    <col min="6" max="6" width="22" customWidth="1"/>
    <col min="8" max="8" width="18.28515625" bestFit="1" customWidth="1"/>
    <col min="9" max="9" width="13.85546875" bestFit="1" customWidth="1"/>
    <col min="16" max="16" width="16" customWidth="1"/>
  </cols>
  <sheetData>
    <row r="1" spans="1:16" x14ac:dyDescent="0.25">
      <c r="A1" s="13" t="s">
        <v>33</v>
      </c>
      <c r="B1" s="13"/>
      <c r="C1" s="13"/>
      <c r="D1" s="14"/>
    </row>
    <row r="2" spans="1:16" x14ac:dyDescent="0.25">
      <c r="A2" s="14" t="s">
        <v>34</v>
      </c>
      <c r="B2" s="14" t="s">
        <v>54</v>
      </c>
      <c r="C2" s="14"/>
      <c r="D2" s="14"/>
    </row>
    <row r="3" spans="1:16" x14ac:dyDescent="0.25">
      <c r="A3" s="13" t="s">
        <v>36</v>
      </c>
      <c r="B3" s="13" t="s">
        <v>37</v>
      </c>
      <c r="C3" s="13" t="s">
        <v>38</v>
      </c>
      <c r="D3" s="13"/>
      <c r="E3" s="10" t="s">
        <v>46</v>
      </c>
      <c r="F3" s="10"/>
      <c r="G3" t="s">
        <v>47</v>
      </c>
      <c r="H3" s="10" t="s">
        <v>55</v>
      </c>
      <c r="I3" s="10"/>
    </row>
    <row r="4" spans="1:16" x14ac:dyDescent="0.25">
      <c r="A4" s="13"/>
      <c r="B4" s="13"/>
      <c r="C4" s="14" t="s">
        <v>49</v>
      </c>
      <c r="D4" s="14" t="s">
        <v>50</v>
      </c>
      <c r="E4" s="14" t="s">
        <v>49</v>
      </c>
      <c r="F4" s="14" t="s">
        <v>50</v>
      </c>
      <c r="H4" s="14" t="s">
        <v>52</v>
      </c>
      <c r="I4" s="14" t="s">
        <v>53</v>
      </c>
    </row>
    <row r="5" spans="1:16" x14ac:dyDescent="0.25">
      <c r="A5" s="14" t="s">
        <v>35</v>
      </c>
      <c r="B5" s="15" t="s">
        <v>44</v>
      </c>
      <c r="C5" s="16">
        <v>3.5816199999999999E-2</v>
      </c>
      <c r="D5" s="16">
        <v>5.6036000000000002E-2</v>
      </c>
      <c r="E5">
        <f>C5*25</f>
        <v>0.89540500000000001</v>
      </c>
      <c r="F5">
        <f>D5*25</f>
        <v>1.4009</v>
      </c>
      <c r="G5" t="s">
        <v>48</v>
      </c>
      <c r="H5">
        <f>(E5*0.2)/(2/1000)</f>
        <v>89.540500000000009</v>
      </c>
      <c r="I5">
        <f>(F5*0.2)/(2/1000)</f>
        <v>140.09</v>
      </c>
    </row>
    <row r="6" spans="1:16" x14ac:dyDescent="0.25">
      <c r="A6" s="14" t="s">
        <v>41</v>
      </c>
      <c r="B6" s="15" t="s">
        <v>44</v>
      </c>
      <c r="C6" s="16">
        <v>0</v>
      </c>
      <c r="D6" s="16">
        <v>2.62948E-2</v>
      </c>
      <c r="E6">
        <f t="shared" ref="E6:E8" si="0">C6*25</f>
        <v>0</v>
      </c>
      <c r="F6">
        <f t="shared" ref="F6:F8" si="1">D6*25</f>
        <v>0.65737000000000001</v>
      </c>
      <c r="G6" t="s">
        <v>48</v>
      </c>
      <c r="H6">
        <f t="shared" ref="H6:H8" si="2">(E6*0.2)/(2/1000)</f>
        <v>0</v>
      </c>
      <c r="I6">
        <f t="shared" ref="I6:I8" si="3">(F6*0.2)/(2/1000)</f>
        <v>65.737000000000009</v>
      </c>
    </row>
    <row r="7" spans="1:16" x14ac:dyDescent="0.25">
      <c r="A7" s="14" t="s">
        <v>42</v>
      </c>
      <c r="B7" s="15" t="s">
        <v>44</v>
      </c>
      <c r="C7" s="16">
        <v>2.4183400000000001E-2</v>
      </c>
      <c r="D7" s="16">
        <v>2.4326899999999999E-2</v>
      </c>
      <c r="E7">
        <f t="shared" si="0"/>
        <v>0.60458500000000004</v>
      </c>
      <c r="F7">
        <f t="shared" si="1"/>
        <v>0.6081725</v>
      </c>
      <c r="G7" t="s">
        <v>48</v>
      </c>
      <c r="H7">
        <f t="shared" si="2"/>
        <v>60.458500000000001</v>
      </c>
      <c r="I7">
        <f t="shared" si="3"/>
        <v>60.817250000000001</v>
      </c>
    </row>
    <row r="8" spans="1:16" x14ac:dyDescent="0.25">
      <c r="A8" s="14" t="s">
        <v>43</v>
      </c>
      <c r="B8" s="15" t="s">
        <v>44</v>
      </c>
      <c r="C8" s="16">
        <v>5.2149730000000004E-3</v>
      </c>
      <c r="D8" s="16">
        <v>0.196744</v>
      </c>
      <c r="E8">
        <f t="shared" si="0"/>
        <v>0.13037432500000001</v>
      </c>
      <c r="F8">
        <f t="shared" si="1"/>
        <v>4.9185999999999996</v>
      </c>
      <c r="G8" t="s">
        <v>51</v>
      </c>
      <c r="H8">
        <f>(E8*0.2)/(10/1000)</f>
        <v>2.6074865000000003</v>
      </c>
      <c r="I8">
        <f>(F8*0.2)/(10/1000)</f>
        <v>98.371999999999986</v>
      </c>
    </row>
    <row r="10" spans="1:16" x14ac:dyDescent="0.25">
      <c r="A10" s="17" t="s">
        <v>45</v>
      </c>
      <c r="B10" s="17"/>
      <c r="C10" s="17"/>
      <c r="D10" s="17"/>
      <c r="E10" s="17"/>
      <c r="F10" s="17"/>
      <c r="G10" s="17"/>
      <c r="H10" s="17"/>
      <c r="I10" s="17"/>
    </row>
    <row r="11" spans="1:16" x14ac:dyDescent="0.25">
      <c r="A11" s="18" t="s">
        <v>62</v>
      </c>
      <c r="B11" s="18"/>
      <c r="C11" s="18"/>
      <c r="D11" s="18"/>
      <c r="E11" s="18"/>
      <c r="F11" s="18"/>
      <c r="G11" s="18"/>
      <c r="H11" s="18"/>
      <c r="I11" s="18"/>
      <c r="J11" s="18"/>
      <c r="K11" s="18"/>
      <c r="L11" s="18"/>
      <c r="M11" s="18"/>
      <c r="N11" s="18"/>
      <c r="O11" s="18"/>
      <c r="P11" s="18"/>
    </row>
  </sheetData>
  <mergeCells count="8">
    <mergeCell ref="C3:D3"/>
    <mergeCell ref="A1:C1"/>
    <mergeCell ref="A10:I10"/>
    <mergeCell ref="E3:F3"/>
    <mergeCell ref="A11:P11"/>
    <mergeCell ref="A3:A4"/>
    <mergeCell ref="B3:B4"/>
    <mergeCell ref="H3:I3"/>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B7EFD-2026-4F1C-A594-F913DA198A6B}">
  <dimension ref="A1:I11"/>
  <sheetViews>
    <sheetView tabSelected="1" workbookViewId="0">
      <selection activeCell="E19" sqref="E18:E19"/>
    </sheetView>
  </sheetViews>
  <sheetFormatPr baseColWidth="10" defaultRowHeight="15" x14ac:dyDescent="0.25"/>
  <cols>
    <col min="1" max="1" width="30.28515625" bestFit="1" customWidth="1"/>
    <col min="3" max="3" width="19.140625" customWidth="1"/>
    <col min="4" max="4" width="18.140625" customWidth="1"/>
    <col min="5" max="5" width="19.140625" customWidth="1"/>
    <col min="6" max="6" width="21.28515625" customWidth="1"/>
  </cols>
  <sheetData>
    <row r="1" spans="1:9" x14ac:dyDescent="0.25">
      <c r="A1" t="s">
        <v>56</v>
      </c>
    </row>
    <row r="2" spans="1:9" x14ac:dyDescent="0.25">
      <c r="A2" t="s">
        <v>57</v>
      </c>
    </row>
    <row r="3" spans="1:9" x14ac:dyDescent="0.25">
      <c r="A3" s="13" t="s">
        <v>36</v>
      </c>
      <c r="B3" s="13" t="s">
        <v>37</v>
      </c>
      <c r="C3" s="13" t="s">
        <v>59</v>
      </c>
      <c r="D3" s="13"/>
      <c r="E3" s="10" t="s">
        <v>66</v>
      </c>
      <c r="F3" s="10"/>
      <c r="G3" s="10" t="s">
        <v>55</v>
      </c>
      <c r="H3" s="10"/>
      <c r="I3" s="19"/>
    </row>
    <row r="4" spans="1:9" x14ac:dyDescent="0.25">
      <c r="A4" s="13"/>
      <c r="B4" s="13"/>
      <c r="C4" s="14" t="s">
        <v>49</v>
      </c>
      <c r="D4" s="14" t="s">
        <v>50</v>
      </c>
      <c r="E4" s="14" t="s">
        <v>67</v>
      </c>
      <c r="F4" s="14" t="s">
        <v>40</v>
      </c>
      <c r="G4" s="10" t="s">
        <v>39</v>
      </c>
      <c r="H4" s="10"/>
      <c r="I4" s="14"/>
    </row>
    <row r="5" spans="1:9" x14ac:dyDescent="0.25">
      <c r="A5" s="14" t="s">
        <v>58</v>
      </c>
      <c r="B5" s="15" t="s">
        <v>63</v>
      </c>
      <c r="C5" s="16">
        <v>0.18196399999999999</v>
      </c>
      <c r="D5" s="16">
        <v>0</v>
      </c>
      <c r="E5">
        <f>C5*0.02</f>
        <v>3.6392799999999999E-3</v>
      </c>
      <c r="F5">
        <v>0</v>
      </c>
      <c r="G5" s="10">
        <f>E5/1.995</f>
        <v>1.8242005012531327E-3</v>
      </c>
      <c r="H5" s="10"/>
    </row>
    <row r="6" spans="1:9" x14ac:dyDescent="0.25">
      <c r="A6" s="14" t="s">
        <v>60</v>
      </c>
      <c r="B6" s="15" t="s">
        <v>64</v>
      </c>
      <c r="C6" s="16">
        <v>6.3617999999999994E-2</v>
      </c>
      <c r="D6" s="16">
        <v>0</v>
      </c>
      <c r="E6">
        <f>C6*0.025</f>
        <v>1.59045E-3</v>
      </c>
      <c r="F6">
        <v>0</v>
      </c>
      <c r="G6" s="10">
        <f t="shared" ref="G6:G7" si="0">E6/1.995</f>
        <v>7.9721804511278193E-4</v>
      </c>
      <c r="H6" s="10"/>
    </row>
    <row r="7" spans="1:9" x14ac:dyDescent="0.25">
      <c r="A7" s="14" t="s">
        <v>61</v>
      </c>
      <c r="B7" s="15" t="s">
        <v>65</v>
      </c>
      <c r="C7" s="16">
        <v>0.248616</v>
      </c>
      <c r="D7" s="16">
        <v>0</v>
      </c>
      <c r="E7">
        <f>C7*0.05</f>
        <v>1.2430800000000001E-2</v>
      </c>
      <c r="F7">
        <v>0</v>
      </c>
      <c r="G7" s="10">
        <f t="shared" si="0"/>
        <v>6.2309774436090223E-3</v>
      </c>
      <c r="H7" s="10"/>
    </row>
    <row r="8" spans="1:9" x14ac:dyDescent="0.25">
      <c r="A8" s="14"/>
      <c r="B8" s="15"/>
      <c r="C8" s="16"/>
      <c r="D8" s="16"/>
    </row>
    <row r="9" spans="1:9" x14ac:dyDescent="0.25">
      <c r="A9" s="20" t="s">
        <v>72</v>
      </c>
    </row>
    <row r="10" spans="1:9" ht="15" customHeight="1" x14ac:dyDescent="0.25">
      <c r="A10" s="20" t="s">
        <v>71</v>
      </c>
    </row>
    <row r="11" spans="1:9" x14ac:dyDescent="0.25">
      <c r="A11" t="s">
        <v>68</v>
      </c>
    </row>
  </sheetData>
  <mergeCells count="9">
    <mergeCell ref="G5:H5"/>
    <mergeCell ref="G6:H6"/>
    <mergeCell ref="G7:H7"/>
    <mergeCell ref="A3:A4"/>
    <mergeCell ref="B3:B4"/>
    <mergeCell ref="C3:D3"/>
    <mergeCell ref="E3:F3"/>
    <mergeCell ref="G3:H3"/>
    <mergeCell ref="G4:H4"/>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B7DE1-8840-4C56-9D8C-8ABF0F88E50C}">
  <sheetPr codeName="Tabelle3"/>
  <dimension ref="A1:S20"/>
  <sheetViews>
    <sheetView workbookViewId="0">
      <selection activeCell="G39" sqref="G39"/>
    </sheetView>
  </sheetViews>
  <sheetFormatPr baseColWidth="10" defaultRowHeight="15" x14ac:dyDescent="0.25"/>
  <cols>
    <col min="2" max="2" width="11.85546875" bestFit="1" customWidth="1"/>
    <col min="4" max="4" width="19.42578125" bestFit="1" customWidth="1"/>
  </cols>
  <sheetData>
    <row r="1" spans="1:19" x14ac:dyDescent="0.25">
      <c r="A1" s="1" t="s">
        <v>11</v>
      </c>
      <c r="B1" s="11" t="s">
        <v>12</v>
      </c>
      <c r="C1" s="11"/>
      <c r="D1" s="11" t="s">
        <v>15</v>
      </c>
      <c r="E1" s="11"/>
      <c r="F1" s="11"/>
      <c r="G1" s="11"/>
      <c r="I1" s="1" t="s">
        <v>11</v>
      </c>
      <c r="J1" s="11" t="s">
        <v>12</v>
      </c>
      <c r="K1" s="11"/>
      <c r="L1" s="11" t="s">
        <v>15</v>
      </c>
      <c r="M1" s="11"/>
      <c r="N1" s="11"/>
      <c r="O1" s="11"/>
    </row>
    <row r="2" spans="1:19" x14ac:dyDescent="0.25">
      <c r="A2" s="1"/>
      <c r="B2" s="1" t="s">
        <v>13</v>
      </c>
      <c r="C2" s="1" t="s">
        <v>14</v>
      </c>
      <c r="D2" s="1" t="s">
        <v>13</v>
      </c>
      <c r="E2" s="1" t="s">
        <v>14</v>
      </c>
      <c r="F2" s="1" t="s">
        <v>17</v>
      </c>
      <c r="G2" s="1" t="s">
        <v>16</v>
      </c>
      <c r="I2" s="1"/>
      <c r="J2" s="1" t="s">
        <v>13</v>
      </c>
      <c r="K2" s="1" t="s">
        <v>14</v>
      </c>
      <c r="L2" s="1" t="s">
        <v>13</v>
      </c>
      <c r="M2" s="1" t="s">
        <v>14</v>
      </c>
      <c r="N2" s="1" t="s">
        <v>17</v>
      </c>
      <c r="O2" s="1" t="s">
        <v>16</v>
      </c>
    </row>
    <row r="3" spans="1:19" x14ac:dyDescent="0.25">
      <c r="A3" s="1">
        <v>1</v>
      </c>
      <c r="B3" s="6">
        <v>1</v>
      </c>
      <c r="C3" s="1">
        <v>0.05</v>
      </c>
      <c r="D3" s="1">
        <v>100</v>
      </c>
      <c r="E3" s="1">
        <f>(B3/D3)*C3</f>
        <v>5.0000000000000001E-4</v>
      </c>
      <c r="F3" s="1">
        <f>E3*1000</f>
        <v>0.5</v>
      </c>
      <c r="G3" s="1">
        <f>E3*10^6</f>
        <v>500</v>
      </c>
      <c r="I3" s="1">
        <v>1</v>
      </c>
      <c r="J3" s="6">
        <f>(M3*L3)/K3</f>
        <v>3.3</v>
      </c>
      <c r="K3" s="1">
        <v>0.05</v>
      </c>
      <c r="L3" s="1">
        <v>330</v>
      </c>
      <c r="M3" s="1">
        <v>5.0000000000000001E-4</v>
      </c>
      <c r="N3" s="1">
        <f>M3*1000</f>
        <v>0.5</v>
      </c>
      <c r="O3" s="1">
        <f>M3*10^6</f>
        <v>500</v>
      </c>
    </row>
    <row r="4" spans="1:19" x14ac:dyDescent="0.25">
      <c r="A4" s="1">
        <v>2</v>
      </c>
      <c r="B4" s="6">
        <v>2</v>
      </c>
      <c r="C4" s="1">
        <v>0.05</v>
      </c>
      <c r="D4" s="1">
        <v>100</v>
      </c>
      <c r="E4" s="1">
        <f t="shared" ref="E4:E7" si="0">(B4/D4)*C4</f>
        <v>1E-3</v>
      </c>
      <c r="F4" s="1">
        <f t="shared" ref="F4:F7" si="1">E4*1000</f>
        <v>1</v>
      </c>
      <c r="G4" s="1">
        <f t="shared" ref="G4:G7" si="2">E4*10^6</f>
        <v>1000</v>
      </c>
      <c r="I4" s="1">
        <v>2</v>
      </c>
      <c r="J4" s="6">
        <f t="shared" ref="J4:J7" si="3">(M4*L4)/K4</f>
        <v>6.6</v>
      </c>
      <c r="K4" s="1">
        <v>0.05</v>
      </c>
      <c r="L4" s="1">
        <v>330</v>
      </c>
      <c r="M4" s="1">
        <v>1E-3</v>
      </c>
      <c r="N4" s="1">
        <f t="shared" ref="N4:N7" si="4">M4*1000</f>
        <v>1</v>
      </c>
      <c r="O4" s="1">
        <f t="shared" ref="O4:O7" si="5">M4*10^6</f>
        <v>1000</v>
      </c>
      <c r="Q4" s="10" t="s">
        <v>19</v>
      </c>
      <c r="R4" s="10"/>
      <c r="S4" t="s">
        <v>20</v>
      </c>
    </row>
    <row r="5" spans="1:19" x14ac:dyDescent="0.25">
      <c r="A5" s="1">
        <v>3</v>
      </c>
      <c r="B5" s="6">
        <v>6</v>
      </c>
      <c r="C5" s="1">
        <v>0.05</v>
      </c>
      <c r="D5" s="1">
        <v>100</v>
      </c>
      <c r="E5" s="1">
        <f t="shared" si="0"/>
        <v>3.0000000000000001E-3</v>
      </c>
      <c r="F5" s="1">
        <f t="shared" si="1"/>
        <v>3</v>
      </c>
      <c r="G5" s="1">
        <f t="shared" si="2"/>
        <v>3000</v>
      </c>
      <c r="I5" s="1">
        <v>3</v>
      </c>
      <c r="J5" s="6">
        <f t="shared" si="3"/>
        <v>19.799999999999997</v>
      </c>
      <c r="K5" s="1">
        <v>0.05</v>
      </c>
      <c r="L5" s="1">
        <v>330</v>
      </c>
      <c r="M5" s="1">
        <v>3.0000000000000001E-3</v>
      </c>
      <c r="N5" s="1">
        <f t="shared" si="4"/>
        <v>3</v>
      </c>
      <c r="O5" s="1">
        <f t="shared" si="5"/>
        <v>3000</v>
      </c>
      <c r="Q5" t="s">
        <v>21</v>
      </c>
    </row>
    <row r="6" spans="1:19" x14ac:dyDescent="0.25">
      <c r="A6" s="1">
        <v>4</v>
      </c>
      <c r="B6" s="6">
        <v>8</v>
      </c>
      <c r="C6" s="1">
        <v>0.05</v>
      </c>
      <c r="D6" s="1">
        <v>100</v>
      </c>
      <c r="E6" s="1">
        <f t="shared" si="0"/>
        <v>4.0000000000000001E-3</v>
      </c>
      <c r="F6" s="1">
        <f t="shared" si="1"/>
        <v>4</v>
      </c>
      <c r="G6" s="1">
        <f t="shared" si="2"/>
        <v>4000</v>
      </c>
      <c r="I6" s="1">
        <v>4</v>
      </c>
      <c r="J6" s="6">
        <f t="shared" si="3"/>
        <v>26.4</v>
      </c>
      <c r="K6" s="1">
        <v>0.05</v>
      </c>
      <c r="L6" s="1">
        <v>330</v>
      </c>
      <c r="M6" s="1">
        <v>4.0000000000000001E-3</v>
      </c>
      <c r="N6" s="1">
        <f t="shared" si="4"/>
        <v>4</v>
      </c>
      <c r="O6" s="1">
        <f t="shared" si="5"/>
        <v>4000</v>
      </c>
    </row>
    <row r="7" spans="1:19" x14ac:dyDescent="0.25">
      <c r="A7" s="1">
        <v>5</v>
      </c>
      <c r="B7" s="6">
        <v>10</v>
      </c>
      <c r="C7" s="1">
        <v>0.05</v>
      </c>
      <c r="D7" s="1">
        <v>100</v>
      </c>
      <c r="E7" s="1">
        <f t="shared" si="0"/>
        <v>5.000000000000001E-3</v>
      </c>
      <c r="F7" s="1">
        <f t="shared" si="1"/>
        <v>5.0000000000000009</v>
      </c>
      <c r="G7" s="1">
        <f t="shared" si="2"/>
        <v>5000.0000000000009</v>
      </c>
      <c r="I7" s="1">
        <v>5</v>
      </c>
      <c r="J7" s="6">
        <f t="shared" si="3"/>
        <v>33.000000000000007</v>
      </c>
      <c r="K7" s="1">
        <v>0.05</v>
      </c>
      <c r="L7" s="1">
        <v>330</v>
      </c>
      <c r="M7" s="1">
        <v>5.000000000000001E-3</v>
      </c>
      <c r="N7" s="1">
        <f t="shared" si="4"/>
        <v>5.0000000000000009</v>
      </c>
      <c r="O7" s="1">
        <f t="shared" si="5"/>
        <v>5000.0000000000009</v>
      </c>
    </row>
    <row r="10" spans="1:19" x14ac:dyDescent="0.25">
      <c r="A10" s="1" t="s">
        <v>11</v>
      </c>
      <c r="B10" s="11" t="s">
        <v>18</v>
      </c>
      <c r="C10" s="11"/>
      <c r="D10" s="11" t="s">
        <v>15</v>
      </c>
      <c r="E10" s="11"/>
      <c r="F10" s="11"/>
      <c r="G10" s="11"/>
      <c r="I10" s="1" t="s">
        <v>11</v>
      </c>
      <c r="J10" s="11" t="s">
        <v>18</v>
      </c>
      <c r="K10" s="11"/>
      <c r="L10" s="11" t="s">
        <v>15</v>
      </c>
      <c r="M10" s="11"/>
      <c r="N10" s="11"/>
      <c r="O10" s="11"/>
    </row>
    <row r="11" spans="1:19" x14ac:dyDescent="0.25">
      <c r="A11" s="1"/>
      <c r="B11" s="1" t="s">
        <v>13</v>
      </c>
      <c r="C11" s="1" t="s">
        <v>14</v>
      </c>
      <c r="D11" s="1" t="s">
        <v>13</v>
      </c>
      <c r="E11" s="1" t="s">
        <v>14</v>
      </c>
      <c r="F11" s="1" t="s">
        <v>17</v>
      </c>
      <c r="G11" s="1" t="s">
        <v>16</v>
      </c>
      <c r="I11" s="1"/>
      <c r="J11" s="1" t="s">
        <v>13</v>
      </c>
      <c r="K11" s="1" t="s">
        <v>14</v>
      </c>
      <c r="L11" s="1" t="s">
        <v>13</v>
      </c>
      <c r="M11" s="1" t="s">
        <v>14</v>
      </c>
      <c r="N11" s="1" t="s">
        <v>17</v>
      </c>
      <c r="O11" s="1" t="s">
        <v>16</v>
      </c>
    </row>
    <row r="12" spans="1:19" x14ac:dyDescent="0.25">
      <c r="A12" s="1">
        <v>1</v>
      </c>
      <c r="B12" s="7">
        <v>5</v>
      </c>
      <c r="C12" s="1">
        <v>0.05</v>
      </c>
      <c r="D12" s="1">
        <v>100</v>
      </c>
      <c r="E12" s="1">
        <f>(B12/D12)*C12</f>
        <v>2.5000000000000005E-3</v>
      </c>
      <c r="F12" s="1">
        <f>E12*1000</f>
        <v>2.5000000000000004</v>
      </c>
      <c r="G12" s="1">
        <f>E12*10^6</f>
        <v>2500.0000000000005</v>
      </c>
      <c r="I12" s="1">
        <v>1</v>
      </c>
      <c r="J12" s="7">
        <f>(M12*L12)/K12</f>
        <v>50.540000000000006</v>
      </c>
      <c r="K12" s="1">
        <v>0.05</v>
      </c>
      <c r="L12" s="1">
        <v>1010.8</v>
      </c>
      <c r="M12" s="1">
        <v>2.5000000000000005E-3</v>
      </c>
      <c r="N12" s="1">
        <f>M12*1000</f>
        <v>2.5000000000000004</v>
      </c>
      <c r="O12" s="1">
        <f>M12*10^6</f>
        <v>2500.0000000000005</v>
      </c>
    </row>
    <row r="13" spans="1:19" x14ac:dyDescent="0.25">
      <c r="A13" s="1">
        <v>2</v>
      </c>
      <c r="B13" s="7">
        <v>10</v>
      </c>
      <c r="C13" s="1">
        <v>0.05</v>
      </c>
      <c r="D13" s="1">
        <v>100</v>
      </c>
      <c r="E13" s="1">
        <f t="shared" ref="E13:E16" si="6">(B13/D13)*C13</f>
        <v>5.000000000000001E-3</v>
      </c>
      <c r="F13" s="1">
        <f t="shared" ref="F13:F16" si="7">E13*1000</f>
        <v>5.0000000000000009</v>
      </c>
      <c r="G13" s="1">
        <f t="shared" ref="G13:G16" si="8">E13*10^6</f>
        <v>5000.0000000000009</v>
      </c>
      <c r="I13" s="1">
        <v>2</v>
      </c>
      <c r="J13" s="7">
        <f t="shared" ref="J13:J16" si="9">(M13*L13)/K13</f>
        <v>101.08000000000001</v>
      </c>
      <c r="K13" s="1">
        <v>0.05</v>
      </c>
      <c r="L13" s="1">
        <v>1010.8</v>
      </c>
      <c r="M13" s="1">
        <v>5.000000000000001E-3</v>
      </c>
      <c r="N13" s="1">
        <f t="shared" ref="N13:N16" si="10">M13*1000</f>
        <v>5.0000000000000009</v>
      </c>
      <c r="O13" s="1">
        <f t="shared" ref="O13:O16" si="11">M13*10^6</f>
        <v>5000.0000000000009</v>
      </c>
      <c r="Q13" t="s">
        <v>22</v>
      </c>
    </row>
    <row r="14" spans="1:19" x14ac:dyDescent="0.25">
      <c r="A14" s="1">
        <v>3</v>
      </c>
      <c r="B14" s="7">
        <v>15</v>
      </c>
      <c r="C14" s="1">
        <v>0.05</v>
      </c>
      <c r="D14" s="1">
        <v>100</v>
      </c>
      <c r="E14" s="1">
        <f t="shared" si="6"/>
        <v>7.4999999999999997E-3</v>
      </c>
      <c r="F14" s="1">
        <f t="shared" si="7"/>
        <v>7.5</v>
      </c>
      <c r="G14" s="1">
        <f t="shared" si="8"/>
        <v>7500</v>
      </c>
      <c r="I14" s="1">
        <v>3</v>
      </c>
      <c r="J14" s="7">
        <f t="shared" si="9"/>
        <v>151.61999999999998</v>
      </c>
      <c r="K14" s="1">
        <v>0.05</v>
      </c>
      <c r="L14" s="1">
        <v>1010.8</v>
      </c>
      <c r="M14" s="1">
        <v>7.4999999999999997E-3</v>
      </c>
      <c r="N14" s="1">
        <f t="shared" si="10"/>
        <v>7.5</v>
      </c>
      <c r="O14" s="1">
        <f t="shared" si="11"/>
        <v>7500</v>
      </c>
      <c r="Q14" t="s">
        <v>23</v>
      </c>
    </row>
    <row r="15" spans="1:19" x14ac:dyDescent="0.25">
      <c r="A15" s="1">
        <v>4</v>
      </c>
      <c r="B15" s="7">
        <v>25</v>
      </c>
      <c r="C15" s="1">
        <v>0.05</v>
      </c>
      <c r="D15" s="1">
        <v>100</v>
      </c>
      <c r="E15" s="1">
        <f t="shared" si="6"/>
        <v>1.2500000000000001E-2</v>
      </c>
      <c r="F15" s="1">
        <f t="shared" si="7"/>
        <v>12.5</v>
      </c>
      <c r="G15" s="1">
        <f t="shared" si="8"/>
        <v>12500</v>
      </c>
      <c r="I15" s="1">
        <v>4</v>
      </c>
      <c r="J15" s="7">
        <f t="shared" si="9"/>
        <v>252.7</v>
      </c>
      <c r="K15" s="1">
        <v>0.05</v>
      </c>
      <c r="L15" s="1">
        <v>1010.8</v>
      </c>
      <c r="M15" s="1">
        <v>1.2500000000000001E-2</v>
      </c>
      <c r="N15" s="1">
        <f t="shared" si="10"/>
        <v>12.5</v>
      </c>
      <c r="O15" s="1">
        <f t="shared" si="11"/>
        <v>12500</v>
      </c>
    </row>
    <row r="16" spans="1:19" x14ac:dyDescent="0.25">
      <c r="A16" s="1">
        <v>5</v>
      </c>
      <c r="B16" s="7">
        <v>30</v>
      </c>
      <c r="C16" s="1">
        <v>0.05</v>
      </c>
      <c r="D16" s="1">
        <v>100</v>
      </c>
      <c r="E16" s="1">
        <f t="shared" si="6"/>
        <v>1.4999999999999999E-2</v>
      </c>
      <c r="F16" s="1">
        <f t="shared" si="7"/>
        <v>15</v>
      </c>
      <c r="G16" s="1">
        <f t="shared" si="8"/>
        <v>15000</v>
      </c>
      <c r="I16" s="1">
        <v>5</v>
      </c>
      <c r="J16" s="7">
        <f t="shared" si="9"/>
        <v>303.23999999999995</v>
      </c>
      <c r="K16" s="1">
        <v>0.05</v>
      </c>
      <c r="L16" s="1">
        <v>1010.8</v>
      </c>
      <c r="M16" s="1">
        <v>1.4999999999999999E-2</v>
      </c>
      <c r="N16" s="1">
        <f t="shared" si="10"/>
        <v>15</v>
      </c>
      <c r="O16" s="1">
        <f t="shared" si="11"/>
        <v>15000</v>
      </c>
    </row>
    <row r="19" spans="1:5" x14ac:dyDescent="0.25">
      <c r="A19" s="8" t="s">
        <v>31</v>
      </c>
      <c r="E19" t="s">
        <v>69</v>
      </c>
    </row>
    <row r="20" spans="1:5" x14ac:dyDescent="0.25">
      <c r="A20" s="8" t="s">
        <v>32</v>
      </c>
      <c r="E20" t="s">
        <v>70</v>
      </c>
    </row>
  </sheetData>
  <mergeCells count="9">
    <mergeCell ref="B10:C10"/>
    <mergeCell ref="D10:G10"/>
    <mergeCell ref="J10:K10"/>
    <mergeCell ref="L10:O10"/>
    <mergeCell ref="Q4:R4"/>
    <mergeCell ref="B1:C1"/>
    <mergeCell ref="D1:G1"/>
    <mergeCell ref="J1:K1"/>
    <mergeCell ref="L1:O1"/>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7B690-52E7-4C41-A85B-B6257A1D175C}">
  <sheetPr codeName="Tabelle4"/>
  <dimension ref="A1:P23"/>
  <sheetViews>
    <sheetView zoomScaleNormal="100" workbookViewId="0">
      <selection activeCell="J19" sqref="J19:P19"/>
    </sheetView>
  </sheetViews>
  <sheetFormatPr baseColWidth="10" defaultRowHeight="15" x14ac:dyDescent="0.25"/>
  <cols>
    <col min="2" max="2" width="13.85546875" customWidth="1"/>
    <col min="11" max="11" width="13.140625" bestFit="1" customWidth="1"/>
  </cols>
  <sheetData>
    <row r="1" spans="1:11" x14ac:dyDescent="0.25">
      <c r="A1" t="s">
        <v>24</v>
      </c>
    </row>
    <row r="16" spans="1:11" x14ac:dyDescent="0.25">
      <c r="A16" s="4" t="s">
        <v>25</v>
      </c>
      <c r="B16" s="2" t="s">
        <v>27</v>
      </c>
      <c r="J16" s="4" t="s">
        <v>25</v>
      </c>
      <c r="K16" s="2" t="s">
        <v>28</v>
      </c>
    </row>
    <row r="17" spans="1:16" x14ac:dyDescent="0.25">
      <c r="J17" s="4"/>
    </row>
    <row r="19" spans="1:16" ht="108" customHeight="1" x14ac:dyDescent="0.25">
      <c r="A19" s="12" t="s">
        <v>26</v>
      </c>
      <c r="B19" s="12"/>
      <c r="C19" s="12"/>
      <c r="D19" s="12"/>
      <c r="E19" s="12"/>
      <c r="F19" s="12"/>
      <c r="J19" s="12" t="s">
        <v>29</v>
      </c>
      <c r="K19" s="12"/>
      <c r="L19" s="12"/>
      <c r="M19" s="12"/>
      <c r="N19" s="12"/>
      <c r="O19" s="12"/>
      <c r="P19" s="12"/>
    </row>
    <row r="22" spans="1:16" x14ac:dyDescent="0.25">
      <c r="A22" s="9" t="s">
        <v>30</v>
      </c>
    </row>
    <row r="23" spans="1:16" x14ac:dyDescent="0.25">
      <c r="L23" s="3"/>
    </row>
  </sheetData>
  <mergeCells count="2">
    <mergeCell ref="A19:F19"/>
    <mergeCell ref="J19:P19"/>
  </mergeCell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HPLC 16.4 Pipetten</vt:lpstr>
      <vt:lpstr>HPLC 23.4 2mL Pipette</vt:lpstr>
      <vt:lpstr>Messwerte 16.04</vt:lpstr>
      <vt:lpstr>Messwerte 23.04</vt:lpstr>
      <vt:lpstr>HPLC Standardherstellung</vt:lpstr>
      <vt:lpstr>HPLC 6 Wege Ventil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2019-04-23T18:49:47Z</dcterms:created>
  <dcterms:modified xsi:type="dcterms:W3CDTF">2019-05-12T11:53:04Z</dcterms:modified>
</cp:coreProperties>
</file>