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.School\1.WBS\Lecture\Operational Research Modelling\Assignment\"/>
    </mc:Choice>
  </mc:AlternateContent>
  <xr:revisionPtr revIDLastSave="0" documentId="10_ncr:100000_{88BEC1C0-3F9F-4EAD-B27C-C9F470DF6DBC}" xr6:coauthVersionLast="31" xr6:coauthVersionMax="31" xr10:uidLastSave="{00000000-0000-0000-0000-000000000000}"/>
  <bookViews>
    <workbookView xWindow="0" yWindow="0" windowWidth="23040" windowHeight="9660" tabRatio="707" firstSheet="1" activeTab="11" xr2:uid="{00000000-000D-0000-FFFF-FFFF00000000}"/>
  </bookViews>
  <sheets>
    <sheet name="Results" sheetId="1" r:id="rId1"/>
    <sheet name="Problem1" sheetId="2" r:id="rId2"/>
    <sheet name="Problem2" sheetId="4" r:id="rId3"/>
    <sheet name="Problem3" sheetId="3" r:id="rId4"/>
    <sheet name="Problem4" sheetId="11" r:id="rId5"/>
    <sheet name="Problem5" sheetId="10" r:id="rId6"/>
    <sheet name="Problem6" sheetId="9" r:id="rId7"/>
    <sheet name="Problem7" sheetId="8" r:id="rId8"/>
    <sheet name="Problem8" sheetId="7" r:id="rId9"/>
    <sheet name="Problem9" sheetId="6" r:id="rId10"/>
    <sheet name="Problem10" sheetId="5" r:id="rId11"/>
    <sheet name="10" sheetId="12" r:id="rId12"/>
  </sheets>
  <definedNames>
    <definedName name="AdminNote">Results!$A$40</definedName>
    <definedName name="CandleProduced">Problem1!$C$3:$E$3</definedName>
    <definedName name="CarpetProduced">Problem5!$C$3:$D$3</definedName>
    <definedName name="CarpetProfits">Problem5!$C$7:$D$7</definedName>
    <definedName name="CarpetResourcesAvailable">Problem5!$G$4:$G$6</definedName>
    <definedName name="CarpetResourcesUsed">Problem5!$E$4:$E$6</definedName>
    <definedName name="CoffeeBlend">Problem10!$I$4:$N$4</definedName>
    <definedName name="CoffeeProfit">Problem10!$I$15:$N$15</definedName>
    <definedName name="Decorating">Problem1!$C$5:$E$5</definedName>
    <definedName name="Demand">Problem1!$C$9:$E$9</definedName>
    <definedName name="First_Quality_Index">Problem2!$E$4:$H$4</definedName>
    <definedName name="FirstSolvedProblem">Results!$C$9</definedName>
    <definedName name="Index_Of_Quality_Value_Max">Problem2!$K$4:$K$5</definedName>
    <definedName name="Index_of_Quality_Value_Min">Problem2!$C$4:$C$5</definedName>
    <definedName name="IngredientsProduced">Problem8!$J$3:$M$3</definedName>
    <definedName name="Invested">Problem6!$C$7:$D$7</definedName>
    <definedName name="Mark">Results!$D$35</definedName>
    <definedName name="MessageToStudent">Results!$B$21:$E$33</definedName>
    <definedName name="Molding">Problem1!$C$4:$E$4</definedName>
    <definedName name="MProductProfits">Problem1!$C$7:$E$7</definedName>
    <definedName name="Nylon">Problem5!$C$5:$D$5</definedName>
    <definedName name="Occupied">Problem4!$C$3:$E$3</definedName>
    <definedName name="Packaging">Problem1!$C$6:$E$6</definedName>
    <definedName name="PetrolCost">Problem2!$E$6:$H$6</definedName>
    <definedName name="PetrolProduced">Problem2!$E$3:$H$3</definedName>
    <definedName name="ProductDemand">Problem4!$C$7:$E$7</definedName>
    <definedName name="Quality_Index">Problem2!$I$4:$I$5</definedName>
    <definedName name="ResourcesAvailable">Problem1!$H$4:$H$6</definedName>
    <definedName name="ResourcesUsed">Problem1!$F$4:$F$6</definedName>
    <definedName name="Return">Problem6!$C$9:$D$9</definedName>
    <definedName name="Second_Quality_Index">Problem2!$E$5:$H$5</definedName>
    <definedName name="SeriesNumber">Results!$C$6</definedName>
    <definedName name="Shelf_Space">Problem4!$C$4:$E$4</definedName>
    <definedName name="Signature">Results!$B$37</definedName>
    <definedName name="solver_adj" localSheetId="11" hidden="1">'10'!$A$2:$L$2</definedName>
    <definedName name="solver_adj" localSheetId="1" hidden="1">Problem1!$C$3:$E$3</definedName>
    <definedName name="solver_adj" localSheetId="10" hidden="1">Problem10!$I$4:$N$4</definedName>
    <definedName name="solver_adj" localSheetId="2" hidden="1">Problem2!$E$3:$H$3</definedName>
    <definedName name="solver_adj" localSheetId="3" hidden="1">Problem3!$B$30:$H$30</definedName>
    <definedName name="solver_adj" localSheetId="4" hidden="1">Problem4!$C$3:$E$3</definedName>
    <definedName name="solver_adj" localSheetId="5" hidden="1">Problem5!$C$3:$D$3</definedName>
    <definedName name="solver_adj" localSheetId="6" hidden="1">Problem6!$C$7:$D$7</definedName>
    <definedName name="solver_adj" localSheetId="7" hidden="1">Problem7!$U$5:$AB$5</definedName>
    <definedName name="solver_adj" localSheetId="8" hidden="1">Problem8!$J$3:$M$3</definedName>
    <definedName name="solver_adj" localSheetId="9" hidden="1">Problem9!$C$15:$F$16</definedName>
    <definedName name="solver_cvg" localSheetId="11" hidden="1">0.0001</definedName>
    <definedName name="solver_cvg" localSheetId="1" hidden="1">0.0001</definedName>
    <definedName name="solver_cvg" localSheetId="10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drv" localSheetId="11" hidden="1">1</definedName>
    <definedName name="solver_drv" localSheetId="1" hidden="1">1</definedName>
    <definedName name="solver_drv" localSheetId="10" hidden="1">1</definedName>
    <definedName name="solver_drv" localSheetId="2" hidden="1">1</definedName>
    <definedName name="solver_drv" localSheetId="3" hidden="1">1</definedName>
    <definedName name="solver_drv" localSheetId="4" hidden="1">2</definedName>
    <definedName name="solver_drv" localSheetId="5" hidden="1">2</definedName>
    <definedName name="solver_drv" localSheetId="6" hidden="1">1</definedName>
    <definedName name="solver_drv" localSheetId="7" hidden="1">2</definedName>
    <definedName name="solver_drv" localSheetId="8" hidden="1">2</definedName>
    <definedName name="solver_drv" localSheetId="9" hidden="1">1</definedName>
    <definedName name="solver_eng" localSheetId="11" hidden="1">2</definedName>
    <definedName name="solver_eng" localSheetId="1" hidden="1">2</definedName>
    <definedName name="solver_eng" localSheetId="10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st" localSheetId="11" hidden="1">1</definedName>
    <definedName name="solver_est" localSheetId="1" hidden="1">1</definedName>
    <definedName name="solver_est" localSheetId="10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11" hidden="1">2147483647</definedName>
    <definedName name="solver_itr" localSheetId="1" hidden="1">2147483647</definedName>
    <definedName name="solver_itr" localSheetId="10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0" localSheetId="6" hidden="1">Problem6!$C$7:$D$7</definedName>
    <definedName name="solver_lhs1" localSheetId="11" hidden="1">'10'!$M$3:$M$5</definedName>
    <definedName name="solver_lhs1" localSheetId="1" hidden="1">Problem1!$C$3:$E$3</definedName>
    <definedName name="solver_lhs1" localSheetId="10" hidden="1">Problem10!$O$10</definedName>
    <definedName name="solver_lhs1" localSheetId="2" hidden="1">Problem2!$I$3</definedName>
    <definedName name="solver_lhs1" localSheetId="3" hidden="1">Problem3!$J$31:$J$36</definedName>
    <definedName name="solver_lhs1" localSheetId="4" hidden="1">Problem4!$F$4</definedName>
    <definedName name="solver_lhs1" localSheetId="5" hidden="1">Problem5!$E$4:$E$6</definedName>
    <definedName name="solver_lhs1" localSheetId="6" hidden="1">Problem6!$E$7</definedName>
    <definedName name="solver_lhs1" localSheetId="7" hidden="1">Problem7!$AD$6:$AD$13</definedName>
    <definedName name="solver_lhs1" localSheetId="8" hidden="1">Problem8!$N$11</definedName>
    <definedName name="solver_lhs1" localSheetId="9" hidden="1">Problem9!$C$19:$F$19</definedName>
    <definedName name="solver_lhs10" localSheetId="10" hidden="1">Problem10!$O$9</definedName>
    <definedName name="solver_lhs11" localSheetId="10" hidden="1">Problem10!$I$4:$N$4</definedName>
    <definedName name="solver_lhs2" localSheetId="11" hidden="1">'10'!$M$6</definedName>
    <definedName name="solver_lhs2" localSheetId="1" hidden="1">Problem1!$F$4:$F$6</definedName>
    <definedName name="solver_lhs2" localSheetId="10" hidden="1">Problem10!$O$11</definedName>
    <definedName name="solver_lhs2" localSheetId="2" hidden="1">Problem2!$I$4:$I$5</definedName>
    <definedName name="solver_lhs2" localSheetId="4" hidden="1">Problem4!$C$3:$E$3</definedName>
    <definedName name="solver_lhs2" localSheetId="6" hidden="1">Problem6!$E$8</definedName>
    <definedName name="solver_lhs2" localSheetId="7" hidden="1">Problem7!#REF!</definedName>
    <definedName name="solver_lhs2" localSheetId="8" hidden="1">Problem8!$N$4:$N$10</definedName>
    <definedName name="solver_lhs2" localSheetId="9" hidden="1">Problem9!$C$19:$F$19</definedName>
    <definedName name="solver_lhs3" localSheetId="11" hidden="1">'10'!$M$7</definedName>
    <definedName name="solver_lhs3" localSheetId="1" hidden="1">Problem1!$F$4:$F$6</definedName>
    <definedName name="solver_lhs3" localSheetId="10" hidden="1">Problem10!$O$12</definedName>
    <definedName name="solver_lhs3" localSheetId="2" hidden="1">Problem2!$I$4:$I$5</definedName>
    <definedName name="solver_lhs3" localSheetId="6" hidden="1">Problem6!$C$7:$D$7</definedName>
    <definedName name="solver_lhs3" localSheetId="9" hidden="1">Problem9!$G$17:$G$18</definedName>
    <definedName name="solver_lhs4" localSheetId="11" hidden="1">'10'!$M$8</definedName>
    <definedName name="solver_lhs4" localSheetId="1" hidden="1">Problem1!$F$4:$F$6</definedName>
    <definedName name="solver_lhs4" localSheetId="10" hidden="1">Problem10!$O$13</definedName>
    <definedName name="solver_lhs4" localSheetId="9" hidden="1">Problem9!$G$18</definedName>
    <definedName name="solver_lhs5" localSheetId="11" hidden="1">'10'!$M$9:$M$12</definedName>
    <definedName name="solver_lhs5" localSheetId="10" hidden="1">Problem10!$O$14</definedName>
    <definedName name="solver_lhs6" localSheetId="11" hidden="1">'10'!$M$9:$M$12</definedName>
    <definedName name="solver_lhs6" localSheetId="10" hidden="1">Problem10!$O$5</definedName>
    <definedName name="solver_lhs7" localSheetId="10" hidden="1">Problem10!$O$6</definedName>
    <definedName name="solver_lhs8" localSheetId="10" hidden="1">Problem10!$O$7</definedName>
    <definedName name="solver_lhs9" localSheetId="10" hidden="1">Problem10!$O$8</definedName>
    <definedName name="solver_mip" localSheetId="11" hidden="1">2147483647</definedName>
    <definedName name="solver_mip" localSheetId="1" hidden="1">2147483647</definedName>
    <definedName name="solver_mip" localSheetId="10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11" hidden="1">30</definedName>
    <definedName name="solver_mni" localSheetId="1" hidden="1">30</definedName>
    <definedName name="solver_mni" localSheetId="10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11" hidden="1">0.075</definedName>
    <definedName name="solver_mrt" localSheetId="1" hidden="1">0.075</definedName>
    <definedName name="solver_mrt" localSheetId="10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sl" localSheetId="11" hidden="1">2</definedName>
    <definedName name="solver_msl" localSheetId="1" hidden="1">2</definedName>
    <definedName name="solver_msl" localSheetId="10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11" hidden="1">1</definedName>
    <definedName name="solver_neg" localSheetId="1" hidden="1">1</definedName>
    <definedName name="solver_neg" localSheetId="10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11" hidden="1">2147483647</definedName>
    <definedName name="solver_nod" localSheetId="1" hidden="1">2147483647</definedName>
    <definedName name="solver_nod" localSheetId="10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11" hidden="1">5</definedName>
    <definedName name="solver_num" localSheetId="1" hidden="1">2</definedName>
    <definedName name="solver_num" localSheetId="10" hidden="1">10</definedName>
    <definedName name="solver_num" localSheetId="2" hidden="1">3</definedName>
    <definedName name="solver_num" localSheetId="3" hidden="1">1</definedName>
    <definedName name="solver_num" localSheetId="4" hidden="1">2</definedName>
    <definedName name="solver_num" localSheetId="5" hidden="1">1</definedName>
    <definedName name="solver_num" localSheetId="6" hidden="1">3</definedName>
    <definedName name="solver_num" localSheetId="7" hidden="1">1</definedName>
    <definedName name="solver_num" localSheetId="8" hidden="1">2</definedName>
    <definedName name="solver_num" localSheetId="9" hidden="1">3</definedName>
    <definedName name="solver_nwt" localSheetId="11" hidden="1">1</definedName>
    <definedName name="solver_nwt" localSheetId="1" hidden="1">1</definedName>
    <definedName name="solver_nwt" localSheetId="10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11" hidden="1">'10'!$M$13</definedName>
    <definedName name="solver_opt" localSheetId="1" hidden="1">Problem1!$F$7</definedName>
    <definedName name="solver_opt" localSheetId="10" hidden="1">Problem10!$O$15</definedName>
    <definedName name="solver_opt" localSheetId="2" hidden="1">Problem2!$I$6</definedName>
    <definedName name="solver_opt" localSheetId="3" hidden="1">Problem3!$J$37</definedName>
    <definedName name="solver_opt" localSheetId="4" hidden="1">Problem4!$F$5</definedName>
    <definedName name="solver_opt" localSheetId="5" hidden="1">Problem5!$E$7</definedName>
    <definedName name="solver_opt" localSheetId="6" hidden="1">Problem6!$E$9</definedName>
    <definedName name="solver_opt" localSheetId="7" hidden="1">Problem7!$AC$14</definedName>
    <definedName name="solver_opt" localSheetId="8" hidden="1">Problem8!$N$12</definedName>
    <definedName name="solver_opt" localSheetId="9" hidden="1">Problem9!$G$20</definedName>
    <definedName name="solver_pre" localSheetId="11" hidden="1">0.000001</definedName>
    <definedName name="solver_pre" localSheetId="1" hidden="1">0.000001</definedName>
    <definedName name="solver_pre" localSheetId="10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rbv" localSheetId="11" hidden="1">1</definedName>
    <definedName name="solver_rbv" localSheetId="1" hidden="1">1</definedName>
    <definedName name="solver_rbv" localSheetId="10" hidden="1">1</definedName>
    <definedName name="solver_rbv" localSheetId="2" hidden="1">1</definedName>
    <definedName name="solver_rbv" localSheetId="3" hidden="1">1</definedName>
    <definedName name="solver_rbv" localSheetId="4" hidden="1">2</definedName>
    <definedName name="solver_rbv" localSheetId="5" hidden="1">2</definedName>
    <definedName name="solver_rbv" localSheetId="6" hidden="1">1</definedName>
    <definedName name="solver_rbv" localSheetId="7" hidden="1">2</definedName>
    <definedName name="solver_rbv" localSheetId="8" hidden="1">2</definedName>
    <definedName name="solver_rbv" localSheetId="9" hidden="1">1</definedName>
    <definedName name="solver_rel0" localSheetId="6" hidden="1">3</definedName>
    <definedName name="solver_rel1" localSheetId="11" hidden="1">1</definedName>
    <definedName name="solver_rel1" localSheetId="1" hidden="1">3</definedName>
    <definedName name="solver_rel1" localSheetId="10" hidden="1">1</definedName>
    <definedName name="solver_rel1" localSheetId="2" hidden="1">2</definedName>
    <definedName name="solver_rel1" localSheetId="3" hidden="1">1</definedName>
    <definedName name="solver_rel1" localSheetId="4" hidden="1">2</definedName>
    <definedName name="solver_rel1" localSheetId="5" hidden="1">1</definedName>
    <definedName name="solver_rel1" localSheetId="6" hidden="1">2</definedName>
    <definedName name="solver_rel1" localSheetId="7" hidden="1">1</definedName>
    <definedName name="solver_rel1" localSheetId="8" hidden="1">3</definedName>
    <definedName name="solver_rel1" localSheetId="9" hidden="1">1</definedName>
    <definedName name="solver_rel10" localSheetId="10" hidden="1">1</definedName>
    <definedName name="solver_rel11" localSheetId="10" hidden="1">3</definedName>
    <definedName name="solver_rel2" localSheetId="11" hidden="1">3</definedName>
    <definedName name="solver_rel2" localSheetId="1" hidden="1">1</definedName>
    <definedName name="solver_rel2" localSheetId="10" hidden="1">1</definedName>
    <definedName name="solver_rel2" localSheetId="2" hidden="1">1</definedName>
    <definedName name="solver_rel2" localSheetId="4" hidden="1">3</definedName>
    <definedName name="solver_rel2" localSheetId="6" hidden="1">3</definedName>
    <definedName name="solver_rel2" localSheetId="7" hidden="1">1</definedName>
    <definedName name="solver_rel2" localSheetId="8" hidden="1">1</definedName>
    <definedName name="solver_rel2" localSheetId="9" hidden="1">3</definedName>
    <definedName name="solver_rel3" localSheetId="11" hidden="1">1</definedName>
    <definedName name="solver_rel3" localSheetId="1" hidden="1">1</definedName>
    <definedName name="solver_rel3" localSheetId="10" hidden="1">1</definedName>
    <definedName name="solver_rel3" localSheetId="2" hidden="1">3</definedName>
    <definedName name="solver_rel3" localSheetId="6" hidden="1">3</definedName>
    <definedName name="solver_rel3" localSheetId="9" hidden="1">2</definedName>
    <definedName name="solver_rel4" localSheetId="11" hidden="1">3</definedName>
    <definedName name="solver_rel4" localSheetId="1" hidden="1">1</definedName>
    <definedName name="solver_rel4" localSheetId="10" hidden="1">1</definedName>
    <definedName name="solver_rel4" localSheetId="9" hidden="1">1</definedName>
    <definedName name="solver_rel5" localSheetId="11" hidden="1">1</definedName>
    <definedName name="solver_rel5" localSheetId="10" hidden="1">1</definedName>
    <definedName name="solver_rel6" localSheetId="11" hidden="1">1</definedName>
    <definedName name="solver_rel6" localSheetId="10" hidden="1">3</definedName>
    <definedName name="solver_rel7" localSheetId="10" hidden="1">1</definedName>
    <definedName name="solver_rel8" localSheetId="10" hidden="1">3</definedName>
    <definedName name="solver_rel9" localSheetId="10" hidden="1">3</definedName>
    <definedName name="solver_rhs0" localSheetId="6" hidden="1">Problem6!$C$11:$D$11</definedName>
    <definedName name="solver_rhs1" localSheetId="11" hidden="1">'10'!$O$3:$O$5</definedName>
    <definedName name="solver_rhs1" localSheetId="1" hidden="1">Demand</definedName>
    <definedName name="solver_rhs1" localSheetId="10" hidden="1">Problem10!$Q$10</definedName>
    <definedName name="solver_rhs1" localSheetId="2" hidden="1">Problem2!$K$3</definedName>
    <definedName name="solver_rhs1" localSheetId="3" hidden="1">Problem3!$L$31:$L$36</definedName>
    <definedName name="solver_rhs1" localSheetId="4" hidden="1">Problem4!$H$4</definedName>
    <definedName name="solver_rhs1" localSheetId="5" hidden="1">CarpetResourcesAvailable</definedName>
    <definedName name="solver_rhs1" localSheetId="6" hidden="1">Problem6!$G$7</definedName>
    <definedName name="solver_rhs1" localSheetId="7" hidden="1">Problem7!$AE$6:$AE$13</definedName>
    <definedName name="solver_rhs1" localSheetId="8" hidden="1">Problem8!$P$11</definedName>
    <definedName name="solver_rhs1" localSheetId="9" hidden="1">Problem9!$C$24:$F$24</definedName>
    <definedName name="solver_rhs10" localSheetId="10" hidden="1">Problem10!$Q$9</definedName>
    <definedName name="solver_rhs11" localSheetId="10" hidden="1">0</definedName>
    <definedName name="solver_rhs2" localSheetId="11" hidden="1">'10'!$O$6</definedName>
    <definedName name="solver_rhs2" localSheetId="1" hidden="1">ResourcesAvailable</definedName>
    <definedName name="solver_rhs2" localSheetId="10" hidden="1">Problem10!$Q$11</definedName>
    <definedName name="solver_rhs2" localSheetId="2" hidden="1">Index_Of_Quality_Value_Max</definedName>
    <definedName name="solver_rhs2" localSheetId="4" hidden="1">ProductDemand</definedName>
    <definedName name="solver_rhs2" localSheetId="6" hidden="1">Problem6!$G$8</definedName>
    <definedName name="solver_rhs2" localSheetId="7" hidden="1">Problem7!#REF!</definedName>
    <definedName name="solver_rhs2" localSheetId="8" hidden="1">Problem8!$P$4:$P$10</definedName>
    <definedName name="solver_rhs2" localSheetId="9" hidden="1">Problem9!$C$22:$F$22</definedName>
    <definedName name="solver_rhs3" localSheetId="11" hidden="1">'10'!$O$7</definedName>
    <definedName name="solver_rhs3" localSheetId="1" hidden="1">ResourcesAvailable</definedName>
    <definedName name="solver_rhs3" localSheetId="10" hidden="1">Problem10!$Q$12</definedName>
    <definedName name="solver_rhs3" localSheetId="2" hidden="1">Index_of_Quality_Value_Min</definedName>
    <definedName name="solver_rhs3" localSheetId="6" hidden="1">Problem6!$C$11:$D$11</definedName>
    <definedName name="solver_rhs3" localSheetId="9" hidden="1">Problem9!$I$17:$I$18</definedName>
    <definedName name="solver_rhs4" localSheetId="11" hidden="1">'10'!$O$8</definedName>
    <definedName name="solver_rhs4" localSheetId="1" hidden="1">ResourcesAvailable</definedName>
    <definedName name="solver_rhs4" localSheetId="10" hidden="1">Problem10!$Q$13</definedName>
    <definedName name="solver_rhs4" localSheetId="9" hidden="1">Problem9!$I$16</definedName>
    <definedName name="solver_rhs5" localSheetId="11" hidden="1">'10'!$O$9:$O$12</definedName>
    <definedName name="solver_rhs5" localSheetId="10" hidden="1">Problem10!$Q$14</definedName>
    <definedName name="solver_rhs6" localSheetId="11" hidden="1">'10'!$O$9:$O$12</definedName>
    <definedName name="solver_rhs6" localSheetId="10" hidden="1">Problem10!$Q$5</definedName>
    <definedName name="solver_rhs7" localSheetId="10" hidden="1">Problem10!$Q$6</definedName>
    <definedName name="solver_rhs8" localSheetId="10" hidden="1">Problem10!$Q$7</definedName>
    <definedName name="solver_rhs9" localSheetId="10" hidden="1">Problem10!$Q$8</definedName>
    <definedName name="solver_rlx" localSheetId="11" hidden="1">2</definedName>
    <definedName name="solver_rlx" localSheetId="1" hidden="1">2</definedName>
    <definedName name="solver_rlx" localSheetId="10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11" hidden="1">0</definedName>
    <definedName name="solver_rsd" localSheetId="1" hidden="1">0</definedName>
    <definedName name="solver_rsd" localSheetId="10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11" hidden="1">1</definedName>
    <definedName name="solver_scl" localSheetId="1" hidden="1">1</definedName>
    <definedName name="solver_scl" localSheetId="10" hidden="1">1</definedName>
    <definedName name="solver_scl" localSheetId="2" hidden="1">1</definedName>
    <definedName name="solver_scl" localSheetId="3" hidden="1">1</definedName>
    <definedName name="solver_scl" localSheetId="4" hidden="1">2</definedName>
    <definedName name="solver_scl" localSheetId="5" hidden="1">2</definedName>
    <definedName name="solver_scl" localSheetId="6" hidden="1">1</definedName>
    <definedName name="solver_scl" localSheetId="7" hidden="1">2</definedName>
    <definedName name="solver_scl" localSheetId="8" hidden="1">2</definedName>
    <definedName name="solver_scl" localSheetId="9" hidden="1">1</definedName>
    <definedName name="solver_sho" localSheetId="11" hidden="1">2</definedName>
    <definedName name="solver_sho" localSheetId="1" hidden="1">2</definedName>
    <definedName name="solver_sho" localSheetId="10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11" hidden="1">100</definedName>
    <definedName name="solver_ssz" localSheetId="1" hidden="1">100</definedName>
    <definedName name="solver_ssz" localSheetId="10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11" hidden="1">2147483647</definedName>
    <definedName name="solver_tim" localSheetId="1" hidden="1">2147483647</definedName>
    <definedName name="solver_tim" localSheetId="10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11" hidden="1">0.01</definedName>
    <definedName name="solver_tol" localSheetId="1" hidden="1">0.01</definedName>
    <definedName name="solver_tol" localSheetId="10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yp" localSheetId="11" hidden="1">1</definedName>
    <definedName name="solver_typ" localSheetId="1" hidden="1">1</definedName>
    <definedName name="solver_typ" localSheetId="10" hidden="1">1</definedName>
    <definedName name="solver_typ" localSheetId="2" hidden="1">2</definedName>
    <definedName name="solver_typ" localSheetId="3" hidden="1">1</definedName>
    <definedName name="solver_typ" localSheetId="4" hidden="1">2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2</definedName>
    <definedName name="solver_typ" localSheetId="9" hidden="1">1</definedName>
    <definedName name="solver_val" localSheetId="11" hidden="1">0</definedName>
    <definedName name="solver_val" localSheetId="1" hidden="1">0</definedName>
    <definedName name="solver_val" localSheetId="10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11" hidden="1">3</definedName>
    <definedName name="solver_ver" localSheetId="1" hidden="1">3</definedName>
    <definedName name="solver_ver" localSheetId="10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torageCost">Problem4!$C$5:$E$5</definedName>
    <definedName name="StudentsID">Results!$C$4</definedName>
    <definedName name="Wool">Problem5!$C$4:$D$4</definedName>
    <definedName name="Work_Hour">Problem5!$C$6:$D$6</definedName>
  </definedNames>
  <calcPr calcId="179017"/>
</workbook>
</file>

<file path=xl/calcChain.xml><?xml version="1.0" encoding="utf-8"?>
<calcChain xmlns="http://schemas.openxmlformats.org/spreadsheetml/2006/main">
  <c r="J36" i="3" l="1"/>
  <c r="E9" i="9"/>
  <c r="E8" i="9"/>
  <c r="E7" i="9"/>
  <c r="M4" i="12"/>
  <c r="M5" i="12"/>
  <c r="M6" i="12"/>
  <c r="M7" i="12"/>
  <c r="M8" i="12"/>
  <c r="M9" i="12"/>
  <c r="M10" i="12"/>
  <c r="M11" i="12"/>
  <c r="M12" i="12"/>
  <c r="M3" i="12"/>
  <c r="M13" i="12"/>
  <c r="K4" i="10"/>
  <c r="K3" i="10"/>
  <c r="K6" i="10"/>
  <c r="D51" i="6" l="1"/>
  <c r="D50" i="6"/>
  <c r="F33" i="6"/>
  <c r="F37" i="6" s="1"/>
  <c r="E33" i="6"/>
  <c r="E37" i="6" s="1"/>
  <c r="D34" i="6"/>
  <c r="G36" i="6" s="1"/>
  <c r="C33" i="6"/>
  <c r="C37" i="6" s="1"/>
  <c r="D37" i="6" l="1"/>
  <c r="G38" i="6" s="1"/>
  <c r="G35" i="6"/>
  <c r="D7" i="11"/>
  <c r="J37" i="3"/>
  <c r="J35" i="3"/>
  <c r="J31" i="3"/>
  <c r="J40" i="3" l="1"/>
  <c r="C11" i="1" s="1"/>
  <c r="G18" i="6"/>
  <c r="G17" i="6"/>
  <c r="J34" i="3"/>
  <c r="J33" i="3"/>
  <c r="J32" i="3"/>
  <c r="AC14" i="8"/>
  <c r="C44" i="6" l="1"/>
  <c r="E44" i="6" s="1"/>
  <c r="C51" i="6"/>
  <c r="E51" i="6" s="1"/>
  <c r="C43" i="6"/>
  <c r="E43" i="6" s="1"/>
  <c r="C50" i="6"/>
  <c r="E50" i="6" s="1"/>
  <c r="AD13" i="8"/>
  <c r="AD12" i="8"/>
  <c r="AD11" i="8"/>
  <c r="AD10" i="8"/>
  <c r="AD9" i="8"/>
  <c r="AD8" i="8"/>
  <c r="AD7" i="8"/>
  <c r="AD6" i="8"/>
  <c r="C15" i="1"/>
  <c r="J19" i="5"/>
  <c r="C14" i="1"/>
  <c r="F6" i="2"/>
  <c r="F5" i="2"/>
  <c r="F4" i="2"/>
  <c r="I6" i="4"/>
  <c r="C10" i="1" s="1"/>
  <c r="I5" i="4"/>
  <c r="I4" i="4"/>
  <c r="I3" i="4"/>
  <c r="D19" i="6"/>
  <c r="E19" i="6"/>
  <c r="F19" i="6"/>
  <c r="C19" i="6"/>
  <c r="E45" i="6" l="1"/>
  <c r="E52" i="6"/>
  <c r="G20" i="6"/>
  <c r="C56" i="6" s="1"/>
  <c r="O15" i="5"/>
  <c r="J20" i="5" s="1"/>
  <c r="C18" i="1" s="1"/>
  <c r="O14" i="5"/>
  <c r="O13" i="5"/>
  <c r="O12" i="5"/>
  <c r="O11" i="5"/>
  <c r="O10" i="5"/>
  <c r="O9" i="5"/>
  <c r="O8" i="5"/>
  <c r="O7" i="5"/>
  <c r="O6" i="5"/>
  <c r="O5" i="5"/>
  <c r="N5" i="7"/>
  <c r="N6" i="7"/>
  <c r="N7" i="7"/>
  <c r="N8" i="7"/>
  <c r="N9" i="7"/>
  <c r="N10" i="7"/>
  <c r="N11" i="7"/>
  <c r="N12" i="7"/>
  <c r="C16" i="1" s="1"/>
  <c r="N4" i="7"/>
  <c r="C17" i="1" l="1"/>
  <c r="E6" i="10"/>
  <c r="E7" i="10"/>
  <c r="E5" i="10"/>
  <c r="E4" i="10"/>
  <c r="C13" i="1" l="1"/>
  <c r="F5" i="11"/>
  <c r="C12" i="1" s="1"/>
  <c r="F4" i="11"/>
  <c r="F7" i="2"/>
  <c r="C9" i="1" s="1"/>
  <c r="H6" i="2"/>
  <c r="H5" i="2"/>
  <c r="H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deineko</author>
  </authors>
  <commentList>
    <comment ref="C4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>deineko:</t>
        </r>
        <r>
          <rPr>
            <sz val="8"/>
            <color indexed="81"/>
            <rFont val="Tahoma"/>
            <family val="2"/>
            <charset val="204"/>
          </rPr>
          <t xml:space="preserve">
Please enter your ID here</t>
        </r>
      </text>
    </comment>
    <comment ref="C6" authorId="0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>deineko:</t>
        </r>
        <r>
          <rPr>
            <sz val="8"/>
            <color indexed="81"/>
            <rFont val="Tahoma"/>
            <family val="2"/>
            <charset val="204"/>
          </rPr>
          <t xml:space="preserve">
here should be the number of your data sheet, integer from [1,300]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H4" authorId="0" shapeId="0" xr:uid="{00000000-0006-0000-0100-000001000000}">
      <text>
        <r>
          <rPr>
            <sz val="9"/>
            <color indexed="81"/>
            <rFont val="Tahoma"/>
            <family val="2"/>
          </rPr>
          <t>Each resource is available per a day so this is the sum of total 20 working days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C7" authorId="0" shapeId="0" xr:uid="{00000000-0006-0000-0300-000001000000}">
      <text>
        <r>
          <rPr>
            <sz val="9"/>
            <color indexed="81"/>
            <rFont val="Tahoma"/>
            <family val="2"/>
          </rPr>
          <t>There's no capital left after the investment each year since the maximal return can be earned by investing all money.</t>
        </r>
      </text>
    </comment>
    <comment ref="G7" authorId="0" shapeId="0" xr:uid="{DEAB4D0A-B9EB-4C3A-BDFF-420CC5C0365E}">
      <text>
        <r>
          <rPr>
            <sz val="9"/>
            <color indexed="81"/>
            <rFont val="Tahoma"/>
            <family val="2"/>
          </rPr>
          <t>maximum total</t>
        </r>
      </text>
    </comment>
    <comment ref="D25" authorId="0" shapeId="0" xr:uid="{00000000-0006-0000-0300-000002000000}">
      <text>
        <r>
          <rPr>
            <sz val="9"/>
            <color indexed="81"/>
            <rFont val="Tahoma"/>
            <family val="2"/>
          </rPr>
          <t>Not allowed to invest more than 4000 pound into special investment option</t>
        </r>
      </text>
    </comment>
    <comment ref="J39" authorId="0" shapeId="0" xr:uid="{00000000-0006-0000-0300-000003000000}">
      <text>
        <r>
          <rPr>
            <sz val="9"/>
            <color indexed="81"/>
            <rFont val="Tahoma"/>
            <family val="2"/>
          </rPr>
          <t>Capital is 8000 pound per year.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B6" authorId="0" shapeId="0" xr:uid="{00000000-0006-0000-0500-000001000000}">
      <text>
        <r>
          <rPr>
            <sz val="9"/>
            <color indexed="81"/>
            <rFont val="Tahoma"/>
            <family val="2"/>
          </rPr>
          <t>average cost of £4 per work-hour</t>
        </r>
      </text>
    </comment>
    <comment ref="E7" authorId="0" shapeId="0" xr:uid="{00000000-0006-0000-0500-000002000000}">
      <text>
        <r>
          <rPr>
            <sz val="9"/>
            <color indexed="81"/>
            <rFont val="Tahoma"/>
            <family val="2"/>
          </rPr>
          <t>revenue from sale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C7" authorId="0" shapeId="0" xr:uid="{00000000-0006-0000-0600-000001000000}">
      <text>
        <r>
          <rPr>
            <sz val="9"/>
            <color indexed="81"/>
            <rFont val="Tahoma"/>
            <family val="2"/>
          </rPr>
          <t>Hi-tech Invested &gt;=4* Conservative Invested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G20" authorId="0" shapeId="0" xr:uid="{00000000-0006-0000-0900-000001000000}">
      <text>
        <r>
          <rPr>
            <sz val="9"/>
            <color indexed="81"/>
            <rFont val="Tahoma"/>
            <family val="2"/>
          </rPr>
          <t>Total Profit within Capacity</t>
        </r>
      </text>
    </comment>
    <comment ref="G35" authorId="0" shapeId="0" xr:uid="{00000000-0006-0000-0900-000002000000}">
      <text>
        <r>
          <rPr>
            <sz val="9"/>
            <color indexed="81"/>
            <rFont val="Tahoma"/>
            <family val="2"/>
          </rPr>
          <t>Total hours of overtime use</t>
        </r>
      </text>
    </comment>
    <comment ref="G38" authorId="0" shapeId="0" xr:uid="{00000000-0006-0000-0900-000003000000}">
      <text>
        <r>
          <rPr>
            <sz val="9"/>
            <color indexed="81"/>
            <rFont val="Tahoma"/>
            <family val="2"/>
          </rPr>
          <t>Total Profits in Overtime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O15" authorId="0" shapeId="0" xr:uid="{00000000-0006-0000-0A00-000001000000}">
      <text>
        <r>
          <rPr>
            <sz val="9"/>
            <color indexed="81"/>
            <rFont val="Tahoma"/>
            <family val="2"/>
          </rPr>
          <t>Revenue</t>
        </r>
      </text>
    </comment>
  </commentList>
</comments>
</file>

<file path=xl/sharedStrings.xml><?xml version="1.0" encoding="utf-8"?>
<sst xmlns="http://schemas.openxmlformats.org/spreadsheetml/2006/main" count="444" uniqueCount="202">
  <si>
    <t>Series Number</t>
  </si>
  <si>
    <t>Students' ID</t>
  </si>
  <si>
    <t>Solutions</t>
  </si>
  <si>
    <t xml:space="preserve"> </t>
  </si>
  <si>
    <t>Problem 4</t>
  </si>
  <si>
    <t>Problem 5</t>
  </si>
  <si>
    <t>Problem 6</t>
  </si>
  <si>
    <t>Problem 7</t>
  </si>
  <si>
    <t>Problem 8</t>
  </si>
  <si>
    <t>Problem 9</t>
  </si>
  <si>
    <t>Problem 10</t>
  </si>
  <si>
    <t>Problem 1</t>
  </si>
  <si>
    <t>Problem 2</t>
  </si>
  <si>
    <t>Problem 3</t>
  </si>
  <si>
    <t>ORM2018 LP Assignment - Solutions</t>
  </si>
  <si>
    <t>1859174</t>
  </si>
  <si>
    <t>Molding</t>
  </si>
  <si>
    <t>Decorating</t>
  </si>
  <si>
    <t>Packaging</t>
  </si>
  <si>
    <t>Profits</t>
  </si>
  <si>
    <t>Demand</t>
  </si>
  <si>
    <t>M1 Produced</t>
  </si>
  <si>
    <t>M2 Produced</t>
  </si>
  <si>
    <t>M3 Produced</t>
  </si>
  <si>
    <t>Resources Used</t>
  </si>
  <si>
    <t>Resources Available</t>
  </si>
  <si>
    <t>&lt;=</t>
  </si>
  <si>
    <t>&gt;=</t>
  </si>
  <si>
    <t>Petrol 1 Produced</t>
  </si>
  <si>
    <t>Petrol 2 Produced</t>
  </si>
  <si>
    <t>Petrol 3 Produced</t>
  </si>
  <si>
    <t>First Quality Index</t>
  </si>
  <si>
    <t>Second Quality Index</t>
  </si>
  <si>
    <t>Petrol 4 Produced</t>
  </si>
  <si>
    <t>Cost</t>
  </si>
  <si>
    <t>Index of Quality Value Min</t>
  </si>
  <si>
    <t>Index of Quality Value Max</t>
  </si>
  <si>
    <t>Shelf Space</t>
  </si>
  <si>
    <t>A Occupied</t>
  </si>
  <si>
    <t>B Occupied</t>
  </si>
  <si>
    <t>C Occupied</t>
  </si>
  <si>
    <t>Shelf Space Used</t>
  </si>
  <si>
    <t>Shelf Space Available</t>
  </si>
  <si>
    <t>=</t>
  </si>
  <si>
    <t>Wool</t>
  </si>
  <si>
    <t>Nylon</t>
  </si>
  <si>
    <t>Work Hour</t>
  </si>
  <si>
    <t>Cost £6</t>
  </si>
  <si>
    <t>Cost £2</t>
  </si>
  <si>
    <t>Production cost for material</t>
  </si>
  <si>
    <t>Income</t>
  </si>
  <si>
    <t>=revenue from sale-production cost for material-labor</t>
  </si>
  <si>
    <t>Labor</t>
  </si>
  <si>
    <t>Return</t>
  </si>
  <si>
    <t>Hi-tech Invested</t>
  </si>
  <si>
    <t>Conservative Invested</t>
  </si>
  <si>
    <t>Investment Min</t>
  </si>
  <si>
    <t>Invested Total</t>
  </si>
  <si>
    <t>Total Oat Produced</t>
  </si>
  <si>
    <t>Total Mix Produced</t>
  </si>
  <si>
    <t>X1</t>
  </si>
  <si>
    <t>X2</t>
  </si>
  <si>
    <t>X3</t>
  </si>
  <si>
    <t>X4</t>
  </si>
  <si>
    <t>X</t>
  </si>
  <si>
    <t>0.4(X1+X2+X3+X4)</t>
  </si>
  <si>
    <t>1/3*X2</t>
  </si>
  <si>
    <t>0.15(X1+X2+X3+X4)</t>
  </si>
  <si>
    <t>1)</t>
  </si>
  <si>
    <t>2)</t>
  </si>
  <si>
    <t>3)</t>
  </si>
  <si>
    <t>4)</t>
  </si>
  <si>
    <t>after calculation</t>
  </si>
  <si>
    <t>0.4X1+0.4X2-0.6X3+0.4X4&lt;=0</t>
  </si>
  <si>
    <t>3X1-X2&lt;=0</t>
  </si>
  <si>
    <t>0.15X1+0.15X2+0.15X3-0.85X4&lt;=0</t>
  </si>
  <si>
    <t>X1+X2+X3+X4&gt;=748</t>
  </si>
  <si>
    <t>Machine 1</t>
  </si>
  <si>
    <t>Machine 2</t>
  </si>
  <si>
    <t>Total Corn Produced</t>
  </si>
  <si>
    <t>Total Soybean Produced</t>
  </si>
  <si>
    <t>Total Vitamin Produced</t>
  </si>
  <si>
    <t>Machine Used</t>
  </si>
  <si>
    <t>Machine Capacity</t>
  </si>
  <si>
    <t>Product 1 Produced</t>
  </si>
  <si>
    <t>Product 2 Produced</t>
  </si>
  <si>
    <t>Product 3 Produced</t>
  </si>
  <si>
    <t>Product 4 Produced</t>
  </si>
  <si>
    <t>X5</t>
  </si>
  <si>
    <t>X6</t>
  </si>
  <si>
    <t>Columbian In Special</t>
  </si>
  <si>
    <t>Mocha In Special</t>
  </si>
  <si>
    <t>Brazilian In Dark</t>
  </si>
  <si>
    <t>Mild in Dark</t>
  </si>
  <si>
    <t>Mild in Regular</t>
  </si>
  <si>
    <t>Brazilian In Regular</t>
  </si>
  <si>
    <t>Revenue</t>
  </si>
  <si>
    <t>=7(X1+X2)+4.5(X3+X4)+5(X5+X6)</t>
  </si>
  <si>
    <t>=2.25X1+3.5X2+2.25(X3+X6)+2(X4+X5)</t>
  </si>
  <si>
    <t>Constraint</t>
  </si>
  <si>
    <t>X1/(X1+X2)</t>
  </si>
  <si>
    <t>0.8X1-0.2X2</t>
  </si>
  <si>
    <t>X2/(X1+X2)</t>
  </si>
  <si>
    <t>5)</t>
  </si>
  <si>
    <t>6)</t>
  </si>
  <si>
    <t>0.25X1-0.75X2</t>
  </si>
  <si>
    <t>X3/(X3+X4)</t>
  </si>
  <si>
    <t>X4/(X3+X4)</t>
  </si>
  <si>
    <t>X5/(X5+X6)</t>
  </si>
  <si>
    <t>X6/(X5+X6)</t>
  </si>
  <si>
    <t>0.75X3-0.25X4</t>
  </si>
  <si>
    <t>0.25X3-0.75X4</t>
  </si>
  <si>
    <t>0.8X5-0.2X6</t>
  </si>
  <si>
    <t>0.3X5-0.7X6</t>
  </si>
  <si>
    <t>7)</t>
  </si>
  <si>
    <t>X3+X6</t>
  </si>
  <si>
    <t>8)</t>
  </si>
  <si>
    <t>9)</t>
  </si>
  <si>
    <t>X4+X5</t>
  </si>
  <si>
    <t>10)</t>
  </si>
  <si>
    <t>Net Profit</t>
  </si>
  <si>
    <t>Oats</t>
  </si>
  <si>
    <t>Corn</t>
  </si>
  <si>
    <t>Soybeans</t>
  </si>
  <si>
    <t>Vitamin Supplement</t>
  </si>
  <si>
    <t>Total</t>
  </si>
  <si>
    <t>Type 1 from Job 1</t>
  </si>
  <si>
    <t>Type 1 from Job 3</t>
  </si>
  <si>
    <t>Type 2 from Job 2</t>
  </si>
  <si>
    <t>Type 2 from Job 4</t>
  </si>
  <si>
    <t>Type 3 from Job 2</t>
  </si>
  <si>
    <t>Type 3 from Job 3</t>
  </si>
  <si>
    <t>Type 4 from Job 3</t>
  </si>
  <si>
    <t>Type 4 from Job 4</t>
  </si>
  <si>
    <t>X7</t>
  </si>
  <si>
    <t>X8</t>
  </si>
  <si>
    <t>X1+X2</t>
  </si>
  <si>
    <t>X3+X4</t>
  </si>
  <si>
    <t>X5+X6</t>
  </si>
  <si>
    <t>X7+X8</t>
  </si>
  <si>
    <t>X3+X5</t>
  </si>
  <si>
    <t>X4+X8</t>
  </si>
  <si>
    <t>X2+X6+X7</t>
  </si>
  <si>
    <t>Year 1</t>
  </si>
  <si>
    <t>Year 2</t>
  </si>
  <si>
    <t>Year 3</t>
  </si>
  <si>
    <t>Year 4</t>
  </si>
  <si>
    <t>Year 5</t>
  </si>
  <si>
    <t>Capital</t>
  </si>
  <si>
    <t>Deposit 1 (5%)</t>
  </si>
  <si>
    <t>Deposit 2 (15.1%)</t>
  </si>
  <si>
    <t>Special Investment (31.6%)</t>
  </si>
  <si>
    <t>=8000+1.05X1</t>
  </si>
  <si>
    <t>=8000+1.05X2+1.15X5</t>
  </si>
  <si>
    <t>=8000+1.05X3</t>
  </si>
  <si>
    <t>=1.05X4+1.15X6+1.316X7</t>
  </si>
  <si>
    <t>After Calculation</t>
  </si>
  <si>
    <t>4) -1.05X2+X4+1.15X5</t>
  </si>
  <si>
    <t>3) -1.05X2+X3-1.15X5+X6</t>
  </si>
  <si>
    <t>2) -1.05X1+X2</t>
  </si>
  <si>
    <t>1) X1+X5+X7</t>
  </si>
  <si>
    <t>5) X7</t>
  </si>
  <si>
    <t>After shifting to the table</t>
  </si>
  <si>
    <t>Excluding the principal</t>
  </si>
  <si>
    <t>Index of Quality Value</t>
  </si>
  <si>
    <t>Investment in Deposit 1 in Year 1</t>
  </si>
  <si>
    <t>Investment in Deposit 1 in Year 2</t>
  </si>
  <si>
    <t>Investment in Deposit 1 in Year 3</t>
  </si>
  <si>
    <t>Investment in Deposit 1 in Year 4</t>
  </si>
  <si>
    <t>Investment in Deposit 2 in Year 1</t>
  </si>
  <si>
    <t>Investment in Deposit 2 in Year 3</t>
  </si>
  <si>
    <t>Investment in Special Investment in Year 1</t>
  </si>
  <si>
    <t>High -Grade Produced</t>
  </si>
  <si>
    <t>Low-Grade Produced</t>
  </si>
  <si>
    <t>Job 1</t>
  </si>
  <si>
    <t>Job 2</t>
  </si>
  <si>
    <t>Job 3</t>
  </si>
  <si>
    <t>Job 4</t>
  </si>
  <si>
    <t>Type 1</t>
  </si>
  <si>
    <t>Type 2</t>
  </si>
  <si>
    <t>Type 3</t>
  </si>
  <si>
    <t>Type 4</t>
  </si>
  <si>
    <t>N/A</t>
  </si>
  <si>
    <t>Shift to the table</t>
  </si>
  <si>
    <t>Overtime Profit</t>
  </si>
  <si>
    <t>Within Capacity Profit</t>
  </si>
  <si>
    <t>Within Capacity Cost</t>
  </si>
  <si>
    <t>Total Cost</t>
  </si>
  <si>
    <t>Overtime Cost</t>
  </si>
  <si>
    <t>=(Within Capacity Profit+Overtime Profit)-(Within Capacity Cost+Overtime Cost)</t>
  </si>
  <si>
    <t>=Total Profit-Total Cost</t>
  </si>
  <si>
    <t>1) Despite increasing cost of overtime use, the profits keep increasing.</t>
  </si>
  <si>
    <t>2) For example, if they run the machine to its maximum capacity, the cost would be 24 pound for machine 1 (per unit) and 12 pound for machine 2, and the selling price is 115 pound so it is still profitable.</t>
  </si>
  <si>
    <t>3) Also, even though they use overtime, the cost would be 78 pound(13 pound per hour) for machine 1 (per unit) and 60 pound(15 pound for hour) for machine, and the selling price is 115 pound.</t>
  </si>
  <si>
    <t>4) Therefore, though the machine capacity is limited, it is recommended to produce as much as they can with overtime use, to achieve maximal profit.</t>
  </si>
  <si>
    <t>5) According to the given constraints, the company should make the products no more than 390 units so the possible maximun number of products to make is 390 units.</t>
  </si>
  <si>
    <t>6) So, I need to allocate the number of products to each machine within machine capacity.</t>
  </si>
  <si>
    <t xml:space="preserve">   (It can be applied to Product 2, 3, 4 as well.)</t>
  </si>
  <si>
    <t xml:space="preserve">    It is better for one machine to leftover of each product as to reduce costs.</t>
  </si>
  <si>
    <t xml:space="preserve">    For example, if they run the overtime the cost would be 78 pound for machine 1 (per unit) and 60 pound for machine 2, and the selling price is 115 pound so it is better to use machine 1 for product 1.</t>
  </si>
  <si>
    <t>7) If I use set machine capacity as constraints, the profits would be like below.</t>
  </si>
  <si>
    <t>8) Since there still remain some products to produce more, we need to allocate leftover to each machine.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</si>
</sst>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"/>
    <numFmt numFmtId="166" formatCode="0.00000E+00"/>
  </numFmts>
  <fonts count="12" x14ac:knownFonts="1">
    <font>
      <sz val="10"/>
      <name val="Arial"/>
    </font>
    <font>
      <sz val="20"/>
      <name val="Arial"/>
      <family val="2"/>
      <charset val="204"/>
    </font>
    <font>
      <b/>
      <sz val="12"/>
      <name val="Arial"/>
      <family val="2"/>
    </font>
    <font>
      <sz val="12"/>
      <name val="Arial"/>
      <family val="2"/>
      <charset val="204"/>
    </font>
    <font>
      <sz val="8"/>
      <name val="Arial"/>
      <family val="2"/>
      <charset val="204"/>
    </font>
    <font>
      <sz val="12"/>
      <name val="Times New Roman"/>
      <family val="1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indexed="64"/>
      </left>
      <right style="dotted">
        <color indexed="64"/>
      </right>
      <top style="double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 style="dotted">
        <color auto="1"/>
      </right>
      <top/>
      <bottom style="hair">
        <color auto="1"/>
      </bottom>
      <diagonal/>
    </border>
    <border>
      <left style="dotted">
        <color auto="1"/>
      </left>
      <right style="thin">
        <color auto="1"/>
      </right>
      <top/>
      <bottom style="hair">
        <color auto="1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tted">
        <color auto="1"/>
      </right>
      <top style="double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uble">
        <color auto="1"/>
      </bottom>
      <diagonal/>
    </border>
    <border>
      <left style="dotted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tted">
        <color auto="1"/>
      </right>
      <top style="double">
        <color auto="1"/>
      </top>
      <bottom style="thin">
        <color auto="1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 style="dotted">
        <color auto="1"/>
      </right>
      <top style="double">
        <color auto="1"/>
      </top>
      <bottom style="hair">
        <color auto="1"/>
      </bottom>
      <diagonal/>
    </border>
    <border>
      <left style="dotted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tted">
        <color auto="1"/>
      </right>
      <top style="hair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double">
        <color auto="1"/>
      </bottom>
      <diagonal/>
    </border>
    <border>
      <left style="dotted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dotted">
        <color indexed="64"/>
      </right>
      <top/>
      <bottom style="hair">
        <color indexed="64"/>
      </bottom>
      <diagonal/>
    </border>
    <border>
      <left style="double">
        <color auto="1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5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3" fillId="0" borderId="1" xfId="0" applyFont="1" applyBorder="1"/>
    <xf numFmtId="0" fontId="0" fillId="0" borderId="2" xfId="0" applyBorder="1" applyAlignment="1" applyProtection="1">
      <alignment horizontal="center"/>
      <protection locked="0"/>
    </xf>
    <xf numFmtId="0" fontId="0" fillId="2" borderId="0" xfId="0" applyFill="1"/>
    <xf numFmtId="0" fontId="3" fillId="0" borderId="3" xfId="0" applyFont="1" applyBorder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14" fontId="0" fillId="0" borderId="0" xfId="0" applyNumberFormat="1" applyBorder="1" applyProtection="1"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8" xfId="0" applyBorder="1" applyProtection="1">
      <protection locked="0"/>
    </xf>
    <xf numFmtId="164" fontId="0" fillId="0" borderId="8" xfId="0" applyNumberFormat="1" applyBorder="1" applyProtection="1">
      <protection locked="0"/>
    </xf>
    <xf numFmtId="2" fontId="0" fillId="0" borderId="0" xfId="0" applyNumberFormat="1" applyBorder="1" applyProtection="1">
      <protection locked="0"/>
    </xf>
    <xf numFmtId="49" fontId="8" fillId="0" borderId="2" xfId="0" applyNumberFormat="1" applyFont="1" applyBorder="1" applyAlignment="1" applyProtection="1">
      <alignment horizontal="center"/>
      <protection locked="0"/>
    </xf>
    <xf numFmtId="0" fontId="8" fillId="0" borderId="0" xfId="0" applyFont="1"/>
    <xf numFmtId="0" fontId="8" fillId="0" borderId="0" xfId="0" applyFont="1" applyFill="1"/>
    <xf numFmtId="0" fontId="0" fillId="5" borderId="0" xfId="0" applyFill="1"/>
    <xf numFmtId="0" fontId="8" fillId="0" borderId="0" xfId="0" quotePrefix="1" applyFont="1"/>
    <xf numFmtId="0" fontId="11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9" fontId="8" fillId="0" borderId="0" xfId="0" applyNumberFormat="1" applyFont="1"/>
    <xf numFmtId="9" fontId="0" fillId="0" borderId="0" xfId="0" applyNumberFormat="1" applyAlignment="1">
      <alignment horizontal="left"/>
    </xf>
    <xf numFmtId="9" fontId="0" fillId="0" borderId="0" xfId="0" applyNumberFormat="1"/>
    <xf numFmtId="0" fontId="8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8" fillId="3" borderId="15" xfId="0" applyFont="1" applyFill="1" applyBorder="1"/>
    <xf numFmtId="0" fontId="8" fillId="3" borderId="17" xfId="0" applyFont="1" applyFill="1" applyBorder="1"/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0" fontId="11" fillId="0" borderId="1" xfId="0" applyFont="1" applyBorder="1"/>
    <xf numFmtId="0" fontId="11" fillId="0" borderId="15" xfId="0" applyFont="1" applyBorder="1"/>
    <xf numFmtId="0" fontId="11" fillId="0" borderId="16" xfId="0" applyFont="1" applyBorder="1"/>
    <xf numFmtId="0" fontId="11" fillId="0" borderId="17" xfId="0" applyFont="1" applyBorder="1"/>
    <xf numFmtId="0" fontId="11" fillId="5" borderId="2" xfId="0" applyFont="1" applyFill="1" applyBorder="1"/>
    <xf numFmtId="0" fontId="0" fillId="0" borderId="15" xfId="0" applyBorder="1"/>
    <xf numFmtId="0" fontId="0" fillId="0" borderId="16" xfId="0" applyBorder="1"/>
    <xf numFmtId="0" fontId="0" fillId="0" borderId="22" xfId="0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6" xfId="0" applyFill="1" applyBorder="1"/>
    <xf numFmtId="0" fontId="0" fillId="0" borderId="18" xfId="0" applyBorder="1"/>
    <xf numFmtId="0" fontId="0" fillId="0" borderId="37" xfId="0" applyBorder="1"/>
    <xf numFmtId="0" fontId="0" fillId="0" borderId="38" xfId="0" applyBorder="1"/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42" xfId="0" applyFill="1" applyBorder="1"/>
    <xf numFmtId="0" fontId="8" fillId="3" borderId="34" xfId="0" applyFont="1" applyFill="1" applyBorder="1"/>
    <xf numFmtId="0" fontId="8" fillId="3" borderId="35" xfId="0" applyFont="1" applyFill="1" applyBorder="1"/>
    <xf numFmtId="0" fontId="8" fillId="3" borderId="36" xfId="0" applyFont="1" applyFill="1" applyBorder="1"/>
    <xf numFmtId="0" fontId="8" fillId="0" borderId="31" xfId="0" applyFont="1" applyBorder="1"/>
    <xf numFmtId="0" fontId="8" fillId="3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39" xfId="0" applyBorder="1"/>
    <xf numFmtId="0" fontId="8" fillId="3" borderId="43" xfId="0" applyFont="1" applyFill="1" applyBorder="1" applyAlignment="1">
      <alignment horizontal="center"/>
    </xf>
    <xf numFmtId="0" fontId="8" fillId="0" borderId="18" xfId="0" applyFont="1" applyBorder="1"/>
    <xf numFmtId="0" fontId="8" fillId="0" borderId="37" xfId="0" applyFont="1" applyBorder="1"/>
    <xf numFmtId="0" fontId="8" fillId="0" borderId="19" xfId="0" applyFont="1" applyBorder="1"/>
    <xf numFmtId="0" fontId="0" fillId="0" borderId="46" xfId="0" applyBorder="1"/>
    <xf numFmtId="0" fontId="8" fillId="0" borderId="46" xfId="0" quotePrefix="1" applyFont="1" applyBorder="1"/>
    <xf numFmtId="0" fontId="8" fillId="0" borderId="47" xfId="0" quotePrefix="1" applyFont="1" applyBorder="1"/>
    <xf numFmtId="1" fontId="8" fillId="4" borderId="48" xfId="0" applyNumberFormat="1" applyFont="1" applyFill="1" applyBorder="1"/>
    <xf numFmtId="0" fontId="8" fillId="4" borderId="49" xfId="0" applyFont="1" applyFill="1" applyBorder="1"/>
    <xf numFmtId="0" fontId="8" fillId="4" borderId="50" xfId="0" applyFont="1" applyFill="1" applyBorder="1"/>
    <xf numFmtId="0" fontId="8" fillId="4" borderId="48" xfId="0" applyFont="1" applyFill="1" applyBorder="1"/>
    <xf numFmtId="0" fontId="0" fillId="3" borderId="51" xfId="0" applyFill="1" applyBorder="1"/>
    <xf numFmtId="0" fontId="0" fillId="3" borderId="52" xfId="0" applyFill="1" applyBorder="1"/>
    <xf numFmtId="0" fontId="0" fillId="3" borderId="53" xfId="0" applyFill="1" applyBorder="1"/>
    <xf numFmtId="0" fontId="0" fillId="3" borderId="45" xfId="0" applyFill="1" applyBorder="1"/>
    <xf numFmtId="0" fontId="0" fillId="3" borderId="46" xfId="0" applyFill="1" applyBorder="1"/>
    <xf numFmtId="0" fontId="0" fillId="3" borderId="47" xfId="0" applyFill="1" applyBorder="1"/>
    <xf numFmtId="0" fontId="0" fillId="3" borderId="1" xfId="0" applyFill="1" applyBorder="1"/>
    <xf numFmtId="0" fontId="0" fillId="3" borderId="57" xfId="0" applyFill="1" applyBorder="1"/>
    <xf numFmtId="0" fontId="0" fillId="3" borderId="58" xfId="0" applyFill="1" applyBorder="1"/>
    <xf numFmtId="0" fontId="11" fillId="5" borderId="20" xfId="0" applyFont="1" applyFill="1" applyBorder="1"/>
    <xf numFmtId="0" fontId="8" fillId="4" borderId="59" xfId="0" applyFont="1" applyFill="1" applyBorder="1"/>
    <xf numFmtId="0" fontId="8" fillId="4" borderId="60" xfId="0" applyFont="1" applyFill="1" applyBorder="1"/>
    <xf numFmtId="0" fontId="8" fillId="4" borderId="61" xfId="0" applyFont="1" applyFill="1" applyBorder="1"/>
    <xf numFmtId="0" fontId="11" fillId="0" borderId="45" xfId="0" applyFont="1" applyBorder="1"/>
    <xf numFmtId="0" fontId="8" fillId="0" borderId="62" xfId="0" applyFont="1" applyBorder="1" applyAlignment="1">
      <alignment horizontal="center"/>
    </xf>
    <xf numFmtId="0" fontId="8" fillId="0" borderId="63" xfId="0" applyFont="1" applyBorder="1" applyAlignment="1">
      <alignment horizontal="center"/>
    </xf>
    <xf numFmtId="0" fontId="8" fillId="0" borderId="64" xfId="0" applyFont="1" applyBorder="1" applyAlignment="1">
      <alignment horizontal="center"/>
    </xf>
    <xf numFmtId="0" fontId="11" fillId="0" borderId="17" xfId="0" applyFont="1" applyBorder="1" applyAlignment="1">
      <alignment wrapText="1"/>
    </xf>
    <xf numFmtId="0" fontId="11" fillId="0" borderId="51" xfId="0" applyFont="1" applyBorder="1" applyAlignment="1">
      <alignment horizontal="center"/>
    </xf>
    <xf numFmtId="0" fontId="11" fillId="0" borderId="52" xfId="0" applyFont="1" applyBorder="1" applyAlignment="1">
      <alignment horizontal="center"/>
    </xf>
    <xf numFmtId="0" fontId="11" fillId="0" borderId="53" xfId="0" applyFont="1" applyBorder="1" applyAlignment="1">
      <alignment horizontal="center"/>
    </xf>
    <xf numFmtId="0" fontId="11" fillId="0" borderId="62" xfId="0" applyFont="1" applyBorder="1" applyAlignment="1">
      <alignment horizontal="center"/>
    </xf>
    <xf numFmtId="0" fontId="11" fillId="0" borderId="63" xfId="0" applyFont="1" applyBorder="1" applyAlignment="1">
      <alignment horizontal="center"/>
    </xf>
    <xf numFmtId="0" fontId="11" fillId="0" borderId="64" xfId="0" applyFont="1" applyBorder="1" applyAlignment="1">
      <alignment horizontal="center"/>
    </xf>
    <xf numFmtId="0" fontId="0" fillId="3" borderId="65" xfId="0" applyFill="1" applyBorder="1"/>
    <xf numFmtId="0" fontId="0" fillId="3" borderId="66" xfId="0" applyFill="1" applyBorder="1"/>
    <xf numFmtId="0" fontId="0" fillId="3" borderId="43" xfId="0" applyFill="1" applyBorder="1"/>
    <xf numFmtId="0" fontId="0" fillId="3" borderId="44" xfId="0" applyFill="1" applyBorder="1"/>
    <xf numFmtId="1" fontId="8" fillId="4" borderId="59" xfId="0" applyNumberFormat="1" applyFont="1" applyFill="1" applyBorder="1"/>
    <xf numFmtId="0" fontId="0" fillId="0" borderId="67" xfId="0" applyBorder="1"/>
    <xf numFmtId="0" fontId="0" fillId="0" borderId="69" xfId="0" applyBorder="1"/>
    <xf numFmtId="0" fontId="11" fillId="3" borderId="3" xfId="0" applyFont="1" applyFill="1" applyBorder="1"/>
    <xf numFmtId="0" fontId="11" fillId="3" borderId="70" xfId="0" applyFont="1" applyFill="1" applyBorder="1"/>
    <xf numFmtId="0" fontId="11" fillId="3" borderId="67" xfId="0" applyFont="1" applyFill="1" applyBorder="1"/>
    <xf numFmtId="0" fontId="0" fillId="0" borderId="17" xfId="0" applyBorder="1"/>
    <xf numFmtId="0" fontId="8" fillId="0" borderId="71" xfId="0" quotePrefix="1" applyFont="1" applyBorder="1"/>
    <xf numFmtId="0" fontId="11" fillId="0" borderId="71" xfId="0" applyFont="1" applyBorder="1"/>
    <xf numFmtId="0" fontId="0" fillId="0" borderId="72" xfId="0" applyBorder="1"/>
    <xf numFmtId="0" fontId="8" fillId="0" borderId="45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73" xfId="0" applyFont="1" applyBorder="1"/>
    <xf numFmtId="0" fontId="8" fillId="0" borderId="1" xfId="0" applyFont="1" applyFill="1" applyBorder="1"/>
    <xf numFmtId="0" fontId="0" fillId="0" borderId="21" xfId="0" applyBorder="1"/>
    <xf numFmtId="0" fontId="8" fillId="5" borderId="67" xfId="0" applyFont="1" applyFill="1" applyBorder="1"/>
    <xf numFmtId="0" fontId="0" fillId="3" borderId="76" xfId="0" applyFill="1" applyBorder="1"/>
    <xf numFmtId="0" fontId="0" fillId="3" borderId="77" xfId="0" applyFill="1" applyBorder="1"/>
    <xf numFmtId="0" fontId="0" fillId="3" borderId="78" xfId="0" applyFill="1" applyBorder="1"/>
    <xf numFmtId="0" fontId="0" fillId="0" borderId="48" xfId="0" applyBorder="1"/>
    <xf numFmtId="0" fontId="0" fillId="0" borderId="49" xfId="0" applyBorder="1"/>
    <xf numFmtId="0" fontId="11" fillId="0" borderId="49" xfId="0" applyFont="1" applyBorder="1"/>
    <xf numFmtId="0" fontId="11" fillId="0" borderId="50" xfId="0" applyFont="1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8" fillId="3" borderId="1" xfId="0" applyFont="1" applyFill="1" applyBorder="1"/>
    <xf numFmtId="0" fontId="8" fillId="0" borderId="51" xfId="0" applyFont="1" applyFill="1" applyBorder="1"/>
    <xf numFmtId="0" fontId="8" fillId="0" borderId="53" xfId="0" applyFont="1" applyFill="1" applyBorder="1"/>
    <xf numFmtId="0" fontId="8" fillId="0" borderId="31" xfId="0" applyFont="1" applyFill="1" applyBorder="1"/>
    <xf numFmtId="0" fontId="8" fillId="0" borderId="33" xfId="0" applyFont="1" applyFill="1" applyBorder="1"/>
    <xf numFmtId="0" fontId="8" fillId="0" borderId="34" xfId="0" applyFont="1" applyFill="1" applyBorder="1"/>
    <xf numFmtId="0" fontId="8" fillId="0" borderId="39" xfId="0" applyFont="1" applyFill="1" applyBorder="1"/>
    <xf numFmtId="0" fontId="0" fillId="4" borderId="49" xfId="0" applyFill="1" applyBorder="1"/>
    <xf numFmtId="0" fontId="0" fillId="4" borderId="50" xfId="0" applyFill="1" applyBorder="1"/>
    <xf numFmtId="0" fontId="0" fillId="4" borderId="54" xfId="0" applyFill="1" applyBorder="1"/>
    <xf numFmtId="0" fontId="0" fillId="4" borderId="55" xfId="0" applyFill="1" applyBorder="1"/>
    <xf numFmtId="0" fontId="0" fillId="4" borderId="56" xfId="0" applyFill="1" applyBorder="1"/>
    <xf numFmtId="0" fontId="8" fillId="0" borderId="71" xfId="0" applyFont="1" applyBorder="1"/>
    <xf numFmtId="0" fontId="8" fillId="0" borderId="51" xfId="0" applyFont="1" applyBorder="1"/>
    <xf numFmtId="0" fontId="8" fillId="0" borderId="53" xfId="0" applyFont="1" applyBorder="1"/>
    <xf numFmtId="0" fontId="8" fillId="0" borderId="33" xfId="0" applyFont="1" applyBorder="1"/>
    <xf numFmtId="0" fontId="8" fillId="0" borderId="34" xfId="0" applyFont="1" applyBorder="1"/>
    <xf numFmtId="0" fontId="8" fillId="0" borderId="39" xfId="0" applyFont="1" applyBorder="1"/>
    <xf numFmtId="2" fontId="0" fillId="4" borderId="48" xfId="0" applyNumberFormat="1" applyFill="1" applyBorder="1"/>
    <xf numFmtId="165" fontId="0" fillId="3" borderId="28" xfId="0" applyNumberFormat="1" applyFill="1" applyBorder="1"/>
    <xf numFmtId="0" fontId="8" fillId="3" borderId="16" xfId="0" applyFont="1" applyFill="1" applyBorder="1"/>
    <xf numFmtId="0" fontId="0" fillId="0" borderId="0" xfId="0" applyFill="1" applyBorder="1"/>
    <xf numFmtId="1" fontId="0" fillId="4" borderId="48" xfId="0" applyNumberFormat="1" applyFill="1" applyBorder="1"/>
    <xf numFmtId="0" fontId="0" fillId="5" borderId="1" xfId="0" applyFill="1" applyBorder="1"/>
    <xf numFmtId="0" fontId="0" fillId="3" borderId="16" xfId="0" applyFont="1" applyFill="1" applyBorder="1"/>
    <xf numFmtId="0" fontId="0" fillId="3" borderId="17" xfId="0" applyFont="1" applyFill="1" applyBorder="1"/>
    <xf numFmtId="0" fontId="8" fillId="0" borderId="80" xfId="0" quotePrefix="1" applyFont="1" applyBorder="1"/>
    <xf numFmtId="0" fontId="0" fillId="0" borderId="68" xfId="0" applyBorder="1"/>
    <xf numFmtId="0" fontId="8" fillId="0" borderId="81" xfId="0" quotePrefix="1" applyFont="1" applyBorder="1"/>
    <xf numFmtId="0" fontId="11" fillId="0" borderId="24" xfId="0" applyFont="1" applyBorder="1"/>
    <xf numFmtId="0" fontId="0" fillId="0" borderId="76" xfId="0" applyBorder="1"/>
    <xf numFmtId="0" fontId="0" fillId="4" borderId="82" xfId="0" applyFill="1" applyBorder="1"/>
    <xf numFmtId="0" fontId="0" fillId="4" borderId="29" xfId="0" applyFill="1" applyBorder="1"/>
    <xf numFmtId="0" fontId="0" fillId="4" borderId="83" xfId="0" applyFill="1" applyBorder="1"/>
    <xf numFmtId="0" fontId="0" fillId="4" borderId="84" xfId="0" applyFill="1" applyBorder="1"/>
    <xf numFmtId="0" fontId="0" fillId="4" borderId="85" xfId="0" applyFill="1" applyBorder="1"/>
    <xf numFmtId="0" fontId="0" fillId="4" borderId="86" xfId="0" applyFill="1" applyBorder="1"/>
    <xf numFmtId="0" fontId="11" fillId="0" borderId="87" xfId="0" applyFont="1" applyBorder="1"/>
    <xf numFmtId="0" fontId="11" fillId="0" borderId="88" xfId="0" applyFont="1" applyBorder="1"/>
    <xf numFmtId="0" fontId="11" fillId="0" borderId="89" xfId="0" applyFont="1" applyBorder="1"/>
    <xf numFmtId="0" fontId="8" fillId="3" borderId="31" xfId="0" applyFont="1" applyFill="1" applyBorder="1"/>
    <xf numFmtId="0" fontId="8" fillId="3" borderId="32" xfId="0" applyFont="1" applyFill="1" applyBorder="1"/>
    <xf numFmtId="0" fontId="8" fillId="3" borderId="33" xfId="0" applyFont="1" applyFill="1" applyBorder="1"/>
    <xf numFmtId="0" fontId="8" fillId="0" borderId="31" xfId="0" applyFont="1" applyFill="1" applyBorder="1" applyAlignment="1">
      <alignment horizontal="center"/>
    </xf>
    <xf numFmtId="0" fontId="8" fillId="0" borderId="32" xfId="0" applyFont="1" applyFill="1" applyBorder="1" applyAlignment="1">
      <alignment horizontal="center"/>
    </xf>
    <xf numFmtId="0" fontId="8" fillId="0" borderId="33" xfId="0" applyFont="1" applyFill="1" applyBorder="1" applyAlignment="1">
      <alignment horizontal="center"/>
    </xf>
    <xf numFmtId="0" fontId="0" fillId="6" borderId="45" xfId="0" applyFill="1" applyBorder="1" applyAlignment="1"/>
    <xf numFmtId="0" fontId="0" fillId="6" borderId="46" xfId="0" applyFill="1" applyBorder="1" applyAlignment="1"/>
    <xf numFmtId="0" fontId="0" fillId="6" borderId="47" xfId="0" applyFill="1" applyBorder="1" applyAlignment="1"/>
    <xf numFmtId="0" fontId="8" fillId="0" borderId="90" xfId="0" applyFont="1" applyBorder="1"/>
    <xf numFmtId="166" fontId="0" fillId="0" borderId="16" xfId="0" applyNumberFormat="1" applyBorder="1"/>
    <xf numFmtId="0" fontId="11" fillId="0" borderId="80" xfId="0" applyFont="1" applyBorder="1"/>
    <xf numFmtId="0" fontId="0" fillId="6" borderId="46" xfId="0" applyFill="1" applyBorder="1"/>
    <xf numFmtId="0" fontId="0" fillId="6" borderId="47" xfId="0" applyFill="1" applyBorder="1"/>
    <xf numFmtId="0" fontId="0" fillId="6" borderId="65" xfId="0" applyFill="1" applyBorder="1"/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1" fillId="0" borderId="47" xfId="0" applyFont="1" applyBorder="1" applyAlignment="1">
      <alignment horizontal="center"/>
    </xf>
    <xf numFmtId="0" fontId="11" fillId="0" borderId="74" xfId="0" applyFont="1" applyBorder="1" applyAlignment="1">
      <alignment horizontal="center"/>
    </xf>
    <xf numFmtId="0" fontId="11" fillId="0" borderId="75" xfId="0" applyFont="1" applyBorder="1" applyAlignment="1">
      <alignment horizontal="center"/>
    </xf>
    <xf numFmtId="0" fontId="11" fillId="0" borderId="79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67" xfId="0" applyFont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34" xfId="0" applyBorder="1"/>
    <xf numFmtId="0" fontId="0" fillId="0" borderId="35" xfId="0" applyBorder="1"/>
    <xf numFmtId="0" fontId="0" fillId="0" borderId="78" xfId="0" applyBorder="1"/>
    <xf numFmtId="0" fontId="8" fillId="0" borderId="23" xfId="0" applyFont="1" applyBorder="1"/>
    <xf numFmtId="0" fontId="8" fillId="8" borderId="0" xfId="0" applyFont="1" applyFill="1"/>
    <xf numFmtId="0" fontId="0" fillId="0" borderId="44" xfId="0" applyBorder="1"/>
    <xf numFmtId="0" fontId="11" fillId="8" borderId="1" xfId="0" applyFont="1" applyFill="1" applyBorder="1"/>
    <xf numFmtId="0" fontId="0" fillId="0" borderId="91" xfId="0" applyBorder="1"/>
    <xf numFmtId="0" fontId="0" fillId="0" borderId="41" xfId="0" applyBorder="1"/>
    <xf numFmtId="0" fontId="0" fillId="0" borderId="42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5" xfId="0" applyFont="1" applyBorder="1" applyAlignment="1" applyProtection="1">
      <alignment vertical="top" wrapText="1"/>
      <protection locked="0"/>
    </xf>
    <xf numFmtId="0" fontId="5" fillId="0" borderId="6" xfId="0" applyFont="1" applyBorder="1" applyAlignment="1" applyProtection="1">
      <alignment vertical="top" wrapText="1"/>
      <protection locked="0"/>
    </xf>
    <xf numFmtId="0" fontId="5" fillId="0" borderId="9" xfId="0" applyFont="1" applyBorder="1" applyAlignment="1" applyProtection="1">
      <alignment vertical="top" wrapText="1"/>
      <protection locked="0"/>
    </xf>
    <xf numFmtId="0" fontId="5" fillId="0" borderId="4" xfId="0" applyFont="1" applyBorder="1" applyAlignment="1" applyProtection="1">
      <alignment vertical="top" wrapText="1"/>
      <protection locked="0"/>
    </xf>
    <xf numFmtId="0" fontId="5" fillId="0" borderId="0" xfId="0" applyFont="1" applyBorder="1" applyAlignment="1" applyProtection="1">
      <alignment vertical="top" wrapText="1"/>
      <protection locked="0"/>
    </xf>
    <xf numFmtId="0" fontId="5" fillId="0" borderId="10" xfId="0" applyFont="1" applyBorder="1" applyAlignment="1" applyProtection="1">
      <alignment vertical="top" wrapText="1"/>
      <protection locked="0"/>
    </xf>
    <xf numFmtId="0" fontId="5" fillId="0" borderId="7" xfId="0" applyFont="1" applyBorder="1" applyAlignment="1" applyProtection="1">
      <alignment vertical="top" wrapText="1"/>
      <protection locked="0"/>
    </xf>
    <xf numFmtId="0" fontId="5" fillId="0" borderId="8" xfId="0" applyFont="1" applyBorder="1" applyAlignment="1" applyProtection="1">
      <alignment vertical="top" wrapText="1"/>
      <protection locked="0"/>
    </xf>
    <xf numFmtId="0" fontId="5" fillId="0" borderId="11" xfId="0" applyFont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wrapText="1"/>
      <protection locked="0"/>
    </xf>
    <xf numFmtId="0" fontId="8" fillId="3" borderId="43" xfId="0" applyFont="1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8" fillId="3" borderId="44" xfId="0" applyFont="1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11" fillId="3" borderId="3" xfId="0" applyFont="1" applyFill="1" applyBorder="1" applyAlignment="1">
      <alignment horizontal="left"/>
    </xf>
    <xf numFmtId="0" fontId="11" fillId="3" borderId="70" xfId="0" applyFont="1" applyFill="1" applyBorder="1" applyAlignment="1">
      <alignment horizontal="left"/>
    </xf>
    <xf numFmtId="0" fontId="11" fillId="3" borderId="67" xfId="0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70" xfId="0" applyFont="1" applyBorder="1" applyAlignment="1">
      <alignment horizontal="center"/>
    </xf>
    <xf numFmtId="0" fontId="11" fillId="0" borderId="67" xfId="0" applyFont="1" applyBorder="1" applyAlignment="1">
      <alignment horizontal="center"/>
    </xf>
    <xf numFmtId="0" fontId="0" fillId="4" borderId="0" xfId="0" applyFill="1"/>
    <xf numFmtId="0" fontId="8" fillId="0" borderId="92" xfId="0" applyFont="1" applyBorder="1"/>
    <xf numFmtId="0" fontId="8" fillId="0" borderId="3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971550</xdr:colOff>
      <xdr:row>2</xdr:row>
      <xdr:rowOff>121921</xdr:rowOff>
    </xdr:from>
    <xdr:to>
      <xdr:col>8</xdr:col>
      <xdr:colOff>594360</xdr:colOff>
      <xdr:row>9</xdr:row>
      <xdr:rowOff>28575</xdr:rowOff>
    </xdr:to>
    <xdr:cxnSp macro="">
      <xdr:nvCxnSpPr>
        <xdr:cNvPr id="3" name="연결선: 꺾임 2">
          <a:extLst>
            <a:ext uri="{FF2B5EF4-FFF2-40B4-BE49-F238E27FC236}">
              <a16:creationId xmlns:a16="http://schemas.microsoft.com/office/drawing/2014/main" id="{677C228E-64C0-4174-B894-80A305336274}"/>
            </a:ext>
          </a:extLst>
        </xdr:cNvPr>
        <xdr:cNvCxnSpPr/>
      </xdr:nvCxnSpPr>
      <xdr:spPr>
        <a:xfrm flipV="1">
          <a:off x="6343650" y="445771"/>
          <a:ext cx="1432560" cy="1078229"/>
        </a:xfrm>
        <a:prstGeom prst="bentConnector3">
          <a:avLst>
            <a:gd name="adj1" fmla="val 64628"/>
          </a:avLst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137160</xdr:colOff>
      <xdr:row>7</xdr:row>
      <xdr:rowOff>53340</xdr:rowOff>
    </xdr:from>
    <xdr:to>
      <xdr:col>19</xdr:col>
      <xdr:colOff>563880</xdr:colOff>
      <xdr:row>7</xdr:row>
      <xdr:rowOff>53340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B4B769F9-6678-4218-9CC4-5A4D542E39D1}"/>
            </a:ext>
          </a:extLst>
        </xdr:cNvPr>
        <xdr:cNvCxnSpPr/>
      </xdr:nvCxnSpPr>
      <xdr:spPr>
        <a:xfrm>
          <a:off x="6972300" y="1226820"/>
          <a:ext cx="2004060" cy="0"/>
        </a:xfrm>
        <a:prstGeom prst="straightConnector1">
          <a:avLst/>
        </a:prstGeom>
        <a:ln w="381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1"/>
  <sheetViews>
    <sheetView showGridLines="0" workbookViewId="0">
      <selection activeCell="C11" sqref="C11"/>
    </sheetView>
  </sheetViews>
  <sheetFormatPr defaultRowHeight="13.2" x14ac:dyDescent="0.25"/>
  <cols>
    <col min="2" max="2" width="17.109375" customWidth="1"/>
    <col min="3" max="3" width="14.109375" customWidth="1"/>
    <col min="4" max="4" width="17.88671875" customWidth="1"/>
    <col min="5" max="5" width="19.109375" customWidth="1"/>
    <col min="6" max="6" width="8.5546875" customWidth="1"/>
  </cols>
  <sheetData>
    <row r="1" spans="1:5" ht="24.6" x14ac:dyDescent="0.4">
      <c r="A1" s="11" t="s">
        <v>14</v>
      </c>
      <c r="C1" s="1"/>
      <c r="D1" s="1"/>
    </row>
    <row r="2" spans="1:5" ht="24.6" x14ac:dyDescent="0.4">
      <c r="A2" s="11" t="s">
        <v>3</v>
      </c>
      <c r="C2" s="1"/>
      <c r="D2" s="1"/>
    </row>
    <row r="3" spans="1:5" ht="13.8" thickBot="1" x14ac:dyDescent="0.3"/>
    <row r="4" spans="1:5" ht="16.2" thickBot="1" x14ac:dyDescent="0.35">
      <c r="B4" s="2" t="s">
        <v>1</v>
      </c>
      <c r="C4" s="17" t="s">
        <v>15</v>
      </c>
    </row>
    <row r="5" spans="1:5" ht="9.75" customHeight="1" thickBot="1" x14ac:dyDescent="0.35">
      <c r="B5" s="2"/>
      <c r="C5" s="3"/>
    </row>
    <row r="6" spans="1:5" ht="16.2" thickBot="1" x14ac:dyDescent="0.35">
      <c r="B6" s="2" t="s">
        <v>0</v>
      </c>
      <c r="C6" s="5">
        <v>99</v>
      </c>
    </row>
    <row r="8" spans="1:5" ht="15.6" x14ac:dyDescent="0.3">
      <c r="B8" s="230" t="s">
        <v>2</v>
      </c>
      <c r="C8" s="231"/>
      <c r="E8" s="8"/>
    </row>
    <row r="9" spans="1:5" ht="15" x14ac:dyDescent="0.25">
      <c r="B9" s="4" t="s">
        <v>11</v>
      </c>
      <c r="C9" s="13">
        <f>ROUND(Problem1!F7,2)</f>
        <v>1897.14</v>
      </c>
      <c r="E9" s="16"/>
    </row>
    <row r="10" spans="1:5" ht="15" x14ac:dyDescent="0.25">
      <c r="B10" s="4" t="s">
        <v>12</v>
      </c>
      <c r="C10" s="13">
        <f>ROUND(Problem2!I6,2)</f>
        <v>0.22</v>
      </c>
      <c r="E10" s="16"/>
    </row>
    <row r="11" spans="1:5" ht="15" x14ac:dyDescent="0.25">
      <c r="B11" s="4" t="s">
        <v>13</v>
      </c>
      <c r="C11" s="13">
        <f>ROUND(Problem3!J40,2)</f>
        <v>15484</v>
      </c>
      <c r="E11" s="16"/>
    </row>
    <row r="12" spans="1:5" ht="15" x14ac:dyDescent="0.25">
      <c r="B12" s="4" t="s">
        <v>4</v>
      </c>
      <c r="C12" s="13">
        <f>ROUND(Problem4!F5,2)</f>
        <v>1192</v>
      </c>
      <c r="E12" s="16"/>
    </row>
    <row r="13" spans="1:5" ht="15" x14ac:dyDescent="0.25">
      <c r="B13" s="7" t="s">
        <v>5</v>
      </c>
      <c r="C13" s="13">
        <f>ROUND(Problem5!K6,2)</f>
        <v>14870.59</v>
      </c>
      <c r="E13" s="16"/>
    </row>
    <row r="14" spans="1:5" ht="15" x14ac:dyDescent="0.25">
      <c r="B14" s="4" t="s">
        <v>6</v>
      </c>
      <c r="C14" s="13">
        <f>ROUND(Problem6!E9,2)</f>
        <v>311250</v>
      </c>
      <c r="E14" s="16"/>
    </row>
    <row r="15" spans="1:5" ht="15" x14ac:dyDescent="0.25">
      <c r="B15" s="4" t="s">
        <v>7</v>
      </c>
      <c r="C15" s="13">
        <f>ROUND(Problem7!AC14,2)</f>
        <v>126</v>
      </c>
      <c r="E15" s="16"/>
    </row>
    <row r="16" spans="1:5" ht="15" x14ac:dyDescent="0.25">
      <c r="B16" s="4" t="s">
        <v>8</v>
      </c>
      <c r="C16" s="13">
        <f>ROUND(Problem8!N12,2)</f>
        <v>777.2</v>
      </c>
      <c r="E16" s="16"/>
    </row>
    <row r="17" spans="2:5" ht="15" x14ac:dyDescent="0.25">
      <c r="B17" s="4" t="s">
        <v>9</v>
      </c>
      <c r="C17" s="13">
        <f>ROUND(Problem9!C56,2)</f>
        <v>107850</v>
      </c>
      <c r="E17" s="16"/>
    </row>
    <row r="18" spans="2:5" ht="15" x14ac:dyDescent="0.25">
      <c r="B18" s="4" t="s">
        <v>10</v>
      </c>
      <c r="C18" s="13">
        <f>ROUND(Problem10!J20,2)</f>
        <v>3232.5</v>
      </c>
      <c r="E18" s="16"/>
    </row>
    <row r="19" spans="2:5" x14ac:dyDescent="0.25">
      <c r="C19" s="6"/>
    </row>
    <row r="21" spans="2:5" ht="15.75" customHeight="1" x14ac:dyDescent="0.25">
      <c r="B21" s="232"/>
      <c r="C21" s="233"/>
      <c r="D21" s="233"/>
      <c r="E21" s="234"/>
    </row>
    <row r="22" spans="2:5" ht="15.75" customHeight="1" x14ac:dyDescent="0.25">
      <c r="B22" s="235"/>
      <c r="C22" s="236"/>
      <c r="D22" s="236"/>
      <c r="E22" s="237"/>
    </row>
    <row r="23" spans="2:5" ht="15.75" customHeight="1" x14ac:dyDescent="0.25">
      <c r="B23" s="235"/>
      <c r="C23" s="236"/>
      <c r="D23" s="236"/>
      <c r="E23" s="237"/>
    </row>
    <row r="24" spans="2:5" ht="15.75" customHeight="1" x14ac:dyDescent="0.25">
      <c r="B24" s="235"/>
      <c r="C24" s="236"/>
      <c r="D24" s="236"/>
      <c r="E24" s="237"/>
    </row>
    <row r="25" spans="2:5" ht="15.75" customHeight="1" x14ac:dyDescent="0.25">
      <c r="B25" s="235"/>
      <c r="C25" s="236"/>
      <c r="D25" s="236"/>
      <c r="E25" s="237"/>
    </row>
    <row r="26" spans="2:5" ht="15.75" customHeight="1" x14ac:dyDescent="0.25">
      <c r="B26" s="235"/>
      <c r="C26" s="236"/>
      <c r="D26" s="236"/>
      <c r="E26" s="237"/>
    </row>
    <row r="27" spans="2:5" ht="15.75" customHeight="1" x14ac:dyDescent="0.25">
      <c r="B27" s="235"/>
      <c r="C27" s="236"/>
      <c r="D27" s="236"/>
      <c r="E27" s="237"/>
    </row>
    <row r="28" spans="2:5" ht="15.75" customHeight="1" x14ac:dyDescent="0.25">
      <c r="B28" s="235"/>
      <c r="C28" s="236"/>
      <c r="D28" s="236"/>
      <c r="E28" s="237"/>
    </row>
    <row r="29" spans="2:5" ht="15.75" customHeight="1" x14ac:dyDescent="0.25">
      <c r="B29" s="235"/>
      <c r="C29" s="236"/>
      <c r="D29" s="236"/>
      <c r="E29" s="237"/>
    </row>
    <row r="30" spans="2:5" ht="15.75" customHeight="1" x14ac:dyDescent="0.25">
      <c r="B30" s="235"/>
      <c r="C30" s="236"/>
      <c r="D30" s="236"/>
      <c r="E30" s="237"/>
    </row>
    <row r="31" spans="2:5" ht="15.75" customHeight="1" x14ac:dyDescent="0.25">
      <c r="B31" s="235"/>
      <c r="C31" s="236"/>
      <c r="D31" s="236"/>
      <c r="E31" s="237"/>
    </row>
    <row r="32" spans="2:5" ht="15.75" customHeight="1" x14ac:dyDescent="0.25">
      <c r="B32" s="235"/>
      <c r="C32" s="236"/>
      <c r="D32" s="236"/>
      <c r="E32" s="237"/>
    </row>
    <row r="33" spans="1:6" ht="55.5" customHeight="1" x14ac:dyDescent="0.25">
      <c r="B33" s="238"/>
      <c r="C33" s="239"/>
      <c r="D33" s="239"/>
      <c r="E33" s="240"/>
    </row>
    <row r="35" spans="1:6" ht="15" x14ac:dyDescent="0.25">
      <c r="B35" s="8"/>
      <c r="D35" s="12"/>
    </row>
    <row r="37" spans="1:6" x14ac:dyDescent="0.25">
      <c r="A37" s="8"/>
      <c r="B37" s="8"/>
      <c r="C37" s="8"/>
      <c r="D37" s="8"/>
      <c r="E37" s="9"/>
      <c r="F37" s="9"/>
    </row>
    <row r="38" spans="1:6" x14ac:dyDescent="0.25">
      <c r="A38" s="8"/>
      <c r="B38" s="14" t="s">
        <v>3</v>
      </c>
      <c r="C38" s="14" t="s">
        <v>3</v>
      </c>
      <c r="D38" s="8"/>
      <c r="E38" s="15"/>
      <c r="F38" s="10"/>
    </row>
    <row r="39" spans="1:6" x14ac:dyDescent="0.25">
      <c r="A39" s="8"/>
      <c r="B39" s="8"/>
      <c r="C39" s="8"/>
      <c r="D39" s="8"/>
      <c r="E39" s="8"/>
      <c r="F39" s="8"/>
    </row>
    <row r="40" spans="1:6" x14ac:dyDescent="0.25">
      <c r="A40" s="241"/>
      <c r="B40" s="241"/>
      <c r="C40" s="241"/>
      <c r="D40" s="241"/>
      <c r="E40" s="241"/>
      <c r="F40" s="241"/>
    </row>
    <row r="41" spans="1:6" x14ac:dyDescent="0.25">
      <c r="A41" s="8"/>
      <c r="B41" s="8"/>
      <c r="C41" s="8"/>
      <c r="D41" s="8"/>
      <c r="E41" s="8"/>
      <c r="F41" s="8"/>
    </row>
  </sheetData>
  <sheetProtection password="EB58" sheet="1" objects="1" scenarios="1" formatCells="0" selectLockedCells="1"/>
  <mergeCells count="3">
    <mergeCell ref="B8:C8"/>
    <mergeCell ref="B21:E33"/>
    <mergeCell ref="A40:F40"/>
  </mergeCells>
  <phoneticPr fontId="4" type="noConversion"/>
  <dataValidations count="2">
    <dataValidation type="decimal" operator="greaterThanOrEqual" allowBlank="1" showInputMessage="1" showErrorMessage="1" errorTitle="check input" error="should be decimal" promptTitle="should be decimal (&gt;=0)" sqref="C9:C18" xr:uid="{00000000-0002-0000-0000-000000000000}">
      <formula1>0</formula1>
    </dataValidation>
    <dataValidation type="whole" allowBlank="1" showInputMessage="1" showErrorMessage="1" sqref="C6" xr:uid="{00000000-0002-0000-0000-000001000000}">
      <formula1>1</formula1>
      <formula2>300</formula2>
    </dataValidation>
  </dataValidations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B2:I56"/>
  <sheetViews>
    <sheetView topLeftCell="A37" workbookViewId="0">
      <selection activeCell="C56" sqref="C56"/>
    </sheetView>
  </sheetViews>
  <sheetFormatPr defaultRowHeight="13.2" x14ac:dyDescent="0.25"/>
  <cols>
    <col min="2" max="2" width="10.33203125" bestFit="1" customWidth="1"/>
    <col min="3" max="3" width="20.5546875" customWidth="1"/>
    <col min="4" max="6" width="19.109375" bestFit="1" customWidth="1"/>
    <col min="7" max="7" width="13.88671875" bestFit="1" customWidth="1"/>
    <col min="8" max="8" width="2.109375" bestFit="1" customWidth="1"/>
    <col min="9" max="9" width="17.44140625" bestFit="1" customWidth="1"/>
  </cols>
  <sheetData>
    <row r="2" spans="2:9" x14ac:dyDescent="0.25">
      <c r="C2" s="18" t="s">
        <v>191</v>
      </c>
    </row>
    <row r="3" spans="2:9" x14ac:dyDescent="0.25">
      <c r="C3" s="18" t="s">
        <v>192</v>
      </c>
    </row>
    <row r="4" spans="2:9" x14ac:dyDescent="0.25">
      <c r="C4" s="18" t="s">
        <v>197</v>
      </c>
    </row>
    <row r="5" spans="2:9" x14ac:dyDescent="0.25">
      <c r="C5" s="18" t="s">
        <v>193</v>
      </c>
    </row>
    <row r="6" spans="2:9" x14ac:dyDescent="0.25">
      <c r="C6" s="18" t="s">
        <v>194</v>
      </c>
    </row>
    <row r="7" spans="2:9" x14ac:dyDescent="0.25">
      <c r="C7" s="18" t="s">
        <v>195</v>
      </c>
    </row>
    <row r="8" spans="2:9" x14ac:dyDescent="0.25">
      <c r="C8" s="18" t="s">
        <v>196</v>
      </c>
    </row>
    <row r="9" spans="2:9" x14ac:dyDescent="0.25">
      <c r="C9" s="18"/>
    </row>
    <row r="10" spans="2:9" x14ac:dyDescent="0.25">
      <c r="C10" s="22" t="s">
        <v>200</v>
      </c>
    </row>
    <row r="12" spans="2:9" x14ac:dyDescent="0.25">
      <c r="C12" s="216" t="s">
        <v>185</v>
      </c>
    </row>
    <row r="14" spans="2:9" ht="13.8" thickBot="1" x14ac:dyDescent="0.3">
      <c r="C14" s="110" t="s">
        <v>84</v>
      </c>
      <c r="D14" s="111" t="s">
        <v>85</v>
      </c>
      <c r="E14" s="111" t="s">
        <v>86</v>
      </c>
      <c r="F14" s="112" t="s">
        <v>87</v>
      </c>
      <c r="G14" s="214" t="s">
        <v>82</v>
      </c>
      <c r="H14" s="188"/>
      <c r="I14" s="215" t="s">
        <v>83</v>
      </c>
    </row>
    <row r="15" spans="2:9" ht="13.8" thickTop="1" x14ac:dyDescent="0.25">
      <c r="B15" s="186" t="s">
        <v>77</v>
      </c>
      <c r="C15" s="180">
        <v>0</v>
      </c>
      <c r="D15" s="181">
        <v>266.66666666666663</v>
      </c>
      <c r="E15" s="181">
        <v>0</v>
      </c>
      <c r="F15" s="182">
        <v>0</v>
      </c>
      <c r="I15" s="23"/>
    </row>
    <row r="16" spans="2:9" ht="13.8" thickBot="1" x14ac:dyDescent="0.3">
      <c r="B16" s="187" t="s">
        <v>78</v>
      </c>
      <c r="C16" s="183">
        <v>74.999999999999986</v>
      </c>
      <c r="D16" s="184">
        <v>0</v>
      </c>
      <c r="E16" s="184">
        <v>50.000000000000014</v>
      </c>
      <c r="F16" s="185">
        <v>50</v>
      </c>
      <c r="I16" s="23"/>
    </row>
    <row r="17" spans="2:9" ht="13.8" thickTop="1" x14ac:dyDescent="0.25">
      <c r="B17" s="18"/>
      <c r="C17" s="54">
        <v>6</v>
      </c>
      <c r="D17" s="55">
        <v>3</v>
      </c>
      <c r="E17" s="55">
        <v>4</v>
      </c>
      <c r="F17" s="56">
        <v>5</v>
      </c>
      <c r="G17">
        <f>SUMPRODUCT(C15:F15,C17:F17)</f>
        <v>799.99999999999989</v>
      </c>
      <c r="H17" s="40" t="s">
        <v>43</v>
      </c>
      <c r="I17" s="35">
        <v>800</v>
      </c>
    </row>
    <row r="18" spans="2:9" x14ac:dyDescent="0.25">
      <c r="B18" s="18"/>
      <c r="C18" s="60">
        <v>4</v>
      </c>
      <c r="D18" s="61">
        <v>6</v>
      </c>
      <c r="E18" s="61">
        <v>4</v>
      </c>
      <c r="F18" s="66">
        <v>4</v>
      </c>
      <c r="G18">
        <f>SUMPRODUCT(C16:F16,C18:F18)</f>
        <v>700</v>
      </c>
      <c r="H18" s="42" t="s">
        <v>43</v>
      </c>
      <c r="I18" s="37">
        <v>700</v>
      </c>
    </row>
    <row r="19" spans="2:9" x14ac:dyDescent="0.25">
      <c r="B19" s="44" t="s">
        <v>125</v>
      </c>
      <c r="C19" s="195">
        <f>SUM(C15:C16)</f>
        <v>74.999999999999986</v>
      </c>
      <c r="D19" s="196">
        <f>SUM(D15:D16)</f>
        <v>266.66666666666663</v>
      </c>
      <c r="E19" s="196">
        <f>SUM(E15:E16)</f>
        <v>50.000000000000014</v>
      </c>
      <c r="F19" s="197">
        <f>SUM(F15:F16)</f>
        <v>50</v>
      </c>
      <c r="I19" s="23"/>
    </row>
    <row r="20" spans="2:9" x14ac:dyDescent="0.25">
      <c r="B20" s="46" t="s">
        <v>19</v>
      </c>
      <c r="C20" s="89">
        <v>115</v>
      </c>
      <c r="D20" s="90">
        <v>110</v>
      </c>
      <c r="E20" s="90">
        <v>110</v>
      </c>
      <c r="F20" s="91">
        <v>95</v>
      </c>
      <c r="G20" s="172">
        <f>SUMPRODUCT(C19:F19,C20:F20)</f>
        <v>48208.333333333328</v>
      </c>
      <c r="H20" s="23"/>
    </row>
    <row r="21" spans="2:9" s="23" customFormat="1" x14ac:dyDescent="0.25">
      <c r="B21" s="19"/>
      <c r="C21" s="192" t="s">
        <v>27</v>
      </c>
      <c r="D21" s="193" t="s">
        <v>26</v>
      </c>
      <c r="E21" s="193" t="s">
        <v>26</v>
      </c>
      <c r="F21" s="194" t="s">
        <v>26</v>
      </c>
    </row>
    <row r="22" spans="2:9" x14ac:dyDescent="0.25">
      <c r="B22" s="43" t="s">
        <v>20</v>
      </c>
      <c r="C22" s="189">
        <v>50</v>
      </c>
      <c r="D22" s="190">
        <v>50</v>
      </c>
      <c r="E22" s="190">
        <v>50</v>
      </c>
      <c r="F22" s="191">
        <v>50</v>
      </c>
    </row>
    <row r="23" spans="2:9" s="23" customFormat="1" x14ac:dyDescent="0.25">
      <c r="B23" s="19"/>
      <c r="C23" s="192" t="s">
        <v>26</v>
      </c>
      <c r="D23" s="193" t="s">
        <v>26</v>
      </c>
      <c r="E23" s="193" t="s">
        <v>26</v>
      </c>
      <c r="F23" s="194" t="s">
        <v>26</v>
      </c>
    </row>
    <row r="24" spans="2:9" x14ac:dyDescent="0.25">
      <c r="B24" s="18"/>
      <c r="C24" s="60">
        <v>390</v>
      </c>
      <c r="D24" s="61">
        <v>390</v>
      </c>
      <c r="E24" s="61">
        <v>390</v>
      </c>
      <c r="F24" s="66">
        <v>390</v>
      </c>
    </row>
    <row r="25" spans="2:9" s="23" customFormat="1" x14ac:dyDescent="0.25">
      <c r="B25" s="19"/>
    </row>
    <row r="26" spans="2:9" s="23" customFormat="1" x14ac:dyDescent="0.25">
      <c r="B26" s="19"/>
      <c r="C26" s="22" t="s">
        <v>201</v>
      </c>
    </row>
    <row r="27" spans="2:9" s="23" customFormat="1" x14ac:dyDescent="0.25">
      <c r="B27" s="19"/>
      <c r="C27" s="22" t="s">
        <v>198</v>
      </c>
    </row>
    <row r="28" spans="2:9" s="23" customFormat="1" x14ac:dyDescent="0.25">
      <c r="B28" s="19"/>
      <c r="C28" s="18" t="s">
        <v>199</v>
      </c>
    </row>
    <row r="30" spans="2:9" x14ac:dyDescent="0.25">
      <c r="C30" s="216" t="s">
        <v>184</v>
      </c>
    </row>
    <row r="31" spans="2:9" x14ac:dyDescent="0.25">
      <c r="C31" s="18"/>
    </row>
    <row r="32" spans="2:9" ht="13.8" thickBot="1" x14ac:dyDescent="0.3">
      <c r="C32" s="211" t="s">
        <v>84</v>
      </c>
      <c r="D32" s="212" t="s">
        <v>85</v>
      </c>
      <c r="E32" s="212" t="s">
        <v>86</v>
      </c>
      <c r="F32" s="212" t="s">
        <v>87</v>
      </c>
      <c r="G32" s="210" t="s">
        <v>82</v>
      </c>
      <c r="H32" s="18"/>
    </row>
    <row r="33" spans="2:8" ht="13.8" thickTop="1" x14ac:dyDescent="0.25">
      <c r="B33" s="200" t="s">
        <v>77</v>
      </c>
      <c r="C33" s="180">
        <f>390-C16</f>
        <v>315</v>
      </c>
      <c r="D33" s="181">
        <v>0</v>
      </c>
      <c r="E33" s="181">
        <f>390-E16</f>
        <v>340</v>
      </c>
      <c r="F33" s="182">
        <f>390-F16</f>
        <v>340</v>
      </c>
    </row>
    <row r="34" spans="2:8" ht="13.8" thickBot="1" x14ac:dyDescent="0.3">
      <c r="B34" s="178" t="s">
        <v>78</v>
      </c>
      <c r="C34" s="183">
        <v>0</v>
      </c>
      <c r="D34" s="184">
        <f>390-D15</f>
        <v>123.33333333333337</v>
      </c>
      <c r="E34" s="184">
        <v>0</v>
      </c>
      <c r="F34" s="185">
        <v>0</v>
      </c>
    </row>
    <row r="35" spans="2:8" ht="13.8" thickTop="1" x14ac:dyDescent="0.25">
      <c r="C35" s="54">
        <v>6</v>
      </c>
      <c r="D35" s="55">
        <v>3</v>
      </c>
      <c r="E35" s="55">
        <v>4</v>
      </c>
      <c r="F35" s="56">
        <v>5</v>
      </c>
      <c r="G35" s="148">
        <f>SUMPRODUCT(C33:F33,C35:F35)</f>
        <v>4950</v>
      </c>
    </row>
    <row r="36" spans="2:8" x14ac:dyDescent="0.25">
      <c r="C36" s="60">
        <v>4</v>
      </c>
      <c r="D36" s="61">
        <v>6</v>
      </c>
      <c r="E36" s="61">
        <v>4</v>
      </c>
      <c r="F36" s="66">
        <v>4</v>
      </c>
      <c r="G36" s="148">
        <f>SUMPRODUCT(C34:F34,C36:F36)</f>
        <v>740.00000000000023</v>
      </c>
    </row>
    <row r="37" spans="2:8" x14ac:dyDescent="0.25">
      <c r="B37" s="44" t="s">
        <v>125</v>
      </c>
      <c r="C37" s="203">
        <f>SUM(C33:C34)</f>
        <v>315</v>
      </c>
      <c r="D37" s="201">
        <f t="shared" ref="D37:F37" si="0">SUM(D33:D34)</f>
        <v>123.33333333333337</v>
      </c>
      <c r="E37" s="201">
        <f t="shared" si="0"/>
        <v>340</v>
      </c>
      <c r="F37" s="202">
        <f t="shared" si="0"/>
        <v>340</v>
      </c>
    </row>
    <row r="38" spans="2:8" x14ac:dyDescent="0.25">
      <c r="B38" s="46" t="s">
        <v>19</v>
      </c>
      <c r="C38" s="92">
        <v>115</v>
      </c>
      <c r="D38" s="93">
        <v>110</v>
      </c>
      <c r="E38" s="93">
        <v>110</v>
      </c>
      <c r="F38" s="94">
        <v>95</v>
      </c>
      <c r="G38" s="172">
        <f>SUMPRODUCT(C37:F37,C38:F38)</f>
        <v>119491.66666666667</v>
      </c>
      <c r="H38" s="23"/>
    </row>
    <row r="40" spans="2:8" x14ac:dyDescent="0.25">
      <c r="C40" s="216" t="s">
        <v>186</v>
      </c>
    </row>
    <row r="42" spans="2:8" x14ac:dyDescent="0.25">
      <c r="C42" s="208" t="s">
        <v>82</v>
      </c>
      <c r="D42" s="209" t="s">
        <v>34</v>
      </c>
      <c r="E42" s="210" t="s">
        <v>187</v>
      </c>
    </row>
    <row r="43" spans="2:8" x14ac:dyDescent="0.25">
      <c r="B43" s="44" t="s">
        <v>77</v>
      </c>
      <c r="C43" s="217">
        <f>G17</f>
        <v>799.99999999999989</v>
      </c>
      <c r="D43" s="218">
        <v>4</v>
      </c>
      <c r="E43" s="219">
        <f>C43*D43</f>
        <v>3199.9999999999995</v>
      </c>
    </row>
    <row r="44" spans="2:8" x14ac:dyDescent="0.25">
      <c r="B44" s="45" t="s">
        <v>78</v>
      </c>
      <c r="C44" s="220">
        <f>G18</f>
        <v>700</v>
      </c>
      <c r="D44" s="221">
        <v>3</v>
      </c>
      <c r="E44" s="77">
        <f>C44*D44</f>
        <v>2100</v>
      </c>
    </row>
    <row r="45" spans="2:8" x14ac:dyDescent="0.25">
      <c r="B45" s="46" t="s">
        <v>125</v>
      </c>
      <c r="E45" s="172">
        <f>SUM(E43:E44)</f>
        <v>5300</v>
      </c>
    </row>
    <row r="46" spans="2:8" x14ac:dyDescent="0.25">
      <c r="B46" s="18"/>
    </row>
    <row r="47" spans="2:8" x14ac:dyDescent="0.25">
      <c r="C47" s="216" t="s">
        <v>188</v>
      </c>
    </row>
    <row r="49" spans="2:5" x14ac:dyDescent="0.25">
      <c r="B49" s="141"/>
      <c r="C49" s="208" t="s">
        <v>82</v>
      </c>
      <c r="D49" s="209" t="s">
        <v>34</v>
      </c>
      <c r="E49" s="210" t="s">
        <v>187</v>
      </c>
    </row>
    <row r="50" spans="2:5" x14ac:dyDescent="0.25">
      <c r="B50" s="44" t="s">
        <v>77</v>
      </c>
      <c r="C50" s="227">
        <f>G35-G17</f>
        <v>4150</v>
      </c>
      <c r="D50" s="228">
        <f>4+9</f>
        <v>13</v>
      </c>
      <c r="E50" s="229">
        <f>C50*D50</f>
        <v>53950</v>
      </c>
    </row>
    <row r="51" spans="2:5" x14ac:dyDescent="0.25">
      <c r="B51" s="45" t="s">
        <v>78</v>
      </c>
      <c r="C51" s="225">
        <f>G36-G18</f>
        <v>40.000000000000227</v>
      </c>
      <c r="D51" s="221">
        <f>3+12</f>
        <v>15</v>
      </c>
      <c r="E51" s="222">
        <f>C51*D51</f>
        <v>600.00000000000341</v>
      </c>
    </row>
    <row r="52" spans="2:5" x14ac:dyDescent="0.25">
      <c r="B52" s="178" t="s">
        <v>125</v>
      </c>
      <c r="C52" s="148"/>
      <c r="D52" s="143"/>
      <c r="E52" s="172">
        <f>SUM(E50:E51)</f>
        <v>54550</v>
      </c>
    </row>
    <row r="54" spans="2:5" x14ac:dyDescent="0.25">
      <c r="B54" s="226" t="s">
        <v>120</v>
      </c>
      <c r="C54" s="21" t="s">
        <v>190</v>
      </c>
    </row>
    <row r="55" spans="2:5" ht="13.8" thickBot="1" x14ac:dyDescent="0.3">
      <c r="C55" s="21" t="s">
        <v>189</v>
      </c>
    </row>
    <row r="56" spans="2:5" ht="13.8" thickBot="1" x14ac:dyDescent="0.3">
      <c r="C56" s="47">
        <f>(G20+G38)-(E45+E52)</f>
        <v>107850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Q45"/>
  <sheetViews>
    <sheetView workbookViewId="0">
      <selection activeCell="O15" sqref="O15"/>
    </sheetView>
  </sheetViews>
  <sheetFormatPr defaultRowHeight="13.2" x14ac:dyDescent="0.25"/>
  <cols>
    <col min="1" max="1" width="21.33203125" bestFit="1" customWidth="1"/>
    <col min="2" max="2" width="3.33203125" bestFit="1" customWidth="1"/>
    <col min="3" max="3" width="8.88671875" customWidth="1"/>
    <col min="4" max="4" width="9.33203125" bestFit="1" customWidth="1"/>
    <col min="5" max="5" width="14.5546875" customWidth="1"/>
    <col min="6" max="6" width="3.33203125" bestFit="1" customWidth="1"/>
    <col min="9" max="9" width="8.5546875" bestFit="1" customWidth="1"/>
    <col min="10" max="10" width="5.6640625" bestFit="1" customWidth="1"/>
    <col min="11" max="11" width="5" bestFit="1" customWidth="1"/>
    <col min="12" max="12" width="5.6640625" bestFit="1" customWidth="1"/>
    <col min="13" max="13" width="4" bestFit="1" customWidth="1"/>
    <col min="14" max="14" width="4.6640625" bestFit="1" customWidth="1"/>
    <col min="15" max="15" width="6" customWidth="1"/>
    <col min="16" max="16" width="3.33203125" bestFit="1" customWidth="1"/>
    <col min="17" max="17" width="4" bestFit="1" customWidth="1"/>
    <col min="18" max="18" width="18.33203125" bestFit="1" customWidth="1"/>
    <col min="20" max="20" width="2.6640625" bestFit="1" customWidth="1"/>
    <col min="21" max="21" width="2.33203125" bestFit="1" customWidth="1"/>
    <col min="22" max="22" width="3.33203125" bestFit="1" customWidth="1"/>
    <col min="23" max="23" width="4" bestFit="1" customWidth="1"/>
  </cols>
  <sheetData>
    <row r="1" spans="1:17" x14ac:dyDescent="0.25">
      <c r="D1" s="249" t="s">
        <v>99</v>
      </c>
      <c r="E1" s="250"/>
      <c r="F1" s="250"/>
      <c r="G1" s="251"/>
    </row>
    <row r="2" spans="1:17" x14ac:dyDescent="0.25">
      <c r="A2" s="150" t="s">
        <v>90</v>
      </c>
      <c r="B2" s="151" t="s">
        <v>60</v>
      </c>
      <c r="C2" s="18"/>
    </row>
    <row r="3" spans="1:17" ht="13.8" thickBot="1" x14ac:dyDescent="0.3">
      <c r="A3" s="152" t="s">
        <v>91</v>
      </c>
      <c r="B3" s="153" t="s">
        <v>61</v>
      </c>
      <c r="C3" s="18"/>
      <c r="D3" s="18" t="s">
        <v>68</v>
      </c>
      <c r="E3" s="18" t="s">
        <v>100</v>
      </c>
      <c r="F3" s="18" t="s">
        <v>27</v>
      </c>
      <c r="G3" s="25">
        <v>0.2</v>
      </c>
      <c r="I3" s="103" t="s">
        <v>60</v>
      </c>
      <c r="J3" s="104" t="s">
        <v>61</v>
      </c>
      <c r="K3" s="104" t="s">
        <v>62</v>
      </c>
      <c r="L3" s="104" t="s">
        <v>63</v>
      </c>
      <c r="M3" s="104" t="s">
        <v>88</v>
      </c>
      <c r="N3" s="105" t="s">
        <v>89</v>
      </c>
      <c r="O3" s="18"/>
    </row>
    <row r="4" spans="1:17" ht="14.4" thickTop="1" thickBot="1" x14ac:dyDescent="0.3">
      <c r="A4" s="152" t="s">
        <v>92</v>
      </c>
      <c r="B4" s="153" t="s">
        <v>62</v>
      </c>
      <c r="C4" s="18"/>
      <c r="I4" s="171">
        <v>290</v>
      </c>
      <c r="J4" s="156">
        <v>230</v>
      </c>
      <c r="K4" s="156">
        <v>0</v>
      </c>
      <c r="L4" s="156">
        <v>2.8421709430404007E-14</v>
      </c>
      <c r="M4" s="156">
        <v>74.999999999999986</v>
      </c>
      <c r="N4" s="157">
        <v>300</v>
      </c>
    </row>
    <row r="5" spans="1:17" ht="13.8" thickTop="1" x14ac:dyDescent="0.25">
      <c r="A5" s="152" t="s">
        <v>93</v>
      </c>
      <c r="B5" s="153" t="s">
        <v>63</v>
      </c>
      <c r="C5" s="18"/>
      <c r="E5" s="22" t="s">
        <v>72</v>
      </c>
      <c r="I5" s="168">
        <v>0.8</v>
      </c>
      <c r="J5" s="55">
        <v>-0.2</v>
      </c>
      <c r="K5" s="55">
        <v>0</v>
      </c>
      <c r="L5" s="55">
        <v>0</v>
      </c>
      <c r="M5" s="55">
        <v>0</v>
      </c>
      <c r="N5" s="56">
        <v>0</v>
      </c>
      <c r="O5">
        <f t="shared" ref="O5:O14" si="0">SUMPRODUCT(CoffeeBlend,I5:N5)</f>
        <v>186</v>
      </c>
      <c r="P5" s="18" t="s">
        <v>27</v>
      </c>
      <c r="Q5" s="38">
        <v>0</v>
      </c>
    </row>
    <row r="6" spans="1:17" x14ac:dyDescent="0.25">
      <c r="A6" s="152" t="s">
        <v>94</v>
      </c>
      <c r="B6" s="153" t="s">
        <v>88</v>
      </c>
      <c r="C6" s="18"/>
      <c r="I6" s="57">
        <v>0.25</v>
      </c>
      <c r="J6" s="58">
        <v>-0.75</v>
      </c>
      <c r="K6" s="58">
        <v>0</v>
      </c>
      <c r="L6" s="58">
        <v>0</v>
      </c>
      <c r="M6" s="58">
        <v>0</v>
      </c>
      <c r="N6" s="59">
        <v>0</v>
      </c>
      <c r="O6">
        <f t="shared" si="0"/>
        <v>-100</v>
      </c>
      <c r="P6" s="18" t="s">
        <v>26</v>
      </c>
      <c r="Q6" s="169">
        <v>0</v>
      </c>
    </row>
    <row r="7" spans="1:17" x14ac:dyDescent="0.25">
      <c r="A7" s="154" t="s">
        <v>95</v>
      </c>
      <c r="B7" s="155" t="s">
        <v>89</v>
      </c>
      <c r="C7" s="18"/>
      <c r="E7" s="120" t="s">
        <v>101</v>
      </c>
      <c r="F7" s="121" t="s">
        <v>27</v>
      </c>
      <c r="G7" s="122">
        <v>0</v>
      </c>
      <c r="I7" s="57">
        <v>0</v>
      </c>
      <c r="J7" s="58">
        <v>0</v>
      </c>
      <c r="K7" s="58">
        <v>0.75</v>
      </c>
      <c r="L7" s="58">
        <v>-0.25</v>
      </c>
      <c r="M7" s="58">
        <v>0</v>
      </c>
      <c r="N7" s="59">
        <v>0</v>
      </c>
      <c r="O7">
        <f t="shared" si="0"/>
        <v>-7.1054273576010019E-15</v>
      </c>
      <c r="P7" s="18" t="s">
        <v>27</v>
      </c>
      <c r="Q7" s="169">
        <v>0</v>
      </c>
    </row>
    <row r="8" spans="1:17" x14ac:dyDescent="0.25">
      <c r="A8" s="18"/>
      <c r="I8" s="57">
        <v>0</v>
      </c>
      <c r="J8" s="58">
        <v>0</v>
      </c>
      <c r="K8" s="58">
        <v>0.25</v>
      </c>
      <c r="L8" s="58">
        <v>-0.75</v>
      </c>
      <c r="M8" s="58">
        <v>0</v>
      </c>
      <c r="N8" s="59">
        <v>0</v>
      </c>
      <c r="O8">
        <f t="shared" si="0"/>
        <v>-2.1316282072803006E-14</v>
      </c>
      <c r="P8" s="18" t="s">
        <v>27</v>
      </c>
      <c r="Q8" s="36">
        <v>0</v>
      </c>
    </row>
    <row r="9" spans="1:17" x14ac:dyDescent="0.25">
      <c r="D9" s="18" t="s">
        <v>69</v>
      </c>
      <c r="E9" s="18" t="s">
        <v>102</v>
      </c>
      <c r="F9" s="18" t="s">
        <v>27</v>
      </c>
      <c r="G9" s="25">
        <v>0.25</v>
      </c>
      <c r="I9" s="57">
        <v>0</v>
      </c>
      <c r="J9" s="58">
        <v>0</v>
      </c>
      <c r="K9" s="58">
        <v>0</v>
      </c>
      <c r="L9" s="58">
        <v>0</v>
      </c>
      <c r="M9" s="58">
        <v>0.8</v>
      </c>
      <c r="N9" s="59">
        <v>-0.2</v>
      </c>
      <c r="O9">
        <f t="shared" si="0"/>
        <v>-7.1054273576010019E-15</v>
      </c>
      <c r="P9" s="18" t="s">
        <v>26</v>
      </c>
      <c r="Q9" s="36">
        <v>0</v>
      </c>
    </row>
    <row r="10" spans="1:17" x14ac:dyDescent="0.25">
      <c r="I10" s="57">
        <v>0</v>
      </c>
      <c r="J10" s="58">
        <v>0</v>
      </c>
      <c r="K10" s="58">
        <v>0</v>
      </c>
      <c r="L10" s="58">
        <v>0</v>
      </c>
      <c r="M10" s="58">
        <v>0.3</v>
      </c>
      <c r="N10" s="59">
        <v>-0.7</v>
      </c>
      <c r="O10">
        <f t="shared" si="0"/>
        <v>-187.5</v>
      </c>
      <c r="P10" s="18" t="s">
        <v>26</v>
      </c>
      <c r="Q10" s="36">
        <v>0</v>
      </c>
    </row>
    <row r="11" spans="1:17" x14ac:dyDescent="0.25">
      <c r="E11" s="22" t="s">
        <v>72</v>
      </c>
      <c r="I11" s="57">
        <v>0</v>
      </c>
      <c r="J11" s="58">
        <v>0</v>
      </c>
      <c r="K11" s="58">
        <v>1</v>
      </c>
      <c r="L11" s="58">
        <v>0</v>
      </c>
      <c r="M11" s="58">
        <v>0</v>
      </c>
      <c r="N11" s="59">
        <v>1</v>
      </c>
      <c r="O11">
        <f t="shared" si="0"/>
        <v>300</v>
      </c>
      <c r="P11" s="18" t="s">
        <v>26</v>
      </c>
      <c r="Q11" s="36">
        <v>300</v>
      </c>
    </row>
    <row r="12" spans="1:17" x14ac:dyDescent="0.25">
      <c r="I12" s="57">
        <v>0</v>
      </c>
      <c r="J12" s="58">
        <v>0</v>
      </c>
      <c r="K12" s="58">
        <v>0</v>
      </c>
      <c r="L12" s="58">
        <v>1</v>
      </c>
      <c r="M12" s="58">
        <v>1</v>
      </c>
      <c r="N12" s="59">
        <v>0</v>
      </c>
      <c r="O12">
        <f t="shared" si="0"/>
        <v>75.000000000000014</v>
      </c>
      <c r="P12" s="18" t="s">
        <v>26</v>
      </c>
      <c r="Q12" s="173">
        <v>380</v>
      </c>
    </row>
    <row r="13" spans="1:17" x14ac:dyDescent="0.25">
      <c r="E13" s="120" t="s">
        <v>105</v>
      </c>
      <c r="F13" s="121" t="s">
        <v>26</v>
      </c>
      <c r="G13" s="122">
        <v>0</v>
      </c>
      <c r="I13" s="57">
        <v>1</v>
      </c>
      <c r="J13" s="58">
        <v>0</v>
      </c>
      <c r="K13" s="58">
        <v>0</v>
      </c>
      <c r="L13" s="58">
        <v>0</v>
      </c>
      <c r="M13" s="58">
        <v>0</v>
      </c>
      <c r="N13" s="59">
        <v>0</v>
      </c>
      <c r="O13">
        <f t="shared" si="0"/>
        <v>290</v>
      </c>
      <c r="P13" s="18" t="s">
        <v>26</v>
      </c>
      <c r="Q13" s="173">
        <v>290</v>
      </c>
    </row>
    <row r="14" spans="1:17" x14ac:dyDescent="0.25">
      <c r="I14" s="57">
        <v>0</v>
      </c>
      <c r="J14" s="58">
        <v>1</v>
      </c>
      <c r="K14" s="58">
        <v>0</v>
      </c>
      <c r="L14" s="58">
        <v>0</v>
      </c>
      <c r="M14" s="58">
        <v>0</v>
      </c>
      <c r="N14" s="59">
        <v>0</v>
      </c>
      <c r="O14">
        <f t="shared" si="0"/>
        <v>230</v>
      </c>
      <c r="P14" s="18" t="s">
        <v>26</v>
      </c>
      <c r="Q14" s="174">
        <v>230</v>
      </c>
    </row>
    <row r="15" spans="1:17" x14ac:dyDescent="0.25">
      <c r="D15" s="18" t="s">
        <v>70</v>
      </c>
      <c r="E15" s="18" t="s">
        <v>106</v>
      </c>
      <c r="F15" s="18" t="s">
        <v>27</v>
      </c>
      <c r="G15" s="25">
        <v>0.25</v>
      </c>
      <c r="I15" s="60">
        <v>7</v>
      </c>
      <c r="J15" s="61">
        <v>7</v>
      </c>
      <c r="K15" s="61">
        <v>4.5</v>
      </c>
      <c r="L15" s="61">
        <v>4.5</v>
      </c>
      <c r="M15" s="61">
        <v>5</v>
      </c>
      <c r="N15" s="66">
        <v>5</v>
      </c>
      <c r="O15" s="172">
        <f>SUMPRODUCT(CoffeeBlend,CoffeeProfit)</f>
        <v>5515</v>
      </c>
    </row>
    <row r="17" spans="4:15" x14ac:dyDescent="0.25">
      <c r="E17" s="22" t="s">
        <v>72</v>
      </c>
      <c r="I17" s="44" t="s">
        <v>96</v>
      </c>
      <c r="J17" s="175" t="s">
        <v>97</v>
      </c>
      <c r="K17" s="176"/>
      <c r="L17" s="176"/>
      <c r="M17" s="176"/>
      <c r="N17" s="176"/>
      <c r="O17" s="63"/>
    </row>
    <row r="18" spans="4:15" x14ac:dyDescent="0.25">
      <c r="I18" s="45" t="s">
        <v>34</v>
      </c>
      <c r="J18" s="177" t="s">
        <v>98</v>
      </c>
      <c r="K18" s="119"/>
      <c r="L18" s="119"/>
      <c r="M18" s="119"/>
      <c r="N18" s="119"/>
      <c r="O18" s="64"/>
    </row>
    <row r="19" spans="4:15" ht="13.8" thickBot="1" x14ac:dyDescent="0.3">
      <c r="E19" s="120" t="s">
        <v>110</v>
      </c>
      <c r="F19" s="121" t="s">
        <v>27</v>
      </c>
      <c r="G19" s="122">
        <v>0</v>
      </c>
      <c r="I19" s="49"/>
      <c r="J19" s="179">
        <f>2.25*I4+3.5*J4+2.25*(K4+N4)+2*(L4+M4)</f>
        <v>2282.5</v>
      </c>
      <c r="K19" s="3"/>
      <c r="L19" s="3"/>
      <c r="M19" s="3"/>
      <c r="N19" s="3"/>
      <c r="O19" s="143"/>
    </row>
    <row r="20" spans="4:15" ht="13.8" thickBot="1" x14ac:dyDescent="0.3">
      <c r="I20" s="178" t="s">
        <v>120</v>
      </c>
      <c r="J20" s="47">
        <f>O15-J19</f>
        <v>3232.5</v>
      </c>
      <c r="K20" s="145"/>
      <c r="L20" s="145"/>
      <c r="M20" s="145"/>
      <c r="N20" s="145"/>
      <c r="O20" s="141"/>
    </row>
    <row r="21" spans="4:15" x14ac:dyDescent="0.25">
      <c r="D21" s="18" t="s">
        <v>71</v>
      </c>
      <c r="E21" s="18" t="s">
        <v>107</v>
      </c>
      <c r="F21" s="18" t="s">
        <v>26</v>
      </c>
      <c r="G21" s="26">
        <v>0.25</v>
      </c>
    </row>
    <row r="23" spans="4:15" x14ac:dyDescent="0.25">
      <c r="E23" s="22" t="s">
        <v>72</v>
      </c>
    </row>
    <row r="25" spans="4:15" x14ac:dyDescent="0.25">
      <c r="E25" s="120" t="s">
        <v>111</v>
      </c>
      <c r="F25" s="121" t="s">
        <v>27</v>
      </c>
      <c r="G25" s="122">
        <v>0</v>
      </c>
      <c r="I25" s="18"/>
    </row>
    <row r="27" spans="4:15" x14ac:dyDescent="0.25">
      <c r="D27" s="18" t="s">
        <v>103</v>
      </c>
      <c r="E27" s="18" t="s">
        <v>108</v>
      </c>
      <c r="F27" s="18" t="s">
        <v>26</v>
      </c>
      <c r="G27" s="27">
        <v>0.2</v>
      </c>
    </row>
    <row r="29" spans="4:15" x14ac:dyDescent="0.25">
      <c r="E29" s="22" t="s">
        <v>72</v>
      </c>
    </row>
    <row r="31" spans="4:15" x14ac:dyDescent="0.25">
      <c r="E31" s="120" t="s">
        <v>112</v>
      </c>
      <c r="F31" s="121" t="s">
        <v>26</v>
      </c>
      <c r="G31" s="122">
        <v>0</v>
      </c>
    </row>
    <row r="33" spans="4:7" x14ac:dyDescent="0.25">
      <c r="D33" s="18" t="s">
        <v>104</v>
      </c>
      <c r="E33" s="18" t="s">
        <v>109</v>
      </c>
      <c r="F33" s="18" t="s">
        <v>27</v>
      </c>
      <c r="G33" s="27">
        <v>0.3</v>
      </c>
    </row>
    <row r="35" spans="4:7" x14ac:dyDescent="0.25">
      <c r="E35" s="22" t="s">
        <v>72</v>
      </c>
    </row>
    <row r="37" spans="4:7" x14ac:dyDescent="0.25">
      <c r="E37" s="120" t="s">
        <v>113</v>
      </c>
      <c r="F37" s="121" t="s">
        <v>26</v>
      </c>
      <c r="G37" s="122">
        <v>0</v>
      </c>
    </row>
    <row r="39" spans="4:7" x14ac:dyDescent="0.25">
      <c r="D39" s="18" t="s">
        <v>114</v>
      </c>
      <c r="E39" s="120" t="s">
        <v>115</v>
      </c>
      <c r="F39" s="121" t="s">
        <v>26</v>
      </c>
      <c r="G39" s="122">
        <v>300</v>
      </c>
    </row>
    <row r="41" spans="4:7" x14ac:dyDescent="0.25">
      <c r="D41" s="18" t="s">
        <v>116</v>
      </c>
      <c r="E41" s="120" t="s">
        <v>118</v>
      </c>
      <c r="F41" s="121" t="s">
        <v>26</v>
      </c>
      <c r="G41" s="122">
        <v>380</v>
      </c>
    </row>
    <row r="43" spans="4:7" x14ac:dyDescent="0.25">
      <c r="D43" s="18" t="s">
        <v>117</v>
      </c>
      <c r="E43" s="120" t="s">
        <v>60</v>
      </c>
      <c r="F43" s="121" t="s">
        <v>26</v>
      </c>
      <c r="G43" s="122">
        <v>290</v>
      </c>
    </row>
    <row r="45" spans="4:7" x14ac:dyDescent="0.25">
      <c r="D45" s="18" t="s">
        <v>119</v>
      </c>
      <c r="E45" s="120" t="s">
        <v>61</v>
      </c>
      <c r="F45" s="121" t="s">
        <v>26</v>
      </c>
      <c r="G45" s="122">
        <v>230</v>
      </c>
    </row>
  </sheetData>
  <mergeCells count="1">
    <mergeCell ref="D1:G1"/>
  </mergeCells>
  <phoneticPr fontId="4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189B3-4F54-4084-B88B-9F1312F1BD6C}">
  <dimension ref="A1:O13"/>
  <sheetViews>
    <sheetView tabSelected="1" workbookViewId="0">
      <selection activeCell="M13" sqref="M13"/>
    </sheetView>
  </sheetViews>
  <sheetFormatPr defaultRowHeight="13.2" x14ac:dyDescent="0.25"/>
  <cols>
    <col min="14" max="14" width="3.21875" bestFit="1" customWidth="1"/>
    <col min="15" max="15" width="4" bestFit="1" customWidth="1"/>
  </cols>
  <sheetData>
    <row r="1" spans="1:1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5" x14ac:dyDescent="0.25">
      <c r="A2" s="252">
        <v>182</v>
      </c>
      <c r="B2" s="252">
        <v>230</v>
      </c>
      <c r="C2" s="252">
        <v>184</v>
      </c>
      <c r="D2" s="252">
        <v>323.99999999999994</v>
      </c>
      <c r="E2" s="252">
        <v>0</v>
      </c>
      <c r="F2" s="252">
        <v>0</v>
      </c>
      <c r="G2" s="252">
        <v>0</v>
      </c>
      <c r="H2" s="252">
        <v>0</v>
      </c>
      <c r="I2" s="252">
        <v>118</v>
      </c>
      <c r="J2" s="252">
        <v>0</v>
      </c>
      <c r="K2" s="252">
        <v>105.99999999999999</v>
      </c>
      <c r="L2" s="252">
        <v>56.000000000000014</v>
      </c>
      <c r="M2" s="23"/>
    </row>
    <row r="3" spans="1:15" x14ac:dyDescent="0.25">
      <c r="A3">
        <v>0.2</v>
      </c>
      <c r="B3">
        <v>0.2</v>
      </c>
      <c r="C3">
        <v>-0.8</v>
      </c>
      <c r="D3">
        <v>0.2</v>
      </c>
      <c r="M3">
        <f>SUMPRODUCT($A$2:$L$2,A3:L3)</f>
        <v>-1.4210854715202004E-14</v>
      </c>
      <c r="N3" s="18" t="s">
        <v>26</v>
      </c>
      <c r="O3">
        <v>0</v>
      </c>
    </row>
    <row r="4" spans="1:15" x14ac:dyDescent="0.25">
      <c r="A4">
        <v>0.25</v>
      </c>
      <c r="B4">
        <v>-0.75</v>
      </c>
      <c r="C4">
        <v>0.25</v>
      </c>
      <c r="D4">
        <v>0.25</v>
      </c>
      <c r="M4">
        <f t="shared" ref="M4:M12" si="0">SUMPRODUCT($A$2:$L$2,A4:L4)</f>
        <v>-1.4210854715202004E-14</v>
      </c>
      <c r="N4" s="18" t="s">
        <v>26</v>
      </c>
      <c r="O4">
        <v>0</v>
      </c>
    </row>
    <row r="5" spans="1:15" x14ac:dyDescent="0.25">
      <c r="E5">
        <v>-0.75</v>
      </c>
      <c r="F5">
        <v>0.25</v>
      </c>
      <c r="G5">
        <v>0.25</v>
      </c>
      <c r="H5">
        <v>0.25</v>
      </c>
      <c r="M5">
        <f t="shared" si="0"/>
        <v>0</v>
      </c>
      <c r="N5" s="18" t="s">
        <v>26</v>
      </c>
      <c r="O5">
        <v>0</v>
      </c>
    </row>
    <row r="6" spans="1:15" x14ac:dyDescent="0.25">
      <c r="E6">
        <v>0.25</v>
      </c>
      <c r="F6">
        <v>0.25</v>
      </c>
      <c r="G6">
        <v>0.25</v>
      </c>
      <c r="H6">
        <v>-0.75</v>
      </c>
      <c r="M6">
        <f t="shared" si="0"/>
        <v>0</v>
      </c>
      <c r="N6" s="18" t="s">
        <v>27</v>
      </c>
      <c r="O6">
        <v>0</v>
      </c>
    </row>
    <row r="7" spans="1:15" x14ac:dyDescent="0.25">
      <c r="I7">
        <v>-0.7</v>
      </c>
      <c r="J7">
        <v>0.3</v>
      </c>
      <c r="K7">
        <v>0.3</v>
      </c>
      <c r="L7">
        <v>0.3</v>
      </c>
      <c r="M7">
        <f t="shared" si="0"/>
        <v>-33.999999999999993</v>
      </c>
      <c r="N7" s="18" t="s">
        <v>26</v>
      </c>
      <c r="O7">
        <v>0</v>
      </c>
    </row>
    <row r="8" spans="1:15" x14ac:dyDescent="0.25">
      <c r="I8">
        <v>0.2</v>
      </c>
      <c r="J8">
        <v>0.2</v>
      </c>
      <c r="K8">
        <v>0.2</v>
      </c>
      <c r="L8">
        <v>-0.8</v>
      </c>
      <c r="M8">
        <f t="shared" si="0"/>
        <v>-1.4210854715202004E-14</v>
      </c>
      <c r="N8" s="18" t="s">
        <v>27</v>
      </c>
      <c r="O8">
        <v>0</v>
      </c>
    </row>
    <row r="9" spans="1:15" x14ac:dyDescent="0.25">
      <c r="A9">
        <v>1</v>
      </c>
      <c r="E9">
        <v>1</v>
      </c>
      <c r="I9">
        <v>1</v>
      </c>
      <c r="M9">
        <f t="shared" si="0"/>
        <v>300</v>
      </c>
      <c r="N9" s="18" t="s">
        <v>26</v>
      </c>
      <c r="O9">
        <v>300</v>
      </c>
    </row>
    <row r="10" spans="1:15" x14ac:dyDescent="0.25">
      <c r="B10">
        <v>1</v>
      </c>
      <c r="F10">
        <v>1</v>
      </c>
      <c r="J10">
        <v>1</v>
      </c>
      <c r="M10">
        <f t="shared" si="0"/>
        <v>230</v>
      </c>
      <c r="N10" s="18" t="s">
        <v>26</v>
      </c>
      <c r="O10">
        <v>230</v>
      </c>
    </row>
    <row r="11" spans="1:15" x14ac:dyDescent="0.25">
      <c r="C11">
        <v>1</v>
      </c>
      <c r="G11">
        <v>1</v>
      </c>
      <c r="K11">
        <v>1</v>
      </c>
      <c r="M11">
        <f t="shared" si="0"/>
        <v>290</v>
      </c>
      <c r="N11" s="18" t="s">
        <v>26</v>
      </c>
      <c r="O11">
        <v>290</v>
      </c>
    </row>
    <row r="12" spans="1:15" x14ac:dyDescent="0.25">
      <c r="D12">
        <v>1</v>
      </c>
      <c r="H12">
        <v>1</v>
      </c>
      <c r="L12">
        <v>1</v>
      </c>
      <c r="M12">
        <f t="shared" si="0"/>
        <v>379.99999999999994</v>
      </c>
      <c r="N12" s="18" t="s">
        <v>26</v>
      </c>
      <c r="O12">
        <v>380</v>
      </c>
    </row>
    <row r="13" spans="1:15" x14ac:dyDescent="0.25">
      <c r="M13">
        <f>7*SUM(A2:D2)+4.5*SUM(E2:H2)+5*SUM(I2:L2)-2.25*(A2+E2+I2)-3.5*(B2+F2+J2)-4*(C2+G2+K2)-2*(D2+H2+L2)</f>
        <v>4440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H10"/>
  <sheetViews>
    <sheetView workbookViewId="0">
      <selection activeCell="F7" sqref="F7"/>
    </sheetView>
  </sheetViews>
  <sheetFormatPr defaultRowHeight="13.2" x14ac:dyDescent="0.25"/>
  <cols>
    <col min="2" max="2" width="10.88671875" bestFit="1" customWidth="1"/>
    <col min="3" max="5" width="12.88671875" bestFit="1" customWidth="1"/>
    <col min="6" max="6" width="15.44140625" bestFit="1" customWidth="1"/>
    <col min="7" max="7" width="3.33203125" bestFit="1" customWidth="1"/>
    <col min="8" max="8" width="19.6640625" bestFit="1" customWidth="1"/>
  </cols>
  <sheetData>
    <row r="1" spans="2:8" x14ac:dyDescent="0.25">
      <c r="B1" t="s">
        <v>3</v>
      </c>
    </row>
    <row r="2" spans="2:8" x14ac:dyDescent="0.25">
      <c r="C2" s="204" t="s">
        <v>21</v>
      </c>
      <c r="D2" s="205" t="s">
        <v>22</v>
      </c>
      <c r="E2" s="205" t="s">
        <v>23</v>
      </c>
      <c r="F2" s="206" t="s">
        <v>24</v>
      </c>
      <c r="G2" s="18"/>
      <c r="H2" s="207" t="s">
        <v>25</v>
      </c>
    </row>
    <row r="3" spans="2:8" ht="13.8" thickBot="1" x14ac:dyDescent="0.3">
      <c r="C3" s="99">
        <v>10</v>
      </c>
      <c r="D3" s="100">
        <v>10</v>
      </c>
      <c r="E3" s="101">
        <v>141.42857142857147</v>
      </c>
      <c r="F3" s="18"/>
      <c r="G3" s="18"/>
      <c r="H3" s="18"/>
    </row>
    <row r="4" spans="2:8" ht="13.8" thickTop="1" x14ac:dyDescent="0.25">
      <c r="B4" s="43" t="s">
        <v>16</v>
      </c>
      <c r="C4" s="54">
        <v>0.45</v>
      </c>
      <c r="D4" s="55">
        <v>0.6</v>
      </c>
      <c r="E4" s="56">
        <v>0.35</v>
      </c>
      <c r="F4" s="63">
        <f>SUMPRODUCT(CandleProduced,Molding)</f>
        <v>60.000000000000014</v>
      </c>
      <c r="G4" s="40" t="s">
        <v>26</v>
      </c>
      <c r="H4" s="51">
        <f>3*20</f>
        <v>60</v>
      </c>
    </row>
    <row r="5" spans="2:8" x14ac:dyDescent="0.25">
      <c r="B5" s="43" t="s">
        <v>17</v>
      </c>
      <c r="C5" s="57">
        <v>0.25</v>
      </c>
      <c r="D5" s="58">
        <v>0.5</v>
      </c>
      <c r="E5" s="59">
        <v>0.35</v>
      </c>
      <c r="F5" s="64">
        <f>SUMPRODUCT(CandleProduced,Decorating)</f>
        <v>57.000000000000014</v>
      </c>
      <c r="G5" s="41" t="s">
        <v>26</v>
      </c>
      <c r="H5" s="52">
        <f>5*20</f>
        <v>100</v>
      </c>
    </row>
    <row r="6" spans="2:8" ht="13.8" thickBot="1" x14ac:dyDescent="0.3">
      <c r="B6" s="43" t="s">
        <v>18</v>
      </c>
      <c r="C6" s="57">
        <v>0.1</v>
      </c>
      <c r="D6" s="58">
        <v>0.1</v>
      </c>
      <c r="E6" s="59">
        <v>0.15</v>
      </c>
      <c r="F6" s="65">
        <f>SUMPRODUCT(CandleProduced,Packaging)</f>
        <v>23.214285714285719</v>
      </c>
      <c r="G6" s="42" t="s">
        <v>26</v>
      </c>
      <c r="H6" s="53">
        <f>2*20</f>
        <v>40</v>
      </c>
    </row>
    <row r="7" spans="2:8" ht="13.8" thickBot="1" x14ac:dyDescent="0.3">
      <c r="B7" s="43" t="s">
        <v>19</v>
      </c>
      <c r="C7" s="60">
        <v>9</v>
      </c>
      <c r="D7" s="61">
        <v>11</v>
      </c>
      <c r="E7" s="62">
        <v>12</v>
      </c>
      <c r="F7" s="47">
        <f>SUMPRODUCT(CandleProduced,MProductProfits)</f>
        <v>1897.1428571428578</v>
      </c>
    </row>
    <row r="8" spans="2:8" x14ac:dyDescent="0.25">
      <c r="B8" s="118"/>
      <c r="C8" s="127" t="s">
        <v>27</v>
      </c>
      <c r="D8" s="128" t="s">
        <v>27</v>
      </c>
      <c r="E8" s="129" t="s">
        <v>27</v>
      </c>
    </row>
    <row r="9" spans="2:8" x14ac:dyDescent="0.25">
      <c r="B9" s="43" t="s">
        <v>20</v>
      </c>
      <c r="C9" s="32">
        <v>10</v>
      </c>
      <c r="D9" s="33">
        <v>10</v>
      </c>
      <c r="E9" s="34">
        <v>10</v>
      </c>
    </row>
    <row r="10" spans="2:8" x14ac:dyDescent="0.25">
      <c r="B10" s="18"/>
    </row>
  </sheetData>
  <phoneticPr fontId="4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K7"/>
  <sheetViews>
    <sheetView workbookViewId="0">
      <selection activeCell="I6" sqref="I6"/>
    </sheetView>
  </sheetViews>
  <sheetFormatPr defaultRowHeight="13.2" x14ac:dyDescent="0.25"/>
  <cols>
    <col min="2" max="2" width="20.88671875" bestFit="1" customWidth="1"/>
    <col min="3" max="3" width="25.6640625" bestFit="1" customWidth="1"/>
    <col min="4" max="4" width="3.33203125" bestFit="1" customWidth="1"/>
    <col min="5" max="8" width="17.5546875" bestFit="1" customWidth="1"/>
    <col min="9" max="9" width="21.6640625" bestFit="1" customWidth="1"/>
    <col min="10" max="10" width="3.33203125" bestFit="1" customWidth="1"/>
    <col min="11" max="11" width="26.33203125" bestFit="1" customWidth="1"/>
  </cols>
  <sheetData>
    <row r="1" spans="2:11" x14ac:dyDescent="0.25">
      <c r="B1" t="s">
        <v>3</v>
      </c>
    </row>
    <row r="2" spans="2:11" x14ac:dyDescent="0.25">
      <c r="C2" s="207" t="s">
        <v>35</v>
      </c>
      <c r="E2" s="208" t="s">
        <v>28</v>
      </c>
      <c r="F2" s="209" t="s">
        <v>29</v>
      </c>
      <c r="G2" s="209" t="s">
        <v>30</v>
      </c>
      <c r="H2" s="209" t="s">
        <v>33</v>
      </c>
      <c r="I2" s="210" t="s">
        <v>164</v>
      </c>
      <c r="J2" s="18"/>
      <c r="K2" s="207" t="s">
        <v>36</v>
      </c>
    </row>
    <row r="3" spans="2:11" ht="13.8" thickBot="1" x14ac:dyDescent="0.3">
      <c r="E3" s="99">
        <v>0.40624999999999978</v>
      </c>
      <c r="F3" s="100">
        <v>0</v>
      </c>
      <c r="G3" s="100">
        <v>0</v>
      </c>
      <c r="H3" s="101">
        <v>0.59375000000000022</v>
      </c>
      <c r="I3" s="130">
        <f>SUM(PetrolProduced)</f>
        <v>1</v>
      </c>
      <c r="J3" s="18"/>
      <c r="K3" s="131">
        <v>1</v>
      </c>
    </row>
    <row r="4" spans="2:11" ht="13.8" thickTop="1" x14ac:dyDescent="0.25">
      <c r="B4" s="44" t="s">
        <v>31</v>
      </c>
      <c r="C4" s="38">
        <v>92</v>
      </c>
      <c r="D4" s="40" t="s">
        <v>26</v>
      </c>
      <c r="E4" s="67">
        <v>81</v>
      </c>
      <c r="F4" s="68">
        <v>100</v>
      </c>
      <c r="G4" s="68">
        <v>92</v>
      </c>
      <c r="H4" s="69">
        <v>113</v>
      </c>
      <c r="I4" s="64">
        <f>SUMPRODUCT(PetrolProduced,First_Quality_Index)</f>
        <v>100</v>
      </c>
      <c r="J4" s="79" t="s">
        <v>26</v>
      </c>
      <c r="K4" s="35">
        <v>100</v>
      </c>
    </row>
    <row r="5" spans="2:11" ht="13.8" thickBot="1" x14ac:dyDescent="0.3">
      <c r="B5" s="45" t="s">
        <v>32</v>
      </c>
      <c r="C5" s="39">
        <v>177</v>
      </c>
      <c r="D5" s="42" t="s">
        <v>26</v>
      </c>
      <c r="E5" s="57">
        <v>177</v>
      </c>
      <c r="F5" s="58">
        <v>176</v>
      </c>
      <c r="G5" s="58">
        <v>195</v>
      </c>
      <c r="H5" s="59">
        <v>198</v>
      </c>
      <c r="I5" s="65">
        <f>SUMPRODUCT(PetrolProduced,Second_Quality_Index)</f>
        <v>189.46875</v>
      </c>
      <c r="J5" s="81" t="s">
        <v>26</v>
      </c>
      <c r="K5" s="37">
        <v>195</v>
      </c>
    </row>
    <row r="6" spans="2:11" ht="13.8" thickBot="1" x14ac:dyDescent="0.3">
      <c r="B6" s="46" t="s">
        <v>34</v>
      </c>
      <c r="C6" s="18"/>
      <c r="D6" s="18"/>
      <c r="E6" s="70">
        <v>0.23</v>
      </c>
      <c r="F6" s="71">
        <v>0.95</v>
      </c>
      <c r="G6" s="71">
        <v>0.95</v>
      </c>
      <c r="H6" s="72">
        <v>0.22</v>
      </c>
      <c r="I6" s="47">
        <f>SUMPRODUCT(PetrolProduced,PetrolCost)</f>
        <v>0.2240625</v>
      </c>
    </row>
    <row r="7" spans="2:11" x14ac:dyDescent="0.25">
      <c r="B7" s="18"/>
      <c r="C7" s="18"/>
      <c r="D7" s="1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M40"/>
  <sheetViews>
    <sheetView workbookViewId="0">
      <selection activeCell="G6" sqref="G6"/>
    </sheetView>
  </sheetViews>
  <sheetFormatPr defaultRowHeight="13.2" x14ac:dyDescent="0.25"/>
  <cols>
    <col min="2" max="2" width="25.5546875" bestFit="1" customWidth="1"/>
    <col min="3" max="3" width="6.6640625" bestFit="1" customWidth="1"/>
    <col min="4" max="4" width="12.88671875" bestFit="1" customWidth="1"/>
    <col min="5" max="5" width="19.88671875" bestFit="1" customWidth="1"/>
    <col min="6" max="6" width="12.88671875" bestFit="1" customWidth="1"/>
    <col min="7" max="7" width="22.5546875" bestFit="1" customWidth="1"/>
    <col min="8" max="8" width="6" bestFit="1" customWidth="1"/>
    <col min="9" max="9" width="6" customWidth="1"/>
    <col min="10" max="10" width="20" bestFit="1" customWidth="1"/>
    <col min="11" max="11" width="3.33203125" bestFit="1" customWidth="1"/>
    <col min="12" max="12" width="5" bestFit="1" customWidth="1"/>
    <col min="13" max="13" width="36.88671875" bestFit="1" customWidth="1"/>
  </cols>
  <sheetData>
    <row r="2" spans="2:13" x14ac:dyDescent="0.25">
      <c r="B2" s="48"/>
      <c r="C2" s="107" t="s">
        <v>143</v>
      </c>
      <c r="D2" s="108" t="s">
        <v>144</v>
      </c>
      <c r="E2" s="108" t="s">
        <v>145</v>
      </c>
      <c r="F2" s="108" t="s">
        <v>146</v>
      </c>
      <c r="G2" s="109" t="s">
        <v>147</v>
      </c>
      <c r="L2" s="44" t="s">
        <v>60</v>
      </c>
      <c r="M2" s="79" t="s">
        <v>165</v>
      </c>
    </row>
    <row r="3" spans="2:13" x14ac:dyDescent="0.25">
      <c r="B3" s="45" t="s">
        <v>149</v>
      </c>
      <c r="C3" s="78" t="s">
        <v>60</v>
      </c>
      <c r="D3" s="74" t="s">
        <v>61</v>
      </c>
      <c r="E3" s="74" t="s">
        <v>62</v>
      </c>
      <c r="F3" s="74" t="s">
        <v>63</v>
      </c>
      <c r="G3" s="254" t="s">
        <v>135</v>
      </c>
      <c r="L3" s="45" t="s">
        <v>61</v>
      </c>
      <c r="M3" s="80" t="s">
        <v>166</v>
      </c>
    </row>
    <row r="4" spans="2:13" x14ac:dyDescent="0.25">
      <c r="B4" s="45" t="s">
        <v>150</v>
      </c>
      <c r="C4" s="242" t="s">
        <v>88</v>
      </c>
      <c r="D4" s="243"/>
      <c r="E4" s="74" t="s">
        <v>89</v>
      </c>
      <c r="F4" s="76"/>
      <c r="G4" s="75"/>
      <c r="L4" s="45" t="s">
        <v>62</v>
      </c>
      <c r="M4" s="80" t="s">
        <v>167</v>
      </c>
    </row>
    <row r="5" spans="2:13" x14ac:dyDescent="0.25">
      <c r="B5" s="106" t="s">
        <v>151</v>
      </c>
      <c r="C5" s="244" t="s">
        <v>134</v>
      </c>
      <c r="D5" s="245"/>
      <c r="E5" s="245"/>
      <c r="F5" s="245"/>
      <c r="G5" s="77"/>
      <c r="L5" s="45" t="s">
        <v>63</v>
      </c>
      <c r="M5" s="80" t="s">
        <v>168</v>
      </c>
    </row>
    <row r="6" spans="2:13" x14ac:dyDescent="0.25">
      <c r="B6" s="28"/>
      <c r="C6" s="29" t="s">
        <v>26</v>
      </c>
      <c r="D6" s="29" t="s">
        <v>26</v>
      </c>
      <c r="E6" s="29" t="s">
        <v>26</v>
      </c>
      <c r="F6" s="29" t="s">
        <v>26</v>
      </c>
      <c r="G6" s="29" t="s">
        <v>26</v>
      </c>
      <c r="L6" s="45" t="s">
        <v>88</v>
      </c>
      <c r="M6" s="80" t="s">
        <v>169</v>
      </c>
    </row>
    <row r="7" spans="2:13" x14ac:dyDescent="0.25">
      <c r="B7" s="102" t="s">
        <v>148</v>
      </c>
      <c r="C7" s="82">
        <v>8000</v>
      </c>
      <c r="D7" s="83" t="s">
        <v>152</v>
      </c>
      <c r="E7" s="83" t="s">
        <v>153</v>
      </c>
      <c r="F7" s="83" t="s">
        <v>154</v>
      </c>
      <c r="G7" s="84" t="s">
        <v>155</v>
      </c>
      <c r="H7" s="29"/>
      <c r="I7" s="29"/>
      <c r="J7" s="22"/>
      <c r="L7" s="45" t="s">
        <v>89</v>
      </c>
      <c r="M7" s="80" t="s">
        <v>170</v>
      </c>
    </row>
    <row r="8" spans="2:13" x14ac:dyDescent="0.25">
      <c r="L8" s="46" t="s">
        <v>134</v>
      </c>
      <c r="M8" s="81" t="s">
        <v>171</v>
      </c>
    </row>
    <row r="15" spans="2:13" x14ac:dyDescent="0.25">
      <c r="B15" s="22" t="s">
        <v>156</v>
      </c>
    </row>
    <row r="17" spans="2:12" x14ac:dyDescent="0.25">
      <c r="B17" s="120" t="s">
        <v>160</v>
      </c>
      <c r="C17" s="121" t="s">
        <v>26</v>
      </c>
      <c r="D17" s="122">
        <v>8000</v>
      </c>
    </row>
    <row r="19" spans="2:12" x14ac:dyDescent="0.25">
      <c r="B19" s="120" t="s">
        <v>159</v>
      </c>
      <c r="C19" s="121" t="s">
        <v>26</v>
      </c>
      <c r="D19" s="122">
        <v>8000</v>
      </c>
    </row>
    <row r="21" spans="2:12" x14ac:dyDescent="0.25">
      <c r="B21" s="120" t="s">
        <v>158</v>
      </c>
      <c r="C21" s="121" t="s">
        <v>26</v>
      </c>
      <c r="D21" s="122">
        <v>8000</v>
      </c>
    </row>
    <row r="23" spans="2:12" x14ac:dyDescent="0.25">
      <c r="B23" s="120" t="s">
        <v>157</v>
      </c>
      <c r="C23" s="121" t="s">
        <v>26</v>
      </c>
      <c r="D23" s="122">
        <v>8000</v>
      </c>
    </row>
    <row r="25" spans="2:12" x14ac:dyDescent="0.25">
      <c r="B25" s="120" t="s">
        <v>161</v>
      </c>
      <c r="C25" s="121" t="s">
        <v>26</v>
      </c>
      <c r="D25" s="122">
        <v>4000</v>
      </c>
    </row>
    <row r="27" spans="2:12" x14ac:dyDescent="0.25">
      <c r="B27" s="22" t="s">
        <v>162</v>
      </c>
    </row>
    <row r="29" spans="2:12" ht="13.8" thickBot="1" x14ac:dyDescent="0.3">
      <c r="B29" s="110" t="s">
        <v>60</v>
      </c>
      <c r="C29" s="111" t="s">
        <v>61</v>
      </c>
      <c r="D29" s="111" t="s">
        <v>62</v>
      </c>
      <c r="E29" s="111" t="s">
        <v>63</v>
      </c>
      <c r="F29" s="111" t="s">
        <v>88</v>
      </c>
      <c r="G29" s="111" t="s">
        <v>89</v>
      </c>
      <c r="H29" s="111" t="s">
        <v>134</v>
      </c>
      <c r="I29" s="112" t="s">
        <v>135</v>
      </c>
      <c r="J29" s="18"/>
      <c r="K29" s="18"/>
    </row>
    <row r="30" spans="2:12" ht="14.4" thickTop="1" thickBot="1" x14ac:dyDescent="0.3">
      <c r="B30" s="88">
        <v>8000</v>
      </c>
      <c r="C30" s="86">
        <v>16400</v>
      </c>
      <c r="D30" s="86">
        <v>0</v>
      </c>
      <c r="E30" s="86">
        <v>25220</v>
      </c>
      <c r="F30" s="86">
        <v>0</v>
      </c>
      <c r="G30" s="86">
        <v>25220</v>
      </c>
      <c r="H30" s="86">
        <v>0</v>
      </c>
      <c r="I30" s="87"/>
      <c r="J30" s="19"/>
      <c r="K30" s="19"/>
    </row>
    <row r="31" spans="2:12" ht="13.8" thickTop="1" x14ac:dyDescent="0.25">
      <c r="B31" s="54">
        <v>1</v>
      </c>
      <c r="C31" s="55"/>
      <c r="D31" s="55"/>
      <c r="E31" s="55"/>
      <c r="F31" s="55">
        <v>1</v>
      </c>
      <c r="G31" s="55"/>
      <c r="H31" s="55">
        <v>1</v>
      </c>
      <c r="I31" s="56"/>
      <c r="J31" s="40">
        <f t="shared" ref="J31:J37" si="0">SUMPRODUCT($B$30:$H$30,B31:H31)</f>
        <v>8000</v>
      </c>
      <c r="K31" s="18" t="s">
        <v>26</v>
      </c>
      <c r="L31" s="35">
        <v>8000</v>
      </c>
    </row>
    <row r="32" spans="2:12" x14ac:dyDescent="0.25">
      <c r="B32" s="57">
        <v>-1.05</v>
      </c>
      <c r="C32" s="58">
        <v>1</v>
      </c>
      <c r="D32" s="58"/>
      <c r="E32" s="58"/>
      <c r="F32" s="58"/>
      <c r="G32" s="58"/>
      <c r="H32" s="58"/>
      <c r="I32" s="59"/>
      <c r="J32" s="41">
        <f t="shared" si="0"/>
        <v>8000</v>
      </c>
      <c r="K32" s="18" t="s">
        <v>26</v>
      </c>
      <c r="L32" s="36">
        <v>8000</v>
      </c>
    </row>
    <row r="33" spans="2:12" x14ac:dyDescent="0.25">
      <c r="B33" s="57"/>
      <c r="C33" s="58">
        <v>-1.05</v>
      </c>
      <c r="D33" s="58">
        <v>1</v>
      </c>
      <c r="E33" s="58"/>
      <c r="F33" s="58">
        <v>-1.1499999999999999</v>
      </c>
      <c r="G33" s="58">
        <v>1</v>
      </c>
      <c r="H33" s="58"/>
      <c r="I33" s="59"/>
      <c r="J33" s="41">
        <f t="shared" si="0"/>
        <v>8000</v>
      </c>
      <c r="K33" s="18" t="s">
        <v>26</v>
      </c>
      <c r="L33" s="36">
        <v>8000</v>
      </c>
    </row>
    <row r="34" spans="2:12" x14ac:dyDescent="0.25">
      <c r="B34" s="57"/>
      <c r="C34" s="58">
        <v>-1.05</v>
      </c>
      <c r="D34" s="58"/>
      <c r="E34" s="58">
        <v>1</v>
      </c>
      <c r="F34" s="58">
        <v>1.1499999999999999</v>
      </c>
      <c r="G34" s="58"/>
      <c r="H34" s="58"/>
      <c r="I34" s="59"/>
      <c r="J34" s="41">
        <f t="shared" si="0"/>
        <v>8000</v>
      </c>
      <c r="K34" s="18" t="s">
        <v>26</v>
      </c>
      <c r="L34" s="36">
        <v>8000</v>
      </c>
    </row>
    <row r="35" spans="2:12" x14ac:dyDescent="0.25">
      <c r="B35" s="134"/>
      <c r="C35" s="135"/>
      <c r="D35" s="135"/>
      <c r="E35" s="135"/>
      <c r="F35" s="135"/>
      <c r="G35" s="135"/>
      <c r="H35" s="135">
        <v>1</v>
      </c>
      <c r="I35" s="136"/>
      <c r="J35" s="41">
        <f t="shared" si="0"/>
        <v>0</v>
      </c>
      <c r="K35" s="18" t="s">
        <v>26</v>
      </c>
      <c r="L35" s="37">
        <v>4000</v>
      </c>
    </row>
    <row r="36" spans="2:12" ht="13.8" thickBot="1" x14ac:dyDescent="0.3">
      <c r="B36" s="57"/>
      <c r="C36" s="58"/>
      <c r="D36" s="58"/>
      <c r="E36" s="58"/>
      <c r="F36" s="58"/>
      <c r="G36" s="58"/>
      <c r="H36" s="58">
        <v>-1.05</v>
      </c>
      <c r="I36" s="59">
        <v>1</v>
      </c>
      <c r="J36" s="41">
        <f>SUMPRODUCT($B$30:$H$30,B36:H36)</f>
        <v>0</v>
      </c>
      <c r="K36" s="18" t="s">
        <v>26</v>
      </c>
      <c r="L36" s="36">
        <v>8000</v>
      </c>
    </row>
    <row r="37" spans="2:12" ht="14.4" thickTop="1" thickBot="1" x14ac:dyDescent="0.3">
      <c r="B37" s="137"/>
      <c r="C37" s="138"/>
      <c r="D37" s="138"/>
      <c r="E37" s="139">
        <v>1.05</v>
      </c>
      <c r="F37" s="138"/>
      <c r="G37" s="139">
        <v>1.1499999999999999</v>
      </c>
      <c r="H37" s="139">
        <v>1.3160000000000001</v>
      </c>
      <c r="I37" s="140"/>
      <c r="J37" s="133">
        <f t="shared" si="0"/>
        <v>55484</v>
      </c>
    </row>
    <row r="38" spans="2:12" ht="13.8" thickTop="1" x14ac:dyDescent="0.25"/>
    <row r="39" spans="2:12" ht="13.8" thickBot="1" x14ac:dyDescent="0.3">
      <c r="J39" s="224" t="s">
        <v>163</v>
      </c>
    </row>
    <row r="40" spans="2:12" ht="13.8" thickBot="1" x14ac:dyDescent="0.3">
      <c r="J40" s="47">
        <f>J37-8000*5</f>
        <v>15484</v>
      </c>
    </row>
  </sheetData>
  <mergeCells count="2">
    <mergeCell ref="C4:D4"/>
    <mergeCell ref="C5:F5"/>
  </mergeCells>
  <phoneticPr fontId="4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H7"/>
  <sheetViews>
    <sheetView workbookViewId="0">
      <selection activeCell="F5" sqref="F5"/>
    </sheetView>
  </sheetViews>
  <sheetFormatPr defaultRowHeight="13.2" x14ac:dyDescent="0.25"/>
  <cols>
    <col min="2" max="2" width="11" bestFit="1" customWidth="1"/>
    <col min="3" max="4" width="11.44140625" bestFit="1" customWidth="1"/>
    <col min="5" max="5" width="12" bestFit="1" customWidth="1"/>
    <col min="6" max="6" width="17.33203125" bestFit="1" customWidth="1"/>
    <col min="7" max="7" width="2.109375" bestFit="1" customWidth="1"/>
    <col min="8" max="8" width="21.5546875" bestFit="1" customWidth="1"/>
  </cols>
  <sheetData>
    <row r="2" spans="2:8" ht="13.8" thickBot="1" x14ac:dyDescent="0.3">
      <c r="C2" s="211" t="s">
        <v>38</v>
      </c>
      <c r="D2" s="212" t="s">
        <v>39</v>
      </c>
      <c r="E2" s="212" t="s">
        <v>40</v>
      </c>
      <c r="F2" s="210" t="s">
        <v>41</v>
      </c>
      <c r="G2" s="18"/>
      <c r="H2" s="207" t="s">
        <v>42</v>
      </c>
    </row>
    <row r="3" spans="2:8" ht="14.4" thickTop="1" thickBot="1" x14ac:dyDescent="0.3">
      <c r="C3" s="85">
        <v>12</v>
      </c>
      <c r="D3" s="86">
        <v>36</v>
      </c>
      <c r="E3" s="87">
        <v>201.33333333333334</v>
      </c>
      <c r="F3" s="18"/>
      <c r="G3" s="18"/>
      <c r="H3" s="18"/>
    </row>
    <row r="4" spans="2:8" ht="14.4" thickTop="1" thickBot="1" x14ac:dyDescent="0.3">
      <c r="B4" s="44" t="s">
        <v>37</v>
      </c>
      <c r="C4" s="67">
        <v>0.2</v>
      </c>
      <c r="D4" s="68">
        <v>0.2</v>
      </c>
      <c r="E4" s="69">
        <v>0.3</v>
      </c>
      <c r="F4" s="132">
        <f>SUMPRODUCT(Occupied,Shelf_Space)</f>
        <v>70</v>
      </c>
      <c r="G4" s="18" t="s">
        <v>43</v>
      </c>
      <c r="H4" s="95">
        <v>70</v>
      </c>
    </row>
    <row r="5" spans="2:8" ht="13.8" thickBot="1" x14ac:dyDescent="0.3">
      <c r="B5" s="46" t="s">
        <v>34</v>
      </c>
      <c r="C5" s="60">
        <v>19</v>
      </c>
      <c r="D5" s="61">
        <v>10</v>
      </c>
      <c r="E5" s="62">
        <v>3</v>
      </c>
      <c r="F5" s="47">
        <f>SUMPRODUCT(Occupied,StorageCost)</f>
        <v>1192</v>
      </c>
    </row>
    <row r="6" spans="2:8" x14ac:dyDescent="0.25">
      <c r="C6" s="127" t="s">
        <v>27</v>
      </c>
      <c r="D6" s="129" t="s">
        <v>27</v>
      </c>
      <c r="E6" s="18"/>
    </row>
    <row r="7" spans="2:8" x14ac:dyDescent="0.25">
      <c r="B7" s="43" t="s">
        <v>20</v>
      </c>
      <c r="C7" s="113">
        <v>12</v>
      </c>
      <c r="D7" s="93">
        <f>48-C7</f>
        <v>36</v>
      </c>
      <c r="E7" s="94">
        <v>0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K7"/>
  <sheetViews>
    <sheetView workbookViewId="0">
      <selection activeCell="K5" sqref="K5"/>
    </sheetView>
  </sheetViews>
  <sheetFormatPr defaultRowHeight="13.2" x14ac:dyDescent="0.25"/>
  <cols>
    <col min="2" max="2" width="10.5546875" bestFit="1" customWidth="1"/>
    <col min="3" max="3" width="21.5546875" bestFit="1" customWidth="1"/>
    <col min="4" max="4" width="20.5546875" bestFit="1" customWidth="1"/>
    <col min="5" max="5" width="15.44140625" bestFit="1" customWidth="1"/>
    <col min="6" max="6" width="3.33203125" bestFit="1" customWidth="1"/>
    <col min="7" max="7" width="19.6640625" bestFit="1" customWidth="1"/>
    <col min="8" max="8" width="7.44140625" bestFit="1" customWidth="1"/>
    <col min="10" max="10" width="26.6640625" bestFit="1" customWidth="1"/>
    <col min="11" max="11" width="45.33203125" bestFit="1" customWidth="1"/>
  </cols>
  <sheetData>
    <row r="2" spans="2:11" ht="13.8" thickBot="1" x14ac:dyDescent="0.3">
      <c r="C2" s="211" t="s">
        <v>172</v>
      </c>
      <c r="D2" s="212" t="s">
        <v>173</v>
      </c>
      <c r="E2" s="210" t="s">
        <v>24</v>
      </c>
      <c r="F2" s="18"/>
      <c r="G2" s="207" t="s">
        <v>25</v>
      </c>
    </row>
    <row r="3" spans="2:11" ht="14.4" thickTop="1" thickBot="1" x14ac:dyDescent="0.3">
      <c r="C3" s="85">
        <v>22.352941176470587</v>
      </c>
      <c r="D3" s="87">
        <v>14.117647058823529</v>
      </c>
      <c r="E3" s="18"/>
      <c r="F3" s="18"/>
      <c r="G3" s="18"/>
      <c r="J3" s="44" t="s">
        <v>49</v>
      </c>
      <c r="K3" s="48">
        <f>6*E4+2*E5</f>
        <v>7270.5882352941171</v>
      </c>
    </row>
    <row r="4" spans="2:11" ht="13.8" thickTop="1" x14ac:dyDescent="0.25">
      <c r="B4" s="44" t="s">
        <v>44</v>
      </c>
      <c r="C4" s="114">
        <v>25</v>
      </c>
      <c r="D4" s="56">
        <v>25</v>
      </c>
      <c r="E4" s="48">
        <f>SUMPRODUCT(CarpetProduced,Wool)</f>
        <v>911.76470588235293</v>
      </c>
      <c r="F4" s="18" t="s">
        <v>26</v>
      </c>
      <c r="G4" s="35">
        <v>1800</v>
      </c>
      <c r="H4" s="44" t="s">
        <v>47</v>
      </c>
      <c r="J4" s="45" t="s">
        <v>52</v>
      </c>
      <c r="K4" s="49">
        <f>4*C6*C3+4*D6*D3</f>
        <v>2800</v>
      </c>
    </row>
    <row r="5" spans="2:11" ht="13.8" thickBot="1" x14ac:dyDescent="0.3">
      <c r="B5" s="45" t="s">
        <v>45</v>
      </c>
      <c r="C5" s="115">
        <v>15</v>
      </c>
      <c r="D5" s="59">
        <v>40</v>
      </c>
      <c r="E5" s="49">
        <f>SUMPRODUCT(CarpetProduced,Nylon)</f>
        <v>900</v>
      </c>
      <c r="F5" s="18" t="s">
        <v>26</v>
      </c>
      <c r="G5" s="36">
        <v>900</v>
      </c>
      <c r="H5" s="46" t="s">
        <v>48</v>
      </c>
      <c r="J5" s="125" t="s">
        <v>50</v>
      </c>
      <c r="K5" s="124" t="s">
        <v>51</v>
      </c>
    </row>
    <row r="6" spans="2:11" ht="13.8" thickBot="1" x14ac:dyDescent="0.3">
      <c r="B6" s="45" t="s">
        <v>46</v>
      </c>
      <c r="C6" s="115">
        <v>25</v>
      </c>
      <c r="D6" s="59">
        <v>10</v>
      </c>
      <c r="E6" s="42">
        <f>SUMPRODUCT(CarpetProduced,Work_Hour)</f>
        <v>700</v>
      </c>
      <c r="G6" s="37">
        <v>700</v>
      </c>
      <c r="J6" s="126"/>
      <c r="K6" s="47">
        <f>E7-K3-K4</f>
        <v>14870.588235294119</v>
      </c>
    </row>
    <row r="7" spans="2:11" x14ac:dyDescent="0.25">
      <c r="B7" s="46" t="s">
        <v>19</v>
      </c>
      <c r="C7" s="116">
        <v>800</v>
      </c>
      <c r="D7" s="66">
        <v>500</v>
      </c>
      <c r="E7" s="20">
        <f>SUMPRODUCT(CarpetProduced,CarpetProfits)</f>
        <v>24941.176470588234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6:G11"/>
  <sheetViews>
    <sheetView workbookViewId="0">
      <selection activeCell="D11" sqref="D11"/>
    </sheetView>
  </sheetViews>
  <sheetFormatPr defaultRowHeight="13.2" x14ac:dyDescent="0.25"/>
  <cols>
    <col min="2" max="2" width="14.88671875" bestFit="1" customWidth="1"/>
    <col min="3" max="3" width="15.5546875" bestFit="1" customWidth="1"/>
    <col min="4" max="4" width="21.109375" bestFit="1" customWidth="1"/>
    <col min="5" max="5" width="13.88671875" bestFit="1" customWidth="1"/>
    <col min="6" max="6" width="3.21875" bestFit="1" customWidth="1"/>
    <col min="7" max="7" width="7" bestFit="1" customWidth="1"/>
  </cols>
  <sheetData>
    <row r="6" spans="2:7" ht="13.8" thickBot="1" x14ac:dyDescent="0.3">
      <c r="C6" s="110" t="s">
        <v>54</v>
      </c>
      <c r="D6" s="111" t="s">
        <v>55</v>
      </c>
      <c r="E6" s="213" t="s">
        <v>57</v>
      </c>
      <c r="F6" s="18"/>
    </row>
    <row r="7" spans="2:7" ht="14.4" thickTop="1" thickBot="1" x14ac:dyDescent="0.3">
      <c r="C7" s="117">
        <v>857000</v>
      </c>
      <c r="D7" s="101">
        <v>113000</v>
      </c>
      <c r="E7" s="198">
        <f>SUM(Invested)</f>
        <v>970000</v>
      </c>
      <c r="F7" s="18" t="s">
        <v>43</v>
      </c>
      <c r="G7" s="95">
        <v>970000</v>
      </c>
    </row>
    <row r="8" spans="2:7" ht="14.4" thickTop="1" thickBot="1" x14ac:dyDescent="0.3">
      <c r="C8" s="96">
        <v>1</v>
      </c>
      <c r="D8" s="97">
        <v>-4</v>
      </c>
      <c r="E8" s="253">
        <f>SUMPRODUCT(Invested,C8:D8)</f>
        <v>405000</v>
      </c>
      <c r="F8" s="18" t="s">
        <v>27</v>
      </c>
      <c r="G8" s="170">
        <v>0</v>
      </c>
    </row>
    <row r="9" spans="2:7" ht="14.4" thickTop="1" thickBot="1" x14ac:dyDescent="0.3">
      <c r="B9" s="43" t="s">
        <v>53</v>
      </c>
      <c r="C9" s="96">
        <v>0.35</v>
      </c>
      <c r="D9" s="97">
        <v>0.1</v>
      </c>
      <c r="E9" s="98">
        <f>SUMPRODUCT(Invested,Return)</f>
        <v>311250</v>
      </c>
      <c r="F9" s="23"/>
    </row>
    <row r="10" spans="2:7" ht="13.8" thickTop="1" x14ac:dyDescent="0.25">
      <c r="C10" s="29" t="s">
        <v>27</v>
      </c>
      <c r="D10" s="29" t="s">
        <v>27</v>
      </c>
    </row>
    <row r="11" spans="2:7" x14ac:dyDescent="0.25">
      <c r="B11" s="43" t="s">
        <v>56</v>
      </c>
      <c r="C11" s="92">
        <v>113000</v>
      </c>
      <c r="D11" s="94">
        <v>113000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2:AE16"/>
  <sheetViews>
    <sheetView workbookViewId="0">
      <selection activeCell="S7" sqref="S7"/>
    </sheetView>
  </sheetViews>
  <sheetFormatPr defaultRowHeight="13.2" x14ac:dyDescent="0.25"/>
  <cols>
    <col min="1" max="1" width="9" customWidth="1"/>
    <col min="2" max="2" width="6.5546875" bestFit="1" customWidth="1"/>
    <col min="3" max="6" width="5.44140625" bestFit="1" customWidth="1"/>
    <col min="7" max="7" width="3.33203125" bestFit="1" customWidth="1"/>
    <col min="8" max="8" width="3" bestFit="1" customWidth="1"/>
    <col min="9" max="9" width="3" style="23" customWidth="1"/>
    <col min="10" max="10" width="3" bestFit="1" customWidth="1"/>
    <col min="11" max="11" width="15.88671875" bestFit="1" customWidth="1"/>
    <col min="13" max="13" width="8.88671875" customWidth="1"/>
    <col min="14" max="14" width="2.5546875" bestFit="1" customWidth="1"/>
    <col min="15" max="15" width="10.109375" bestFit="1" customWidth="1"/>
    <col min="16" max="16" width="3.33203125" bestFit="1" customWidth="1"/>
    <col min="17" max="17" width="3" bestFit="1" customWidth="1"/>
    <col min="18" max="18" width="8.88671875" customWidth="1"/>
    <col min="19" max="19" width="16.109375" bestFit="1" customWidth="1"/>
    <col min="20" max="20" width="8.88671875" customWidth="1"/>
    <col min="21" max="28" width="3" bestFit="1" customWidth="1"/>
    <col min="29" max="29" width="4" bestFit="1" customWidth="1"/>
    <col min="30" max="31" width="3" bestFit="1" customWidth="1"/>
  </cols>
  <sheetData>
    <row r="2" spans="2:31" x14ac:dyDescent="0.25">
      <c r="B2" s="141"/>
      <c r="C2" s="149" t="s">
        <v>174</v>
      </c>
      <c r="D2" s="149" t="s">
        <v>175</v>
      </c>
      <c r="E2" s="149" t="s">
        <v>176</v>
      </c>
      <c r="F2" s="149" t="s">
        <v>177</v>
      </c>
      <c r="G2" s="144"/>
      <c r="H2" s="145"/>
      <c r="I2" s="170"/>
      <c r="J2" s="150" t="s">
        <v>60</v>
      </c>
      <c r="K2" s="151" t="s">
        <v>126</v>
      </c>
      <c r="N2" s="120" t="s">
        <v>68</v>
      </c>
      <c r="O2" s="121" t="s">
        <v>136</v>
      </c>
      <c r="P2" s="121" t="s">
        <v>26</v>
      </c>
      <c r="Q2" s="122">
        <v>43</v>
      </c>
      <c r="U2" s="18"/>
    </row>
    <row r="3" spans="2:31" x14ac:dyDescent="0.25">
      <c r="B3" s="149" t="s">
        <v>178</v>
      </c>
      <c r="C3" s="149" t="s">
        <v>60</v>
      </c>
      <c r="D3" s="149" t="s">
        <v>182</v>
      </c>
      <c r="E3" s="149" t="s">
        <v>61</v>
      </c>
      <c r="F3" s="149" t="s">
        <v>182</v>
      </c>
      <c r="G3" s="30" t="s">
        <v>26</v>
      </c>
      <c r="H3" s="95">
        <v>43</v>
      </c>
      <c r="I3" s="170"/>
      <c r="J3" s="152" t="s">
        <v>61</v>
      </c>
      <c r="K3" s="153" t="s">
        <v>127</v>
      </c>
      <c r="N3" s="18"/>
      <c r="Q3" s="18"/>
    </row>
    <row r="4" spans="2:31" ht="13.8" thickBot="1" x14ac:dyDescent="0.3">
      <c r="B4" s="149" t="s">
        <v>179</v>
      </c>
      <c r="C4" s="149" t="s">
        <v>182</v>
      </c>
      <c r="D4" s="149" t="s">
        <v>62</v>
      </c>
      <c r="E4" s="149" t="s">
        <v>182</v>
      </c>
      <c r="F4" s="149" t="s">
        <v>63</v>
      </c>
      <c r="G4" s="30" t="s">
        <v>26</v>
      </c>
      <c r="H4" s="95">
        <v>40</v>
      </c>
      <c r="I4" s="170"/>
      <c r="J4" s="152" t="s">
        <v>62</v>
      </c>
      <c r="K4" s="153" t="s">
        <v>128</v>
      </c>
      <c r="N4" s="120" t="s">
        <v>69</v>
      </c>
      <c r="O4" s="121" t="s">
        <v>137</v>
      </c>
      <c r="P4" s="121" t="s">
        <v>26</v>
      </c>
      <c r="Q4" s="122">
        <v>40</v>
      </c>
      <c r="U4" s="103" t="s">
        <v>60</v>
      </c>
      <c r="V4" s="104" t="s">
        <v>61</v>
      </c>
      <c r="W4" s="104" t="s">
        <v>62</v>
      </c>
      <c r="X4" s="104" t="s">
        <v>63</v>
      </c>
      <c r="Y4" s="104" t="s">
        <v>88</v>
      </c>
      <c r="Z4" s="104" t="s">
        <v>89</v>
      </c>
      <c r="AA4" s="104" t="s">
        <v>134</v>
      </c>
      <c r="AB4" s="105" t="s">
        <v>135</v>
      </c>
    </row>
    <row r="5" spans="2:31" ht="13.8" thickTop="1" x14ac:dyDescent="0.25">
      <c r="B5" s="149" t="s">
        <v>180</v>
      </c>
      <c r="C5" s="149" t="s">
        <v>182</v>
      </c>
      <c r="D5" s="149" t="s">
        <v>88</v>
      </c>
      <c r="E5" s="149" t="s">
        <v>89</v>
      </c>
      <c r="F5" s="149" t="s">
        <v>182</v>
      </c>
      <c r="G5" s="30" t="s">
        <v>26</v>
      </c>
      <c r="H5" s="95">
        <v>16</v>
      </c>
      <c r="I5" s="170"/>
      <c r="J5" s="152" t="s">
        <v>63</v>
      </c>
      <c r="K5" s="153" t="s">
        <v>129</v>
      </c>
      <c r="N5" s="18"/>
      <c r="Q5" s="18"/>
      <c r="U5" s="158">
        <v>19</v>
      </c>
      <c r="V5" s="159">
        <v>24</v>
      </c>
      <c r="W5" s="159">
        <v>3</v>
      </c>
      <c r="X5" s="159">
        <v>37</v>
      </c>
      <c r="Y5" s="159">
        <v>16</v>
      </c>
      <c r="Z5" s="159">
        <v>0</v>
      </c>
      <c r="AA5" s="159">
        <v>23</v>
      </c>
      <c r="AB5" s="160">
        <v>4</v>
      </c>
    </row>
    <row r="6" spans="2:31" x14ac:dyDescent="0.25">
      <c r="B6" s="149" t="s">
        <v>181</v>
      </c>
      <c r="C6" s="149" t="s">
        <v>182</v>
      </c>
      <c r="D6" s="149" t="s">
        <v>182</v>
      </c>
      <c r="E6" s="149" t="s">
        <v>134</v>
      </c>
      <c r="F6" s="149" t="s">
        <v>135</v>
      </c>
      <c r="G6" s="30" t="s">
        <v>26</v>
      </c>
      <c r="H6" s="95">
        <v>27</v>
      </c>
      <c r="I6" s="170"/>
      <c r="J6" s="152" t="s">
        <v>88</v>
      </c>
      <c r="K6" s="153" t="s">
        <v>130</v>
      </c>
      <c r="N6" s="120" t="s">
        <v>70</v>
      </c>
      <c r="O6" s="121" t="s">
        <v>138</v>
      </c>
      <c r="P6" s="121" t="s">
        <v>26</v>
      </c>
      <c r="Q6" s="122">
        <v>16</v>
      </c>
      <c r="U6" s="89">
        <v>1</v>
      </c>
      <c r="V6" s="90">
        <v>1</v>
      </c>
      <c r="W6" s="90"/>
      <c r="X6" s="90"/>
      <c r="Y6" s="90"/>
      <c r="Z6" s="90"/>
      <c r="AA6" s="90"/>
      <c r="AB6" s="91"/>
      <c r="AC6" s="40" t="s">
        <v>26</v>
      </c>
      <c r="AD6" s="18">
        <f t="shared" ref="AD6:AD13" si="0">SUMPRODUCT($U$5:$AB$5,U6:AB6)</f>
        <v>43</v>
      </c>
      <c r="AE6" s="35">
        <v>43</v>
      </c>
    </row>
    <row r="7" spans="2:31" x14ac:dyDescent="0.25">
      <c r="B7" s="142"/>
      <c r="C7" s="31" t="s">
        <v>26</v>
      </c>
      <c r="D7" s="31" t="s">
        <v>26</v>
      </c>
      <c r="E7" s="31" t="s">
        <v>26</v>
      </c>
      <c r="F7" s="31" t="s">
        <v>26</v>
      </c>
      <c r="G7" s="146"/>
      <c r="H7" s="147"/>
      <c r="I7" s="170"/>
      <c r="J7" s="152" t="s">
        <v>89</v>
      </c>
      <c r="K7" s="153" t="s">
        <v>131</v>
      </c>
      <c r="N7" s="18"/>
      <c r="Q7" s="18"/>
      <c r="R7" s="18"/>
      <c r="S7" s="22" t="s">
        <v>183</v>
      </c>
      <c r="U7" s="57"/>
      <c r="V7" s="58"/>
      <c r="W7" s="58">
        <v>1</v>
      </c>
      <c r="X7" s="58">
        <v>1</v>
      </c>
      <c r="Y7" s="58"/>
      <c r="Z7" s="58"/>
      <c r="AA7" s="58"/>
      <c r="AB7" s="59"/>
      <c r="AC7" s="41" t="s">
        <v>26</v>
      </c>
      <c r="AD7" s="18">
        <f t="shared" si="0"/>
        <v>40</v>
      </c>
      <c r="AE7" s="36">
        <v>40</v>
      </c>
    </row>
    <row r="8" spans="2:31" x14ac:dyDescent="0.25">
      <c r="B8" s="143"/>
      <c r="C8" s="95">
        <v>19</v>
      </c>
      <c r="D8" s="95">
        <v>19</v>
      </c>
      <c r="E8" s="95">
        <v>47</v>
      </c>
      <c r="F8" s="95">
        <v>41</v>
      </c>
      <c r="G8" s="148"/>
      <c r="H8" s="3"/>
      <c r="I8" s="170"/>
      <c r="J8" s="152" t="s">
        <v>134</v>
      </c>
      <c r="K8" s="153" t="s">
        <v>132</v>
      </c>
      <c r="N8" s="120" t="s">
        <v>71</v>
      </c>
      <c r="O8" s="121" t="s">
        <v>139</v>
      </c>
      <c r="P8" s="121" t="s">
        <v>26</v>
      </c>
      <c r="Q8" s="122">
        <v>27</v>
      </c>
      <c r="U8" s="57"/>
      <c r="V8" s="58"/>
      <c r="W8" s="58"/>
      <c r="X8" s="58"/>
      <c r="Y8" s="58">
        <v>1</v>
      </c>
      <c r="Z8" s="58">
        <v>1</v>
      </c>
      <c r="AA8" s="58"/>
      <c r="AB8" s="59"/>
      <c r="AC8" s="41" t="s">
        <v>26</v>
      </c>
      <c r="AD8" s="18">
        <f t="shared" si="0"/>
        <v>16</v>
      </c>
      <c r="AE8" s="36">
        <v>16</v>
      </c>
    </row>
    <row r="9" spans="2:31" x14ac:dyDescent="0.25">
      <c r="J9" s="154" t="s">
        <v>135</v>
      </c>
      <c r="K9" s="155" t="s">
        <v>133</v>
      </c>
      <c r="N9" s="18"/>
      <c r="Q9" s="18"/>
      <c r="U9" s="57"/>
      <c r="V9" s="58"/>
      <c r="W9" s="58"/>
      <c r="X9" s="58"/>
      <c r="Y9" s="58"/>
      <c r="Z9" s="58"/>
      <c r="AA9" s="58">
        <v>1</v>
      </c>
      <c r="AB9" s="59">
        <v>1</v>
      </c>
      <c r="AC9" s="41" t="s">
        <v>26</v>
      </c>
      <c r="AD9" s="18">
        <f t="shared" si="0"/>
        <v>27</v>
      </c>
      <c r="AE9" s="36">
        <v>27</v>
      </c>
    </row>
    <row r="10" spans="2:31" x14ac:dyDescent="0.25">
      <c r="N10" s="120" t="s">
        <v>103</v>
      </c>
      <c r="O10" s="121" t="s">
        <v>60</v>
      </c>
      <c r="P10" s="121" t="s">
        <v>26</v>
      </c>
      <c r="Q10" s="122">
        <v>19</v>
      </c>
      <c r="U10" s="57">
        <v>1</v>
      </c>
      <c r="V10" s="58"/>
      <c r="W10" s="58"/>
      <c r="X10" s="58"/>
      <c r="Y10" s="58"/>
      <c r="Z10" s="58"/>
      <c r="AA10" s="58"/>
      <c r="AB10" s="59"/>
      <c r="AC10" s="41" t="s">
        <v>26</v>
      </c>
      <c r="AD10" s="18">
        <f t="shared" si="0"/>
        <v>19</v>
      </c>
      <c r="AE10" s="36">
        <v>19</v>
      </c>
    </row>
    <row r="11" spans="2:31" x14ac:dyDescent="0.25">
      <c r="N11" s="18"/>
      <c r="Q11" s="18"/>
      <c r="U11" s="57"/>
      <c r="V11" s="58"/>
      <c r="W11" s="58">
        <v>1</v>
      </c>
      <c r="X11" s="58"/>
      <c r="Y11" s="58">
        <v>1</v>
      </c>
      <c r="Z11" s="58"/>
      <c r="AA11" s="58"/>
      <c r="AB11" s="59"/>
      <c r="AC11" s="41" t="s">
        <v>26</v>
      </c>
      <c r="AD11" s="18">
        <f t="shared" si="0"/>
        <v>19</v>
      </c>
      <c r="AE11" s="36">
        <v>19</v>
      </c>
    </row>
    <row r="12" spans="2:31" x14ac:dyDescent="0.25">
      <c r="N12" s="120" t="s">
        <v>104</v>
      </c>
      <c r="O12" s="121" t="s">
        <v>140</v>
      </c>
      <c r="P12" s="121" t="s">
        <v>26</v>
      </c>
      <c r="Q12" s="122">
        <v>19</v>
      </c>
      <c r="U12" s="57"/>
      <c r="V12" s="58">
        <v>1</v>
      </c>
      <c r="W12" s="58"/>
      <c r="X12" s="58"/>
      <c r="Y12" s="58"/>
      <c r="Z12" s="58">
        <v>1</v>
      </c>
      <c r="AA12" s="58">
        <v>1</v>
      </c>
      <c r="AB12" s="59"/>
      <c r="AC12" s="41" t="s">
        <v>26</v>
      </c>
      <c r="AD12" s="18">
        <f t="shared" si="0"/>
        <v>47</v>
      </c>
      <c r="AE12" s="36">
        <v>47</v>
      </c>
    </row>
    <row r="13" spans="2:31" ht="13.8" thickBot="1" x14ac:dyDescent="0.3">
      <c r="N13" s="18"/>
      <c r="Q13" s="18"/>
      <c r="U13" s="60"/>
      <c r="V13" s="61"/>
      <c r="W13" s="61"/>
      <c r="X13" s="61">
        <v>1</v>
      </c>
      <c r="Y13" s="61"/>
      <c r="Z13" s="61"/>
      <c r="AA13" s="61"/>
      <c r="AB13" s="66">
        <v>1</v>
      </c>
      <c r="AC13" s="161" t="s">
        <v>26</v>
      </c>
      <c r="AD13" s="18">
        <f t="shared" si="0"/>
        <v>41</v>
      </c>
      <c r="AE13" s="37">
        <v>41</v>
      </c>
    </row>
    <row r="14" spans="2:31" ht="14.4" thickTop="1" thickBot="1" x14ac:dyDescent="0.3">
      <c r="N14" s="120" t="s">
        <v>114</v>
      </c>
      <c r="O14" s="121" t="s">
        <v>142</v>
      </c>
      <c r="P14" s="121" t="s">
        <v>26</v>
      </c>
      <c r="Q14" s="122">
        <v>47</v>
      </c>
      <c r="AC14" s="98">
        <f>SUM(U5:AB5)</f>
        <v>126</v>
      </c>
    </row>
    <row r="15" spans="2:31" ht="13.8" thickTop="1" x14ac:dyDescent="0.25">
      <c r="N15" s="18"/>
      <c r="Q15" s="18"/>
    </row>
    <row r="16" spans="2:31" x14ac:dyDescent="0.25">
      <c r="N16" s="120" t="s">
        <v>116</v>
      </c>
      <c r="O16" s="121" t="s">
        <v>141</v>
      </c>
      <c r="P16" s="121" t="s">
        <v>26</v>
      </c>
      <c r="Q16" s="122">
        <v>41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2:Q24"/>
  <sheetViews>
    <sheetView workbookViewId="0">
      <selection activeCell="N12" sqref="N12"/>
    </sheetView>
  </sheetViews>
  <sheetFormatPr defaultRowHeight="13.2" x14ac:dyDescent="0.25"/>
  <cols>
    <col min="1" max="1" width="21.6640625" bestFit="1" customWidth="1"/>
    <col min="2" max="2" width="3" bestFit="1" customWidth="1"/>
    <col min="3" max="3" width="8.88671875" customWidth="1"/>
    <col min="4" max="4" width="2.5546875" bestFit="1" customWidth="1"/>
    <col min="5" max="5" width="15.88671875" bestFit="1" customWidth="1"/>
    <col min="6" max="6" width="3.33203125" bestFit="1" customWidth="1"/>
    <col min="7" max="7" width="17.44140625" bestFit="1" customWidth="1"/>
    <col min="9" max="9" width="8.88671875" customWidth="1"/>
    <col min="10" max="10" width="6.5546875" bestFit="1" customWidth="1"/>
    <col min="11" max="12" width="5" bestFit="1" customWidth="1"/>
    <col min="13" max="13" width="5.5546875" bestFit="1" customWidth="1"/>
    <col min="14" max="14" width="12.5546875" bestFit="1" customWidth="1"/>
    <col min="15" max="15" width="3.33203125" bestFit="1" customWidth="1"/>
    <col min="16" max="16" width="4" bestFit="1" customWidth="1"/>
    <col min="17" max="17" width="19.6640625" bestFit="1" customWidth="1"/>
    <col min="18" max="18" width="18.33203125" bestFit="1" customWidth="1"/>
    <col min="20" max="20" width="2.6640625" bestFit="1" customWidth="1"/>
    <col min="21" max="21" width="2.33203125" bestFit="1" customWidth="1"/>
    <col min="22" max="22" width="3.33203125" bestFit="1" customWidth="1"/>
    <col min="23" max="23" width="4" bestFit="1" customWidth="1"/>
  </cols>
  <sheetData>
    <row r="2" spans="1:17" ht="13.8" thickBot="1" x14ac:dyDescent="0.3">
      <c r="A2" s="162" t="s">
        <v>58</v>
      </c>
      <c r="B2" s="163" t="s">
        <v>60</v>
      </c>
      <c r="D2" s="18" t="s">
        <v>68</v>
      </c>
      <c r="E2" s="18" t="s">
        <v>62</v>
      </c>
      <c r="F2" s="18" t="s">
        <v>27</v>
      </c>
      <c r="G2" s="18" t="s">
        <v>65</v>
      </c>
      <c r="J2" s="110" t="s">
        <v>60</v>
      </c>
      <c r="K2" s="111" t="s">
        <v>61</v>
      </c>
      <c r="L2" s="111" t="s">
        <v>62</v>
      </c>
      <c r="M2" s="112" t="s">
        <v>63</v>
      </c>
      <c r="N2" s="18"/>
      <c r="Q2" s="207" t="s">
        <v>25</v>
      </c>
    </row>
    <row r="3" spans="1:17" ht="14.4" thickTop="1" thickBot="1" x14ac:dyDescent="0.3">
      <c r="A3" s="73" t="s">
        <v>79</v>
      </c>
      <c r="B3" s="164" t="s">
        <v>61</v>
      </c>
      <c r="J3" s="167">
        <v>199.99999999999997</v>
      </c>
      <c r="K3" s="156">
        <v>48.000000000000028</v>
      </c>
      <c r="L3" s="156">
        <v>300</v>
      </c>
      <c r="M3" s="157">
        <v>200</v>
      </c>
    </row>
    <row r="4" spans="1:17" ht="13.8" thickTop="1" x14ac:dyDescent="0.25">
      <c r="A4" s="73" t="s">
        <v>80</v>
      </c>
      <c r="B4" s="164" t="s">
        <v>62</v>
      </c>
      <c r="E4" s="22" t="s">
        <v>72</v>
      </c>
      <c r="J4" s="168">
        <v>0.4</v>
      </c>
      <c r="K4" s="55">
        <v>0.4</v>
      </c>
      <c r="L4" s="55">
        <v>-0.6</v>
      </c>
      <c r="M4" s="56">
        <v>0.4</v>
      </c>
      <c r="N4" s="48">
        <f t="shared" ref="N4:N12" si="0">SUMPRODUCT(IngredientsProduced,J4:M4)</f>
        <v>-0.79999999999998295</v>
      </c>
      <c r="O4" s="18" t="s">
        <v>26</v>
      </c>
      <c r="P4" s="38">
        <v>0</v>
      </c>
      <c r="Q4" s="148"/>
    </row>
    <row r="5" spans="1:17" x14ac:dyDescent="0.25">
      <c r="A5" s="73" t="s">
        <v>81</v>
      </c>
      <c r="B5" s="164" t="s">
        <v>63</v>
      </c>
      <c r="J5" s="57">
        <v>-3</v>
      </c>
      <c r="K5" s="58">
        <v>1</v>
      </c>
      <c r="L5" s="58">
        <v>0</v>
      </c>
      <c r="M5" s="59">
        <v>0</v>
      </c>
      <c r="N5" s="199">
        <f t="shared" si="0"/>
        <v>-551.99999999999989</v>
      </c>
      <c r="O5" s="18" t="s">
        <v>26</v>
      </c>
      <c r="P5" s="169">
        <v>0</v>
      </c>
      <c r="Q5" s="148"/>
    </row>
    <row r="6" spans="1:17" x14ac:dyDescent="0.25">
      <c r="A6" s="165" t="s">
        <v>59</v>
      </c>
      <c r="B6" s="166" t="s">
        <v>64</v>
      </c>
      <c r="E6" s="246" t="s">
        <v>73</v>
      </c>
      <c r="F6" s="247"/>
      <c r="G6" s="247"/>
      <c r="H6" s="248"/>
      <c r="J6" s="57">
        <v>0.15</v>
      </c>
      <c r="K6" s="58">
        <v>0.15</v>
      </c>
      <c r="L6" s="58">
        <v>0.15</v>
      </c>
      <c r="M6" s="59">
        <v>-0.85</v>
      </c>
      <c r="N6" s="49">
        <f t="shared" si="0"/>
        <v>-87.800000000000011</v>
      </c>
      <c r="O6" s="18" t="s">
        <v>26</v>
      </c>
      <c r="P6" s="169">
        <v>0</v>
      </c>
      <c r="Q6" s="144"/>
    </row>
    <row r="7" spans="1:17" x14ac:dyDescent="0.25">
      <c r="J7" s="57">
        <v>1</v>
      </c>
      <c r="K7" s="58">
        <v>0</v>
      </c>
      <c r="L7" s="58">
        <v>0</v>
      </c>
      <c r="M7" s="59">
        <v>0</v>
      </c>
      <c r="N7" s="49">
        <f t="shared" si="0"/>
        <v>199.99999999999997</v>
      </c>
      <c r="O7" s="18" t="s">
        <v>26</v>
      </c>
      <c r="P7" s="36">
        <v>200</v>
      </c>
      <c r="Q7" s="223" t="s">
        <v>121</v>
      </c>
    </row>
    <row r="8" spans="1:17" x14ac:dyDescent="0.25">
      <c r="A8" s="18"/>
      <c r="D8" s="18" t="s">
        <v>69</v>
      </c>
      <c r="E8" s="18" t="s">
        <v>60</v>
      </c>
      <c r="F8" s="18" t="s">
        <v>26</v>
      </c>
      <c r="G8" s="18" t="s">
        <v>66</v>
      </c>
      <c r="J8" s="57">
        <v>0</v>
      </c>
      <c r="K8" s="58">
        <v>1</v>
      </c>
      <c r="L8" s="58">
        <v>0</v>
      </c>
      <c r="M8" s="59">
        <v>0</v>
      </c>
      <c r="N8" s="49">
        <f t="shared" si="0"/>
        <v>48.000000000000028</v>
      </c>
      <c r="O8" s="18" t="s">
        <v>26</v>
      </c>
      <c r="P8" s="36">
        <v>200</v>
      </c>
      <c r="Q8" s="41" t="s">
        <v>122</v>
      </c>
    </row>
    <row r="9" spans="1:17" x14ac:dyDescent="0.25">
      <c r="J9" s="57">
        <v>0</v>
      </c>
      <c r="K9" s="58">
        <v>0</v>
      </c>
      <c r="L9" s="58">
        <v>1</v>
      </c>
      <c r="M9" s="59">
        <v>0</v>
      </c>
      <c r="N9" s="49">
        <f t="shared" si="0"/>
        <v>300</v>
      </c>
      <c r="O9" s="18" t="s">
        <v>26</v>
      </c>
      <c r="P9" s="36">
        <v>300</v>
      </c>
      <c r="Q9" s="41" t="s">
        <v>123</v>
      </c>
    </row>
    <row r="10" spans="1:17" x14ac:dyDescent="0.25">
      <c r="E10" s="22" t="s">
        <v>72</v>
      </c>
      <c r="J10" s="57">
        <v>0</v>
      </c>
      <c r="K10" s="58">
        <v>0</v>
      </c>
      <c r="L10" s="58">
        <v>0</v>
      </c>
      <c r="M10" s="59">
        <v>1</v>
      </c>
      <c r="N10" s="49">
        <f t="shared" si="0"/>
        <v>200</v>
      </c>
      <c r="O10" s="18" t="s">
        <v>26</v>
      </c>
      <c r="P10" s="36">
        <v>200</v>
      </c>
      <c r="Q10" s="41" t="s">
        <v>124</v>
      </c>
    </row>
    <row r="11" spans="1:17" ht="13.8" thickBot="1" x14ac:dyDescent="0.3">
      <c r="J11" s="57">
        <v>1</v>
      </c>
      <c r="K11" s="58">
        <v>1</v>
      </c>
      <c r="L11" s="58">
        <v>1</v>
      </c>
      <c r="M11" s="59">
        <v>1</v>
      </c>
      <c r="N11" s="50">
        <f t="shared" si="0"/>
        <v>748</v>
      </c>
      <c r="O11" s="18" t="s">
        <v>27</v>
      </c>
      <c r="P11" s="39">
        <v>748</v>
      </c>
      <c r="Q11" s="123"/>
    </row>
    <row r="12" spans="1:17" ht="13.8" thickBot="1" x14ac:dyDescent="0.3">
      <c r="E12" s="246" t="s">
        <v>74</v>
      </c>
      <c r="F12" s="247"/>
      <c r="G12" s="247"/>
      <c r="H12" s="248"/>
      <c r="J12" s="60">
        <v>0.9</v>
      </c>
      <c r="K12" s="61">
        <v>1.4</v>
      </c>
      <c r="L12" s="61">
        <v>0.9</v>
      </c>
      <c r="M12" s="62">
        <v>1.3</v>
      </c>
      <c r="N12" s="47">
        <f t="shared" si="0"/>
        <v>777.2</v>
      </c>
    </row>
    <row r="14" spans="1:17" x14ac:dyDescent="0.25">
      <c r="D14" s="18" t="s">
        <v>70</v>
      </c>
      <c r="E14" s="18" t="s">
        <v>63</v>
      </c>
      <c r="F14" s="18" t="s">
        <v>27</v>
      </c>
      <c r="G14" s="18" t="s">
        <v>67</v>
      </c>
    </row>
    <row r="16" spans="1:17" x14ac:dyDescent="0.25">
      <c r="E16" s="22" t="s">
        <v>72</v>
      </c>
    </row>
    <row r="18" spans="4:8" x14ac:dyDescent="0.25">
      <c r="E18" s="246" t="s">
        <v>75</v>
      </c>
      <c r="F18" s="247"/>
      <c r="G18" s="247"/>
      <c r="H18" s="248"/>
    </row>
    <row r="20" spans="4:8" x14ac:dyDescent="0.25">
      <c r="D20" s="18" t="s">
        <v>71</v>
      </c>
      <c r="E20" s="18" t="s">
        <v>64</v>
      </c>
      <c r="F20" s="18" t="s">
        <v>27</v>
      </c>
      <c r="G20" s="24">
        <v>748</v>
      </c>
    </row>
    <row r="22" spans="4:8" x14ac:dyDescent="0.25">
      <c r="E22" s="22" t="s">
        <v>72</v>
      </c>
    </row>
    <row r="24" spans="4:8" x14ac:dyDescent="0.25">
      <c r="E24" s="246" t="s">
        <v>76</v>
      </c>
      <c r="F24" s="247"/>
      <c r="G24" s="247"/>
      <c r="H24" s="248"/>
    </row>
  </sheetData>
  <mergeCells count="4">
    <mergeCell ref="E6:H6"/>
    <mergeCell ref="E12:H12"/>
    <mergeCell ref="E18:H18"/>
    <mergeCell ref="E24:H24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38</vt:i4>
      </vt:variant>
    </vt:vector>
  </HeadingPairs>
  <TitlesOfParts>
    <vt:vector size="50" baseType="lpstr">
      <vt:lpstr>Results</vt:lpstr>
      <vt:lpstr>Problem1</vt:lpstr>
      <vt:lpstr>Problem2</vt:lpstr>
      <vt:lpstr>Problem3</vt:lpstr>
      <vt:lpstr>Problem4</vt:lpstr>
      <vt:lpstr>Problem5</vt:lpstr>
      <vt:lpstr>Problem6</vt:lpstr>
      <vt:lpstr>Problem7</vt:lpstr>
      <vt:lpstr>Problem8</vt:lpstr>
      <vt:lpstr>Problem9</vt:lpstr>
      <vt:lpstr>Problem10</vt:lpstr>
      <vt:lpstr>10</vt:lpstr>
      <vt:lpstr>AdminNote</vt:lpstr>
      <vt:lpstr>CandleProduced</vt:lpstr>
      <vt:lpstr>CarpetProduced</vt:lpstr>
      <vt:lpstr>CarpetProfits</vt:lpstr>
      <vt:lpstr>CarpetResourcesAvailable</vt:lpstr>
      <vt:lpstr>CarpetResourcesUsed</vt:lpstr>
      <vt:lpstr>CoffeeBlend</vt:lpstr>
      <vt:lpstr>CoffeeProfit</vt:lpstr>
      <vt:lpstr>Decorating</vt:lpstr>
      <vt:lpstr>Demand</vt:lpstr>
      <vt:lpstr>First_Quality_Index</vt:lpstr>
      <vt:lpstr>FirstSolvedProblem</vt:lpstr>
      <vt:lpstr>Index_Of_Quality_Value_Max</vt:lpstr>
      <vt:lpstr>Index_of_Quality_Value_Min</vt:lpstr>
      <vt:lpstr>IngredientsProduced</vt:lpstr>
      <vt:lpstr>Invested</vt:lpstr>
      <vt:lpstr>Mark</vt:lpstr>
      <vt:lpstr>MessageToStudent</vt:lpstr>
      <vt:lpstr>Molding</vt:lpstr>
      <vt:lpstr>MProductProfits</vt:lpstr>
      <vt:lpstr>Nylon</vt:lpstr>
      <vt:lpstr>Occupied</vt:lpstr>
      <vt:lpstr>Packaging</vt:lpstr>
      <vt:lpstr>PetrolCost</vt:lpstr>
      <vt:lpstr>PetrolProduced</vt:lpstr>
      <vt:lpstr>ProductDemand</vt:lpstr>
      <vt:lpstr>Quality_Index</vt:lpstr>
      <vt:lpstr>ResourcesAvailable</vt:lpstr>
      <vt:lpstr>ResourcesUsed</vt:lpstr>
      <vt:lpstr>Return</vt:lpstr>
      <vt:lpstr>Second_Quality_Index</vt:lpstr>
      <vt:lpstr>SeriesNumber</vt:lpstr>
      <vt:lpstr>Shelf_Space</vt:lpstr>
      <vt:lpstr>Signature</vt:lpstr>
      <vt:lpstr>StorageCost</vt:lpstr>
      <vt:lpstr>StudentsID</vt:lpstr>
      <vt:lpstr>Wool</vt:lpstr>
      <vt:lpstr>Work_Hour</vt:lpstr>
    </vt:vector>
  </TitlesOfParts>
  <Company>wbs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cp:lastPrinted>2012-03-29T20:47:06Z</cp:lastPrinted>
  <dcterms:created xsi:type="dcterms:W3CDTF">2003-04-01T08:41:13Z</dcterms:created>
  <dcterms:modified xsi:type="dcterms:W3CDTF">2018-11-25T00:13:15Z</dcterms:modified>
</cp:coreProperties>
</file>