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450" windowWidth="24735" windowHeight="12360" tabRatio="978" activeTab="1"/>
  </bookViews>
  <sheets>
    <sheet name="포커스펀딩IA" sheetId="15" r:id="rId1"/>
    <sheet name="업무진행일정" sheetId="17" r:id="rId2"/>
    <sheet name="예상상환지급표" sheetId="18" r:id="rId3"/>
    <sheet name="Sheet1" sheetId="29" r:id="rId4"/>
  </sheets>
  <calcPr calcId="125725"/>
</workbook>
</file>

<file path=xl/calcChain.xml><?xml version="1.0" encoding="utf-8"?>
<calcChain xmlns="http://schemas.openxmlformats.org/spreadsheetml/2006/main">
  <c r="H14" i="18"/>
  <c r="C6" l="1"/>
  <c r="B29"/>
  <c r="C29" s="1"/>
  <c r="D51" l="1"/>
  <c r="D40" l="1"/>
  <c r="D42" l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M71"/>
  <c r="B14"/>
  <c r="C14" s="1"/>
  <c r="B15"/>
  <c r="B16"/>
  <c r="B17"/>
  <c r="C17" s="1"/>
  <c r="B18"/>
  <c r="C18" s="1"/>
  <c r="B19"/>
  <c r="C19" s="1"/>
  <c r="B20"/>
  <c r="C20" s="1"/>
  <c r="B21"/>
  <c r="C21" s="1"/>
  <c r="B22"/>
  <c r="B23"/>
  <c r="C23" s="1"/>
  <c r="B24"/>
  <c r="C24" s="1"/>
  <c r="B25"/>
  <c r="C22"/>
  <c r="J14"/>
  <c r="P14" s="1"/>
  <c r="L14" s="1"/>
  <c r="M14" s="1"/>
  <c r="J28"/>
  <c r="J27"/>
  <c r="J26"/>
  <c r="K26" s="1"/>
  <c r="J25"/>
  <c r="K25" s="1"/>
  <c r="J24"/>
  <c r="J23"/>
  <c r="J22"/>
  <c r="K22" s="1"/>
  <c r="J21"/>
  <c r="K21" s="1"/>
  <c r="J20"/>
  <c r="J19"/>
  <c r="J18"/>
  <c r="K18" s="1"/>
  <c r="J17"/>
  <c r="K17" s="1"/>
  <c r="J16"/>
  <c r="J15"/>
  <c r="B28"/>
  <c r="C28" s="1"/>
  <c r="B27"/>
  <c r="B26"/>
  <c r="C16" l="1"/>
  <c r="C15"/>
  <c r="D14"/>
  <c r="M57"/>
  <c r="K14"/>
  <c r="N14"/>
  <c r="P15"/>
  <c r="L15" s="1"/>
  <c r="M15" s="1"/>
  <c r="N15" s="1"/>
  <c r="K16"/>
  <c r="K20"/>
  <c r="K28"/>
  <c r="K24"/>
  <c r="K15"/>
  <c r="K19"/>
  <c r="K23"/>
  <c r="K27"/>
  <c r="C26"/>
  <c r="C27"/>
  <c r="C25"/>
  <c r="H15" l="1"/>
  <c r="E14"/>
  <c r="I57"/>
  <c r="D57"/>
  <c r="H57"/>
  <c r="J57" s="1"/>
  <c r="G57"/>
  <c r="E57"/>
  <c r="F57"/>
  <c r="M69"/>
  <c r="M58"/>
  <c r="P16"/>
  <c r="L16" s="1"/>
  <c r="M16" s="1"/>
  <c r="N16" s="1"/>
  <c r="O15"/>
  <c r="F14" l="1"/>
  <c r="D15"/>
  <c r="H16"/>
  <c r="D16" s="1"/>
  <c r="E16" s="1"/>
  <c r="G58"/>
  <c r="D58"/>
  <c r="L57"/>
  <c r="G14"/>
  <c r="K57"/>
  <c r="M70"/>
  <c r="D71" s="1"/>
  <c r="H58"/>
  <c r="E58"/>
  <c r="I58"/>
  <c r="F58"/>
  <c r="M59"/>
  <c r="G59" s="1"/>
  <c r="P17"/>
  <c r="P18" s="1"/>
  <c r="O14"/>
  <c r="G34" i="17"/>
  <c r="E15" i="18" l="1"/>
  <c r="H17"/>
  <c r="D17" s="1"/>
  <c r="L17"/>
  <c r="M17" s="1"/>
  <c r="N17" s="1"/>
  <c r="E70"/>
  <c r="G70"/>
  <c r="G71"/>
  <c r="L58"/>
  <c r="J58"/>
  <c r="K58" s="1"/>
  <c r="D70"/>
  <c r="I70"/>
  <c r="H70"/>
  <c r="F70"/>
  <c r="H71"/>
  <c r="F71"/>
  <c r="I71"/>
  <c r="I59"/>
  <c r="F59"/>
  <c r="H59"/>
  <c r="E71"/>
  <c r="E59"/>
  <c r="D59"/>
  <c r="M60"/>
  <c r="G60" s="1"/>
  <c r="L18"/>
  <c r="M18" s="1"/>
  <c r="N18" s="1"/>
  <c r="P19"/>
  <c r="F15" l="1"/>
  <c r="F11" s="1"/>
  <c r="H18"/>
  <c r="D18" s="1"/>
  <c r="O17"/>
  <c r="L70"/>
  <c r="L71"/>
  <c r="J70"/>
  <c r="K70" s="1"/>
  <c r="J59"/>
  <c r="K59" s="1"/>
  <c r="L59"/>
  <c r="J71"/>
  <c r="K71" s="1"/>
  <c r="H60"/>
  <c r="I60"/>
  <c r="F60"/>
  <c r="E60"/>
  <c r="D60"/>
  <c r="M61"/>
  <c r="G61" s="1"/>
  <c r="G15"/>
  <c r="O16"/>
  <c r="L19"/>
  <c r="M19" s="1"/>
  <c r="N19" s="1"/>
  <c r="P20"/>
  <c r="F16"/>
  <c r="E17"/>
  <c r="G11" l="1"/>
  <c r="H19"/>
  <c r="D19" s="1"/>
  <c r="L60"/>
  <c r="J60"/>
  <c r="K60" s="1"/>
  <c r="F61"/>
  <c r="H61"/>
  <c r="I61"/>
  <c r="E61"/>
  <c r="D61"/>
  <c r="M62"/>
  <c r="G62" s="1"/>
  <c r="L20"/>
  <c r="M20" s="1"/>
  <c r="N20" s="1"/>
  <c r="P21"/>
  <c r="O18"/>
  <c r="G16"/>
  <c r="F17"/>
  <c r="G17" s="1"/>
  <c r="E18"/>
  <c r="H20" l="1"/>
  <c r="D20" s="1"/>
  <c r="J61"/>
  <c r="K61" s="1"/>
  <c r="L61"/>
  <c r="F62"/>
  <c r="H62"/>
  <c r="I62"/>
  <c r="E62"/>
  <c r="D62"/>
  <c r="M63"/>
  <c r="G63" s="1"/>
  <c r="O19"/>
  <c r="P22"/>
  <c r="L21"/>
  <c r="M21" s="1"/>
  <c r="N21" s="1"/>
  <c r="O20"/>
  <c r="F18"/>
  <c r="G18" s="1"/>
  <c r="E19"/>
  <c r="H21" l="1"/>
  <c r="D21" s="1"/>
  <c r="L62"/>
  <c r="I63"/>
  <c r="F63"/>
  <c r="H63"/>
  <c r="J62"/>
  <c r="K62" s="1"/>
  <c r="D63"/>
  <c r="E63"/>
  <c r="M64"/>
  <c r="G64" s="1"/>
  <c r="L22"/>
  <c r="M22" s="1"/>
  <c r="N22" s="1"/>
  <c r="P23"/>
  <c r="F19"/>
  <c r="G19" s="1"/>
  <c r="E20"/>
  <c r="F20" s="1"/>
  <c r="H22" l="1"/>
  <c r="D22" s="1"/>
  <c r="E21"/>
  <c r="L63"/>
  <c r="J63"/>
  <c r="K63" s="1"/>
  <c r="H64"/>
  <c r="I64"/>
  <c r="F64"/>
  <c r="E64"/>
  <c r="D64"/>
  <c r="M65"/>
  <c r="M66" s="1"/>
  <c r="M67" s="1"/>
  <c r="M68" s="1"/>
  <c r="D68" s="1"/>
  <c r="L23"/>
  <c r="M23" s="1"/>
  <c r="N23" s="1"/>
  <c r="P24"/>
  <c r="P25" s="1"/>
  <c r="P26" s="1"/>
  <c r="O21"/>
  <c r="O22"/>
  <c r="G20"/>
  <c r="P27" l="1"/>
  <c r="L26"/>
  <c r="H23"/>
  <c r="D23" s="1"/>
  <c r="E22"/>
  <c r="H69"/>
  <c r="J69" s="1"/>
  <c r="E69"/>
  <c r="G69"/>
  <c r="F69"/>
  <c r="D69"/>
  <c r="I69"/>
  <c r="G68"/>
  <c r="H68"/>
  <c r="J68" s="1"/>
  <c r="I68"/>
  <c r="F68"/>
  <c r="E68"/>
  <c r="E67"/>
  <c r="I67"/>
  <c r="D67"/>
  <c r="F67"/>
  <c r="H67"/>
  <c r="J67" s="1"/>
  <c r="G67"/>
  <c r="G65"/>
  <c r="G66"/>
  <c r="J64"/>
  <c r="K64" s="1"/>
  <c r="L64"/>
  <c r="F65"/>
  <c r="H65"/>
  <c r="I65"/>
  <c r="F66"/>
  <c r="H66"/>
  <c r="I66"/>
  <c r="E65"/>
  <c r="D65"/>
  <c r="D66"/>
  <c r="E66"/>
  <c r="L24"/>
  <c r="M24" s="1"/>
  <c r="N24" s="1"/>
  <c r="L25"/>
  <c r="F21"/>
  <c r="G21" s="1"/>
  <c r="M26" l="1"/>
  <c r="N26" s="1"/>
  <c r="P28"/>
  <c r="L28" s="1"/>
  <c r="L27"/>
  <c r="H24"/>
  <c r="L69"/>
  <c r="F72"/>
  <c r="F73" s="1"/>
  <c r="K69"/>
  <c r="G72"/>
  <c r="G73" s="1"/>
  <c r="L67"/>
  <c r="K68"/>
  <c r="D72"/>
  <c r="D73" s="1"/>
  <c r="L68"/>
  <c r="K67"/>
  <c r="L65"/>
  <c r="L66"/>
  <c r="J65"/>
  <c r="K65" s="1"/>
  <c r="E72"/>
  <c r="E73" s="1"/>
  <c r="I72"/>
  <c r="I73" s="1"/>
  <c r="J66"/>
  <c r="H72"/>
  <c r="H73" s="1"/>
  <c r="M25"/>
  <c r="O23"/>
  <c r="O24"/>
  <c r="F22"/>
  <c r="G22" s="1"/>
  <c r="E23"/>
  <c r="L30" l="1"/>
  <c r="L31" s="1"/>
  <c r="O26"/>
  <c r="M27"/>
  <c r="N27" s="1"/>
  <c r="M28"/>
  <c r="N28" s="1"/>
  <c r="H25"/>
  <c r="H26" s="1"/>
  <c r="H27" s="1"/>
  <c r="D24"/>
  <c r="E24" s="1"/>
  <c r="F24" s="1"/>
  <c r="L72"/>
  <c r="L73" s="1"/>
  <c r="J72"/>
  <c r="J73" s="1"/>
  <c r="K66"/>
  <c r="K72" s="1"/>
  <c r="K73" s="1"/>
  <c r="N25"/>
  <c r="F23"/>
  <c r="G23" s="1"/>
  <c r="M30" l="1"/>
  <c r="M31" s="1"/>
  <c r="O27"/>
  <c r="O28"/>
  <c r="N30"/>
  <c r="N31" s="1"/>
  <c r="D27"/>
  <c r="E27" s="1"/>
  <c r="F27" s="1"/>
  <c r="G27" s="1"/>
  <c r="H28"/>
  <c r="D26"/>
  <c r="E26" s="1"/>
  <c r="D25"/>
  <c r="O25"/>
  <c r="G24"/>
  <c r="O30" l="1"/>
  <c r="O31" s="1"/>
  <c r="P31" s="1"/>
  <c r="D28"/>
  <c r="E28" s="1"/>
  <c r="F28" s="1"/>
  <c r="G28" s="1"/>
  <c r="H29"/>
  <c r="D29" s="1"/>
  <c r="D30" s="1"/>
  <c r="F26"/>
  <c r="G26" s="1"/>
  <c r="E25"/>
  <c r="F34" l="1"/>
  <c r="E29"/>
  <c r="D31"/>
  <c r="F25"/>
  <c r="F29" l="1"/>
  <c r="F30" s="1"/>
  <c r="F35" s="1"/>
  <c r="E30"/>
  <c r="E31" s="1"/>
  <c r="G25"/>
  <c r="F31" l="1"/>
  <c r="G29"/>
  <c r="G30"/>
  <c r="G31" s="1"/>
  <c r="H31" s="1"/>
</calcChain>
</file>

<file path=xl/sharedStrings.xml><?xml version="1.0" encoding="utf-8"?>
<sst xmlns="http://schemas.openxmlformats.org/spreadsheetml/2006/main" count="314" uniqueCount="252">
  <si>
    <t>1depth</t>
    <phoneticPr fontId="2" type="noConversion"/>
  </si>
  <si>
    <t>2depth</t>
  </si>
  <si>
    <t>3depth</t>
  </si>
  <si>
    <t>로그인</t>
    <phoneticPr fontId="2" type="noConversion"/>
  </si>
  <si>
    <t>팝업</t>
    <phoneticPr fontId="2" type="noConversion"/>
  </si>
  <si>
    <t>페이지명</t>
    <phoneticPr fontId="2" type="noConversion"/>
  </si>
  <si>
    <t>설명</t>
    <phoneticPr fontId="2" type="noConversion"/>
  </si>
  <si>
    <t>메인</t>
    <phoneticPr fontId="2" type="noConversion"/>
  </si>
  <si>
    <t>메뉴</t>
    <phoneticPr fontId="2" type="noConversion"/>
  </si>
  <si>
    <t>main</t>
    <phoneticPr fontId="2" type="noConversion"/>
  </si>
  <si>
    <t>X</t>
    <phoneticPr fontId="2" type="noConversion"/>
  </si>
  <si>
    <t>레이어</t>
    <phoneticPr fontId="2" type="noConversion"/>
  </si>
  <si>
    <t>포커스펀딩 플랫폼 서비스  IA</t>
    <phoneticPr fontId="2" type="noConversion"/>
  </si>
  <si>
    <t>투자알림서비스 신청</t>
    <phoneticPr fontId="2" type="noConversion"/>
  </si>
  <si>
    <t>◎</t>
    <phoneticPr fontId="2" type="noConversion"/>
  </si>
  <si>
    <t>○</t>
    <phoneticPr fontId="2" type="noConversion"/>
  </si>
  <si>
    <t>메인 로그인 - 로그인 정보</t>
    <phoneticPr fontId="2" type="noConversion"/>
  </si>
  <si>
    <t>서비스이용약관</t>
    <phoneticPr fontId="2" type="noConversion"/>
  </si>
  <si>
    <t>투자이용약관</t>
    <phoneticPr fontId="2" type="noConversion"/>
  </si>
  <si>
    <t>개인정보보호정책</t>
    <phoneticPr fontId="2" type="noConversion"/>
  </si>
  <si>
    <t>공지레이어</t>
    <phoneticPr fontId="2" type="noConversion"/>
  </si>
  <si>
    <t>main_layer</t>
    <phoneticPr fontId="2" type="noConversion"/>
  </si>
  <si>
    <t>이벤트, 공지 등 알림</t>
    <phoneticPr fontId="2" type="noConversion"/>
  </si>
  <si>
    <t>투자하기</t>
    <phoneticPr fontId="2" type="noConversion"/>
  </si>
  <si>
    <t>투자상품리스트 - 카테고리 확장 고려</t>
    <phoneticPr fontId="2" type="noConversion"/>
  </si>
  <si>
    <t>funding_detail</t>
    <phoneticPr fontId="2" type="noConversion"/>
  </si>
  <si>
    <t>main_sms_alert</t>
    <phoneticPr fontId="2" type="noConversion"/>
  </si>
  <si>
    <t>투자상품 상세</t>
    <phoneticPr fontId="2" type="noConversion"/>
  </si>
  <si>
    <t>투자상품 상세 정보</t>
    <phoneticPr fontId="2" type="noConversion"/>
  </si>
  <si>
    <t>4depth</t>
  </si>
  <si>
    <t>투자신청</t>
    <phoneticPr fontId="2" type="noConversion"/>
  </si>
  <si>
    <t>funding_receipt</t>
    <phoneticPr fontId="2" type="noConversion"/>
  </si>
  <si>
    <t>funding_complete</t>
    <phoneticPr fontId="2" type="noConversion"/>
  </si>
  <si>
    <t>투자완료</t>
    <phoneticPr fontId="2" type="noConversion"/>
  </si>
  <si>
    <t>시스템체크</t>
    <phoneticPr fontId="2" type="noConversion"/>
  </si>
  <si>
    <t>투자완료 - 예치금 상태 변환</t>
    <phoneticPr fontId="2" type="noConversion"/>
  </si>
  <si>
    <t>투자 오픈 안내 SMS 신청 - 기존신청체크</t>
    <phoneticPr fontId="2" type="noConversion"/>
  </si>
  <si>
    <t>자금문의</t>
    <phoneticPr fontId="2" type="noConversion"/>
  </si>
  <si>
    <t>자금문의 게시판</t>
    <phoneticPr fontId="2" type="noConversion"/>
  </si>
  <si>
    <t>자금내역확인</t>
    <phoneticPr fontId="2" type="noConversion"/>
  </si>
  <si>
    <t>서비스안내</t>
    <phoneticPr fontId="2" type="noConversion"/>
  </si>
  <si>
    <t>투자가이드</t>
    <phoneticPr fontId="2" type="noConversion"/>
  </si>
  <si>
    <t>주요서비스 안내</t>
    <phoneticPr fontId="2" type="noConversion"/>
  </si>
  <si>
    <t>회사소개</t>
    <phoneticPr fontId="2" type="noConversion"/>
  </si>
  <si>
    <t>포커스펀딩 소개</t>
    <phoneticPr fontId="2" type="noConversion"/>
  </si>
  <si>
    <t>투자심의위원회</t>
    <phoneticPr fontId="2" type="noConversion"/>
  </si>
  <si>
    <t>커뮤니티</t>
    <phoneticPr fontId="2" type="noConversion"/>
  </si>
  <si>
    <t>고객센터</t>
    <phoneticPr fontId="2" type="noConversion"/>
  </si>
  <si>
    <t>공지사항</t>
    <phoneticPr fontId="2" type="noConversion"/>
  </si>
  <si>
    <t>언론보도</t>
    <phoneticPr fontId="2" type="noConversion"/>
  </si>
  <si>
    <t>블로그</t>
    <phoneticPr fontId="2" type="noConversion"/>
  </si>
  <si>
    <t>회원가입</t>
    <phoneticPr fontId="2" type="noConversion"/>
  </si>
  <si>
    <t>개인회원</t>
    <phoneticPr fontId="2" type="noConversion"/>
  </si>
  <si>
    <t>법인회원</t>
    <phoneticPr fontId="2" type="noConversion"/>
  </si>
  <si>
    <t>투자한도, 소득세 등 구분</t>
    <phoneticPr fontId="2" type="noConversion"/>
  </si>
  <si>
    <t>마이페이지</t>
    <phoneticPr fontId="2" type="noConversion"/>
  </si>
  <si>
    <t>일반</t>
    <phoneticPr fontId="2" type="noConversion"/>
  </si>
  <si>
    <t>내용</t>
    <phoneticPr fontId="2" type="noConversion"/>
  </si>
  <si>
    <t>비고</t>
    <phoneticPr fontId="2" type="noConversion"/>
  </si>
  <si>
    <t>서버</t>
    <phoneticPr fontId="2" type="noConversion"/>
  </si>
  <si>
    <t>DB연동</t>
    <phoneticPr fontId="2" type="noConversion"/>
  </si>
  <si>
    <t>업무구분</t>
    <phoneticPr fontId="2" type="noConversion"/>
  </si>
  <si>
    <t>항목</t>
    <phoneticPr fontId="2" type="noConversion"/>
  </si>
  <si>
    <t>세부사항</t>
    <phoneticPr fontId="2" type="noConversion"/>
  </si>
  <si>
    <t>법인설립</t>
    <phoneticPr fontId="2" type="noConversion"/>
  </si>
  <si>
    <t>8월</t>
    <phoneticPr fontId="2" type="noConversion"/>
  </si>
  <si>
    <t>9월</t>
    <phoneticPr fontId="2" type="noConversion"/>
  </si>
  <si>
    <t>포커스펀딩 P2P 대출 플랫폼 서비스 일정</t>
    <phoneticPr fontId="2" type="noConversion"/>
  </si>
  <si>
    <t>사업자등록증</t>
    <phoneticPr fontId="2" type="noConversion"/>
  </si>
  <si>
    <t>예산(VAT별도)</t>
    <phoneticPr fontId="2" type="noConversion"/>
  </si>
  <si>
    <t>포커스핀테크</t>
    <phoneticPr fontId="2" type="noConversion"/>
  </si>
  <si>
    <t>법인</t>
    <phoneticPr fontId="2" type="noConversion"/>
  </si>
  <si>
    <t>거래처</t>
    <phoneticPr fontId="2" type="noConversion"/>
  </si>
  <si>
    <t>네이버클라우드플랫폼</t>
    <phoneticPr fontId="2" type="noConversion"/>
  </si>
  <si>
    <t>웹서버</t>
    <phoneticPr fontId="2" type="noConversion"/>
  </si>
  <si>
    <t>DB서버</t>
    <phoneticPr fontId="2" type="noConversion"/>
  </si>
  <si>
    <t>스토리지</t>
    <phoneticPr fontId="2" type="noConversion"/>
  </si>
  <si>
    <t>네트워크</t>
    <phoneticPr fontId="2" type="noConversion"/>
  </si>
  <si>
    <t>서버셋팅</t>
    <phoneticPr fontId="2" type="noConversion"/>
  </si>
  <si>
    <t>서버셋팅 및 개발업무지원</t>
    <phoneticPr fontId="2" type="noConversion"/>
  </si>
  <si>
    <t>프리랜서(3.3%)</t>
    <phoneticPr fontId="2" type="noConversion"/>
  </si>
  <si>
    <t>솔루션</t>
    <phoneticPr fontId="2" type="noConversion"/>
  </si>
  <si>
    <t>포커스핀테크</t>
    <phoneticPr fontId="2" type="noConversion"/>
  </si>
  <si>
    <t>솔루션계약</t>
    <phoneticPr fontId="2" type="noConversion"/>
  </si>
  <si>
    <t>계약 품의 후 계약 진행</t>
    <phoneticPr fontId="2" type="noConversion"/>
  </si>
  <si>
    <t>웹제작계약</t>
    <phoneticPr fontId="2" type="noConversion"/>
  </si>
  <si>
    <t>법인설립 및 등기완료</t>
    <phoneticPr fontId="2" type="noConversion"/>
  </si>
  <si>
    <t>서버계약</t>
    <phoneticPr fontId="2" type="noConversion"/>
  </si>
  <si>
    <t>디자인</t>
    <phoneticPr fontId="2" type="noConversion"/>
  </si>
  <si>
    <t>솔루션셋팅</t>
    <phoneticPr fontId="2" type="noConversion"/>
  </si>
  <si>
    <t>PG연동</t>
    <phoneticPr fontId="2" type="noConversion"/>
  </si>
  <si>
    <t>본인인증</t>
    <phoneticPr fontId="2" type="noConversion"/>
  </si>
  <si>
    <t>업체 계약 및 UID발급 후 작업</t>
    <phoneticPr fontId="2" type="noConversion"/>
  </si>
  <si>
    <t>테스트 UID 요청</t>
    <phoneticPr fontId="2" type="noConversion"/>
  </si>
  <si>
    <t>서버 및 관련정보 전달</t>
    <phoneticPr fontId="2" type="noConversion"/>
  </si>
  <si>
    <t>최종테스트</t>
    <phoneticPr fontId="2" type="noConversion"/>
  </si>
  <si>
    <t>체크리스트 실행 확인</t>
    <phoneticPr fontId="2" type="noConversion"/>
  </si>
  <si>
    <t>1차 오픈</t>
    <phoneticPr fontId="2" type="noConversion"/>
  </si>
  <si>
    <t>서비스 오픈</t>
    <phoneticPr fontId="2" type="noConversion"/>
  </si>
  <si>
    <t>기획</t>
    <phoneticPr fontId="2" type="noConversion"/>
  </si>
  <si>
    <t>커스터마이징 기획 및 범위협의</t>
    <phoneticPr fontId="2" type="noConversion"/>
  </si>
  <si>
    <t>해당 범위 페이지 디자인 작업</t>
    <phoneticPr fontId="2" type="noConversion"/>
  </si>
  <si>
    <t>퍼블리싱 지원</t>
    <phoneticPr fontId="2" type="noConversion"/>
  </si>
  <si>
    <t>개발작업</t>
    <phoneticPr fontId="2" type="noConversion"/>
  </si>
  <si>
    <t>최종오픈</t>
    <phoneticPr fontId="2" type="noConversion"/>
  </si>
  <si>
    <t>개발작업 및 테스트</t>
    <phoneticPr fontId="2" type="noConversion"/>
  </si>
  <si>
    <t>2차 최종 오픈</t>
    <phoneticPr fontId="2" type="noConversion"/>
  </si>
  <si>
    <t>도메인</t>
    <phoneticPr fontId="2" type="noConversion"/>
  </si>
  <si>
    <t>포커스핀테크</t>
    <phoneticPr fontId="2" type="noConversion"/>
  </si>
  <si>
    <t>호스팅케이알</t>
    <phoneticPr fontId="2" type="noConversion"/>
  </si>
  <si>
    <t>www.focusfunding.co.kr</t>
    <phoneticPr fontId="2" type="noConversion"/>
  </si>
  <si>
    <t>1년</t>
    <phoneticPr fontId="2" type="noConversion"/>
  </si>
  <si>
    <t>계약진행</t>
    <phoneticPr fontId="2" type="noConversion"/>
  </si>
  <si>
    <t>아이핀인증</t>
    <phoneticPr fontId="2" type="noConversion"/>
  </si>
  <si>
    <t>커스터마이징 작업</t>
    <phoneticPr fontId="2" type="noConversion"/>
  </si>
  <si>
    <t>작업기간 협의</t>
    <phoneticPr fontId="2" type="noConversion"/>
  </si>
  <si>
    <t>펀딩금액 0.35%/월</t>
    <phoneticPr fontId="2" type="noConversion"/>
  </si>
  <si>
    <t>1만건, 초과 55원</t>
    <phoneticPr fontId="2" type="noConversion"/>
  </si>
  <si>
    <t>2만건, 초과 20원</t>
    <phoneticPr fontId="2" type="noConversion"/>
  </si>
  <si>
    <t>1차 오픈 시</t>
    <phoneticPr fontId="2" type="noConversion"/>
  </si>
  <si>
    <t>포커스핀테크
(포커스크라우드대부)</t>
    <phoneticPr fontId="2" type="noConversion"/>
  </si>
  <si>
    <t>이용약관 외</t>
    <phoneticPr fontId="2" type="noConversion"/>
  </si>
  <si>
    <t>이용약관, 투자약관, 개인보호정책</t>
    <phoneticPr fontId="2" type="noConversion"/>
  </si>
  <si>
    <t>정책결정</t>
    <phoneticPr fontId="2" type="noConversion"/>
  </si>
  <si>
    <t>퍼블리싱</t>
    <phoneticPr fontId="2" type="noConversion"/>
  </si>
  <si>
    <t>예산집행일
/완료</t>
    <phoneticPr fontId="2" type="noConversion"/>
  </si>
  <si>
    <t>8월12일</t>
    <phoneticPr fontId="2" type="noConversion"/>
  </si>
  <si>
    <t>일정협의</t>
    <phoneticPr fontId="2" type="noConversion"/>
  </si>
  <si>
    <t>SMS</t>
    <phoneticPr fontId="2" type="noConversion"/>
  </si>
  <si>
    <t>마케팅</t>
    <phoneticPr fontId="2" type="noConversion"/>
  </si>
  <si>
    <t>SNS</t>
    <phoneticPr fontId="2" type="noConversion"/>
  </si>
  <si>
    <t>블로그</t>
    <phoneticPr fontId="2" type="noConversion"/>
  </si>
  <si>
    <t>페이스북</t>
    <phoneticPr fontId="2" type="noConversion"/>
  </si>
  <si>
    <t>계정생성 및 컨텐츠 작성</t>
    <phoneticPr fontId="2" type="noConversion"/>
  </si>
  <si>
    <t>1차 오픈 후 운영</t>
    <phoneticPr fontId="2" type="noConversion"/>
  </si>
  <si>
    <t>언론홍보</t>
    <phoneticPr fontId="2" type="noConversion"/>
  </si>
  <si>
    <t>광고</t>
    <phoneticPr fontId="2" type="noConversion"/>
  </si>
  <si>
    <t>별도계획 수립</t>
    <phoneticPr fontId="2" type="noConversion"/>
  </si>
  <si>
    <t>전략 협의</t>
    <phoneticPr fontId="2" type="noConversion"/>
  </si>
  <si>
    <t>포커스핀테크
(포커스크라우드대부)</t>
    <phoneticPr fontId="2" type="noConversion"/>
  </si>
  <si>
    <t>운영관리</t>
    <phoneticPr fontId="2" type="noConversion"/>
  </si>
  <si>
    <t>펀딩상품</t>
    <phoneticPr fontId="2" type="noConversion"/>
  </si>
  <si>
    <t>상세구성</t>
    <phoneticPr fontId="2" type="noConversion"/>
  </si>
  <si>
    <t>기존 자료 분석 후 상세구성</t>
    <phoneticPr fontId="2" type="noConversion"/>
  </si>
  <si>
    <t>펀딩진행 시</t>
    <phoneticPr fontId="2" type="noConversion"/>
  </si>
  <si>
    <t>고객관리</t>
    <phoneticPr fontId="2" type="noConversion"/>
  </si>
  <si>
    <t>가이드</t>
    <phoneticPr fontId="2" type="noConversion"/>
  </si>
  <si>
    <t>리스크관리 가이드 및 매뉴얼</t>
    <phoneticPr fontId="2" type="noConversion"/>
  </si>
  <si>
    <t>협의 후 작성</t>
    <phoneticPr fontId="2" type="noConversion"/>
  </si>
  <si>
    <t>TM 및 온라인 고객응대</t>
    <phoneticPr fontId="2" type="noConversion"/>
  </si>
  <si>
    <t xml:space="preserve">1차 오픈 후 </t>
    <phoneticPr fontId="2" type="noConversion"/>
  </si>
  <si>
    <t>투자금관리</t>
    <phoneticPr fontId="2" type="noConversion"/>
  </si>
  <si>
    <t>이자 및 원금상환 등</t>
    <phoneticPr fontId="2" type="noConversion"/>
  </si>
  <si>
    <t>경영관리부 협의</t>
    <phoneticPr fontId="2" type="noConversion"/>
  </si>
  <si>
    <t>초기 버전 디자인 작업</t>
    <phoneticPr fontId="2" type="noConversion"/>
  </si>
  <si>
    <t>보안인증</t>
    <phoneticPr fontId="2" type="noConversion"/>
  </si>
  <si>
    <t>SSL인증</t>
    <phoneticPr fontId="2" type="noConversion"/>
  </si>
  <si>
    <t xml:space="preserve">서트코리아 외 </t>
    <phoneticPr fontId="2" type="noConversion"/>
  </si>
  <si>
    <t>신용정보조회</t>
    <phoneticPr fontId="2" type="noConversion"/>
  </si>
  <si>
    <t>신용인증송부(본인명의휴대폰인증)</t>
    <phoneticPr fontId="2" type="noConversion"/>
  </si>
  <si>
    <t>서트코리아</t>
    <phoneticPr fontId="2" type="noConversion"/>
  </si>
  <si>
    <t>1년</t>
    <phoneticPr fontId="2" type="noConversion"/>
  </si>
  <si>
    <t>미사용</t>
    <phoneticPr fontId="2" type="noConversion"/>
  </si>
  <si>
    <t>계약 및 결제 시 실제 GUID 발급</t>
    <phoneticPr fontId="2" type="noConversion"/>
  </si>
  <si>
    <t>본인인증</t>
    <phoneticPr fontId="2" type="noConversion"/>
  </si>
  <si>
    <t>400건</t>
    <phoneticPr fontId="2" type="noConversion"/>
  </si>
  <si>
    <t>신용서비스종량제(신용정보관리)</t>
    <phoneticPr fontId="2" type="noConversion"/>
  </si>
  <si>
    <t>신문</t>
    <phoneticPr fontId="2" type="noConversion"/>
  </si>
  <si>
    <t>TV</t>
    <phoneticPr fontId="2" type="noConversion"/>
  </si>
  <si>
    <t>별도계획 수립</t>
    <phoneticPr fontId="2" type="noConversion"/>
  </si>
  <si>
    <t>전략 협의</t>
    <phoneticPr fontId="2" type="noConversion"/>
  </si>
  <si>
    <t>투자신청 - 예치금 대비 투자금 체크</t>
    <phoneticPr fontId="2" type="noConversion"/>
  </si>
  <si>
    <t xml:space="preserve">개인 전체 1,000만원/ 동일차주 500만원, 법인 무제한 </t>
    <phoneticPr fontId="2" type="noConversion"/>
  </si>
  <si>
    <t>얼럿</t>
    <phoneticPr fontId="2" type="noConversion"/>
  </si>
  <si>
    <t>funding_list</t>
    <phoneticPr fontId="2" type="noConversion"/>
  </si>
  <si>
    <t xml:space="preserve">건당 </t>
    <phoneticPr fontId="2" type="noConversion"/>
  </si>
  <si>
    <t>이벤트 메일, 회원가입, 탈퇴 등</t>
    <phoneticPr fontId="2" type="noConversion"/>
  </si>
  <si>
    <t>정기발송</t>
    <phoneticPr fontId="2" type="noConversion"/>
  </si>
  <si>
    <t>이메일 기본</t>
    <phoneticPr fontId="2" type="noConversion"/>
  </si>
  <si>
    <t>이메일 운영</t>
    <phoneticPr fontId="2" type="noConversion"/>
  </si>
  <si>
    <t>자금신청</t>
    <phoneticPr fontId="2" type="noConversion"/>
  </si>
  <si>
    <t>이메일무단수집거부</t>
    <phoneticPr fontId="2" type="noConversion"/>
  </si>
  <si>
    <t>메인 로그아웃 일반</t>
    <phoneticPr fontId="2" type="noConversion"/>
  </si>
  <si>
    <t>vCPU8개, 메모리16GB, SSD50GB</t>
    <phoneticPr fontId="2" type="noConversion"/>
  </si>
  <si>
    <t>vCPU4개, 메모리8GB, SSD50GB</t>
    <phoneticPr fontId="2" type="noConversion"/>
  </si>
  <si>
    <t>HDD0GB, SSD500GB</t>
    <phoneticPr fontId="2" type="noConversion"/>
  </si>
  <si>
    <t>공인IP 1개, 로드밸런서 500대</t>
    <phoneticPr fontId="2" type="noConversion"/>
  </si>
  <si>
    <t>개월</t>
    <phoneticPr fontId="2" type="noConversion"/>
  </si>
  <si>
    <t>원</t>
    <phoneticPr fontId="2" type="noConversion"/>
  </si>
  <si>
    <t>원금</t>
    <phoneticPr fontId="2" type="noConversion"/>
  </si>
  <si>
    <t>세금</t>
    <phoneticPr fontId="2" type="noConversion"/>
  </si>
  <si>
    <t>세후지급금</t>
    <phoneticPr fontId="2" type="noConversion"/>
  </si>
  <si>
    <t>플랫폼수수료</t>
    <phoneticPr fontId="2" type="noConversion"/>
  </si>
  <si>
    <t>기간</t>
    <phoneticPr fontId="2" type="noConversion"/>
  </si>
  <si>
    <t>원</t>
    <phoneticPr fontId="2" type="noConversion"/>
  </si>
  <si>
    <t>메일서버</t>
    <phoneticPr fontId="2" type="noConversion"/>
  </si>
  <si>
    <t>플랫폼수수료</t>
    <phoneticPr fontId="2" type="noConversion"/>
  </si>
  <si>
    <t>◈ 예상상환지급표(일반개인투자자기준)</t>
    <phoneticPr fontId="2" type="noConversion"/>
  </si>
  <si>
    <t>주민세</t>
    <phoneticPr fontId="2" type="noConversion"/>
  </si>
  <si>
    <t>개인소득세</t>
    <phoneticPr fontId="2" type="noConversion"/>
  </si>
  <si>
    <t>회차</t>
    <phoneticPr fontId="2" type="noConversion"/>
  </si>
  <si>
    <t xml:space="preserve">개월 </t>
    <phoneticPr fontId="2" type="noConversion"/>
  </si>
  <si>
    <t>최대 15개월입력</t>
    <phoneticPr fontId="2" type="noConversion"/>
  </si>
  <si>
    <t>시작일</t>
    <phoneticPr fontId="2" type="noConversion"/>
  </si>
  <si>
    <t>종료(상환일)</t>
    <phoneticPr fontId="2" type="noConversion"/>
  </si>
  <si>
    <t>이자</t>
    <phoneticPr fontId="2" type="noConversion"/>
  </si>
  <si>
    <t>이자지급일</t>
    <phoneticPr fontId="2" type="noConversion"/>
  </si>
  <si>
    <t>지급일자</t>
    <phoneticPr fontId="2" type="noConversion"/>
  </si>
  <si>
    <t>실수익율</t>
    <phoneticPr fontId="2" type="noConversion"/>
  </si>
  <si>
    <t>법인투자자</t>
    <phoneticPr fontId="2" type="noConversion"/>
  </si>
  <si>
    <t>◈ 예상상환지급표(법인투자자기준)</t>
    <phoneticPr fontId="2" type="noConversion"/>
  </si>
  <si>
    <t>합계</t>
    <phoneticPr fontId="2" type="noConversion"/>
  </si>
  <si>
    <t>수익율</t>
    <phoneticPr fontId="2" type="noConversion"/>
  </si>
  <si>
    <t>* 이자 = 대출원금*수익율/365*일수</t>
    <phoneticPr fontId="2" type="noConversion"/>
  </si>
  <si>
    <t>대출총액</t>
    <phoneticPr fontId="2" type="noConversion"/>
  </si>
  <si>
    <t>대출자</t>
    <phoneticPr fontId="2" type="noConversion"/>
  </si>
  <si>
    <t>영업수수료</t>
    <phoneticPr fontId="2" type="noConversion"/>
  </si>
  <si>
    <t>투자자</t>
    <phoneticPr fontId="2" type="noConversion"/>
  </si>
  <si>
    <t>이자율</t>
    <phoneticPr fontId="2" type="noConversion"/>
  </si>
  <si>
    <t>첫이자</t>
    <phoneticPr fontId="2" type="noConversion"/>
  </si>
  <si>
    <t>투자총액</t>
    <phoneticPr fontId="2" type="noConversion"/>
  </si>
  <si>
    <t>원</t>
    <phoneticPr fontId="2" type="noConversion"/>
  </si>
  <si>
    <t>공통</t>
    <phoneticPr fontId="2" type="noConversion"/>
  </si>
  <si>
    <t>대출원금</t>
    <phoneticPr fontId="2" type="noConversion"/>
  </si>
  <si>
    <t>이자총매출</t>
    <phoneticPr fontId="2" type="noConversion"/>
  </si>
  <si>
    <t>대출영업수수료</t>
    <phoneticPr fontId="2" type="noConversion"/>
  </si>
  <si>
    <t>대출플랫폼수수료</t>
    <phoneticPr fontId="2" type="noConversion"/>
  </si>
  <si>
    <t>투자수익지급액</t>
    <phoneticPr fontId="2" type="noConversion"/>
  </si>
  <si>
    <t>투자영업수수료</t>
    <phoneticPr fontId="2" type="noConversion"/>
  </si>
  <si>
    <t>◈ 예상상환수익표(포커스펀딩 &amp; 개인투자자)</t>
    <phoneticPr fontId="2" type="noConversion"/>
  </si>
  <si>
    <t>투자플랫폼수수료</t>
    <phoneticPr fontId="2" type="noConversion"/>
  </si>
  <si>
    <t>투자세금</t>
    <phoneticPr fontId="2" type="noConversion"/>
  </si>
  <si>
    <t>세후지급</t>
    <phoneticPr fontId="2" type="noConversion"/>
  </si>
  <si>
    <t>순매출</t>
    <phoneticPr fontId="2" type="noConversion"/>
  </si>
  <si>
    <t>* 순매출 = 대출플랫폼수수료 + 투자플랫폼수수료</t>
    <phoneticPr fontId="2" type="noConversion"/>
  </si>
  <si>
    <t>* 이자총매출 = 대출영업수수료+대출플랫폼수수료+투자영업수수료+투자수익지급액</t>
    <phoneticPr fontId="2" type="noConversion"/>
  </si>
  <si>
    <t>* 투자수익지급액 = 투자플랫폼수수료+투자세금+세후지급</t>
    <phoneticPr fontId="2" type="noConversion"/>
  </si>
  <si>
    <t>모니터링</t>
    <phoneticPr fontId="2" type="noConversion"/>
  </si>
  <si>
    <t>데이터백업</t>
    <phoneticPr fontId="2" type="noConversion"/>
  </si>
  <si>
    <t>1일 1회 데이터 백업진행</t>
    <phoneticPr fontId="2" type="noConversion"/>
  </si>
  <si>
    <t>DB, 웹서버 용량 모니터링서비스</t>
    <phoneticPr fontId="2" type="noConversion"/>
  </si>
  <si>
    <t>포털 오피스메일 리뷰 - 사용</t>
    <phoneticPr fontId="2" type="noConversion"/>
  </si>
  <si>
    <t>KT전화</t>
    <phoneticPr fontId="2" type="noConversion"/>
  </si>
  <si>
    <t>개통 및 114등록완료</t>
    <phoneticPr fontId="2" type="noConversion"/>
  </si>
  <si>
    <t>100GB 초과요금</t>
    <phoneticPr fontId="2" type="noConversion"/>
  </si>
  <si>
    <t>수익율(연)</t>
    <phoneticPr fontId="2" type="noConversion"/>
  </si>
  <si>
    <t>솔루션업체</t>
    <phoneticPr fontId="2" type="noConversion"/>
  </si>
  <si>
    <t>PG</t>
    <phoneticPr fontId="2" type="noConversion"/>
  </si>
  <si>
    <t>신용평가</t>
    <phoneticPr fontId="2" type="noConversion"/>
  </si>
  <si>
    <t>문자</t>
    <phoneticPr fontId="2" type="noConversion"/>
  </si>
  <si>
    <t>업체 모듈 사용(충전)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</si>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</sst>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43" formatCode="_-* #,##0.00_-;\-* #,##0.00_-;_-* &quot;-&quot;??_-;_-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휴먼고딕"/>
      <family val="3"/>
      <charset val="129"/>
    </font>
    <font>
      <b/>
      <sz val="14"/>
      <color theme="1"/>
      <name val="휴먼고딕"/>
      <family val="3"/>
      <charset val="129"/>
    </font>
    <font>
      <sz val="10"/>
      <color rgb="FFFF0000"/>
      <name val="휴먼고딕"/>
      <family val="3"/>
      <charset val="129"/>
    </font>
    <font>
      <b/>
      <sz val="10"/>
      <color rgb="FFFF0000"/>
      <name val="휴먼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 diagonalUp="1"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 style="dashed">
        <color theme="1" tint="0.34998626667073579"/>
      </diagonal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1" fontId="5" fillId="0" borderId="0" xfId="1" applyFont="1">
      <alignment vertical="center"/>
    </xf>
    <xf numFmtId="0" fontId="5" fillId="0" borderId="0" xfId="0" applyFont="1">
      <alignment vertical="center"/>
    </xf>
    <xf numFmtId="41" fontId="5" fillId="0" borderId="1" xfId="1" applyFont="1" applyBorder="1">
      <alignment vertical="center"/>
    </xf>
    <xf numFmtId="43" fontId="5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6" fillId="0" borderId="0" xfId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41" fontId="10" fillId="0" borderId="0" xfId="1" applyFont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9" fillId="0" borderId="0" xfId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41" fontId="9" fillId="0" borderId="10" xfId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1" fontId="11" fillId="0" borderId="6" xfId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/>
    </xf>
    <xf numFmtId="0" fontId="12" fillId="0" borderId="10" xfId="1" applyNumberFormat="1" applyFont="1" applyBorder="1" applyAlignment="1">
      <alignment horizontal="center" vertical="center"/>
    </xf>
    <xf numFmtId="0" fontId="11" fillId="0" borderId="10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1" fontId="5" fillId="0" borderId="0" xfId="1" applyFont="1" applyBorder="1">
      <alignment vertical="center"/>
    </xf>
    <xf numFmtId="0" fontId="5" fillId="0" borderId="17" xfId="0" applyFont="1" applyBorder="1" applyAlignment="1">
      <alignment horizontal="center" vertical="center"/>
    </xf>
    <xf numFmtId="41" fontId="5" fillId="0" borderId="17" xfId="1" applyFon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1" fontId="4" fillId="0" borderId="0" xfId="1" applyFont="1">
      <alignment vertical="center"/>
    </xf>
    <xf numFmtId="10" fontId="5" fillId="0" borderId="0" xfId="1" applyNumberFormat="1" applyFont="1">
      <alignment vertical="center"/>
    </xf>
    <xf numFmtId="0" fontId="3" fillId="0" borderId="0" xfId="0" applyFont="1" applyAlignment="1">
      <alignment horizontal="left" vertical="center"/>
    </xf>
    <xf numFmtId="10" fontId="5" fillId="0" borderId="1" xfId="1" applyNumberFormat="1" applyFont="1" applyBorder="1">
      <alignment vertical="center"/>
    </xf>
    <xf numFmtId="10" fontId="5" fillId="0" borderId="0" xfId="2" applyNumberFormat="1" applyFo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41" fontId="5" fillId="6" borderId="16" xfId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4" fontId="5" fillId="0" borderId="1" xfId="1" applyNumberFormat="1" applyFont="1" applyBorder="1">
      <alignment vertical="center"/>
    </xf>
    <xf numFmtId="14" fontId="5" fillId="0" borderId="0" xfId="1" applyNumberFormat="1" applyFont="1" applyBorder="1">
      <alignment vertical="center"/>
    </xf>
    <xf numFmtId="14" fontId="5" fillId="0" borderId="17" xfId="1" applyNumberFormat="1" applyFont="1" applyBorder="1">
      <alignment vertical="center"/>
    </xf>
    <xf numFmtId="14" fontId="5" fillId="6" borderId="1" xfId="1" applyNumberFormat="1" applyFont="1" applyFill="1" applyBorder="1">
      <alignment vertical="center"/>
    </xf>
    <xf numFmtId="10" fontId="5" fillId="0" borderId="0" xfId="1" applyNumberFormat="1" applyFont="1" applyBorder="1">
      <alignment vertical="center"/>
    </xf>
    <xf numFmtId="41" fontId="5" fillId="0" borderId="0" xfId="1" applyFont="1" applyBorder="1" applyAlignment="1">
      <alignment horizontal="center" vertical="center"/>
    </xf>
    <xf numFmtId="14" fontId="5" fillId="0" borderId="1" xfId="1" applyNumberFormat="1" applyFont="1" applyFill="1" applyBorder="1">
      <alignment vertical="center"/>
    </xf>
    <xf numFmtId="41" fontId="5" fillId="4" borderId="16" xfId="1" applyFont="1" applyFill="1" applyBorder="1" applyAlignment="1">
      <alignment horizontal="center" vertical="center"/>
    </xf>
    <xf numFmtId="9" fontId="5" fillId="0" borderId="1" xfId="1" applyNumberFormat="1" applyFont="1" applyBorder="1">
      <alignment vertical="center"/>
    </xf>
    <xf numFmtId="14" fontId="5" fillId="0" borderId="0" xfId="1" applyNumberFormat="1" applyFont="1">
      <alignment vertical="center"/>
    </xf>
    <xf numFmtId="10" fontId="5" fillId="6" borderId="1" xfId="1" applyNumberFormat="1" applyFont="1" applyFill="1" applyBorder="1">
      <alignment vertical="center"/>
    </xf>
    <xf numFmtId="41" fontId="5" fillId="0" borderId="0" xfId="0" applyNumberFormat="1" applyFont="1" applyBorder="1">
      <alignment vertical="center"/>
    </xf>
    <xf numFmtId="41" fontId="5" fillId="0" borderId="17" xfId="0" applyNumberFormat="1" applyFont="1" applyBorder="1">
      <alignment vertical="center"/>
    </xf>
    <xf numFmtId="41" fontId="5" fillId="6" borderId="19" xfId="1" applyFont="1" applyFill="1" applyBorder="1" applyAlignment="1">
      <alignment horizontal="center" vertical="center"/>
    </xf>
    <xf numFmtId="41" fontId="5" fillId="0" borderId="20" xfId="1" applyFont="1" applyBorder="1">
      <alignment vertical="center"/>
    </xf>
    <xf numFmtId="41" fontId="5" fillId="0" borderId="21" xfId="1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9" fillId="6" borderId="6" xfId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7" xfId="1" applyNumberFormat="1" applyFont="1" applyFill="1" applyBorder="1" applyAlignment="1">
      <alignment horizontal="center" vertical="center" wrapText="1"/>
    </xf>
    <xf numFmtId="0" fontId="9" fillId="6" borderId="8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CD2F"/>
      <color rgb="FF0032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P1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9" sqref="B39"/>
    </sheetView>
  </sheetViews>
  <sheetFormatPr defaultRowHeight="12.75"/>
  <cols>
    <col min="1" max="1" width="12.5" style="11" customWidth="1"/>
    <col min="2" max="2" width="23.75" style="11" customWidth="1"/>
    <col min="3" max="6" width="14.875" style="11" customWidth="1"/>
    <col min="7" max="7" width="45.625" style="8" customWidth="1"/>
    <col min="8" max="11" width="6.75" style="11" customWidth="1"/>
    <col min="12" max="12" width="9.875" style="11" customWidth="1"/>
    <col min="13" max="13" width="8.375" style="11" customWidth="1"/>
    <col min="14" max="17" width="12.5" style="11" customWidth="1"/>
    <col min="18" max="16384" width="9" style="11"/>
  </cols>
  <sheetData>
    <row r="1" spans="1:13" ht="18" customHeight="1">
      <c r="A1" s="101" t="s">
        <v>12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2"/>
    </row>
    <row r="2" spans="1:13" ht="18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3"/>
      <c r="L2" s="103"/>
      <c r="M2" s="16"/>
    </row>
    <row r="3" spans="1:13" s="6" customFormat="1" ht="15" customHeight="1">
      <c r="A3" s="17" t="s">
        <v>8</v>
      </c>
      <c r="B3" s="17" t="s">
        <v>5</v>
      </c>
      <c r="C3" s="17" t="s">
        <v>0</v>
      </c>
      <c r="D3" s="17" t="s">
        <v>1</v>
      </c>
      <c r="E3" s="17" t="s">
        <v>2</v>
      </c>
      <c r="F3" s="17" t="s">
        <v>29</v>
      </c>
      <c r="G3" s="17" t="s">
        <v>6</v>
      </c>
      <c r="H3" s="17" t="s">
        <v>3</v>
      </c>
      <c r="I3" s="17" t="s">
        <v>4</v>
      </c>
      <c r="J3" s="17" t="s">
        <v>11</v>
      </c>
      <c r="K3" s="17" t="s">
        <v>173</v>
      </c>
      <c r="L3" s="17" t="s">
        <v>34</v>
      </c>
      <c r="M3" s="17" t="s">
        <v>60</v>
      </c>
    </row>
    <row r="4" spans="1:13" s="6" customFormat="1" ht="15" customHeight="1">
      <c r="A4" s="98" t="s">
        <v>7</v>
      </c>
      <c r="B4" s="7" t="s">
        <v>7</v>
      </c>
      <c r="C4" s="7" t="s">
        <v>9</v>
      </c>
      <c r="D4" s="7"/>
      <c r="E4" s="7"/>
      <c r="F4" s="7"/>
      <c r="G4" s="15" t="s">
        <v>182</v>
      </c>
      <c r="H4" s="7" t="s">
        <v>10</v>
      </c>
      <c r="I4" s="7"/>
      <c r="J4" s="7"/>
      <c r="K4" s="58"/>
      <c r="L4" s="10"/>
      <c r="M4" s="10"/>
    </row>
    <row r="5" spans="1:13" s="6" customFormat="1" ht="15" customHeight="1">
      <c r="A5" s="99"/>
      <c r="B5" s="7" t="s">
        <v>7</v>
      </c>
      <c r="C5" s="7" t="s">
        <v>9</v>
      </c>
      <c r="D5" s="7"/>
      <c r="E5" s="7"/>
      <c r="F5" s="7"/>
      <c r="G5" s="15" t="s">
        <v>16</v>
      </c>
      <c r="H5" s="13" t="s">
        <v>15</v>
      </c>
      <c r="I5" s="7"/>
      <c r="J5" s="7"/>
      <c r="K5" s="58"/>
      <c r="L5" s="10"/>
      <c r="M5" s="10"/>
    </row>
    <row r="6" spans="1:13" s="6" customFormat="1" ht="15" customHeight="1">
      <c r="A6" s="99"/>
      <c r="B6" s="7" t="s">
        <v>13</v>
      </c>
      <c r="C6" s="7"/>
      <c r="D6" s="7" t="s">
        <v>26</v>
      </c>
      <c r="E6" s="7"/>
      <c r="F6" s="7"/>
      <c r="G6" s="15" t="s">
        <v>36</v>
      </c>
      <c r="H6" s="13" t="s">
        <v>15</v>
      </c>
      <c r="I6" s="7"/>
      <c r="J6" s="13" t="s">
        <v>14</v>
      </c>
      <c r="K6" s="13" t="s">
        <v>14</v>
      </c>
      <c r="L6" s="13" t="s">
        <v>14</v>
      </c>
      <c r="M6" s="13"/>
    </row>
    <row r="7" spans="1:13" s="6" customFormat="1" ht="15" customHeight="1">
      <c r="A7" s="100"/>
      <c r="B7" s="7" t="s">
        <v>20</v>
      </c>
      <c r="C7" s="7"/>
      <c r="D7" s="7" t="s">
        <v>21</v>
      </c>
      <c r="E7" s="7"/>
      <c r="F7" s="7"/>
      <c r="G7" s="15" t="s">
        <v>22</v>
      </c>
      <c r="H7" s="7" t="s">
        <v>10</v>
      </c>
      <c r="I7" s="7"/>
      <c r="J7" s="13" t="s">
        <v>14</v>
      </c>
      <c r="K7" s="13"/>
      <c r="L7" s="13"/>
      <c r="M7" s="13"/>
    </row>
    <row r="8" spans="1:13" s="6" customFormat="1" ht="15" customHeight="1">
      <c r="A8" s="7" t="s">
        <v>23</v>
      </c>
      <c r="B8" s="7" t="s">
        <v>23</v>
      </c>
      <c r="C8" s="7" t="s">
        <v>174</v>
      </c>
      <c r="D8" s="7"/>
      <c r="E8" s="7"/>
      <c r="F8" s="7"/>
      <c r="G8" s="15" t="s">
        <v>24</v>
      </c>
      <c r="H8" s="7" t="s">
        <v>10</v>
      </c>
      <c r="I8" s="7"/>
      <c r="J8" s="7"/>
      <c r="K8" s="58"/>
      <c r="L8" s="10"/>
      <c r="M8" s="10"/>
    </row>
    <row r="9" spans="1:13" s="6" customFormat="1" ht="15" customHeight="1">
      <c r="A9" s="7"/>
      <c r="B9" s="7" t="s">
        <v>27</v>
      </c>
      <c r="C9" s="7"/>
      <c r="D9" s="7" t="s">
        <v>25</v>
      </c>
      <c r="E9" s="7"/>
      <c r="F9" s="7"/>
      <c r="G9" s="15" t="s">
        <v>28</v>
      </c>
      <c r="H9" s="7" t="s">
        <v>10</v>
      </c>
      <c r="I9" s="7"/>
      <c r="J9" s="7"/>
      <c r="K9" s="58"/>
      <c r="L9" s="10"/>
      <c r="M9" s="10"/>
    </row>
    <row r="10" spans="1:13" s="6" customFormat="1" ht="13.5">
      <c r="A10" s="7"/>
      <c r="B10" s="7" t="s">
        <v>30</v>
      </c>
      <c r="C10" s="7"/>
      <c r="D10" s="7"/>
      <c r="E10" s="7" t="s">
        <v>31</v>
      </c>
      <c r="F10" s="7"/>
      <c r="G10" s="15" t="s">
        <v>171</v>
      </c>
      <c r="H10" s="13" t="s">
        <v>15</v>
      </c>
      <c r="I10" s="7"/>
      <c r="J10" s="7"/>
      <c r="K10" s="58"/>
      <c r="L10" s="13" t="s">
        <v>14</v>
      </c>
      <c r="M10" s="13"/>
    </row>
    <row r="11" spans="1:13" s="6" customFormat="1" ht="13.5">
      <c r="A11" s="58"/>
      <c r="B11" s="58"/>
      <c r="C11" s="58"/>
      <c r="D11" s="58"/>
      <c r="E11" s="58"/>
      <c r="F11" s="58"/>
      <c r="G11" s="15" t="s">
        <v>172</v>
      </c>
      <c r="H11" s="13" t="s">
        <v>15</v>
      </c>
      <c r="I11" s="58"/>
      <c r="J11" s="58"/>
      <c r="K11" s="58"/>
      <c r="L11" s="13" t="s">
        <v>14</v>
      </c>
      <c r="M11" s="13"/>
    </row>
    <row r="12" spans="1:13" s="6" customFormat="1" ht="15" customHeight="1">
      <c r="A12" s="7"/>
      <c r="B12" s="7" t="s">
        <v>33</v>
      </c>
      <c r="C12" s="7"/>
      <c r="D12" s="7"/>
      <c r="E12" s="7"/>
      <c r="F12" s="7" t="s">
        <v>32</v>
      </c>
      <c r="G12" s="15" t="s">
        <v>35</v>
      </c>
      <c r="H12" s="13" t="s">
        <v>15</v>
      </c>
      <c r="I12" s="7"/>
      <c r="J12" s="13" t="s">
        <v>14</v>
      </c>
      <c r="K12" s="13"/>
      <c r="L12" s="13"/>
      <c r="M12" s="13" t="s">
        <v>14</v>
      </c>
    </row>
    <row r="13" spans="1:13" s="6" customFormat="1" ht="15" customHeight="1">
      <c r="A13" s="7"/>
      <c r="B13" s="7"/>
      <c r="C13" s="7"/>
      <c r="D13" s="7"/>
      <c r="E13" s="7"/>
      <c r="F13" s="7"/>
      <c r="G13" s="15"/>
      <c r="H13" s="7"/>
      <c r="I13" s="7"/>
      <c r="J13" s="7"/>
      <c r="K13" s="58"/>
      <c r="L13" s="10"/>
      <c r="M13" s="10"/>
    </row>
    <row r="14" spans="1:13" s="6" customFormat="1" ht="15" customHeight="1">
      <c r="A14" s="10"/>
      <c r="B14" s="10"/>
      <c r="C14" s="10"/>
      <c r="D14" s="10"/>
      <c r="E14" s="10"/>
      <c r="F14" s="10"/>
      <c r="G14" s="15"/>
      <c r="H14" s="10"/>
      <c r="I14" s="10"/>
      <c r="J14" s="10"/>
      <c r="K14" s="58"/>
      <c r="L14" s="10"/>
      <c r="M14" s="10"/>
    </row>
    <row r="15" spans="1:13" s="6" customFormat="1" ht="15" customHeight="1">
      <c r="A15" s="7"/>
      <c r="B15" s="7"/>
      <c r="C15" s="7"/>
      <c r="D15" s="7"/>
      <c r="E15" s="7"/>
      <c r="F15" s="7"/>
      <c r="G15" s="15"/>
      <c r="H15" s="7"/>
      <c r="I15" s="7"/>
      <c r="J15" s="7"/>
      <c r="K15" s="58"/>
      <c r="L15" s="10"/>
      <c r="M15" s="10"/>
    </row>
    <row r="16" spans="1:13" s="6" customFormat="1" ht="15" customHeight="1">
      <c r="A16" s="7"/>
      <c r="B16" s="7"/>
      <c r="C16" s="7"/>
      <c r="D16" s="7"/>
      <c r="E16" s="7"/>
      <c r="F16" s="7"/>
      <c r="G16" s="15"/>
      <c r="H16" s="7"/>
      <c r="I16" s="7"/>
      <c r="J16" s="7"/>
      <c r="K16" s="58"/>
      <c r="L16" s="10"/>
      <c r="M16" s="10"/>
    </row>
    <row r="17" spans="1:16" s="6" customFormat="1" ht="15" customHeight="1">
      <c r="A17" s="7" t="s">
        <v>180</v>
      </c>
      <c r="B17" s="7" t="s">
        <v>37</v>
      </c>
      <c r="C17" s="7"/>
      <c r="D17" s="7"/>
      <c r="E17" s="7"/>
      <c r="F17" s="7"/>
      <c r="G17" s="15" t="s">
        <v>38</v>
      </c>
      <c r="H17" s="7"/>
      <c r="I17" s="7"/>
      <c r="J17" s="7"/>
      <c r="K17" s="58"/>
      <c r="L17" s="10"/>
      <c r="M17" s="10"/>
    </row>
    <row r="18" spans="1:16" s="6" customFormat="1" ht="15" customHeight="1">
      <c r="A18" s="7"/>
      <c r="B18" s="7" t="s">
        <v>39</v>
      </c>
      <c r="C18" s="7"/>
      <c r="D18" s="7"/>
      <c r="E18" s="7"/>
      <c r="F18" s="7"/>
      <c r="G18" s="15"/>
      <c r="H18" s="7"/>
      <c r="I18" s="7"/>
      <c r="J18" s="7"/>
      <c r="K18" s="58"/>
      <c r="L18" s="10"/>
      <c r="M18" s="10"/>
    </row>
    <row r="19" spans="1:16" s="6" customFormat="1" ht="15" customHeight="1">
      <c r="A19" s="7"/>
      <c r="B19" s="7"/>
      <c r="C19" s="7"/>
      <c r="D19" s="7"/>
      <c r="E19" s="7"/>
      <c r="F19" s="7"/>
      <c r="G19" s="15"/>
      <c r="H19" s="7"/>
      <c r="I19" s="7"/>
      <c r="J19" s="7"/>
      <c r="K19" s="58"/>
      <c r="L19" s="10"/>
      <c r="M19" s="10"/>
    </row>
    <row r="20" spans="1:16" s="6" customFormat="1" ht="15" customHeight="1">
      <c r="A20" s="7" t="s">
        <v>40</v>
      </c>
      <c r="B20" s="7" t="s">
        <v>41</v>
      </c>
      <c r="C20" s="7"/>
      <c r="D20" s="7"/>
      <c r="E20" s="7"/>
      <c r="F20" s="7"/>
      <c r="G20" s="15"/>
      <c r="H20" s="7"/>
      <c r="I20" s="7"/>
      <c r="J20" s="7"/>
      <c r="K20" s="58"/>
      <c r="L20" s="10"/>
      <c r="M20" s="10"/>
      <c r="P20" s="9"/>
    </row>
    <row r="21" spans="1:16" s="6" customFormat="1" ht="15" customHeight="1">
      <c r="A21" s="7"/>
      <c r="B21" s="7" t="s">
        <v>42</v>
      </c>
      <c r="C21" s="7"/>
      <c r="D21" s="7"/>
      <c r="E21" s="7"/>
      <c r="F21" s="7"/>
      <c r="G21" s="15"/>
      <c r="H21" s="7"/>
      <c r="I21" s="7"/>
      <c r="J21" s="7"/>
      <c r="K21" s="58"/>
      <c r="L21" s="10"/>
      <c r="M21" s="10"/>
    </row>
    <row r="22" spans="1:16" s="6" customFormat="1" ht="15" customHeight="1">
      <c r="A22" s="7" t="s">
        <v>43</v>
      </c>
      <c r="B22" s="7" t="s">
        <v>44</v>
      </c>
      <c r="C22" s="7"/>
      <c r="D22" s="7"/>
      <c r="E22" s="7"/>
      <c r="F22" s="7"/>
      <c r="G22" s="15"/>
      <c r="H22" s="7"/>
      <c r="I22" s="7"/>
      <c r="J22" s="7"/>
      <c r="K22" s="58"/>
      <c r="L22" s="10"/>
      <c r="M22" s="10"/>
    </row>
    <row r="23" spans="1:16" s="6" customFormat="1" ht="15" customHeight="1">
      <c r="A23" s="7"/>
      <c r="B23" s="7" t="s">
        <v>45</v>
      </c>
      <c r="C23" s="7"/>
      <c r="D23" s="7"/>
      <c r="E23" s="7"/>
      <c r="F23" s="7"/>
      <c r="G23" s="15"/>
      <c r="H23" s="7"/>
      <c r="I23" s="7"/>
      <c r="J23" s="7"/>
      <c r="K23" s="58"/>
      <c r="L23" s="10"/>
      <c r="M23" s="10"/>
    </row>
    <row r="24" spans="1:16" s="6" customFormat="1" ht="15" customHeight="1">
      <c r="A24" s="7" t="s">
        <v>46</v>
      </c>
      <c r="B24" s="7" t="s">
        <v>47</v>
      </c>
      <c r="C24" s="7"/>
      <c r="D24" s="7"/>
      <c r="E24" s="7"/>
      <c r="F24" s="7"/>
      <c r="G24" s="15"/>
      <c r="H24" s="7"/>
      <c r="I24" s="7"/>
      <c r="J24" s="7"/>
      <c r="K24" s="58"/>
      <c r="L24" s="10"/>
      <c r="M24" s="10"/>
    </row>
    <row r="25" spans="1:16" s="6" customFormat="1" ht="15" customHeight="1">
      <c r="A25" s="7"/>
      <c r="B25" s="7"/>
      <c r="C25" s="7"/>
      <c r="D25" s="7"/>
      <c r="E25" s="7"/>
      <c r="F25" s="7"/>
      <c r="G25" s="15"/>
      <c r="H25" s="7"/>
      <c r="I25" s="7"/>
      <c r="J25" s="7"/>
      <c r="K25" s="58"/>
      <c r="L25" s="10"/>
      <c r="M25" s="10"/>
    </row>
    <row r="26" spans="1:16" s="6" customFormat="1" ht="15" customHeight="1">
      <c r="A26" s="7"/>
      <c r="B26" s="7" t="s">
        <v>48</v>
      </c>
      <c r="C26" s="7"/>
      <c r="D26" s="7"/>
      <c r="E26" s="7"/>
      <c r="F26" s="7"/>
      <c r="G26" s="15"/>
      <c r="H26" s="7"/>
      <c r="I26" s="7"/>
      <c r="J26" s="7"/>
      <c r="K26" s="58"/>
      <c r="L26" s="10"/>
      <c r="M26" s="10"/>
    </row>
    <row r="27" spans="1:16" s="6" customFormat="1" ht="15" customHeight="1">
      <c r="A27" s="7"/>
      <c r="B27" s="7"/>
      <c r="C27" s="7"/>
      <c r="D27" s="7"/>
      <c r="E27" s="7"/>
      <c r="F27" s="7"/>
      <c r="G27" s="15"/>
      <c r="H27" s="7"/>
      <c r="I27" s="7"/>
      <c r="J27" s="7"/>
      <c r="K27" s="58"/>
      <c r="L27" s="10"/>
      <c r="M27" s="10"/>
    </row>
    <row r="28" spans="1:16" s="6" customFormat="1" ht="15" customHeight="1">
      <c r="A28" s="7"/>
      <c r="B28" s="7" t="s">
        <v>49</v>
      </c>
      <c r="C28" s="7"/>
      <c r="D28" s="7"/>
      <c r="E28" s="7"/>
      <c r="F28" s="7"/>
      <c r="G28" s="15"/>
      <c r="H28" s="7"/>
      <c r="I28" s="7"/>
      <c r="J28" s="7"/>
      <c r="K28" s="58"/>
      <c r="L28" s="10"/>
      <c r="M28" s="10"/>
    </row>
    <row r="29" spans="1:16" s="6" customFormat="1" ht="15" customHeight="1">
      <c r="A29" s="7"/>
      <c r="B29" s="7"/>
      <c r="C29" s="7"/>
      <c r="D29" s="7"/>
      <c r="E29" s="7"/>
      <c r="F29" s="7"/>
      <c r="G29" s="15"/>
      <c r="H29" s="7"/>
      <c r="I29" s="7"/>
      <c r="J29" s="7"/>
      <c r="K29" s="58"/>
      <c r="L29" s="10"/>
      <c r="M29" s="10"/>
    </row>
    <row r="30" spans="1:16" s="6" customFormat="1" ht="15" customHeight="1">
      <c r="A30" s="7"/>
      <c r="B30" s="7" t="s">
        <v>50</v>
      </c>
      <c r="C30" s="7"/>
      <c r="D30" s="7"/>
      <c r="E30" s="7"/>
      <c r="F30" s="7"/>
      <c r="G30" s="15"/>
      <c r="H30" s="7"/>
      <c r="I30" s="7"/>
      <c r="J30" s="7"/>
      <c r="K30" s="58"/>
      <c r="L30" s="10"/>
      <c r="M30" s="10"/>
    </row>
    <row r="31" spans="1:16" s="6" customFormat="1" ht="15" customHeight="1">
      <c r="A31" s="7"/>
      <c r="B31" s="7"/>
      <c r="C31" s="7"/>
      <c r="D31" s="7"/>
      <c r="E31" s="7"/>
      <c r="F31" s="7"/>
      <c r="G31" s="15"/>
      <c r="H31" s="7"/>
      <c r="I31" s="7"/>
      <c r="J31" s="7"/>
      <c r="K31" s="58"/>
      <c r="L31" s="10"/>
      <c r="M31" s="10"/>
    </row>
    <row r="32" spans="1:16" s="6" customFormat="1" ht="15" customHeight="1">
      <c r="A32" s="7" t="s">
        <v>51</v>
      </c>
      <c r="B32" s="7" t="s">
        <v>52</v>
      </c>
      <c r="C32" s="7"/>
      <c r="D32" s="7"/>
      <c r="E32" s="7"/>
      <c r="F32" s="7"/>
      <c r="G32" s="15" t="s">
        <v>54</v>
      </c>
      <c r="H32" s="7"/>
      <c r="I32" s="7"/>
      <c r="J32" s="7"/>
      <c r="K32" s="58"/>
      <c r="L32" s="10"/>
      <c r="M32" s="10"/>
    </row>
    <row r="33" spans="1:13" s="6" customFormat="1" ht="15" customHeight="1">
      <c r="A33" s="7"/>
      <c r="B33" s="7"/>
      <c r="C33" s="7"/>
      <c r="D33" s="7"/>
      <c r="E33" s="7"/>
      <c r="F33" s="7"/>
      <c r="G33" s="15"/>
      <c r="H33" s="7"/>
      <c r="I33" s="7"/>
      <c r="J33" s="7"/>
      <c r="K33" s="58"/>
      <c r="L33" s="10"/>
      <c r="M33" s="10"/>
    </row>
    <row r="34" spans="1:13" s="6" customFormat="1" ht="15" customHeight="1">
      <c r="A34" s="7"/>
      <c r="B34" s="7" t="s">
        <v>53</v>
      </c>
      <c r="C34" s="7"/>
      <c r="D34" s="7"/>
      <c r="E34" s="7"/>
      <c r="F34" s="7"/>
      <c r="G34" s="15" t="s">
        <v>54</v>
      </c>
      <c r="H34" s="7"/>
      <c r="I34" s="7"/>
      <c r="J34" s="7"/>
      <c r="K34" s="58"/>
      <c r="L34" s="10"/>
      <c r="M34" s="10"/>
    </row>
    <row r="35" spans="1:13" s="6" customFormat="1" ht="15" customHeight="1">
      <c r="A35" s="7"/>
      <c r="B35" s="7"/>
      <c r="C35" s="7"/>
      <c r="D35" s="7"/>
      <c r="E35" s="7"/>
      <c r="F35" s="7"/>
      <c r="G35" s="15"/>
      <c r="H35" s="7"/>
      <c r="I35" s="7"/>
      <c r="J35" s="7"/>
      <c r="K35" s="58"/>
      <c r="L35" s="10"/>
      <c r="M35" s="10"/>
    </row>
    <row r="36" spans="1:13" s="6" customFormat="1" ht="15" customHeight="1">
      <c r="A36" s="7"/>
      <c r="B36" s="7"/>
      <c r="C36" s="7"/>
      <c r="D36" s="7"/>
      <c r="E36" s="7"/>
      <c r="F36" s="7"/>
      <c r="G36" s="15"/>
      <c r="H36" s="7"/>
      <c r="I36" s="7"/>
      <c r="J36" s="7"/>
      <c r="K36" s="58"/>
      <c r="L36" s="10"/>
      <c r="M36" s="10"/>
    </row>
    <row r="37" spans="1:13" s="6" customFormat="1" ht="15" customHeight="1">
      <c r="A37" s="7" t="s">
        <v>55</v>
      </c>
      <c r="B37" s="7"/>
      <c r="C37" s="7"/>
      <c r="D37" s="7"/>
      <c r="E37" s="7"/>
      <c r="F37" s="7"/>
      <c r="G37" s="15"/>
      <c r="H37" s="7"/>
      <c r="I37" s="7"/>
      <c r="J37" s="7"/>
      <c r="K37" s="58"/>
      <c r="L37" s="10"/>
      <c r="M37" s="10"/>
    </row>
    <row r="38" spans="1:13" s="6" customFormat="1" ht="15" customHeight="1">
      <c r="A38" s="7"/>
      <c r="B38" s="7"/>
      <c r="C38" s="7"/>
      <c r="D38" s="7"/>
      <c r="E38" s="7"/>
      <c r="F38" s="7"/>
      <c r="G38" s="15"/>
      <c r="H38" s="7"/>
      <c r="I38" s="7"/>
      <c r="J38" s="7"/>
      <c r="K38" s="58"/>
      <c r="L38" s="10"/>
      <c r="M38" s="10"/>
    </row>
    <row r="39" spans="1:13" s="6" customFormat="1" ht="15" customHeight="1">
      <c r="A39" s="7"/>
      <c r="B39" s="7"/>
      <c r="C39" s="7"/>
      <c r="D39" s="7"/>
      <c r="E39" s="7"/>
      <c r="F39" s="7"/>
      <c r="G39" s="15"/>
      <c r="H39" s="7"/>
      <c r="I39" s="7"/>
      <c r="J39" s="7"/>
      <c r="K39" s="58"/>
      <c r="L39" s="10"/>
      <c r="M39" s="10"/>
    </row>
    <row r="40" spans="1:13" s="6" customFormat="1" ht="15" customHeight="1">
      <c r="A40" s="7"/>
      <c r="B40" s="7"/>
      <c r="C40" s="7"/>
      <c r="D40" s="7"/>
      <c r="E40" s="7"/>
      <c r="F40" s="7"/>
      <c r="G40" s="15"/>
      <c r="H40" s="7"/>
      <c r="I40" s="7"/>
      <c r="J40" s="7"/>
      <c r="K40" s="58"/>
      <c r="L40" s="10"/>
      <c r="M40" s="10"/>
    </row>
    <row r="41" spans="1:13" s="6" customFormat="1" ht="15" customHeight="1">
      <c r="A41" s="7"/>
      <c r="B41" s="7"/>
      <c r="C41" s="7"/>
      <c r="D41" s="7"/>
      <c r="E41" s="7"/>
      <c r="F41" s="7"/>
      <c r="G41" s="15"/>
      <c r="H41" s="7"/>
      <c r="I41" s="7"/>
      <c r="J41" s="7"/>
      <c r="K41" s="58"/>
      <c r="L41" s="10"/>
      <c r="M41" s="10"/>
    </row>
    <row r="42" spans="1:13" s="6" customFormat="1" ht="15" customHeight="1">
      <c r="A42" s="7" t="s">
        <v>56</v>
      </c>
      <c r="B42" s="7" t="s">
        <v>17</v>
      </c>
      <c r="C42" s="7"/>
      <c r="D42" s="7"/>
      <c r="E42" s="7"/>
      <c r="F42" s="7"/>
      <c r="G42" s="15"/>
      <c r="H42" s="7"/>
      <c r="I42" s="7"/>
      <c r="J42" s="7"/>
      <c r="K42" s="58"/>
      <c r="L42" s="10"/>
      <c r="M42" s="10"/>
    </row>
    <row r="43" spans="1:13" s="6" customFormat="1" ht="15" customHeight="1">
      <c r="A43" s="7"/>
      <c r="B43" s="7" t="s">
        <v>18</v>
      </c>
      <c r="C43" s="7"/>
      <c r="D43" s="7"/>
      <c r="E43" s="7"/>
      <c r="F43" s="7"/>
      <c r="G43" s="15"/>
      <c r="H43" s="7"/>
      <c r="I43" s="7"/>
      <c r="J43" s="7"/>
      <c r="K43" s="58"/>
      <c r="L43" s="10"/>
      <c r="M43" s="10"/>
    </row>
    <row r="44" spans="1:13" s="6" customFormat="1" ht="15" customHeight="1">
      <c r="A44" s="7"/>
      <c r="B44" s="7" t="s">
        <v>19</v>
      </c>
      <c r="C44" s="7"/>
      <c r="D44" s="7"/>
      <c r="E44" s="7"/>
      <c r="F44" s="7"/>
      <c r="G44" s="15"/>
      <c r="H44" s="7"/>
      <c r="I44" s="7"/>
      <c r="J44" s="7"/>
      <c r="K44" s="58"/>
      <c r="L44" s="10"/>
      <c r="M44" s="10"/>
    </row>
    <row r="45" spans="1:13" s="6" customFormat="1" ht="15" customHeight="1">
      <c r="A45" s="7"/>
      <c r="B45" s="7" t="s">
        <v>181</v>
      </c>
      <c r="C45" s="7"/>
      <c r="D45" s="7"/>
      <c r="E45" s="7"/>
      <c r="F45" s="7"/>
      <c r="G45" s="15"/>
      <c r="H45" s="7"/>
      <c r="I45" s="7"/>
      <c r="J45" s="7"/>
      <c r="K45" s="58"/>
      <c r="L45" s="10"/>
      <c r="M45" s="10"/>
    </row>
    <row r="46" spans="1:13" s="6" customFormat="1" ht="15" customHeight="1">
      <c r="A46" s="7"/>
      <c r="B46" s="7"/>
      <c r="C46" s="7"/>
      <c r="D46" s="7"/>
      <c r="E46" s="7"/>
      <c r="F46" s="7"/>
      <c r="G46" s="15"/>
      <c r="H46" s="7"/>
      <c r="I46" s="7"/>
      <c r="J46" s="7"/>
      <c r="K46" s="58"/>
      <c r="L46" s="10"/>
      <c r="M46" s="10"/>
    </row>
    <row r="47" spans="1:13" s="6" customFormat="1" ht="15" customHeight="1">
      <c r="A47" s="7"/>
      <c r="B47" s="7"/>
      <c r="C47" s="7"/>
      <c r="D47" s="7"/>
      <c r="E47" s="7"/>
      <c r="F47" s="7"/>
      <c r="G47" s="15"/>
      <c r="H47" s="7"/>
      <c r="I47" s="7"/>
      <c r="J47" s="7"/>
      <c r="K47" s="58"/>
      <c r="L47" s="10"/>
      <c r="M47" s="10"/>
    </row>
    <row r="48" spans="1:13" s="6" customFormat="1" ht="15" customHeight="1">
      <c r="A48" s="7"/>
      <c r="B48" s="7"/>
      <c r="C48" s="7"/>
      <c r="D48" s="7"/>
      <c r="E48" s="7"/>
      <c r="F48" s="7"/>
      <c r="G48" s="15"/>
      <c r="H48" s="7"/>
      <c r="I48" s="7"/>
      <c r="J48" s="7"/>
      <c r="K48" s="58"/>
      <c r="L48" s="10"/>
      <c r="M48" s="10"/>
    </row>
    <row r="49" spans="7:7" s="6" customFormat="1" ht="15" customHeight="1">
      <c r="G49" s="8"/>
    </row>
    <row r="50" spans="7:7" s="6" customFormat="1" ht="15" customHeight="1">
      <c r="G50" s="8"/>
    </row>
    <row r="51" spans="7:7" s="6" customFormat="1" ht="15" customHeight="1">
      <c r="G51" s="8"/>
    </row>
    <row r="52" spans="7:7" s="6" customFormat="1" ht="15" customHeight="1">
      <c r="G52" s="8"/>
    </row>
    <row r="53" spans="7:7" ht="15" customHeight="1"/>
    <row r="54" spans="7:7" ht="15" customHeight="1"/>
    <row r="55" spans="7:7" ht="15" customHeight="1"/>
    <row r="56" spans="7:7" ht="15" customHeight="1"/>
    <row r="57" spans="7:7" ht="15" customHeight="1"/>
    <row r="58" spans="7:7" ht="15" customHeight="1"/>
    <row r="59" spans="7:7" ht="15" customHeight="1"/>
    <row r="60" spans="7:7" ht="15" customHeight="1"/>
    <row r="61" spans="7:7" ht="15" customHeight="1"/>
    <row r="62" spans="7:7" ht="15" customHeight="1"/>
    <row r="63" spans="7:7" ht="15" customHeight="1"/>
    <row r="64" spans="7: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</sheetData>
  <mergeCells count="2">
    <mergeCell ref="A4:A7"/>
    <mergeCell ref="A1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8"/>
  <sheetViews>
    <sheetView showGridLines="0" tabSelected="1" workbookViewId="0">
      <pane ySplit="5" topLeftCell="A6" activePane="bottomLeft" state="frozen"/>
      <selection pane="bottomLeft" activeCell="B42" sqref="B42:B46"/>
    </sheetView>
  </sheetViews>
  <sheetFormatPr defaultRowHeight="15" customHeight="1"/>
  <cols>
    <col min="1" max="1" width="9.75" style="14" customWidth="1"/>
    <col min="2" max="2" width="17.125" style="14" customWidth="1"/>
    <col min="3" max="3" width="17.625" style="14" customWidth="1"/>
    <col min="4" max="4" width="12.125" style="14" customWidth="1"/>
    <col min="5" max="5" width="10.625" style="14" customWidth="1"/>
    <col min="6" max="6" width="26.5" style="14" customWidth="1"/>
    <col min="7" max="7" width="11.875" style="23" customWidth="1"/>
    <col min="8" max="8" width="10" style="47" customWidth="1"/>
    <col min="9" max="9" width="15.125" style="14" customWidth="1"/>
    <col min="10" max="47" width="2.375" style="14" customWidth="1"/>
    <col min="48" max="16384" width="9" style="14"/>
  </cols>
  <sheetData>
    <row r="1" spans="1:47" ht="15" customHeight="1">
      <c r="A1" s="114" t="s">
        <v>67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</row>
    <row r="2" spans="1:47" ht="15" customHeigh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</row>
    <row r="3" spans="1:47" ht="10.5" customHeight="1">
      <c r="A3" s="18"/>
      <c r="B3" s="18"/>
      <c r="C3" s="18"/>
      <c r="D3" s="18"/>
      <c r="E3" s="18"/>
      <c r="F3" s="18"/>
      <c r="G3" s="21"/>
      <c r="H3" s="4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</row>
    <row r="4" spans="1:47" ht="15" customHeight="1">
      <c r="A4" s="111" t="s">
        <v>61</v>
      </c>
      <c r="B4" s="117" t="s">
        <v>71</v>
      </c>
      <c r="C4" s="117" t="s">
        <v>72</v>
      </c>
      <c r="D4" s="111" t="s">
        <v>62</v>
      </c>
      <c r="E4" s="111" t="s">
        <v>63</v>
      </c>
      <c r="F4" s="111" t="s">
        <v>57</v>
      </c>
      <c r="G4" s="115" t="s">
        <v>69</v>
      </c>
      <c r="H4" s="119" t="s">
        <v>125</v>
      </c>
      <c r="I4" s="116" t="s">
        <v>58</v>
      </c>
      <c r="J4" s="110" t="s">
        <v>65</v>
      </c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2"/>
      <c r="Z4" s="113" t="s">
        <v>66</v>
      </c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</row>
    <row r="5" spans="1:47" ht="15" customHeight="1">
      <c r="A5" s="111"/>
      <c r="B5" s="118"/>
      <c r="C5" s="118"/>
      <c r="D5" s="111"/>
      <c r="E5" s="111"/>
      <c r="F5" s="111"/>
      <c r="G5" s="115"/>
      <c r="H5" s="120"/>
      <c r="I5" s="116"/>
      <c r="J5" s="25">
        <v>16</v>
      </c>
      <c r="K5" s="20">
        <v>17</v>
      </c>
      <c r="L5" s="20">
        <v>18</v>
      </c>
      <c r="M5" s="50">
        <v>19</v>
      </c>
      <c r="N5" s="50">
        <v>20</v>
      </c>
      <c r="O5" s="20">
        <v>21</v>
      </c>
      <c r="P5" s="20">
        <v>22</v>
      </c>
      <c r="Q5" s="20">
        <v>23</v>
      </c>
      <c r="R5" s="20">
        <v>24</v>
      </c>
      <c r="S5" s="20">
        <v>25</v>
      </c>
      <c r="T5" s="50">
        <v>26</v>
      </c>
      <c r="U5" s="50">
        <v>27</v>
      </c>
      <c r="V5" s="20">
        <v>28</v>
      </c>
      <c r="W5" s="20">
        <v>29</v>
      </c>
      <c r="X5" s="20">
        <v>30</v>
      </c>
      <c r="Y5" s="40">
        <v>31</v>
      </c>
      <c r="Z5" s="38">
        <v>1</v>
      </c>
      <c r="AA5" s="50">
        <v>2</v>
      </c>
      <c r="AB5" s="50">
        <v>3</v>
      </c>
      <c r="AC5" s="20">
        <v>4</v>
      </c>
      <c r="AD5" s="20">
        <v>5</v>
      </c>
      <c r="AE5" s="20">
        <v>6</v>
      </c>
      <c r="AF5" s="20">
        <v>7</v>
      </c>
      <c r="AG5" s="20">
        <v>8</v>
      </c>
      <c r="AH5" s="50">
        <v>9</v>
      </c>
      <c r="AI5" s="50">
        <v>10</v>
      </c>
      <c r="AJ5" s="20">
        <v>11</v>
      </c>
      <c r="AK5" s="20">
        <v>12</v>
      </c>
      <c r="AL5" s="20">
        <v>13</v>
      </c>
      <c r="AM5" s="20">
        <v>14</v>
      </c>
      <c r="AN5" s="20">
        <v>15</v>
      </c>
      <c r="AO5" s="50">
        <v>16</v>
      </c>
      <c r="AP5" s="50">
        <v>17</v>
      </c>
      <c r="AQ5" s="20">
        <v>18</v>
      </c>
      <c r="AR5" s="20">
        <v>19</v>
      </c>
      <c r="AS5" s="20">
        <v>20</v>
      </c>
      <c r="AT5" s="20">
        <v>21</v>
      </c>
      <c r="AU5" s="20">
        <v>22</v>
      </c>
    </row>
    <row r="6" spans="1:47" ht="15" customHeight="1">
      <c r="A6" s="19" t="s">
        <v>64</v>
      </c>
      <c r="B6" s="19" t="s">
        <v>70</v>
      </c>
      <c r="C6" s="19"/>
      <c r="D6" s="19" t="s">
        <v>68</v>
      </c>
      <c r="E6" s="19"/>
      <c r="F6" s="19" t="s">
        <v>86</v>
      </c>
      <c r="G6" s="22"/>
      <c r="H6" s="44"/>
      <c r="I6" s="24"/>
      <c r="J6" s="26"/>
      <c r="K6" s="29"/>
      <c r="L6" s="24"/>
      <c r="M6" s="51"/>
      <c r="N6" s="51"/>
      <c r="O6" s="39"/>
      <c r="P6" s="19"/>
      <c r="Q6" s="19"/>
      <c r="R6" s="19"/>
      <c r="S6" s="24"/>
      <c r="T6" s="51"/>
      <c r="U6" s="51"/>
      <c r="V6" s="39"/>
      <c r="W6" s="19"/>
      <c r="X6" s="19"/>
      <c r="Y6" s="41"/>
      <c r="Z6" s="53"/>
      <c r="AA6" s="51"/>
      <c r="AB6" s="51"/>
      <c r="AC6" s="39"/>
      <c r="AD6" s="19"/>
      <c r="AE6" s="19"/>
      <c r="AF6" s="19"/>
      <c r="AG6" s="24"/>
      <c r="AH6" s="51"/>
      <c r="AI6" s="51"/>
      <c r="AJ6" s="39"/>
      <c r="AK6" s="19"/>
      <c r="AL6" s="19"/>
      <c r="AM6" s="19"/>
      <c r="AN6" s="24"/>
      <c r="AO6" s="51"/>
      <c r="AP6" s="51"/>
      <c r="AQ6" s="39"/>
      <c r="AR6" s="19"/>
      <c r="AS6" s="19"/>
      <c r="AT6" s="19"/>
      <c r="AU6" s="19"/>
    </row>
    <row r="7" spans="1:47" ht="15" customHeight="1">
      <c r="A7" s="27" t="s">
        <v>107</v>
      </c>
      <c r="B7" s="27" t="s">
        <v>108</v>
      </c>
      <c r="C7" s="27" t="s">
        <v>109</v>
      </c>
      <c r="D7" s="19" t="s">
        <v>107</v>
      </c>
      <c r="E7" s="19"/>
      <c r="F7" s="19" t="s">
        <v>110</v>
      </c>
      <c r="G7" s="22">
        <v>10780</v>
      </c>
      <c r="H7" s="44" t="s">
        <v>126</v>
      </c>
      <c r="I7" s="24" t="s">
        <v>111</v>
      </c>
      <c r="J7" s="26"/>
      <c r="K7" s="48"/>
      <c r="L7" s="24"/>
      <c r="M7" s="51"/>
      <c r="N7" s="51"/>
      <c r="O7" s="39"/>
      <c r="P7" s="19"/>
      <c r="Q7" s="19"/>
      <c r="R7" s="19"/>
      <c r="S7" s="24"/>
      <c r="T7" s="51"/>
      <c r="U7" s="51"/>
      <c r="V7" s="39"/>
      <c r="W7" s="19"/>
      <c r="X7" s="19"/>
      <c r="Y7" s="41"/>
      <c r="Z7" s="53"/>
      <c r="AA7" s="51"/>
      <c r="AB7" s="51"/>
      <c r="AC7" s="39"/>
      <c r="AD7" s="19"/>
      <c r="AE7" s="19"/>
      <c r="AF7" s="19"/>
      <c r="AG7" s="24"/>
      <c r="AH7" s="51"/>
      <c r="AI7" s="51"/>
      <c r="AJ7" s="39"/>
      <c r="AK7" s="19"/>
      <c r="AL7" s="19"/>
      <c r="AM7" s="19"/>
      <c r="AN7" s="24"/>
      <c r="AO7" s="51"/>
      <c r="AP7" s="51"/>
      <c r="AQ7" s="39"/>
      <c r="AR7" s="19"/>
      <c r="AS7" s="19"/>
      <c r="AT7" s="19"/>
      <c r="AU7" s="19"/>
    </row>
    <row r="8" spans="1:47" ht="15" customHeight="1">
      <c r="A8" s="104" t="s">
        <v>59</v>
      </c>
      <c r="B8" s="104" t="s">
        <v>70</v>
      </c>
      <c r="C8" s="104" t="s">
        <v>73</v>
      </c>
      <c r="D8" s="19" t="s">
        <v>87</v>
      </c>
      <c r="E8" s="19"/>
      <c r="F8" s="19"/>
      <c r="G8" s="22"/>
      <c r="H8" s="44"/>
      <c r="I8" s="24"/>
      <c r="J8" s="26"/>
      <c r="K8" s="29"/>
      <c r="L8" s="24"/>
      <c r="M8" s="51"/>
      <c r="N8" s="51"/>
      <c r="O8" s="39"/>
      <c r="P8" s="19"/>
      <c r="Q8" s="19"/>
      <c r="R8" s="19"/>
      <c r="S8" s="24"/>
      <c r="T8" s="51"/>
      <c r="U8" s="51"/>
      <c r="V8" s="39"/>
      <c r="W8" s="19"/>
      <c r="X8" s="19"/>
      <c r="Y8" s="41"/>
      <c r="Z8" s="53"/>
      <c r="AA8" s="51"/>
      <c r="AB8" s="51"/>
      <c r="AC8" s="39"/>
      <c r="AD8" s="19"/>
      <c r="AE8" s="19"/>
      <c r="AF8" s="19"/>
      <c r="AG8" s="24"/>
      <c r="AH8" s="51"/>
      <c r="AI8" s="51"/>
      <c r="AJ8" s="39"/>
      <c r="AK8" s="19"/>
      <c r="AL8" s="19"/>
      <c r="AM8" s="19"/>
      <c r="AN8" s="24"/>
      <c r="AO8" s="51"/>
      <c r="AP8" s="51"/>
      <c r="AQ8" s="39"/>
      <c r="AR8" s="19"/>
      <c r="AS8" s="19"/>
      <c r="AT8" s="19"/>
      <c r="AU8" s="19"/>
    </row>
    <row r="9" spans="1:47" ht="15" customHeight="1">
      <c r="A9" s="106"/>
      <c r="B9" s="106"/>
      <c r="C9" s="106"/>
      <c r="D9" s="19" t="s">
        <v>59</v>
      </c>
      <c r="E9" s="19" t="s">
        <v>74</v>
      </c>
      <c r="F9" s="19" t="s">
        <v>184</v>
      </c>
      <c r="G9" s="22">
        <v>131000</v>
      </c>
      <c r="H9" s="44"/>
      <c r="I9" s="24"/>
      <c r="J9" s="26"/>
      <c r="K9" s="19"/>
      <c r="L9" s="24"/>
      <c r="M9" s="51"/>
      <c r="N9" s="51"/>
      <c r="O9" s="39"/>
      <c r="P9" s="19"/>
      <c r="Q9" s="19"/>
      <c r="R9" s="19"/>
      <c r="S9" s="24"/>
      <c r="T9" s="51"/>
      <c r="U9" s="51"/>
      <c r="V9" s="39"/>
      <c r="W9" s="19"/>
      <c r="X9" s="19"/>
      <c r="Y9" s="41"/>
      <c r="Z9" s="53"/>
      <c r="AA9" s="51"/>
      <c r="AB9" s="51"/>
      <c r="AC9" s="39"/>
      <c r="AD9" s="19"/>
      <c r="AE9" s="19"/>
      <c r="AF9" s="19"/>
      <c r="AG9" s="24"/>
      <c r="AH9" s="51"/>
      <c r="AI9" s="51"/>
      <c r="AJ9" s="39"/>
      <c r="AK9" s="19"/>
      <c r="AL9" s="19"/>
      <c r="AM9" s="19"/>
      <c r="AN9" s="24"/>
      <c r="AO9" s="51"/>
      <c r="AP9" s="51"/>
      <c r="AQ9" s="39"/>
      <c r="AR9" s="19"/>
      <c r="AS9" s="19"/>
      <c r="AT9" s="19"/>
      <c r="AU9" s="19"/>
    </row>
    <row r="10" spans="1:47" ht="15" customHeight="1">
      <c r="A10" s="106"/>
      <c r="B10" s="106"/>
      <c r="C10" s="106"/>
      <c r="D10" s="19" t="s">
        <v>59</v>
      </c>
      <c r="E10" s="19" t="s">
        <v>75</v>
      </c>
      <c r="F10" s="19" t="s">
        <v>183</v>
      </c>
      <c r="G10" s="22">
        <v>234000</v>
      </c>
      <c r="H10" s="44"/>
      <c r="I10" s="24"/>
      <c r="J10" s="26"/>
      <c r="K10" s="19"/>
      <c r="L10" s="24"/>
      <c r="M10" s="51"/>
      <c r="N10" s="51"/>
      <c r="O10" s="39"/>
      <c r="P10" s="19"/>
      <c r="Q10" s="19"/>
      <c r="R10" s="19"/>
      <c r="S10" s="24"/>
      <c r="T10" s="51"/>
      <c r="U10" s="51"/>
      <c r="V10" s="39"/>
      <c r="W10" s="19"/>
      <c r="X10" s="19"/>
      <c r="Y10" s="41"/>
      <c r="Z10" s="53"/>
      <c r="AA10" s="51"/>
      <c r="AB10" s="51"/>
      <c r="AC10" s="39"/>
      <c r="AD10" s="19"/>
      <c r="AE10" s="19"/>
      <c r="AF10" s="19"/>
      <c r="AG10" s="24"/>
      <c r="AH10" s="51"/>
      <c r="AI10" s="51"/>
      <c r="AJ10" s="39"/>
      <c r="AK10" s="19"/>
      <c r="AL10" s="19"/>
      <c r="AM10" s="19"/>
      <c r="AN10" s="24"/>
      <c r="AO10" s="51"/>
      <c r="AP10" s="51"/>
      <c r="AQ10" s="39"/>
      <c r="AR10" s="19"/>
      <c r="AS10" s="19"/>
      <c r="AT10" s="19"/>
      <c r="AU10" s="19"/>
    </row>
    <row r="11" spans="1:47" ht="15" customHeight="1">
      <c r="A11" s="106"/>
      <c r="B11" s="106"/>
      <c r="C11" s="106"/>
      <c r="D11" s="19" t="s">
        <v>76</v>
      </c>
      <c r="E11" s="19"/>
      <c r="F11" s="19" t="s">
        <v>185</v>
      </c>
      <c r="G11" s="22">
        <v>57600</v>
      </c>
      <c r="H11" s="44"/>
      <c r="I11" s="24"/>
      <c r="J11" s="26"/>
      <c r="K11" s="19"/>
      <c r="L11" s="24"/>
      <c r="M11" s="51"/>
      <c r="N11" s="51"/>
      <c r="O11" s="39"/>
      <c r="P11" s="19"/>
      <c r="Q11" s="19"/>
      <c r="R11" s="19"/>
      <c r="S11" s="24"/>
      <c r="T11" s="51"/>
      <c r="U11" s="51"/>
      <c r="V11" s="39"/>
      <c r="W11" s="19"/>
      <c r="X11" s="19"/>
      <c r="Y11" s="41"/>
      <c r="Z11" s="53"/>
      <c r="AA11" s="51"/>
      <c r="AB11" s="51"/>
      <c r="AC11" s="39"/>
      <c r="AD11" s="19"/>
      <c r="AE11" s="19"/>
      <c r="AF11" s="19"/>
      <c r="AG11" s="24"/>
      <c r="AH11" s="51"/>
      <c r="AI11" s="51"/>
      <c r="AJ11" s="39"/>
      <c r="AK11" s="19"/>
      <c r="AL11" s="19"/>
      <c r="AM11" s="19"/>
      <c r="AN11" s="24"/>
      <c r="AO11" s="51"/>
      <c r="AP11" s="51"/>
      <c r="AQ11" s="39"/>
      <c r="AR11" s="19"/>
      <c r="AS11" s="19"/>
      <c r="AT11" s="19"/>
      <c r="AU11" s="19"/>
    </row>
    <row r="12" spans="1:47" ht="15" customHeight="1">
      <c r="A12" s="106"/>
      <c r="B12" s="106"/>
      <c r="C12" s="106"/>
      <c r="D12" s="19" t="s">
        <v>77</v>
      </c>
      <c r="E12" s="19"/>
      <c r="F12" s="19" t="s">
        <v>186</v>
      </c>
      <c r="G12" s="22">
        <v>4032</v>
      </c>
      <c r="H12" s="44"/>
      <c r="I12" s="24"/>
      <c r="J12" s="26"/>
      <c r="K12" s="19"/>
      <c r="L12" s="24"/>
      <c r="M12" s="51"/>
      <c r="N12" s="51"/>
      <c r="O12" s="39"/>
      <c r="P12" s="19"/>
      <c r="Q12" s="19"/>
      <c r="R12" s="19"/>
      <c r="S12" s="24"/>
      <c r="T12" s="51"/>
      <c r="U12" s="51"/>
      <c r="V12" s="39"/>
      <c r="W12" s="19"/>
      <c r="X12" s="19"/>
      <c r="Y12" s="41"/>
      <c r="Z12" s="53"/>
      <c r="AA12" s="51"/>
      <c r="AB12" s="51"/>
      <c r="AC12" s="39"/>
      <c r="AD12" s="19"/>
      <c r="AE12" s="19"/>
      <c r="AF12" s="19"/>
      <c r="AG12" s="24"/>
      <c r="AH12" s="51"/>
      <c r="AI12" s="51"/>
      <c r="AJ12" s="39"/>
      <c r="AK12" s="19"/>
      <c r="AL12" s="19"/>
      <c r="AM12" s="19"/>
      <c r="AN12" s="24"/>
      <c r="AO12" s="51"/>
      <c r="AP12" s="51"/>
      <c r="AQ12" s="39"/>
      <c r="AR12" s="19"/>
      <c r="AS12" s="19"/>
      <c r="AT12" s="19"/>
      <c r="AU12" s="19"/>
    </row>
    <row r="13" spans="1:47" ht="15" customHeight="1">
      <c r="A13" s="106"/>
      <c r="B13" s="106"/>
      <c r="C13" s="106"/>
      <c r="D13" s="19" t="s">
        <v>237</v>
      </c>
      <c r="E13" s="19"/>
      <c r="F13" s="19" t="s">
        <v>240</v>
      </c>
      <c r="G13" s="22"/>
      <c r="H13" s="44"/>
      <c r="I13" s="24"/>
      <c r="J13" s="26"/>
      <c r="K13" s="19"/>
      <c r="L13" s="24"/>
      <c r="M13" s="51"/>
      <c r="N13" s="51"/>
      <c r="O13" s="39"/>
      <c r="P13" s="19"/>
      <c r="Q13" s="19"/>
      <c r="R13" s="19"/>
      <c r="S13" s="24"/>
      <c r="T13" s="51"/>
      <c r="U13" s="51"/>
      <c r="V13" s="39"/>
      <c r="W13" s="19"/>
      <c r="X13" s="19"/>
      <c r="Y13" s="41"/>
      <c r="Z13" s="53"/>
      <c r="AA13" s="51"/>
      <c r="AB13" s="51"/>
      <c r="AC13" s="39"/>
      <c r="AD13" s="19"/>
      <c r="AE13" s="19"/>
      <c r="AF13" s="19"/>
      <c r="AG13" s="24"/>
      <c r="AH13" s="51"/>
      <c r="AI13" s="51"/>
      <c r="AJ13" s="39"/>
      <c r="AK13" s="19"/>
      <c r="AL13" s="19"/>
      <c r="AM13" s="19"/>
      <c r="AN13" s="24"/>
      <c r="AO13" s="51"/>
      <c r="AP13" s="51"/>
      <c r="AQ13" s="39"/>
      <c r="AR13" s="19"/>
      <c r="AS13" s="19"/>
      <c r="AT13" s="19"/>
      <c r="AU13" s="19"/>
    </row>
    <row r="14" spans="1:47" ht="15" customHeight="1">
      <c r="A14" s="106"/>
      <c r="B14" s="106"/>
      <c r="C14" s="106"/>
      <c r="D14" s="19" t="s">
        <v>238</v>
      </c>
      <c r="E14" s="19"/>
      <c r="F14" s="19" t="s">
        <v>239</v>
      </c>
      <c r="G14" s="22">
        <v>30000</v>
      </c>
      <c r="H14" s="44"/>
      <c r="I14" s="24" t="s">
        <v>244</v>
      </c>
      <c r="J14" s="26"/>
      <c r="K14" s="19"/>
      <c r="L14" s="24"/>
      <c r="M14" s="51"/>
      <c r="N14" s="51"/>
      <c r="O14" s="39"/>
      <c r="P14" s="19"/>
      <c r="Q14" s="19"/>
      <c r="R14" s="19"/>
      <c r="S14" s="24"/>
      <c r="T14" s="51"/>
      <c r="U14" s="51"/>
      <c r="V14" s="39"/>
      <c r="W14" s="19"/>
      <c r="X14" s="19"/>
      <c r="Y14" s="41"/>
      <c r="Z14" s="53"/>
      <c r="AA14" s="51"/>
      <c r="AB14" s="51"/>
      <c r="AC14" s="39"/>
      <c r="AD14" s="19"/>
      <c r="AE14" s="19"/>
      <c r="AF14" s="19"/>
      <c r="AG14" s="24"/>
      <c r="AH14" s="51"/>
      <c r="AI14" s="51"/>
      <c r="AJ14" s="39"/>
      <c r="AK14" s="19"/>
      <c r="AL14" s="19"/>
      <c r="AM14" s="19"/>
      <c r="AN14" s="24"/>
      <c r="AO14" s="51"/>
      <c r="AP14" s="51"/>
      <c r="AQ14" s="39"/>
      <c r="AR14" s="19"/>
      <c r="AS14" s="19"/>
      <c r="AT14" s="19"/>
      <c r="AU14" s="19"/>
    </row>
    <row r="15" spans="1:47" ht="15" customHeight="1">
      <c r="A15" s="106"/>
      <c r="B15" s="106"/>
      <c r="C15" s="106"/>
      <c r="D15" s="19" t="s">
        <v>78</v>
      </c>
      <c r="E15" s="19" t="s">
        <v>119</v>
      </c>
      <c r="F15" s="19" t="s">
        <v>79</v>
      </c>
      <c r="G15" s="22">
        <v>700000</v>
      </c>
      <c r="H15" s="44"/>
      <c r="I15" s="24" t="s">
        <v>80</v>
      </c>
      <c r="J15" s="30"/>
      <c r="K15" s="29"/>
      <c r="L15" s="49"/>
      <c r="M15" s="52"/>
      <c r="N15" s="51"/>
      <c r="O15" s="39"/>
      <c r="P15" s="19"/>
      <c r="Q15" s="19"/>
      <c r="R15" s="19"/>
      <c r="S15" s="24"/>
      <c r="T15" s="51"/>
      <c r="U15" s="51"/>
      <c r="V15" s="39"/>
      <c r="W15" s="19"/>
      <c r="X15" s="19"/>
      <c r="Y15" s="41"/>
      <c r="Z15" s="53"/>
      <c r="AA15" s="51"/>
      <c r="AB15" s="51"/>
      <c r="AC15" s="39"/>
      <c r="AD15" s="19"/>
      <c r="AE15" s="19"/>
      <c r="AF15" s="19"/>
      <c r="AG15" s="24"/>
      <c r="AH15" s="51"/>
      <c r="AI15" s="51"/>
      <c r="AJ15" s="39"/>
      <c r="AK15" s="19"/>
      <c r="AL15" s="19"/>
      <c r="AM15" s="19"/>
      <c r="AN15" s="24"/>
      <c r="AO15" s="51"/>
      <c r="AP15" s="51"/>
      <c r="AQ15" s="39"/>
      <c r="AR15" s="19"/>
      <c r="AS15" s="19"/>
      <c r="AT15" s="19"/>
      <c r="AU15" s="19"/>
    </row>
    <row r="16" spans="1:47" ht="15" customHeight="1">
      <c r="A16" s="106"/>
      <c r="B16" s="106"/>
      <c r="C16" s="105"/>
      <c r="D16" s="19" t="s">
        <v>195</v>
      </c>
      <c r="E16" s="19"/>
      <c r="F16" s="32" t="s">
        <v>241</v>
      </c>
      <c r="G16" s="22"/>
      <c r="H16" s="44"/>
      <c r="I16" s="24"/>
      <c r="J16" s="30"/>
      <c r="K16" s="29"/>
      <c r="L16" s="49"/>
      <c r="M16" s="52"/>
      <c r="N16" s="51"/>
      <c r="O16" s="39"/>
      <c r="P16" s="19"/>
      <c r="Q16" s="19"/>
      <c r="R16" s="19"/>
      <c r="S16" s="24"/>
      <c r="T16" s="51"/>
      <c r="U16" s="51"/>
      <c r="V16" s="39"/>
      <c r="W16" s="19"/>
      <c r="X16" s="19"/>
      <c r="Y16" s="41"/>
      <c r="Z16" s="53"/>
      <c r="AA16" s="51"/>
      <c r="AB16" s="51"/>
      <c r="AC16" s="39"/>
      <c r="AD16" s="19"/>
      <c r="AE16" s="19"/>
      <c r="AF16" s="19"/>
      <c r="AG16" s="24"/>
      <c r="AH16" s="51"/>
      <c r="AI16" s="51"/>
      <c r="AJ16" s="39"/>
      <c r="AK16" s="19"/>
      <c r="AL16" s="19"/>
      <c r="AM16" s="19"/>
      <c r="AN16" s="24"/>
      <c r="AO16" s="51"/>
      <c r="AP16" s="51"/>
      <c r="AQ16" s="39"/>
      <c r="AR16" s="19"/>
      <c r="AS16" s="19"/>
      <c r="AT16" s="19"/>
      <c r="AU16" s="19"/>
    </row>
    <row r="17" spans="1:47" ht="15" customHeight="1">
      <c r="A17" s="106"/>
      <c r="B17" s="106"/>
      <c r="C17" s="71"/>
      <c r="D17" s="19"/>
      <c r="E17" s="19"/>
      <c r="F17" s="32"/>
      <c r="G17" s="22"/>
      <c r="H17" s="44"/>
      <c r="I17" s="24"/>
      <c r="J17" s="30"/>
      <c r="K17" s="29"/>
      <c r="L17" s="49"/>
      <c r="M17" s="52"/>
      <c r="N17" s="51"/>
      <c r="O17" s="39"/>
      <c r="P17" s="19"/>
      <c r="Q17" s="19"/>
      <c r="R17" s="19"/>
      <c r="S17" s="24"/>
      <c r="T17" s="51"/>
      <c r="U17" s="51"/>
      <c r="V17" s="39"/>
      <c r="W17" s="19"/>
      <c r="X17" s="19"/>
      <c r="Y17" s="41"/>
      <c r="Z17" s="53"/>
      <c r="AA17" s="51"/>
      <c r="AB17" s="51"/>
      <c r="AC17" s="39"/>
      <c r="AD17" s="19"/>
      <c r="AE17" s="19"/>
      <c r="AF17" s="19"/>
      <c r="AG17" s="24"/>
      <c r="AH17" s="51"/>
      <c r="AI17" s="51"/>
      <c r="AJ17" s="39"/>
      <c r="AK17" s="19"/>
      <c r="AL17" s="19"/>
      <c r="AM17" s="19"/>
      <c r="AN17" s="24"/>
      <c r="AO17" s="51"/>
      <c r="AP17" s="51"/>
      <c r="AQ17" s="39"/>
      <c r="AR17" s="19"/>
      <c r="AS17" s="19"/>
      <c r="AT17" s="19"/>
      <c r="AU17" s="19"/>
    </row>
    <row r="18" spans="1:47" ht="15" customHeight="1">
      <c r="A18" s="105"/>
      <c r="B18" s="105"/>
      <c r="C18" s="57" t="s">
        <v>160</v>
      </c>
      <c r="D18" s="19" t="s">
        <v>155</v>
      </c>
      <c r="E18" s="19" t="s">
        <v>156</v>
      </c>
      <c r="F18" s="19" t="s">
        <v>157</v>
      </c>
      <c r="G18" s="22">
        <v>170000</v>
      </c>
      <c r="H18" s="44"/>
      <c r="I18" s="24" t="s">
        <v>161</v>
      </c>
      <c r="J18" s="30"/>
      <c r="K18" s="48"/>
      <c r="L18" s="55"/>
      <c r="M18" s="61"/>
      <c r="N18" s="51"/>
      <c r="O18" s="39"/>
      <c r="P18" s="29"/>
      <c r="Q18" s="19"/>
      <c r="R18" s="19"/>
      <c r="S18" s="24"/>
      <c r="T18" s="51"/>
      <c r="U18" s="51"/>
      <c r="V18" s="39"/>
      <c r="W18" s="19"/>
      <c r="X18" s="19"/>
      <c r="Y18" s="41"/>
      <c r="Z18" s="53"/>
      <c r="AA18" s="51"/>
      <c r="AB18" s="51"/>
      <c r="AC18" s="39"/>
      <c r="AD18" s="19"/>
      <c r="AE18" s="19"/>
      <c r="AF18" s="19"/>
      <c r="AG18" s="24"/>
      <c r="AH18" s="51"/>
      <c r="AI18" s="51"/>
      <c r="AJ18" s="39"/>
      <c r="AK18" s="19"/>
      <c r="AL18" s="19"/>
      <c r="AM18" s="19"/>
      <c r="AN18" s="24"/>
      <c r="AO18" s="51"/>
      <c r="AP18" s="51"/>
      <c r="AQ18" s="39"/>
      <c r="AR18" s="19"/>
      <c r="AS18" s="19"/>
      <c r="AT18" s="19"/>
      <c r="AU18" s="19"/>
    </row>
    <row r="19" spans="1:47" ht="15" customHeight="1">
      <c r="A19" s="71"/>
      <c r="B19" s="71"/>
      <c r="C19" s="70"/>
      <c r="D19" s="19"/>
      <c r="E19" s="19" t="s">
        <v>242</v>
      </c>
      <c r="F19" s="19" t="s">
        <v>243</v>
      </c>
      <c r="G19" s="22"/>
      <c r="H19" s="44"/>
      <c r="I19" s="24"/>
      <c r="J19" s="30"/>
      <c r="K19" s="48"/>
      <c r="L19" s="55"/>
      <c r="M19" s="61"/>
      <c r="N19" s="51"/>
      <c r="O19" s="39"/>
      <c r="P19" s="29"/>
      <c r="Q19" s="19"/>
      <c r="R19" s="19"/>
      <c r="S19" s="24"/>
      <c r="T19" s="51"/>
      <c r="U19" s="51"/>
      <c r="V19" s="39"/>
      <c r="W19" s="19"/>
      <c r="X19" s="19"/>
      <c r="Y19" s="41"/>
      <c r="Z19" s="53"/>
      <c r="AA19" s="51"/>
      <c r="AB19" s="51"/>
      <c r="AC19" s="39"/>
      <c r="AD19" s="19"/>
      <c r="AE19" s="19"/>
      <c r="AF19" s="19"/>
      <c r="AG19" s="24"/>
      <c r="AH19" s="51"/>
      <c r="AI19" s="51"/>
      <c r="AJ19" s="39"/>
      <c r="AK19" s="19"/>
      <c r="AL19" s="19"/>
      <c r="AM19" s="19"/>
      <c r="AN19" s="24"/>
      <c r="AO19" s="51"/>
      <c r="AP19" s="51"/>
      <c r="AQ19" s="39"/>
      <c r="AR19" s="19"/>
      <c r="AS19" s="19"/>
      <c r="AT19" s="19"/>
      <c r="AU19" s="19"/>
    </row>
    <row r="20" spans="1:47" ht="15" customHeight="1">
      <c r="A20" s="104" t="s">
        <v>81</v>
      </c>
      <c r="B20" s="107" t="s">
        <v>120</v>
      </c>
      <c r="C20" s="104" t="s">
        <v>246</v>
      </c>
      <c r="D20" s="19" t="s">
        <v>83</v>
      </c>
      <c r="E20" s="19"/>
      <c r="F20" s="19" t="s">
        <v>84</v>
      </c>
      <c r="G20" s="22">
        <v>10000000</v>
      </c>
      <c r="H20" s="44"/>
      <c r="I20" s="24"/>
      <c r="J20" s="26"/>
      <c r="K20" s="29"/>
      <c r="L20" s="24"/>
      <c r="M20" s="51"/>
      <c r="N20" s="51"/>
      <c r="O20" s="39"/>
      <c r="P20" s="19"/>
      <c r="Q20" s="19"/>
      <c r="R20" s="19"/>
      <c r="S20" s="24"/>
      <c r="T20" s="51"/>
      <c r="U20" s="51"/>
      <c r="V20" s="39"/>
      <c r="W20" s="19"/>
      <c r="X20" s="19"/>
      <c r="Y20" s="41"/>
      <c r="Z20" s="53"/>
      <c r="AA20" s="51"/>
      <c r="AB20" s="51"/>
      <c r="AC20" s="39"/>
      <c r="AD20" s="19"/>
      <c r="AE20" s="19"/>
      <c r="AF20" s="19"/>
      <c r="AG20" s="24"/>
      <c r="AH20" s="51"/>
      <c r="AI20" s="51"/>
      <c r="AJ20" s="39"/>
      <c r="AK20" s="19"/>
      <c r="AL20" s="19"/>
      <c r="AM20" s="19"/>
      <c r="AN20" s="24"/>
      <c r="AO20" s="51"/>
      <c r="AP20" s="51"/>
      <c r="AQ20" s="39"/>
      <c r="AR20" s="19"/>
      <c r="AS20" s="19"/>
      <c r="AT20" s="19"/>
      <c r="AU20" s="19"/>
    </row>
    <row r="21" spans="1:47" ht="15" customHeight="1">
      <c r="A21" s="106"/>
      <c r="B21" s="108"/>
      <c r="C21" s="106"/>
      <c r="D21" s="19" t="s">
        <v>88</v>
      </c>
      <c r="E21" s="19"/>
      <c r="F21" s="19" t="s">
        <v>154</v>
      </c>
      <c r="G21" s="22"/>
      <c r="H21" s="44"/>
      <c r="I21" s="24"/>
      <c r="J21" s="26"/>
      <c r="K21" s="19"/>
      <c r="L21" s="24"/>
      <c r="M21" s="51"/>
      <c r="N21" s="51"/>
      <c r="O21" s="39"/>
      <c r="P21" s="19"/>
      <c r="Q21" s="19"/>
      <c r="R21" s="19"/>
      <c r="S21" s="24"/>
      <c r="T21" s="51"/>
      <c r="U21" s="51"/>
      <c r="V21" s="39"/>
      <c r="W21" s="19"/>
      <c r="X21" s="19"/>
      <c r="Y21" s="41"/>
      <c r="Z21" s="53"/>
      <c r="AA21" s="51"/>
      <c r="AB21" s="51"/>
      <c r="AC21" s="39"/>
      <c r="AD21" s="19"/>
      <c r="AE21" s="19"/>
      <c r="AF21" s="19"/>
      <c r="AG21" s="24"/>
      <c r="AH21" s="51"/>
      <c r="AI21" s="51"/>
      <c r="AJ21" s="39"/>
      <c r="AK21" s="19"/>
      <c r="AL21" s="19"/>
      <c r="AM21" s="19"/>
      <c r="AN21" s="24"/>
      <c r="AO21" s="51"/>
      <c r="AP21" s="51"/>
      <c r="AQ21" s="39"/>
      <c r="AR21" s="19"/>
      <c r="AS21" s="19"/>
      <c r="AT21" s="19"/>
      <c r="AU21" s="19"/>
    </row>
    <row r="22" spans="1:47" ht="15" customHeight="1">
      <c r="A22" s="106"/>
      <c r="B22" s="108"/>
      <c r="C22" s="106"/>
      <c r="D22" s="19" t="s">
        <v>89</v>
      </c>
      <c r="E22" s="19"/>
      <c r="F22" s="19" t="s">
        <v>94</v>
      </c>
      <c r="G22" s="22"/>
      <c r="H22" s="44"/>
      <c r="I22" s="24"/>
      <c r="J22" s="26"/>
      <c r="K22" s="19"/>
      <c r="L22" s="24"/>
      <c r="M22" s="51"/>
      <c r="N22" s="51"/>
      <c r="O22" s="56"/>
      <c r="P22" s="19"/>
      <c r="Q22" s="19"/>
      <c r="R22" s="19"/>
      <c r="S22" s="24"/>
      <c r="T22" s="51"/>
      <c r="U22" s="51"/>
      <c r="V22" s="39"/>
      <c r="W22" s="19"/>
      <c r="X22" s="19"/>
      <c r="Y22" s="41"/>
      <c r="Z22" s="53"/>
      <c r="AA22" s="51"/>
      <c r="AB22" s="51"/>
      <c r="AC22" s="39"/>
      <c r="AD22" s="19"/>
      <c r="AE22" s="19"/>
      <c r="AF22" s="19"/>
      <c r="AG22" s="24"/>
      <c r="AH22" s="51"/>
      <c r="AI22" s="51"/>
      <c r="AJ22" s="39"/>
      <c r="AK22" s="19"/>
      <c r="AL22" s="19"/>
      <c r="AM22" s="19"/>
      <c r="AN22" s="24"/>
      <c r="AO22" s="51"/>
      <c r="AP22" s="51"/>
      <c r="AQ22" s="39"/>
      <c r="AR22" s="19"/>
      <c r="AS22" s="19"/>
      <c r="AT22" s="19"/>
      <c r="AU22" s="19"/>
    </row>
    <row r="23" spans="1:47" ht="15" customHeight="1">
      <c r="A23" s="106"/>
      <c r="B23" s="108"/>
      <c r="C23" s="106"/>
      <c r="D23" s="19" t="s">
        <v>90</v>
      </c>
      <c r="E23" s="19"/>
      <c r="F23" s="19" t="s">
        <v>92</v>
      </c>
      <c r="G23" s="22"/>
      <c r="H23" s="44"/>
      <c r="I23" s="24" t="s">
        <v>93</v>
      </c>
      <c r="J23" s="26"/>
      <c r="K23" s="19"/>
      <c r="L23" s="24"/>
      <c r="M23" s="51"/>
      <c r="N23" s="51"/>
      <c r="O23" s="39"/>
      <c r="P23" s="19"/>
      <c r="Q23" s="19"/>
      <c r="R23" s="19"/>
      <c r="S23" s="24"/>
      <c r="T23" s="51"/>
      <c r="U23" s="51"/>
      <c r="V23" s="39"/>
      <c r="W23" s="19"/>
      <c r="X23" s="19"/>
      <c r="Y23" s="41"/>
      <c r="Z23" s="53"/>
      <c r="AA23" s="51"/>
      <c r="AB23" s="51"/>
      <c r="AC23" s="39"/>
      <c r="AD23" s="19"/>
      <c r="AE23" s="19"/>
      <c r="AF23" s="19"/>
      <c r="AG23" s="24"/>
      <c r="AH23" s="51"/>
      <c r="AI23" s="51"/>
      <c r="AJ23" s="39"/>
      <c r="AK23" s="19"/>
      <c r="AL23" s="19"/>
      <c r="AM23" s="19"/>
      <c r="AN23" s="24"/>
      <c r="AO23" s="51"/>
      <c r="AP23" s="51"/>
      <c r="AQ23" s="39"/>
      <c r="AR23" s="19"/>
      <c r="AS23" s="19"/>
      <c r="AT23" s="19"/>
      <c r="AU23" s="19"/>
    </row>
    <row r="24" spans="1:47" ht="15" customHeight="1">
      <c r="A24" s="106"/>
      <c r="B24" s="108"/>
      <c r="C24" s="106"/>
      <c r="D24" s="19" t="s">
        <v>91</v>
      </c>
      <c r="E24" s="19"/>
      <c r="F24" s="19" t="s">
        <v>92</v>
      </c>
      <c r="G24" s="22"/>
      <c r="H24" s="44"/>
      <c r="I24" s="24" t="s">
        <v>93</v>
      </c>
      <c r="J24" s="26"/>
      <c r="K24" s="19"/>
      <c r="L24" s="24"/>
      <c r="M24" s="51"/>
      <c r="N24" s="51"/>
      <c r="O24" s="39"/>
      <c r="P24" s="19"/>
      <c r="Q24" s="19"/>
      <c r="R24" s="19"/>
      <c r="S24" s="24"/>
      <c r="T24" s="51"/>
      <c r="U24" s="51"/>
      <c r="V24" s="39"/>
      <c r="W24" s="19"/>
      <c r="X24" s="19"/>
      <c r="Y24" s="41"/>
      <c r="Z24" s="53"/>
      <c r="AA24" s="51"/>
      <c r="AB24" s="51"/>
      <c r="AC24" s="39"/>
      <c r="AD24" s="19"/>
      <c r="AE24" s="19"/>
      <c r="AF24" s="19"/>
      <c r="AG24" s="24"/>
      <c r="AH24" s="51"/>
      <c r="AI24" s="51"/>
      <c r="AJ24" s="39"/>
      <c r="AK24" s="19"/>
      <c r="AL24" s="19"/>
      <c r="AM24" s="19"/>
      <c r="AN24" s="24"/>
      <c r="AO24" s="51"/>
      <c r="AP24" s="51"/>
      <c r="AQ24" s="39"/>
      <c r="AR24" s="19"/>
      <c r="AS24" s="19"/>
      <c r="AT24" s="19"/>
      <c r="AU24" s="19"/>
    </row>
    <row r="25" spans="1:47" ht="15" customHeight="1">
      <c r="A25" s="106"/>
      <c r="B25" s="108"/>
      <c r="C25" s="106"/>
      <c r="D25" s="19" t="s">
        <v>95</v>
      </c>
      <c r="E25" s="19"/>
      <c r="F25" s="19" t="s">
        <v>96</v>
      </c>
      <c r="G25" s="22"/>
      <c r="H25" s="44"/>
      <c r="I25" s="24"/>
      <c r="J25" s="26"/>
      <c r="K25" s="19"/>
      <c r="L25" s="24"/>
      <c r="M25" s="51"/>
      <c r="N25" s="51"/>
      <c r="O25" s="39"/>
      <c r="P25" s="19"/>
      <c r="Q25" s="19"/>
      <c r="R25" s="19"/>
      <c r="S25" s="24"/>
      <c r="T25" s="51"/>
      <c r="U25" s="51"/>
      <c r="V25" s="39"/>
      <c r="W25" s="19"/>
      <c r="X25" s="19"/>
      <c r="Y25" s="41"/>
      <c r="Z25" s="53"/>
      <c r="AA25" s="51"/>
      <c r="AB25" s="51"/>
      <c r="AC25" s="39"/>
      <c r="AD25" s="19"/>
      <c r="AE25" s="19"/>
      <c r="AF25" s="19"/>
      <c r="AG25" s="24"/>
      <c r="AH25" s="51"/>
      <c r="AI25" s="51"/>
      <c r="AJ25" s="39"/>
      <c r="AK25" s="19"/>
      <c r="AL25" s="19"/>
      <c r="AM25" s="19"/>
      <c r="AN25" s="24"/>
      <c r="AO25" s="51"/>
      <c r="AP25" s="51"/>
      <c r="AQ25" s="39"/>
      <c r="AR25" s="19"/>
      <c r="AS25" s="19"/>
      <c r="AT25" s="19"/>
      <c r="AU25" s="19"/>
    </row>
    <row r="26" spans="1:47" ht="15" customHeight="1">
      <c r="A26" s="106"/>
      <c r="B26" s="108"/>
      <c r="C26" s="106"/>
      <c r="D26" s="19" t="s">
        <v>121</v>
      </c>
      <c r="E26" s="19"/>
      <c r="F26" s="19" t="s">
        <v>122</v>
      </c>
      <c r="G26" s="22"/>
      <c r="H26" s="44"/>
      <c r="I26" s="24" t="s">
        <v>123</v>
      </c>
      <c r="J26" s="26"/>
      <c r="K26" s="19"/>
      <c r="L26" s="24"/>
      <c r="M26" s="51"/>
      <c r="N26" s="51"/>
      <c r="O26" s="39"/>
      <c r="P26" s="19"/>
      <c r="Q26" s="19"/>
      <c r="R26" s="19"/>
      <c r="S26" s="24"/>
      <c r="T26" s="51"/>
      <c r="U26" s="51"/>
      <c r="V26" s="39"/>
      <c r="W26" s="19"/>
      <c r="X26" s="19"/>
      <c r="Y26" s="41"/>
      <c r="Z26" s="53"/>
      <c r="AA26" s="51"/>
      <c r="AB26" s="51"/>
      <c r="AC26" s="39"/>
      <c r="AD26" s="19"/>
      <c r="AE26" s="19"/>
      <c r="AF26" s="19"/>
      <c r="AG26" s="24"/>
      <c r="AH26" s="51"/>
      <c r="AI26" s="51"/>
      <c r="AJ26" s="39"/>
      <c r="AK26" s="19"/>
      <c r="AL26" s="19"/>
      <c r="AM26" s="19"/>
      <c r="AN26" s="24"/>
      <c r="AO26" s="51"/>
      <c r="AP26" s="51"/>
      <c r="AQ26" s="39"/>
      <c r="AR26" s="19"/>
      <c r="AS26" s="19"/>
      <c r="AT26" s="19"/>
      <c r="AU26" s="19"/>
    </row>
    <row r="27" spans="1:47" ht="15" customHeight="1">
      <c r="A27" s="106"/>
      <c r="B27" s="108"/>
      <c r="C27" s="106"/>
      <c r="D27" s="35" t="s">
        <v>97</v>
      </c>
      <c r="E27" s="35"/>
      <c r="F27" s="35" t="s">
        <v>98</v>
      </c>
      <c r="G27" s="36"/>
      <c r="H27" s="45"/>
      <c r="I27" s="37" t="s">
        <v>127</v>
      </c>
      <c r="J27" s="26"/>
      <c r="K27" s="19"/>
      <c r="L27" s="24"/>
      <c r="M27" s="51"/>
      <c r="N27" s="51"/>
      <c r="O27" s="39"/>
      <c r="P27" s="19"/>
      <c r="Q27" s="19"/>
      <c r="R27" s="19"/>
      <c r="S27" s="24"/>
      <c r="T27" s="51"/>
      <c r="U27" s="51"/>
      <c r="V27" s="39"/>
      <c r="W27" s="19"/>
      <c r="X27" s="19"/>
      <c r="Y27" s="42"/>
      <c r="Z27" s="53"/>
      <c r="AA27" s="51"/>
      <c r="AB27" s="51"/>
      <c r="AC27" s="39"/>
      <c r="AD27" s="19"/>
      <c r="AE27" s="19"/>
      <c r="AF27" s="19"/>
      <c r="AG27" s="24"/>
      <c r="AH27" s="51"/>
      <c r="AI27" s="51"/>
      <c r="AJ27" s="39"/>
      <c r="AK27" s="19"/>
      <c r="AL27" s="19"/>
      <c r="AM27" s="19"/>
      <c r="AN27" s="24"/>
      <c r="AO27" s="51"/>
      <c r="AP27" s="51"/>
      <c r="AQ27" s="39"/>
      <c r="AR27" s="19"/>
      <c r="AS27" s="19"/>
      <c r="AT27" s="19"/>
      <c r="AU27" s="19"/>
    </row>
    <row r="28" spans="1:47" ht="15" customHeight="1">
      <c r="A28" s="106"/>
      <c r="B28" s="108"/>
      <c r="C28" s="106"/>
      <c r="D28" s="19" t="s">
        <v>85</v>
      </c>
      <c r="E28" s="19"/>
      <c r="F28" s="19" t="s">
        <v>114</v>
      </c>
      <c r="G28" s="22">
        <v>5000000</v>
      </c>
      <c r="H28" s="44"/>
      <c r="I28" s="24" t="s">
        <v>115</v>
      </c>
      <c r="J28" s="26"/>
      <c r="K28" s="19"/>
      <c r="L28" s="24"/>
      <c r="M28" s="51"/>
      <c r="N28" s="51"/>
      <c r="O28" s="39"/>
      <c r="P28" s="19"/>
      <c r="Q28" s="19"/>
      <c r="R28" s="19"/>
      <c r="S28" s="24"/>
      <c r="T28" s="51"/>
      <c r="U28" s="51"/>
      <c r="V28" s="39"/>
      <c r="W28" s="19"/>
      <c r="X28" s="19"/>
      <c r="Y28" s="41"/>
      <c r="Z28" s="53"/>
      <c r="AA28" s="51"/>
      <c r="AB28" s="51"/>
      <c r="AC28" s="39"/>
      <c r="AD28" s="19"/>
      <c r="AE28" s="19"/>
      <c r="AF28" s="19"/>
      <c r="AG28" s="24"/>
      <c r="AH28" s="51"/>
      <c r="AI28" s="51"/>
      <c r="AJ28" s="39"/>
      <c r="AK28" s="19"/>
      <c r="AL28" s="19"/>
      <c r="AM28" s="19"/>
      <c r="AN28" s="24"/>
      <c r="AO28" s="51"/>
      <c r="AP28" s="51"/>
      <c r="AQ28" s="39"/>
      <c r="AR28" s="19"/>
      <c r="AS28" s="19"/>
      <c r="AT28" s="19"/>
      <c r="AU28" s="19"/>
    </row>
    <row r="29" spans="1:47" ht="15" customHeight="1">
      <c r="A29" s="106"/>
      <c r="B29" s="108"/>
      <c r="C29" s="106"/>
      <c r="D29" s="19" t="s">
        <v>99</v>
      </c>
      <c r="E29" s="19"/>
      <c r="F29" s="19" t="s">
        <v>100</v>
      </c>
      <c r="G29" s="22"/>
      <c r="H29" s="44"/>
      <c r="I29" s="24" t="s">
        <v>82</v>
      </c>
      <c r="J29" s="26"/>
      <c r="K29" s="19"/>
      <c r="L29" s="24"/>
      <c r="M29" s="51"/>
      <c r="N29" s="51"/>
      <c r="O29" s="39"/>
      <c r="P29" s="19"/>
      <c r="Q29" s="19"/>
      <c r="R29" s="19"/>
      <c r="S29" s="24"/>
      <c r="T29" s="51"/>
      <c r="U29" s="51"/>
      <c r="V29" s="39"/>
      <c r="W29" s="19"/>
      <c r="X29" s="19"/>
      <c r="Y29" s="41"/>
      <c r="Z29" s="53"/>
      <c r="AA29" s="51"/>
      <c r="AB29" s="51"/>
      <c r="AC29" s="39"/>
      <c r="AD29" s="19"/>
      <c r="AE29" s="19"/>
      <c r="AF29" s="19"/>
      <c r="AG29" s="24"/>
      <c r="AH29" s="51"/>
      <c r="AI29" s="51"/>
      <c r="AJ29" s="39"/>
      <c r="AK29" s="19"/>
      <c r="AL29" s="19"/>
      <c r="AM29" s="19"/>
      <c r="AN29" s="24"/>
      <c r="AO29" s="51"/>
      <c r="AP29" s="51"/>
      <c r="AQ29" s="39"/>
      <c r="AR29" s="19"/>
      <c r="AS29" s="19"/>
      <c r="AT29" s="19"/>
      <c r="AU29" s="19"/>
    </row>
    <row r="30" spans="1:47" ht="15" customHeight="1">
      <c r="A30" s="106"/>
      <c r="B30" s="108"/>
      <c r="C30" s="106"/>
      <c r="D30" s="14" t="s">
        <v>88</v>
      </c>
      <c r="E30" s="19"/>
      <c r="F30" s="19" t="s">
        <v>101</v>
      </c>
      <c r="G30" s="22"/>
      <c r="H30" s="44"/>
      <c r="I30" s="24" t="s">
        <v>82</v>
      </c>
      <c r="J30" s="26"/>
      <c r="K30" s="19"/>
      <c r="L30" s="24"/>
      <c r="M30" s="51"/>
      <c r="N30" s="51"/>
      <c r="O30" s="39"/>
      <c r="P30" s="19"/>
      <c r="Q30" s="19"/>
      <c r="R30" s="19"/>
      <c r="S30" s="24"/>
      <c r="T30" s="51"/>
      <c r="U30" s="51"/>
      <c r="V30" s="39"/>
      <c r="W30" s="19"/>
      <c r="X30" s="19"/>
      <c r="Y30" s="41"/>
      <c r="Z30" s="53"/>
      <c r="AA30" s="51"/>
      <c r="AB30" s="51"/>
      <c r="AC30" s="39"/>
      <c r="AD30" s="19"/>
      <c r="AE30" s="19"/>
      <c r="AF30" s="19"/>
      <c r="AG30" s="24"/>
      <c r="AH30" s="51"/>
      <c r="AI30" s="51"/>
      <c r="AJ30" s="39"/>
      <c r="AK30" s="19"/>
      <c r="AL30" s="19"/>
      <c r="AM30" s="19"/>
      <c r="AN30" s="24"/>
      <c r="AO30" s="51"/>
      <c r="AP30" s="51"/>
      <c r="AQ30" s="39"/>
      <c r="AR30" s="19"/>
      <c r="AS30" s="19"/>
      <c r="AT30" s="19"/>
      <c r="AU30" s="19"/>
    </row>
    <row r="31" spans="1:47" ht="15" customHeight="1">
      <c r="A31" s="106"/>
      <c r="B31" s="108"/>
      <c r="C31" s="106"/>
      <c r="D31" s="19" t="s">
        <v>124</v>
      </c>
      <c r="E31" s="19"/>
      <c r="F31" s="19" t="s">
        <v>102</v>
      </c>
      <c r="G31" s="22"/>
      <c r="H31" s="44"/>
      <c r="I31" s="24"/>
      <c r="J31" s="26"/>
      <c r="K31" s="19"/>
      <c r="L31" s="24"/>
      <c r="M31" s="51"/>
      <c r="N31" s="51"/>
      <c r="O31" s="39"/>
      <c r="P31" s="19"/>
      <c r="Q31" s="19"/>
      <c r="R31" s="19"/>
      <c r="S31" s="24"/>
      <c r="T31" s="51"/>
      <c r="U31" s="51"/>
      <c r="V31" s="39"/>
      <c r="W31" s="19"/>
      <c r="X31" s="19"/>
      <c r="Y31" s="41"/>
      <c r="Z31" s="53"/>
      <c r="AA31" s="51"/>
      <c r="AB31" s="51"/>
      <c r="AC31" s="39"/>
      <c r="AD31" s="19"/>
      <c r="AE31" s="19"/>
      <c r="AF31" s="19"/>
      <c r="AG31" s="24"/>
      <c r="AH31" s="51"/>
      <c r="AI31" s="51"/>
      <c r="AJ31" s="39"/>
      <c r="AK31" s="19"/>
      <c r="AL31" s="19"/>
      <c r="AM31" s="19"/>
      <c r="AN31" s="24"/>
      <c r="AO31" s="51"/>
      <c r="AP31" s="51"/>
      <c r="AQ31" s="39"/>
      <c r="AR31" s="19"/>
      <c r="AS31" s="19"/>
      <c r="AT31" s="19"/>
      <c r="AU31" s="19"/>
    </row>
    <row r="32" spans="1:47" ht="15" customHeight="1">
      <c r="A32" s="106"/>
      <c r="B32" s="108"/>
      <c r="C32" s="106"/>
      <c r="D32" s="19" t="s">
        <v>103</v>
      </c>
      <c r="E32" s="19"/>
      <c r="F32" s="19" t="s">
        <v>105</v>
      </c>
      <c r="G32" s="22"/>
      <c r="H32" s="44"/>
      <c r="I32" s="24"/>
      <c r="J32" s="26"/>
      <c r="K32" s="19"/>
      <c r="L32" s="24"/>
      <c r="M32" s="51"/>
      <c r="N32" s="51"/>
      <c r="O32" s="39"/>
      <c r="P32" s="19"/>
      <c r="Q32" s="19"/>
      <c r="R32" s="19"/>
      <c r="S32" s="24"/>
      <c r="T32" s="51"/>
      <c r="U32" s="51"/>
      <c r="V32" s="39"/>
      <c r="W32" s="19"/>
      <c r="X32" s="19"/>
      <c r="Y32" s="41"/>
      <c r="Z32" s="53"/>
      <c r="AA32" s="51"/>
      <c r="AB32" s="51"/>
      <c r="AC32" s="39"/>
      <c r="AD32" s="19"/>
      <c r="AE32" s="19"/>
      <c r="AF32" s="19"/>
      <c r="AG32" s="24"/>
      <c r="AH32" s="51"/>
      <c r="AI32" s="51"/>
      <c r="AJ32" s="39"/>
      <c r="AK32" s="19"/>
      <c r="AL32" s="19"/>
      <c r="AM32" s="19"/>
      <c r="AN32" s="24"/>
      <c r="AO32" s="51"/>
      <c r="AP32" s="51"/>
      <c r="AQ32" s="39"/>
      <c r="AR32" s="19"/>
      <c r="AS32" s="19"/>
      <c r="AT32" s="19"/>
      <c r="AU32" s="19"/>
    </row>
    <row r="33" spans="1:47" ht="15" customHeight="1">
      <c r="A33" s="106"/>
      <c r="B33" s="108"/>
      <c r="C33" s="105"/>
      <c r="D33" s="32" t="s">
        <v>104</v>
      </c>
      <c r="E33" s="32"/>
      <c r="F33" s="32" t="s">
        <v>106</v>
      </c>
      <c r="G33" s="33"/>
      <c r="H33" s="46"/>
      <c r="I33" s="34" t="s">
        <v>127</v>
      </c>
      <c r="J33" s="26"/>
      <c r="K33" s="19"/>
      <c r="L33" s="24"/>
      <c r="M33" s="51"/>
      <c r="N33" s="51"/>
      <c r="O33" s="39"/>
      <c r="P33" s="19"/>
      <c r="Q33" s="19"/>
      <c r="R33" s="19"/>
      <c r="S33" s="24"/>
      <c r="T33" s="51"/>
      <c r="U33" s="51"/>
      <c r="V33" s="39"/>
      <c r="W33" s="19"/>
      <c r="X33" s="19"/>
      <c r="Y33" s="41"/>
      <c r="Z33" s="53"/>
      <c r="AA33" s="51"/>
      <c r="AB33" s="51"/>
      <c r="AC33" s="39"/>
      <c r="AD33" s="19"/>
      <c r="AE33" s="19"/>
      <c r="AF33" s="19"/>
      <c r="AG33" s="24"/>
      <c r="AH33" s="51"/>
      <c r="AI33" s="51"/>
      <c r="AJ33" s="39"/>
      <c r="AK33" s="19"/>
      <c r="AL33" s="19"/>
      <c r="AM33" s="19"/>
      <c r="AN33" s="24"/>
      <c r="AO33" s="51"/>
      <c r="AP33" s="51"/>
      <c r="AQ33" s="39"/>
      <c r="AR33" s="19"/>
      <c r="AS33" s="19"/>
      <c r="AT33" s="19"/>
      <c r="AU33" s="19"/>
    </row>
    <row r="34" spans="1:47" ht="15" customHeight="1">
      <c r="A34" s="106"/>
      <c r="B34" s="108"/>
      <c r="C34" s="19" t="s">
        <v>247</v>
      </c>
      <c r="D34" s="19" t="s">
        <v>90</v>
      </c>
      <c r="E34" s="19" t="s">
        <v>112</v>
      </c>
      <c r="F34" s="19" t="s">
        <v>163</v>
      </c>
      <c r="G34" s="22">
        <f>440000/1.1</f>
        <v>399999.99999999994</v>
      </c>
      <c r="H34" s="44"/>
      <c r="I34" s="24" t="s">
        <v>116</v>
      </c>
      <c r="J34" s="30"/>
      <c r="K34" s="48"/>
      <c r="L34" s="55"/>
      <c r="M34" s="51"/>
      <c r="N34" s="51"/>
      <c r="O34" s="54"/>
      <c r="P34" s="48"/>
      <c r="Q34" s="65"/>
      <c r="R34" s="48"/>
      <c r="S34" s="24"/>
      <c r="T34" s="51"/>
      <c r="U34" s="51"/>
      <c r="V34" s="39"/>
      <c r="W34" s="19"/>
      <c r="X34" s="19"/>
      <c r="Y34" s="41"/>
      <c r="Z34" s="53"/>
      <c r="AA34" s="51"/>
      <c r="AB34" s="51"/>
      <c r="AC34" s="39"/>
      <c r="AD34" s="19"/>
      <c r="AE34" s="19"/>
      <c r="AF34" s="19"/>
      <c r="AG34" s="24"/>
      <c r="AH34" s="51"/>
      <c r="AI34" s="51"/>
      <c r="AJ34" s="39"/>
      <c r="AK34" s="19"/>
      <c r="AL34" s="19"/>
      <c r="AM34" s="19"/>
      <c r="AN34" s="24"/>
      <c r="AO34" s="51"/>
      <c r="AP34" s="51"/>
      <c r="AQ34" s="39"/>
      <c r="AR34" s="19"/>
      <c r="AS34" s="19"/>
      <c r="AT34" s="19"/>
      <c r="AU34" s="19"/>
    </row>
    <row r="35" spans="1:47" ht="15" customHeight="1">
      <c r="A35" s="106"/>
      <c r="B35" s="108"/>
      <c r="C35" s="104" t="s">
        <v>248</v>
      </c>
      <c r="D35" s="19" t="s">
        <v>164</v>
      </c>
      <c r="E35" s="19" t="s">
        <v>112</v>
      </c>
      <c r="F35" s="19" t="s">
        <v>163</v>
      </c>
      <c r="G35" s="22">
        <v>500000</v>
      </c>
      <c r="H35" s="44"/>
      <c r="I35" s="24" t="s">
        <v>117</v>
      </c>
      <c r="J35" s="26"/>
      <c r="K35" s="19"/>
      <c r="L35" s="55"/>
      <c r="M35" s="51"/>
      <c r="N35" s="51"/>
      <c r="O35" s="39"/>
      <c r="P35" s="65"/>
      <c r="Q35" s="19"/>
      <c r="R35" s="19"/>
      <c r="S35" s="24"/>
      <c r="T35" s="51"/>
      <c r="U35" s="51"/>
      <c r="V35" s="39"/>
      <c r="W35" s="19"/>
      <c r="X35" s="19"/>
      <c r="Y35" s="41"/>
      <c r="Z35" s="53"/>
      <c r="AA35" s="51"/>
      <c r="AB35" s="51"/>
      <c r="AC35" s="39"/>
      <c r="AD35" s="19"/>
      <c r="AE35" s="19"/>
      <c r="AF35" s="19"/>
      <c r="AG35" s="24"/>
      <c r="AH35" s="51"/>
      <c r="AI35" s="51"/>
      <c r="AJ35" s="39"/>
      <c r="AK35" s="19"/>
      <c r="AL35" s="19"/>
      <c r="AM35" s="19"/>
      <c r="AN35" s="24"/>
      <c r="AO35" s="51"/>
      <c r="AP35" s="51"/>
      <c r="AQ35" s="39"/>
      <c r="AR35" s="19"/>
      <c r="AS35" s="19"/>
      <c r="AT35" s="19"/>
      <c r="AU35" s="19"/>
    </row>
    <row r="36" spans="1:47" ht="15" customHeight="1">
      <c r="A36" s="106"/>
      <c r="B36" s="108"/>
      <c r="C36" s="106"/>
      <c r="D36" s="19" t="s">
        <v>113</v>
      </c>
      <c r="E36" s="19"/>
      <c r="F36" s="19" t="s">
        <v>162</v>
      </c>
      <c r="G36" s="22">
        <v>0</v>
      </c>
      <c r="H36" s="44"/>
      <c r="I36" s="24" t="s">
        <v>118</v>
      </c>
      <c r="J36" s="26"/>
      <c r="K36" s="19"/>
      <c r="L36" s="24"/>
      <c r="M36" s="51"/>
      <c r="N36" s="51"/>
      <c r="O36" s="39"/>
      <c r="P36" s="19"/>
      <c r="Q36" s="19"/>
      <c r="R36" s="19"/>
      <c r="S36" s="24"/>
      <c r="T36" s="51"/>
      <c r="U36" s="51"/>
      <c r="V36" s="39"/>
      <c r="W36" s="19"/>
      <c r="X36" s="19"/>
      <c r="Y36" s="41"/>
      <c r="Z36" s="53"/>
      <c r="AA36" s="51"/>
      <c r="AB36" s="51"/>
      <c r="AC36" s="39"/>
      <c r="AD36" s="19"/>
      <c r="AE36" s="19"/>
      <c r="AF36" s="19"/>
      <c r="AG36" s="24"/>
      <c r="AH36" s="51"/>
      <c r="AI36" s="51"/>
      <c r="AJ36" s="39"/>
      <c r="AK36" s="19"/>
      <c r="AL36" s="19"/>
      <c r="AM36" s="19"/>
      <c r="AN36" s="24"/>
      <c r="AO36" s="51"/>
      <c r="AP36" s="51"/>
      <c r="AQ36" s="39"/>
      <c r="AR36" s="19"/>
      <c r="AS36" s="19"/>
      <c r="AT36" s="19"/>
      <c r="AU36" s="19"/>
    </row>
    <row r="37" spans="1:47" ht="15" customHeight="1">
      <c r="A37" s="106"/>
      <c r="B37" s="108"/>
      <c r="C37" s="106"/>
      <c r="D37" s="104" t="s">
        <v>158</v>
      </c>
      <c r="E37" s="19"/>
      <c r="F37" s="19" t="s">
        <v>159</v>
      </c>
      <c r="G37" s="22">
        <v>800000</v>
      </c>
      <c r="H37" s="44"/>
      <c r="I37" s="24" t="s">
        <v>165</v>
      </c>
      <c r="J37" s="26"/>
      <c r="K37" s="19"/>
      <c r="L37" s="24"/>
      <c r="M37" s="51"/>
      <c r="N37" s="51"/>
      <c r="O37" s="39"/>
      <c r="P37" s="19"/>
      <c r="Q37" s="19"/>
      <c r="R37" s="19"/>
      <c r="S37" s="24"/>
      <c r="T37" s="51"/>
      <c r="U37" s="51"/>
      <c r="V37" s="39"/>
      <c r="W37" s="19"/>
      <c r="X37" s="19"/>
      <c r="Y37" s="41"/>
      <c r="Z37" s="53"/>
      <c r="AA37" s="51"/>
      <c r="AB37" s="51"/>
      <c r="AC37" s="39"/>
      <c r="AD37" s="19"/>
      <c r="AE37" s="19"/>
      <c r="AF37" s="19"/>
      <c r="AG37" s="24"/>
      <c r="AH37" s="51"/>
      <c r="AI37" s="51"/>
      <c r="AJ37" s="39"/>
      <c r="AK37" s="19"/>
      <c r="AL37" s="19"/>
      <c r="AM37" s="19"/>
      <c r="AN37" s="24"/>
      <c r="AO37" s="51"/>
      <c r="AP37" s="51"/>
      <c r="AQ37" s="39"/>
      <c r="AR37" s="19"/>
      <c r="AS37" s="19"/>
      <c r="AT37" s="19"/>
      <c r="AU37" s="19"/>
    </row>
    <row r="38" spans="1:47" ht="15" customHeight="1">
      <c r="A38" s="106"/>
      <c r="B38" s="108"/>
      <c r="C38" s="105"/>
      <c r="D38" s="105"/>
      <c r="E38" s="19"/>
      <c r="F38" s="19" t="s">
        <v>166</v>
      </c>
      <c r="G38" s="22"/>
      <c r="H38" s="44"/>
      <c r="I38" s="24"/>
      <c r="J38" s="26"/>
      <c r="K38" s="19"/>
      <c r="L38" s="24"/>
      <c r="M38" s="51"/>
      <c r="N38" s="51"/>
      <c r="O38" s="39"/>
      <c r="P38" s="19"/>
      <c r="Q38" s="19"/>
      <c r="R38" s="19"/>
      <c r="S38" s="24"/>
      <c r="T38" s="51"/>
      <c r="U38" s="51"/>
      <c r="V38" s="39"/>
      <c r="W38" s="19"/>
      <c r="X38" s="19"/>
      <c r="Y38" s="41"/>
      <c r="Z38" s="53"/>
      <c r="AA38" s="51"/>
      <c r="AB38" s="51"/>
      <c r="AC38" s="39"/>
      <c r="AD38" s="19"/>
      <c r="AE38" s="19"/>
      <c r="AF38" s="19"/>
      <c r="AG38" s="24"/>
      <c r="AH38" s="51"/>
      <c r="AI38" s="51"/>
      <c r="AJ38" s="39"/>
      <c r="AK38" s="19"/>
      <c r="AL38" s="19"/>
      <c r="AM38" s="19"/>
      <c r="AN38" s="24"/>
      <c r="AO38" s="51"/>
      <c r="AP38" s="51"/>
      <c r="AQ38" s="39"/>
      <c r="AR38" s="19"/>
      <c r="AS38" s="19"/>
      <c r="AT38" s="19"/>
      <c r="AU38" s="19"/>
    </row>
    <row r="39" spans="1:47" ht="15" customHeight="1">
      <c r="A39" s="106"/>
      <c r="B39" s="108"/>
      <c r="C39" s="97" t="s">
        <v>249</v>
      </c>
      <c r="D39" s="19" t="s">
        <v>128</v>
      </c>
      <c r="E39" s="19"/>
      <c r="F39" s="19" t="s">
        <v>250</v>
      </c>
      <c r="G39" s="22"/>
      <c r="H39" s="44"/>
      <c r="I39" s="24" t="s">
        <v>175</v>
      </c>
      <c r="J39" s="26"/>
      <c r="K39" s="19"/>
      <c r="L39" s="24"/>
      <c r="M39" s="51"/>
      <c r="N39" s="51"/>
      <c r="O39" s="39"/>
      <c r="P39" s="19"/>
      <c r="Q39" s="19"/>
      <c r="R39" s="19"/>
      <c r="S39" s="24"/>
      <c r="T39" s="51"/>
      <c r="U39" s="51"/>
      <c r="V39" s="39"/>
      <c r="W39" s="19"/>
      <c r="X39" s="19"/>
      <c r="Y39" s="41"/>
      <c r="Z39" s="53"/>
      <c r="AA39" s="51"/>
      <c r="AB39" s="51"/>
      <c r="AC39" s="39"/>
      <c r="AD39" s="19"/>
      <c r="AE39" s="19"/>
      <c r="AF39" s="19"/>
      <c r="AG39" s="24"/>
      <c r="AH39" s="51"/>
      <c r="AI39" s="51"/>
      <c r="AJ39" s="39"/>
      <c r="AK39" s="19"/>
      <c r="AL39" s="19"/>
      <c r="AM39" s="19"/>
      <c r="AN39" s="24"/>
      <c r="AO39" s="51"/>
      <c r="AP39" s="51"/>
      <c r="AQ39" s="39"/>
      <c r="AR39" s="19"/>
      <c r="AS39" s="19"/>
      <c r="AT39" s="19"/>
      <c r="AU39" s="19"/>
    </row>
    <row r="40" spans="1:47" ht="15" customHeight="1">
      <c r="A40" s="106"/>
      <c r="B40" s="108"/>
      <c r="C40" s="28"/>
      <c r="D40" s="19" t="s">
        <v>178</v>
      </c>
      <c r="E40" s="19"/>
      <c r="F40" s="19" t="s">
        <v>176</v>
      </c>
      <c r="G40" s="22"/>
      <c r="H40" s="44"/>
      <c r="I40" s="24"/>
      <c r="J40" s="26"/>
      <c r="K40" s="19"/>
      <c r="L40" s="24"/>
      <c r="M40" s="51"/>
      <c r="N40" s="51"/>
      <c r="O40" s="39"/>
      <c r="P40" s="19"/>
      <c r="Q40" s="19"/>
      <c r="R40" s="19"/>
      <c r="S40" s="24"/>
      <c r="T40" s="51"/>
      <c r="U40" s="51"/>
      <c r="V40" s="39"/>
      <c r="W40" s="19"/>
      <c r="X40" s="19"/>
      <c r="Y40" s="41"/>
      <c r="Z40" s="53"/>
      <c r="AA40" s="51"/>
      <c r="AB40" s="51"/>
      <c r="AC40" s="39"/>
      <c r="AD40" s="19"/>
      <c r="AE40" s="19"/>
      <c r="AF40" s="19"/>
      <c r="AG40" s="24"/>
      <c r="AH40" s="51"/>
      <c r="AI40" s="51"/>
      <c r="AJ40" s="39"/>
      <c r="AK40" s="19"/>
      <c r="AL40" s="19"/>
      <c r="AM40" s="19"/>
      <c r="AN40" s="24"/>
      <c r="AO40" s="51"/>
      <c r="AP40" s="51"/>
      <c r="AQ40" s="39"/>
      <c r="AR40" s="19"/>
      <c r="AS40" s="19"/>
      <c r="AT40" s="19"/>
      <c r="AU40" s="19"/>
    </row>
    <row r="41" spans="1:47" ht="15" customHeight="1">
      <c r="A41" s="105"/>
      <c r="B41" s="109"/>
      <c r="C41" s="60"/>
      <c r="D41" s="59" t="s">
        <v>179</v>
      </c>
      <c r="E41" s="19"/>
      <c r="F41" s="19" t="s">
        <v>177</v>
      </c>
      <c r="G41" s="22"/>
      <c r="H41" s="44"/>
      <c r="I41" s="24"/>
      <c r="J41" s="26"/>
      <c r="K41" s="19"/>
      <c r="L41" s="24"/>
      <c r="M41" s="51"/>
      <c r="N41" s="51"/>
      <c r="O41" s="39"/>
      <c r="P41" s="19"/>
      <c r="Q41" s="19"/>
      <c r="R41" s="19"/>
      <c r="S41" s="24"/>
      <c r="T41" s="51"/>
      <c r="U41" s="51"/>
      <c r="V41" s="39"/>
      <c r="W41" s="19"/>
      <c r="X41" s="19"/>
      <c r="Y41" s="41"/>
      <c r="Z41" s="53"/>
      <c r="AA41" s="51"/>
      <c r="AB41" s="51"/>
      <c r="AC41" s="39"/>
      <c r="AD41" s="19"/>
      <c r="AE41" s="19"/>
      <c r="AF41" s="19"/>
      <c r="AG41" s="24"/>
      <c r="AH41" s="51"/>
      <c r="AI41" s="51"/>
      <c r="AJ41" s="39"/>
      <c r="AK41" s="19"/>
      <c r="AL41" s="19"/>
      <c r="AM41" s="19"/>
      <c r="AN41" s="24"/>
      <c r="AO41" s="51"/>
      <c r="AP41" s="51"/>
      <c r="AQ41" s="39"/>
      <c r="AR41" s="19"/>
      <c r="AS41" s="19"/>
      <c r="AT41" s="19"/>
      <c r="AU41" s="19"/>
    </row>
    <row r="42" spans="1:47" ht="15" customHeight="1">
      <c r="A42" s="104" t="s">
        <v>129</v>
      </c>
      <c r="B42" s="104" t="s">
        <v>82</v>
      </c>
      <c r="C42" s="19"/>
      <c r="D42" s="104" t="s">
        <v>130</v>
      </c>
      <c r="E42" s="19" t="s">
        <v>131</v>
      </c>
      <c r="F42" s="19" t="s">
        <v>133</v>
      </c>
      <c r="G42" s="22"/>
      <c r="H42" s="44"/>
      <c r="I42" s="24" t="s">
        <v>134</v>
      </c>
      <c r="J42" s="26"/>
      <c r="K42" s="19"/>
      <c r="L42" s="24"/>
      <c r="M42" s="51"/>
      <c r="N42" s="51"/>
      <c r="O42" s="39"/>
      <c r="P42" s="19"/>
      <c r="Q42" s="19"/>
      <c r="R42" s="19"/>
      <c r="S42" s="24"/>
      <c r="T42" s="51"/>
      <c r="U42" s="51"/>
      <c r="V42" s="39"/>
      <c r="W42" s="19"/>
      <c r="X42" s="19"/>
      <c r="Y42" s="41"/>
      <c r="Z42" s="53"/>
      <c r="AA42" s="51"/>
      <c r="AB42" s="51"/>
      <c r="AC42" s="62"/>
      <c r="AD42" s="63"/>
      <c r="AE42" s="63"/>
      <c r="AF42" s="63"/>
      <c r="AG42" s="64"/>
      <c r="AH42" s="51"/>
      <c r="AI42" s="51"/>
      <c r="AJ42" s="54"/>
      <c r="AK42" s="48"/>
      <c r="AL42" s="48"/>
      <c r="AM42" s="48"/>
      <c r="AN42" s="55"/>
      <c r="AO42" s="51"/>
      <c r="AP42" s="51"/>
      <c r="AQ42" s="39"/>
      <c r="AR42" s="19"/>
      <c r="AS42" s="19"/>
      <c r="AT42" s="19"/>
      <c r="AU42" s="19"/>
    </row>
    <row r="43" spans="1:47" ht="15" customHeight="1">
      <c r="A43" s="106"/>
      <c r="B43" s="106"/>
      <c r="C43" s="19"/>
      <c r="D43" s="105"/>
      <c r="E43" s="19" t="s">
        <v>132</v>
      </c>
      <c r="F43" s="19" t="s">
        <v>133</v>
      </c>
      <c r="G43" s="22"/>
      <c r="H43" s="44"/>
      <c r="I43" s="24" t="s">
        <v>134</v>
      </c>
      <c r="J43" s="26"/>
      <c r="K43" s="19"/>
      <c r="L43" s="24"/>
      <c r="M43" s="51"/>
      <c r="N43" s="51"/>
      <c r="O43" s="39"/>
      <c r="P43" s="19"/>
      <c r="Q43" s="19"/>
      <c r="R43" s="19"/>
      <c r="S43" s="24"/>
      <c r="T43" s="51"/>
      <c r="U43" s="51"/>
      <c r="V43" s="39"/>
      <c r="W43" s="19"/>
      <c r="X43" s="19"/>
      <c r="Y43" s="41"/>
      <c r="Z43" s="53"/>
      <c r="AA43" s="51"/>
      <c r="AB43" s="51"/>
      <c r="AC43" s="62"/>
      <c r="AD43" s="63"/>
      <c r="AE43" s="63"/>
      <c r="AF43" s="63"/>
      <c r="AG43" s="64"/>
      <c r="AH43" s="51"/>
      <c r="AI43" s="51"/>
      <c r="AJ43" s="39"/>
      <c r="AK43" s="19"/>
      <c r="AL43" s="19"/>
      <c r="AM43" s="19"/>
      <c r="AN43" s="24"/>
      <c r="AO43" s="51"/>
      <c r="AP43" s="51"/>
      <c r="AQ43" s="39"/>
      <c r="AR43" s="19"/>
      <c r="AS43" s="19"/>
      <c r="AT43" s="19"/>
      <c r="AU43" s="19"/>
    </row>
    <row r="44" spans="1:47" ht="15" customHeight="1">
      <c r="A44" s="106"/>
      <c r="B44" s="106"/>
      <c r="C44" s="19"/>
      <c r="D44" s="104" t="s">
        <v>135</v>
      </c>
      <c r="E44" s="19" t="s">
        <v>167</v>
      </c>
      <c r="F44" s="19" t="s">
        <v>137</v>
      </c>
      <c r="G44" s="22"/>
      <c r="H44" s="44"/>
      <c r="I44" s="31" t="s">
        <v>138</v>
      </c>
      <c r="J44" s="26"/>
      <c r="K44" s="19"/>
      <c r="L44" s="24"/>
      <c r="M44" s="51"/>
      <c r="N44" s="51"/>
      <c r="O44" s="39"/>
      <c r="P44" s="19"/>
      <c r="Q44" s="19"/>
      <c r="R44" s="19"/>
      <c r="S44" s="24"/>
      <c r="T44" s="51"/>
      <c r="U44" s="51"/>
      <c r="V44" s="39"/>
      <c r="W44" s="19"/>
      <c r="X44" s="19"/>
      <c r="Y44" s="41"/>
      <c r="Z44" s="53"/>
      <c r="AA44" s="51"/>
      <c r="AB44" s="51"/>
      <c r="AC44" s="39"/>
      <c r="AD44" s="19"/>
      <c r="AE44" s="19"/>
      <c r="AF44" s="19"/>
      <c r="AG44" s="24"/>
      <c r="AH44" s="51"/>
      <c r="AI44" s="51"/>
      <c r="AJ44" s="39"/>
      <c r="AK44" s="19"/>
      <c r="AL44" s="19"/>
      <c r="AM44" s="19"/>
      <c r="AN44" s="24"/>
      <c r="AO44" s="51"/>
      <c r="AP44" s="51"/>
      <c r="AQ44" s="39"/>
      <c r="AR44" s="19"/>
      <c r="AS44" s="19"/>
      <c r="AT44" s="19"/>
      <c r="AU44" s="19"/>
    </row>
    <row r="45" spans="1:47" ht="15" customHeight="1">
      <c r="A45" s="106"/>
      <c r="B45" s="106"/>
      <c r="C45" s="19"/>
      <c r="D45" s="105"/>
      <c r="E45" s="19" t="s">
        <v>168</v>
      </c>
      <c r="F45" s="19" t="s">
        <v>169</v>
      </c>
      <c r="G45" s="22"/>
      <c r="H45" s="44"/>
      <c r="I45" s="31" t="s">
        <v>170</v>
      </c>
      <c r="J45" s="26"/>
      <c r="K45" s="19"/>
      <c r="L45" s="24"/>
      <c r="M45" s="51"/>
      <c r="N45" s="51"/>
      <c r="O45" s="39"/>
      <c r="P45" s="19"/>
      <c r="Q45" s="19"/>
      <c r="R45" s="19"/>
      <c r="S45" s="24"/>
      <c r="T45" s="51"/>
      <c r="U45" s="51"/>
      <c r="V45" s="39"/>
      <c r="W45" s="19"/>
      <c r="X45" s="19"/>
      <c r="Y45" s="41"/>
      <c r="Z45" s="53"/>
      <c r="AA45" s="51"/>
      <c r="AB45" s="51"/>
      <c r="AC45" s="39"/>
      <c r="AD45" s="19"/>
      <c r="AE45" s="19"/>
      <c r="AF45" s="19"/>
      <c r="AG45" s="24"/>
      <c r="AH45" s="51"/>
      <c r="AI45" s="51"/>
      <c r="AJ45" s="39"/>
      <c r="AK45" s="19"/>
      <c r="AL45" s="19"/>
      <c r="AM45" s="19"/>
      <c r="AN45" s="24"/>
      <c r="AO45" s="51"/>
      <c r="AP45" s="51"/>
      <c r="AQ45" s="39"/>
      <c r="AR45" s="19"/>
      <c r="AS45" s="19"/>
      <c r="AT45" s="19"/>
      <c r="AU45" s="19"/>
    </row>
    <row r="46" spans="1:47" ht="15" customHeight="1">
      <c r="A46" s="105"/>
      <c r="B46" s="105"/>
      <c r="C46" s="19"/>
      <c r="D46" s="19" t="s">
        <v>136</v>
      </c>
      <c r="E46" s="19"/>
      <c r="F46" s="19" t="s">
        <v>137</v>
      </c>
      <c r="G46" s="22"/>
      <c r="H46" s="44"/>
      <c r="I46" s="24" t="s">
        <v>138</v>
      </c>
      <c r="J46" s="26"/>
      <c r="K46" s="19"/>
      <c r="L46" s="24"/>
      <c r="M46" s="51"/>
      <c r="N46" s="51"/>
      <c r="O46" s="39"/>
      <c r="P46" s="19"/>
      <c r="Q46" s="19"/>
      <c r="R46" s="19"/>
      <c r="S46" s="24"/>
      <c r="T46" s="51"/>
      <c r="U46" s="51"/>
      <c r="V46" s="39"/>
      <c r="W46" s="19"/>
      <c r="X46" s="19"/>
      <c r="Y46" s="41"/>
      <c r="Z46" s="53"/>
      <c r="AA46" s="51"/>
      <c r="AB46" s="51"/>
      <c r="AC46" s="39"/>
      <c r="AD46" s="19"/>
      <c r="AE46" s="19"/>
      <c r="AF46" s="19"/>
      <c r="AG46" s="24"/>
      <c r="AH46" s="51"/>
      <c r="AI46" s="51"/>
      <c r="AJ46" s="39"/>
      <c r="AK46" s="19"/>
      <c r="AL46" s="19"/>
      <c r="AM46" s="19"/>
      <c r="AN46" s="24"/>
      <c r="AO46" s="51"/>
      <c r="AP46" s="51"/>
      <c r="AQ46" s="39"/>
      <c r="AR46" s="19"/>
      <c r="AS46" s="19"/>
      <c r="AT46" s="19"/>
      <c r="AU46" s="19"/>
    </row>
    <row r="47" spans="1:47" ht="15" customHeight="1">
      <c r="A47" s="104" t="s">
        <v>140</v>
      </c>
      <c r="B47" s="107" t="s">
        <v>139</v>
      </c>
      <c r="C47" s="19"/>
      <c r="D47" s="104" t="s">
        <v>141</v>
      </c>
      <c r="E47" s="19" t="s">
        <v>142</v>
      </c>
      <c r="F47" s="19" t="s">
        <v>143</v>
      </c>
      <c r="G47" s="22"/>
      <c r="H47" s="44"/>
      <c r="I47" s="24" t="s">
        <v>144</v>
      </c>
      <c r="J47" s="26"/>
      <c r="K47" s="19"/>
      <c r="L47" s="24"/>
      <c r="M47" s="51"/>
      <c r="N47" s="51"/>
      <c r="O47" s="39"/>
      <c r="P47" s="19"/>
      <c r="Q47" s="19"/>
      <c r="R47" s="19"/>
      <c r="S47" s="24"/>
      <c r="T47" s="51"/>
      <c r="U47" s="51"/>
      <c r="V47" s="39"/>
      <c r="W47" s="19"/>
      <c r="X47" s="19"/>
      <c r="Y47" s="41"/>
      <c r="Z47" s="53"/>
      <c r="AA47" s="51"/>
      <c r="AB47" s="51"/>
      <c r="AC47" s="39"/>
      <c r="AD47" s="19"/>
      <c r="AE47" s="19"/>
      <c r="AF47" s="19"/>
      <c r="AG47" s="24"/>
      <c r="AH47" s="51"/>
      <c r="AI47" s="51"/>
      <c r="AJ47" s="39"/>
      <c r="AK47" s="19"/>
      <c r="AL47" s="19"/>
      <c r="AM47" s="19"/>
      <c r="AN47" s="24"/>
      <c r="AO47" s="51"/>
      <c r="AP47" s="51"/>
      <c r="AQ47" s="39"/>
      <c r="AR47" s="19"/>
      <c r="AS47" s="19"/>
      <c r="AT47" s="19"/>
      <c r="AU47" s="19"/>
    </row>
    <row r="48" spans="1:47" ht="15" customHeight="1">
      <c r="A48" s="106"/>
      <c r="B48" s="108"/>
      <c r="C48" s="19"/>
      <c r="D48" s="105"/>
      <c r="E48" s="19" t="s">
        <v>146</v>
      </c>
      <c r="F48" s="19" t="s">
        <v>147</v>
      </c>
      <c r="G48" s="22"/>
      <c r="H48" s="44"/>
      <c r="I48" s="24" t="s">
        <v>148</v>
      </c>
      <c r="J48" s="26"/>
      <c r="K48" s="19"/>
      <c r="L48" s="24"/>
      <c r="M48" s="51"/>
      <c r="N48" s="51"/>
      <c r="O48" s="39"/>
      <c r="P48" s="19"/>
      <c r="Q48" s="19"/>
      <c r="R48" s="19"/>
      <c r="S48" s="24"/>
      <c r="T48" s="51"/>
      <c r="U48" s="51"/>
      <c r="V48" s="39"/>
      <c r="W48" s="19"/>
      <c r="X48" s="19"/>
      <c r="Y48" s="41"/>
      <c r="Z48" s="53"/>
      <c r="AA48" s="51"/>
      <c r="AB48" s="51"/>
      <c r="AC48" s="39"/>
      <c r="AD48" s="19"/>
      <c r="AE48" s="19"/>
      <c r="AF48" s="19"/>
      <c r="AG48" s="24"/>
      <c r="AH48" s="51"/>
      <c r="AI48" s="51"/>
      <c r="AJ48" s="39"/>
      <c r="AK48" s="19"/>
      <c r="AL48" s="19"/>
      <c r="AM48" s="19"/>
      <c r="AN48" s="24"/>
      <c r="AO48" s="51"/>
      <c r="AP48" s="51"/>
      <c r="AQ48" s="39"/>
      <c r="AR48" s="19"/>
      <c r="AS48" s="19"/>
      <c r="AT48" s="19"/>
      <c r="AU48" s="19"/>
    </row>
    <row r="49" spans="1:47" ht="15" customHeight="1">
      <c r="A49" s="106"/>
      <c r="B49" s="108"/>
      <c r="C49" s="19"/>
      <c r="D49" s="19" t="s">
        <v>145</v>
      </c>
      <c r="E49" s="19"/>
      <c r="F49" s="19" t="s">
        <v>149</v>
      </c>
      <c r="G49" s="22"/>
      <c r="H49" s="44"/>
      <c r="I49" s="24" t="s">
        <v>150</v>
      </c>
      <c r="J49" s="26"/>
      <c r="K49" s="19"/>
      <c r="L49" s="24"/>
      <c r="M49" s="51"/>
      <c r="N49" s="51"/>
      <c r="O49" s="39"/>
      <c r="P49" s="19"/>
      <c r="Q49" s="19"/>
      <c r="R49" s="19"/>
      <c r="S49" s="24"/>
      <c r="T49" s="51"/>
      <c r="U49" s="51"/>
      <c r="V49" s="39"/>
      <c r="W49" s="19"/>
      <c r="X49" s="19"/>
      <c r="Y49" s="41"/>
      <c r="Z49" s="53"/>
      <c r="AA49" s="51"/>
      <c r="AB49" s="51"/>
      <c r="AC49" s="39"/>
      <c r="AD49" s="19"/>
      <c r="AE49" s="19"/>
      <c r="AF49" s="19"/>
      <c r="AG49" s="24"/>
      <c r="AH49" s="51"/>
      <c r="AI49" s="51"/>
      <c r="AJ49" s="39"/>
      <c r="AK49" s="19"/>
      <c r="AL49" s="19"/>
      <c r="AM49" s="19"/>
      <c r="AN49" s="24"/>
      <c r="AO49" s="51"/>
      <c r="AP49" s="51"/>
      <c r="AQ49" s="39"/>
      <c r="AR49" s="19"/>
      <c r="AS49" s="19"/>
      <c r="AT49" s="19"/>
      <c r="AU49" s="19"/>
    </row>
    <row r="50" spans="1:47" ht="15" customHeight="1">
      <c r="A50" s="105"/>
      <c r="B50" s="109"/>
      <c r="C50" s="19"/>
      <c r="D50" s="19" t="s">
        <v>151</v>
      </c>
      <c r="E50" s="19"/>
      <c r="F50" s="19" t="s">
        <v>152</v>
      </c>
      <c r="G50" s="22"/>
      <c r="H50" s="44"/>
      <c r="I50" s="24" t="s">
        <v>153</v>
      </c>
      <c r="J50" s="26"/>
      <c r="K50" s="19"/>
      <c r="L50" s="24"/>
      <c r="M50" s="51"/>
      <c r="N50" s="51"/>
      <c r="O50" s="39"/>
      <c r="P50" s="19"/>
      <c r="Q50" s="19"/>
      <c r="R50" s="19"/>
      <c r="S50" s="24"/>
      <c r="T50" s="51"/>
      <c r="U50" s="51"/>
      <c r="V50" s="39"/>
      <c r="W50" s="19"/>
      <c r="X50" s="19"/>
      <c r="Y50" s="41"/>
      <c r="Z50" s="53"/>
      <c r="AA50" s="51"/>
      <c r="AB50" s="51"/>
      <c r="AC50" s="39"/>
      <c r="AD50" s="19"/>
      <c r="AE50" s="19"/>
      <c r="AF50" s="19"/>
      <c r="AG50" s="24"/>
      <c r="AH50" s="51"/>
      <c r="AI50" s="51"/>
      <c r="AJ50" s="39"/>
      <c r="AK50" s="19"/>
      <c r="AL50" s="19"/>
      <c r="AM50" s="19"/>
      <c r="AN50" s="24"/>
      <c r="AO50" s="51"/>
      <c r="AP50" s="51"/>
      <c r="AQ50" s="39"/>
      <c r="AR50" s="19"/>
      <c r="AS50" s="19"/>
      <c r="AT50" s="19"/>
      <c r="AU50" s="19"/>
    </row>
    <row r="51" spans="1:47" ht="15" customHeight="1">
      <c r="A51" s="19"/>
      <c r="B51" s="19"/>
      <c r="C51" s="19"/>
      <c r="D51" s="19"/>
      <c r="E51" s="19"/>
      <c r="F51" s="19"/>
      <c r="G51" s="22"/>
      <c r="H51" s="44"/>
      <c r="I51" s="24"/>
      <c r="J51" s="26"/>
      <c r="K51" s="19"/>
      <c r="L51" s="24"/>
      <c r="M51" s="51"/>
      <c r="N51" s="51"/>
      <c r="O51" s="39"/>
      <c r="P51" s="19"/>
      <c r="Q51" s="19"/>
      <c r="R51" s="19"/>
      <c r="S51" s="24"/>
      <c r="T51" s="51"/>
      <c r="U51" s="51"/>
      <c r="V51" s="39"/>
      <c r="W51" s="19"/>
      <c r="X51" s="19"/>
      <c r="Y51" s="41"/>
      <c r="Z51" s="53"/>
      <c r="AA51" s="51"/>
      <c r="AB51" s="51"/>
      <c r="AC51" s="39"/>
      <c r="AD51" s="19"/>
      <c r="AE51" s="19"/>
      <c r="AF51" s="19"/>
      <c r="AG51" s="24"/>
      <c r="AH51" s="51"/>
      <c r="AI51" s="51"/>
      <c r="AJ51" s="39"/>
      <c r="AK51" s="19"/>
      <c r="AL51" s="19"/>
      <c r="AM51" s="19"/>
      <c r="AN51" s="24"/>
      <c r="AO51" s="51"/>
      <c r="AP51" s="51"/>
      <c r="AQ51" s="39"/>
      <c r="AR51" s="19"/>
      <c r="AS51" s="19"/>
      <c r="AT51" s="19"/>
      <c r="AU51" s="19"/>
    </row>
    <row r="52" spans="1:47" ht="15" customHeight="1">
      <c r="A52" s="19"/>
      <c r="B52" s="19"/>
      <c r="C52" s="19"/>
      <c r="D52" s="19"/>
      <c r="E52" s="19"/>
      <c r="F52" s="19"/>
      <c r="G52" s="22"/>
      <c r="H52" s="44"/>
      <c r="I52" s="24"/>
      <c r="J52" s="26"/>
      <c r="K52" s="19"/>
      <c r="L52" s="24"/>
      <c r="M52" s="51"/>
      <c r="N52" s="51"/>
      <c r="O52" s="39"/>
      <c r="P52" s="19"/>
      <c r="Q52" s="19"/>
      <c r="R52" s="19"/>
      <c r="S52" s="24"/>
      <c r="T52" s="51"/>
      <c r="U52" s="51"/>
      <c r="V52" s="39"/>
      <c r="W52" s="19"/>
      <c r="X52" s="19"/>
      <c r="Y52" s="41"/>
      <c r="Z52" s="53"/>
      <c r="AA52" s="51"/>
      <c r="AB52" s="51"/>
      <c r="AC52" s="39"/>
      <c r="AD52" s="19"/>
      <c r="AE52" s="19"/>
      <c r="AF52" s="19"/>
      <c r="AG52" s="24"/>
      <c r="AH52" s="51"/>
      <c r="AI52" s="51"/>
      <c r="AJ52" s="39"/>
      <c r="AK52" s="19"/>
      <c r="AL52" s="19"/>
      <c r="AM52" s="19"/>
      <c r="AN52" s="24"/>
      <c r="AO52" s="51"/>
      <c r="AP52" s="51"/>
      <c r="AQ52" s="39"/>
      <c r="AR52" s="19"/>
      <c r="AS52" s="19"/>
      <c r="AT52" s="19"/>
      <c r="AU52" s="19"/>
    </row>
    <row r="53" spans="1:47" ht="15" customHeight="1">
      <c r="A53" s="19"/>
      <c r="B53" s="19"/>
      <c r="C53" s="19"/>
      <c r="D53" s="19"/>
      <c r="E53" s="19"/>
      <c r="F53" s="19"/>
      <c r="G53" s="22"/>
      <c r="H53" s="44"/>
      <c r="I53" s="24"/>
      <c r="J53" s="26"/>
      <c r="K53" s="19"/>
      <c r="L53" s="24"/>
      <c r="M53" s="51"/>
      <c r="N53" s="51"/>
      <c r="O53" s="39"/>
      <c r="P53" s="19"/>
      <c r="Q53" s="19"/>
      <c r="R53" s="19"/>
      <c r="S53" s="24"/>
      <c r="T53" s="51"/>
      <c r="U53" s="51"/>
      <c r="V53" s="39"/>
      <c r="W53" s="19"/>
      <c r="X53" s="19"/>
      <c r="Y53" s="41"/>
      <c r="Z53" s="53"/>
      <c r="AA53" s="51"/>
      <c r="AB53" s="51"/>
      <c r="AC53" s="39"/>
      <c r="AD53" s="19"/>
      <c r="AE53" s="19"/>
      <c r="AF53" s="19"/>
      <c r="AG53" s="24"/>
      <c r="AH53" s="51"/>
      <c r="AI53" s="51"/>
      <c r="AJ53" s="39"/>
      <c r="AK53" s="19"/>
      <c r="AL53" s="19"/>
      <c r="AM53" s="19"/>
      <c r="AN53" s="24"/>
      <c r="AO53" s="51"/>
      <c r="AP53" s="51"/>
      <c r="AQ53" s="39"/>
      <c r="AR53" s="19"/>
      <c r="AS53" s="19"/>
      <c r="AT53" s="19"/>
      <c r="AU53" s="19"/>
    </row>
    <row r="54" spans="1:47" ht="15" customHeight="1">
      <c r="A54" s="19"/>
      <c r="B54" s="19"/>
      <c r="C54" s="19"/>
      <c r="D54" s="19"/>
      <c r="E54" s="19"/>
      <c r="F54" s="19"/>
      <c r="G54" s="22"/>
      <c r="H54" s="44"/>
      <c r="I54" s="24"/>
      <c r="J54" s="26"/>
      <c r="K54" s="19"/>
      <c r="L54" s="24"/>
      <c r="M54" s="51"/>
      <c r="N54" s="51"/>
      <c r="O54" s="39"/>
      <c r="P54" s="19"/>
      <c r="Q54" s="19"/>
      <c r="R54" s="19"/>
      <c r="S54" s="24"/>
      <c r="T54" s="51"/>
      <c r="U54" s="51"/>
      <c r="V54" s="39"/>
      <c r="W54" s="19"/>
      <c r="X54" s="19"/>
      <c r="Y54" s="41"/>
      <c r="Z54" s="53"/>
      <c r="AA54" s="51"/>
      <c r="AB54" s="51"/>
      <c r="AC54" s="39"/>
      <c r="AD54" s="19"/>
      <c r="AE54" s="19"/>
      <c r="AF54" s="19"/>
      <c r="AG54" s="24"/>
      <c r="AH54" s="51"/>
      <c r="AI54" s="51"/>
      <c r="AJ54" s="39"/>
      <c r="AK54" s="19"/>
      <c r="AL54" s="19"/>
      <c r="AM54" s="19"/>
      <c r="AN54" s="24"/>
      <c r="AO54" s="51"/>
      <c r="AP54" s="51"/>
      <c r="AQ54" s="39"/>
      <c r="AR54" s="19"/>
      <c r="AS54" s="19"/>
      <c r="AT54" s="19"/>
      <c r="AU54" s="19"/>
    </row>
    <row r="55" spans="1:47" ht="15" customHeight="1">
      <c r="A55" s="19"/>
      <c r="B55" s="19"/>
      <c r="C55" s="19"/>
      <c r="D55" s="19"/>
      <c r="E55" s="19"/>
      <c r="F55" s="19"/>
      <c r="G55" s="22"/>
      <c r="H55" s="44"/>
      <c r="I55" s="24"/>
      <c r="J55" s="26"/>
      <c r="K55" s="19"/>
      <c r="L55" s="24"/>
      <c r="M55" s="51"/>
      <c r="N55" s="51"/>
      <c r="O55" s="39"/>
      <c r="P55" s="19"/>
      <c r="Q55" s="19"/>
      <c r="R55" s="19"/>
      <c r="S55" s="24"/>
      <c r="T55" s="51"/>
      <c r="U55" s="51"/>
      <c r="V55" s="39"/>
      <c r="W55" s="19"/>
      <c r="X55" s="19"/>
      <c r="Y55" s="41"/>
      <c r="Z55" s="53"/>
      <c r="AA55" s="51"/>
      <c r="AB55" s="51"/>
      <c r="AC55" s="39"/>
      <c r="AD55" s="19"/>
      <c r="AE55" s="19"/>
      <c r="AF55" s="19"/>
      <c r="AG55" s="24"/>
      <c r="AH55" s="51"/>
      <c r="AI55" s="51"/>
      <c r="AJ55" s="39"/>
      <c r="AK55" s="19"/>
      <c r="AL55" s="19"/>
      <c r="AM55" s="19"/>
      <c r="AN55" s="24"/>
      <c r="AO55" s="51"/>
      <c r="AP55" s="51"/>
      <c r="AQ55" s="39"/>
      <c r="AR55" s="19"/>
      <c r="AS55" s="19"/>
      <c r="AT55" s="19"/>
      <c r="AU55" s="19"/>
    </row>
    <row r="56" spans="1:47" ht="15" customHeight="1">
      <c r="A56" s="19"/>
      <c r="B56" s="19"/>
      <c r="C56" s="19"/>
      <c r="D56" s="19"/>
      <c r="E56" s="19"/>
      <c r="F56" s="19"/>
      <c r="G56" s="22"/>
      <c r="H56" s="44"/>
      <c r="I56" s="24"/>
      <c r="J56" s="26"/>
      <c r="K56" s="19"/>
      <c r="L56" s="24"/>
      <c r="M56" s="51"/>
      <c r="N56" s="51"/>
      <c r="O56" s="39"/>
      <c r="P56" s="19"/>
      <c r="Q56" s="19"/>
      <c r="R56" s="19"/>
      <c r="S56" s="24"/>
      <c r="T56" s="51"/>
      <c r="U56" s="51"/>
      <c r="V56" s="39"/>
      <c r="W56" s="19"/>
      <c r="X56" s="19"/>
      <c r="Y56" s="41"/>
      <c r="Z56" s="53"/>
      <c r="AA56" s="51"/>
      <c r="AB56" s="51"/>
      <c r="AC56" s="39"/>
      <c r="AD56" s="19"/>
      <c r="AE56" s="19"/>
      <c r="AF56" s="19"/>
      <c r="AG56" s="24"/>
      <c r="AH56" s="51"/>
      <c r="AI56" s="51"/>
      <c r="AJ56" s="39"/>
      <c r="AK56" s="19"/>
      <c r="AL56" s="19"/>
      <c r="AM56" s="19"/>
      <c r="AN56" s="24"/>
      <c r="AO56" s="51"/>
      <c r="AP56" s="51"/>
      <c r="AQ56" s="39"/>
      <c r="AR56" s="19"/>
      <c r="AS56" s="19"/>
      <c r="AT56" s="19"/>
      <c r="AU56" s="19"/>
    </row>
    <row r="57" spans="1:47" ht="15" customHeight="1">
      <c r="A57" s="19"/>
      <c r="B57" s="19"/>
      <c r="C57" s="19"/>
      <c r="D57" s="19"/>
      <c r="E57" s="19"/>
      <c r="F57" s="19"/>
      <c r="G57" s="22"/>
      <c r="H57" s="44"/>
      <c r="I57" s="24"/>
      <c r="J57" s="26"/>
      <c r="K57" s="19"/>
      <c r="L57" s="24"/>
      <c r="M57" s="51"/>
      <c r="N57" s="51"/>
      <c r="O57" s="39"/>
      <c r="P57" s="19"/>
      <c r="Q57" s="19"/>
      <c r="R57" s="19"/>
      <c r="S57" s="24"/>
      <c r="T57" s="51"/>
      <c r="U57" s="51"/>
      <c r="V57" s="39"/>
      <c r="W57" s="19"/>
      <c r="X57" s="19"/>
      <c r="Y57" s="41"/>
      <c r="Z57" s="53"/>
      <c r="AA57" s="51"/>
      <c r="AB57" s="51"/>
      <c r="AC57" s="39"/>
      <c r="AD57" s="19"/>
      <c r="AE57" s="19"/>
      <c r="AF57" s="19"/>
      <c r="AG57" s="24"/>
      <c r="AH57" s="51"/>
      <c r="AI57" s="51"/>
      <c r="AJ57" s="39"/>
      <c r="AK57" s="19"/>
      <c r="AL57" s="19"/>
      <c r="AM57" s="19"/>
      <c r="AN57" s="24"/>
      <c r="AO57" s="51"/>
      <c r="AP57" s="51"/>
      <c r="AQ57" s="39"/>
      <c r="AR57" s="19"/>
      <c r="AS57" s="19"/>
      <c r="AT57" s="19"/>
      <c r="AU57" s="19"/>
    </row>
    <row r="58" spans="1:47" ht="15" customHeight="1">
      <c r="A58" s="19"/>
      <c r="B58" s="19"/>
      <c r="C58" s="19"/>
      <c r="D58" s="19"/>
      <c r="E58" s="19"/>
      <c r="F58" s="19"/>
      <c r="G58" s="22"/>
      <c r="H58" s="44"/>
      <c r="I58" s="24"/>
      <c r="J58" s="26"/>
      <c r="K58" s="19"/>
      <c r="L58" s="24"/>
      <c r="M58" s="51"/>
      <c r="N58" s="51"/>
      <c r="O58" s="39"/>
      <c r="P58" s="19"/>
      <c r="Q58" s="19"/>
      <c r="R58" s="19"/>
      <c r="S58" s="24"/>
      <c r="T58" s="51"/>
      <c r="U58" s="51"/>
      <c r="V58" s="39"/>
      <c r="W58" s="19"/>
      <c r="X58" s="19"/>
      <c r="Y58" s="41"/>
      <c r="Z58" s="53"/>
      <c r="AA58" s="51"/>
      <c r="AB58" s="51"/>
      <c r="AC58" s="39"/>
      <c r="AD58" s="19"/>
      <c r="AE58" s="19"/>
      <c r="AF58" s="19"/>
      <c r="AG58" s="24"/>
      <c r="AH58" s="51"/>
      <c r="AI58" s="51"/>
      <c r="AJ58" s="39"/>
      <c r="AK58" s="19"/>
      <c r="AL58" s="19"/>
      <c r="AM58" s="19"/>
      <c r="AN58" s="24"/>
      <c r="AO58" s="51"/>
      <c r="AP58" s="51"/>
      <c r="AQ58" s="39"/>
      <c r="AR58" s="19"/>
      <c r="AS58" s="19"/>
      <c r="AT58" s="19"/>
      <c r="AU58" s="19"/>
    </row>
    <row r="59" spans="1:47" ht="15" customHeight="1">
      <c r="A59" s="19"/>
      <c r="B59" s="19"/>
      <c r="C59" s="19"/>
      <c r="D59" s="19"/>
      <c r="E59" s="19"/>
      <c r="F59" s="19"/>
      <c r="G59" s="22"/>
      <c r="H59" s="44"/>
      <c r="I59" s="24"/>
      <c r="J59" s="26"/>
      <c r="K59" s="19"/>
      <c r="L59" s="24"/>
      <c r="M59" s="51"/>
      <c r="N59" s="51"/>
      <c r="O59" s="39"/>
      <c r="P59" s="19"/>
      <c r="Q59" s="19"/>
      <c r="R59" s="19"/>
      <c r="S59" s="24"/>
      <c r="T59" s="51"/>
      <c r="U59" s="51"/>
      <c r="V59" s="39"/>
      <c r="W59" s="19"/>
      <c r="X59" s="19"/>
      <c r="Y59" s="41"/>
      <c r="Z59" s="53"/>
      <c r="AA59" s="51"/>
      <c r="AB59" s="51"/>
      <c r="AC59" s="39"/>
      <c r="AD59" s="19"/>
      <c r="AE59" s="19"/>
      <c r="AF59" s="19"/>
      <c r="AG59" s="24"/>
      <c r="AH59" s="51"/>
      <c r="AI59" s="51"/>
      <c r="AJ59" s="39"/>
      <c r="AK59" s="19"/>
      <c r="AL59" s="19"/>
      <c r="AM59" s="19"/>
      <c r="AN59" s="24"/>
      <c r="AO59" s="51"/>
      <c r="AP59" s="51"/>
      <c r="AQ59" s="39"/>
      <c r="AR59" s="19"/>
      <c r="AS59" s="19"/>
      <c r="AT59" s="19"/>
      <c r="AU59" s="19"/>
    </row>
    <row r="60" spans="1:47" ht="15" customHeight="1">
      <c r="A60" s="19"/>
      <c r="B60" s="19"/>
      <c r="C60" s="19"/>
      <c r="D60" s="19"/>
      <c r="E60" s="19"/>
      <c r="F60" s="19"/>
      <c r="G60" s="22"/>
      <c r="H60" s="44"/>
      <c r="I60" s="24"/>
      <c r="J60" s="26"/>
      <c r="K60" s="19"/>
      <c r="L60" s="24"/>
      <c r="M60" s="51"/>
      <c r="N60" s="51"/>
      <c r="O60" s="39"/>
      <c r="P60" s="19"/>
      <c r="Q60" s="19"/>
      <c r="R60" s="19"/>
      <c r="S60" s="24"/>
      <c r="T60" s="51"/>
      <c r="U60" s="51"/>
      <c r="V60" s="39"/>
      <c r="W60" s="19"/>
      <c r="X60" s="19"/>
      <c r="Y60" s="41"/>
      <c r="Z60" s="53"/>
      <c r="AA60" s="51"/>
      <c r="AB60" s="51"/>
      <c r="AC60" s="39"/>
      <c r="AD60" s="19"/>
      <c r="AE60" s="19"/>
      <c r="AF60" s="19"/>
      <c r="AG60" s="24"/>
      <c r="AH60" s="51"/>
      <c r="AI60" s="51"/>
      <c r="AJ60" s="39"/>
      <c r="AK60" s="19"/>
      <c r="AL60" s="19"/>
      <c r="AM60" s="19"/>
      <c r="AN60" s="24"/>
      <c r="AO60" s="51"/>
      <c r="AP60" s="51"/>
      <c r="AQ60" s="39"/>
      <c r="AR60" s="19"/>
      <c r="AS60" s="19"/>
      <c r="AT60" s="19"/>
      <c r="AU60" s="19"/>
    </row>
    <row r="61" spans="1:47" ht="15" customHeight="1">
      <c r="A61" s="19"/>
      <c r="B61" s="19"/>
      <c r="C61" s="19"/>
      <c r="D61" s="19"/>
      <c r="E61" s="19"/>
      <c r="F61" s="19"/>
      <c r="G61" s="22"/>
      <c r="H61" s="44"/>
      <c r="I61" s="24"/>
      <c r="J61" s="26"/>
      <c r="K61" s="19"/>
      <c r="L61" s="24"/>
      <c r="M61" s="51"/>
      <c r="N61" s="51"/>
      <c r="O61" s="39"/>
      <c r="P61" s="19"/>
      <c r="Q61" s="19"/>
      <c r="R61" s="19"/>
      <c r="S61" s="24"/>
      <c r="T61" s="51"/>
      <c r="U61" s="51"/>
      <c r="V61" s="39"/>
      <c r="W61" s="19"/>
      <c r="X61" s="19"/>
      <c r="Y61" s="41"/>
      <c r="Z61" s="53"/>
      <c r="AA61" s="51"/>
      <c r="AB61" s="51"/>
      <c r="AC61" s="39"/>
      <c r="AD61" s="19"/>
      <c r="AE61" s="19"/>
      <c r="AF61" s="19"/>
      <c r="AG61" s="24"/>
      <c r="AH61" s="51"/>
      <c r="AI61" s="51"/>
      <c r="AJ61" s="39"/>
      <c r="AK61" s="19"/>
      <c r="AL61" s="19"/>
      <c r="AM61" s="19"/>
      <c r="AN61" s="24"/>
      <c r="AO61" s="51"/>
      <c r="AP61" s="51"/>
      <c r="AQ61" s="39"/>
      <c r="AR61" s="19"/>
      <c r="AS61" s="19"/>
      <c r="AT61" s="19"/>
      <c r="AU61" s="19"/>
    </row>
    <row r="62" spans="1:47" ht="15" customHeight="1">
      <c r="A62" s="19"/>
      <c r="B62" s="19"/>
      <c r="C62" s="19"/>
      <c r="D62" s="19"/>
      <c r="E62" s="19"/>
      <c r="F62" s="19"/>
      <c r="G62" s="22"/>
      <c r="H62" s="44"/>
      <c r="I62" s="24"/>
      <c r="J62" s="26"/>
      <c r="K62" s="19"/>
      <c r="L62" s="24"/>
      <c r="M62" s="51"/>
      <c r="N62" s="51"/>
      <c r="O62" s="39"/>
      <c r="P62" s="19"/>
      <c r="Q62" s="19"/>
      <c r="R62" s="19"/>
      <c r="S62" s="24"/>
      <c r="T62" s="51"/>
      <c r="U62" s="51"/>
      <c r="V62" s="39"/>
      <c r="W62" s="19"/>
      <c r="X62" s="19"/>
      <c r="Y62" s="41"/>
      <c r="Z62" s="53"/>
      <c r="AA62" s="51"/>
      <c r="AB62" s="51"/>
      <c r="AC62" s="39"/>
      <c r="AD62" s="19"/>
      <c r="AE62" s="19"/>
      <c r="AF62" s="19"/>
      <c r="AG62" s="24"/>
      <c r="AH62" s="51"/>
      <c r="AI62" s="51"/>
      <c r="AJ62" s="39"/>
      <c r="AK62" s="19"/>
      <c r="AL62" s="19"/>
      <c r="AM62" s="19"/>
      <c r="AN62" s="24"/>
      <c r="AO62" s="51"/>
      <c r="AP62" s="51"/>
      <c r="AQ62" s="39"/>
      <c r="AR62" s="19"/>
      <c r="AS62" s="19"/>
      <c r="AT62" s="19"/>
      <c r="AU62" s="19"/>
    </row>
    <row r="63" spans="1:47" ht="15" customHeight="1">
      <c r="A63" s="19"/>
      <c r="B63" s="19"/>
      <c r="C63" s="19"/>
      <c r="D63" s="19"/>
      <c r="E63" s="19"/>
      <c r="F63" s="19"/>
      <c r="G63" s="22"/>
      <c r="H63" s="44"/>
      <c r="I63" s="24"/>
      <c r="J63" s="26"/>
      <c r="K63" s="19"/>
      <c r="L63" s="24"/>
      <c r="M63" s="51"/>
      <c r="N63" s="51"/>
      <c r="O63" s="39"/>
      <c r="P63" s="19"/>
      <c r="Q63" s="19"/>
      <c r="R63" s="19"/>
      <c r="S63" s="24"/>
      <c r="T63" s="51"/>
      <c r="U63" s="51"/>
      <c r="V63" s="39"/>
      <c r="W63" s="19"/>
      <c r="X63" s="19"/>
      <c r="Y63" s="41"/>
      <c r="Z63" s="53"/>
      <c r="AA63" s="51"/>
      <c r="AB63" s="51"/>
      <c r="AC63" s="39"/>
      <c r="AD63" s="19"/>
      <c r="AE63" s="19"/>
      <c r="AF63" s="19"/>
      <c r="AG63" s="24"/>
      <c r="AH63" s="51"/>
      <c r="AI63" s="51"/>
      <c r="AJ63" s="39"/>
      <c r="AK63" s="19"/>
      <c r="AL63" s="19"/>
      <c r="AM63" s="19"/>
      <c r="AN63" s="24"/>
      <c r="AO63" s="51"/>
      <c r="AP63" s="51"/>
      <c r="AQ63" s="39"/>
      <c r="AR63" s="19"/>
      <c r="AS63" s="19"/>
      <c r="AT63" s="19"/>
      <c r="AU63" s="19"/>
    </row>
    <row r="64" spans="1:47" ht="15" customHeight="1">
      <c r="A64" s="19"/>
      <c r="B64" s="19"/>
      <c r="C64" s="19"/>
      <c r="D64" s="19"/>
      <c r="E64" s="19"/>
      <c r="F64" s="19"/>
      <c r="G64" s="22"/>
      <c r="H64" s="44"/>
      <c r="I64" s="24"/>
      <c r="J64" s="26"/>
      <c r="K64" s="19"/>
      <c r="L64" s="24"/>
      <c r="M64" s="51"/>
      <c r="N64" s="51"/>
      <c r="O64" s="39"/>
      <c r="P64" s="19"/>
      <c r="Q64" s="19"/>
      <c r="R64" s="19"/>
      <c r="S64" s="24"/>
      <c r="T64" s="51"/>
      <c r="U64" s="51"/>
      <c r="V64" s="39"/>
      <c r="W64" s="19"/>
      <c r="X64" s="19"/>
      <c r="Y64" s="41"/>
      <c r="Z64" s="53"/>
      <c r="AA64" s="51"/>
      <c r="AB64" s="51"/>
      <c r="AC64" s="39"/>
      <c r="AD64" s="19"/>
      <c r="AE64" s="19"/>
      <c r="AF64" s="19"/>
      <c r="AG64" s="24"/>
      <c r="AH64" s="51"/>
      <c r="AI64" s="51"/>
      <c r="AJ64" s="39"/>
      <c r="AK64" s="19"/>
      <c r="AL64" s="19"/>
      <c r="AM64" s="19"/>
      <c r="AN64" s="24"/>
      <c r="AO64" s="51"/>
      <c r="AP64" s="51"/>
      <c r="AQ64" s="39"/>
      <c r="AR64" s="19"/>
      <c r="AS64" s="19"/>
      <c r="AT64" s="19"/>
      <c r="AU64" s="19"/>
    </row>
    <row r="65" spans="1:47" ht="15" customHeight="1">
      <c r="A65" s="19"/>
      <c r="B65" s="19"/>
      <c r="C65" s="19"/>
      <c r="D65" s="19"/>
      <c r="E65" s="19"/>
      <c r="F65" s="19"/>
      <c r="G65" s="22"/>
      <c r="H65" s="44"/>
      <c r="I65" s="24"/>
      <c r="J65" s="26"/>
      <c r="K65" s="19"/>
      <c r="L65" s="24"/>
      <c r="M65" s="51"/>
      <c r="N65" s="51"/>
      <c r="O65" s="39"/>
      <c r="P65" s="19"/>
      <c r="Q65" s="19"/>
      <c r="R65" s="19"/>
      <c r="S65" s="24"/>
      <c r="T65" s="51"/>
      <c r="U65" s="51"/>
      <c r="V65" s="39"/>
      <c r="W65" s="19"/>
      <c r="X65" s="19"/>
      <c r="Y65" s="41"/>
      <c r="Z65" s="53"/>
      <c r="AA65" s="51"/>
      <c r="AB65" s="51"/>
      <c r="AC65" s="39"/>
      <c r="AD65" s="19"/>
      <c r="AE65" s="19"/>
      <c r="AF65" s="19"/>
      <c r="AG65" s="24"/>
      <c r="AH65" s="51"/>
      <c r="AI65" s="51"/>
      <c r="AJ65" s="39"/>
      <c r="AK65" s="19"/>
      <c r="AL65" s="19"/>
      <c r="AM65" s="19"/>
      <c r="AN65" s="24"/>
      <c r="AO65" s="51"/>
      <c r="AP65" s="51"/>
      <c r="AQ65" s="39"/>
      <c r="AR65" s="19"/>
      <c r="AS65" s="19"/>
      <c r="AT65" s="19"/>
      <c r="AU65" s="19"/>
    </row>
    <row r="66" spans="1:47" ht="15" customHeight="1">
      <c r="A66" s="19"/>
      <c r="B66" s="19"/>
      <c r="C66" s="19"/>
      <c r="D66" s="19"/>
      <c r="E66" s="19"/>
      <c r="F66" s="19"/>
      <c r="G66" s="22"/>
      <c r="H66" s="44"/>
      <c r="I66" s="24"/>
      <c r="J66" s="26"/>
      <c r="K66" s="19"/>
      <c r="L66" s="24"/>
      <c r="M66" s="51"/>
      <c r="N66" s="51"/>
      <c r="O66" s="39"/>
      <c r="P66" s="19"/>
      <c r="Q66" s="19"/>
      <c r="R66" s="19"/>
      <c r="S66" s="24"/>
      <c r="T66" s="51"/>
      <c r="U66" s="51"/>
      <c r="V66" s="39"/>
      <c r="W66" s="19"/>
      <c r="X66" s="19"/>
      <c r="Y66" s="41"/>
      <c r="Z66" s="53"/>
      <c r="AA66" s="51"/>
      <c r="AB66" s="51"/>
      <c r="AC66" s="39"/>
      <c r="AD66" s="19"/>
      <c r="AE66" s="19"/>
      <c r="AF66" s="19"/>
      <c r="AG66" s="24"/>
      <c r="AH66" s="51"/>
      <c r="AI66" s="51"/>
      <c r="AJ66" s="39"/>
      <c r="AK66" s="19"/>
      <c r="AL66" s="19"/>
      <c r="AM66" s="19"/>
      <c r="AN66" s="24"/>
      <c r="AO66" s="51"/>
      <c r="AP66" s="51"/>
      <c r="AQ66" s="39"/>
      <c r="AR66" s="19"/>
      <c r="AS66" s="19"/>
      <c r="AT66" s="19"/>
      <c r="AU66" s="19"/>
    </row>
    <row r="67" spans="1:47" ht="15" customHeight="1">
      <c r="A67" s="19"/>
      <c r="B67" s="19"/>
      <c r="C67" s="19"/>
      <c r="D67" s="19"/>
      <c r="E67" s="19"/>
      <c r="F67" s="19"/>
      <c r="G67" s="22"/>
      <c r="H67" s="44"/>
      <c r="I67" s="24"/>
      <c r="J67" s="26"/>
      <c r="K67" s="19"/>
      <c r="L67" s="24"/>
      <c r="M67" s="51"/>
      <c r="N67" s="51"/>
      <c r="O67" s="39"/>
      <c r="P67" s="19"/>
      <c r="Q67" s="19"/>
      <c r="R67" s="19"/>
      <c r="S67" s="24"/>
      <c r="T67" s="51"/>
      <c r="U67" s="51"/>
      <c r="V67" s="39"/>
      <c r="W67" s="19"/>
      <c r="X67" s="19"/>
      <c r="Y67" s="41"/>
      <c r="Z67" s="53"/>
      <c r="AA67" s="51"/>
      <c r="AB67" s="51"/>
      <c r="AC67" s="39"/>
      <c r="AD67" s="19"/>
      <c r="AE67" s="19"/>
      <c r="AF67" s="19"/>
      <c r="AG67" s="24"/>
      <c r="AH67" s="51"/>
      <c r="AI67" s="51"/>
      <c r="AJ67" s="39"/>
      <c r="AK67" s="19"/>
      <c r="AL67" s="19"/>
      <c r="AM67" s="19"/>
      <c r="AN67" s="24"/>
      <c r="AO67" s="51"/>
      <c r="AP67" s="51"/>
      <c r="AQ67" s="39"/>
      <c r="AR67" s="19"/>
      <c r="AS67" s="19"/>
      <c r="AT67" s="19"/>
      <c r="AU67" s="19"/>
    </row>
    <row r="68" spans="1:47" ht="15" customHeight="1">
      <c r="A68" s="19"/>
      <c r="B68" s="19"/>
      <c r="C68" s="19"/>
      <c r="D68" s="19"/>
      <c r="E68" s="19"/>
      <c r="F68" s="19"/>
      <c r="G68" s="22"/>
      <c r="H68" s="44"/>
      <c r="I68" s="24"/>
      <c r="J68" s="26"/>
      <c r="K68" s="19"/>
      <c r="L68" s="24"/>
      <c r="M68" s="51"/>
      <c r="N68" s="51"/>
      <c r="O68" s="39"/>
      <c r="P68" s="19"/>
      <c r="Q68" s="19"/>
      <c r="R68" s="19"/>
      <c r="S68" s="24"/>
      <c r="T68" s="51"/>
      <c r="U68" s="51"/>
      <c r="V68" s="39"/>
      <c r="W68" s="19"/>
      <c r="X68" s="19"/>
      <c r="Y68" s="41"/>
      <c r="Z68" s="53"/>
      <c r="AA68" s="51"/>
      <c r="AB68" s="51"/>
      <c r="AC68" s="39"/>
      <c r="AD68" s="19"/>
      <c r="AE68" s="19"/>
      <c r="AF68" s="19"/>
      <c r="AG68" s="24"/>
      <c r="AH68" s="51"/>
      <c r="AI68" s="51"/>
      <c r="AJ68" s="39"/>
      <c r="AK68" s="19"/>
      <c r="AL68" s="19"/>
      <c r="AM68" s="19"/>
      <c r="AN68" s="24"/>
      <c r="AO68" s="51"/>
      <c r="AP68" s="51"/>
      <c r="AQ68" s="39"/>
      <c r="AR68" s="19"/>
      <c r="AS68" s="19"/>
      <c r="AT68" s="19"/>
      <c r="AU68" s="19"/>
    </row>
    <row r="69" spans="1:47" ht="15" customHeight="1">
      <c r="A69" s="19"/>
      <c r="B69" s="19"/>
      <c r="C69" s="19"/>
      <c r="D69" s="19"/>
      <c r="E69" s="19"/>
      <c r="F69" s="19"/>
      <c r="G69" s="22"/>
      <c r="H69" s="44"/>
      <c r="I69" s="24"/>
      <c r="J69" s="26"/>
      <c r="K69" s="19"/>
      <c r="L69" s="24"/>
      <c r="M69" s="51"/>
      <c r="N69" s="51"/>
      <c r="O69" s="39"/>
      <c r="P69" s="19"/>
      <c r="Q69" s="19"/>
      <c r="R69" s="19"/>
      <c r="S69" s="24"/>
      <c r="T69" s="51"/>
      <c r="U69" s="51"/>
      <c r="V69" s="39"/>
      <c r="W69" s="19"/>
      <c r="X69" s="19"/>
      <c r="Y69" s="41"/>
      <c r="Z69" s="53"/>
      <c r="AA69" s="51"/>
      <c r="AB69" s="51"/>
      <c r="AC69" s="39"/>
      <c r="AD69" s="19"/>
      <c r="AE69" s="19"/>
      <c r="AF69" s="19"/>
      <c r="AG69" s="24"/>
      <c r="AH69" s="51"/>
      <c r="AI69" s="51"/>
      <c r="AJ69" s="39"/>
      <c r="AK69" s="19"/>
      <c r="AL69" s="19"/>
      <c r="AM69" s="19"/>
      <c r="AN69" s="24"/>
      <c r="AO69" s="51"/>
      <c r="AP69" s="51"/>
      <c r="AQ69" s="39"/>
      <c r="AR69" s="19"/>
      <c r="AS69" s="19"/>
      <c r="AT69" s="19"/>
      <c r="AU69" s="19"/>
    </row>
    <row r="70" spans="1:47" ht="15" customHeight="1">
      <c r="A70" s="19"/>
      <c r="B70" s="19"/>
      <c r="C70" s="19"/>
      <c r="D70" s="19"/>
      <c r="E70" s="19"/>
      <c r="F70" s="19"/>
      <c r="G70" s="22"/>
      <c r="H70" s="44"/>
      <c r="I70" s="24"/>
      <c r="J70" s="26"/>
      <c r="K70" s="19"/>
      <c r="L70" s="24"/>
      <c r="M70" s="51"/>
      <c r="N70" s="51"/>
      <c r="O70" s="39"/>
      <c r="P70" s="19"/>
      <c r="Q70" s="19"/>
      <c r="R70" s="19"/>
      <c r="S70" s="24"/>
      <c r="T70" s="51"/>
      <c r="U70" s="51"/>
      <c r="V70" s="39"/>
      <c r="W70" s="19"/>
      <c r="X70" s="19"/>
      <c r="Y70" s="41"/>
      <c r="Z70" s="53"/>
      <c r="AA70" s="51"/>
      <c r="AB70" s="51"/>
      <c r="AC70" s="39"/>
      <c r="AD70" s="19"/>
      <c r="AE70" s="19"/>
      <c r="AF70" s="19"/>
      <c r="AG70" s="24"/>
      <c r="AH70" s="51"/>
      <c r="AI70" s="51"/>
      <c r="AJ70" s="39"/>
      <c r="AK70" s="19"/>
      <c r="AL70" s="19"/>
      <c r="AM70" s="19"/>
      <c r="AN70" s="24"/>
      <c r="AO70" s="51"/>
      <c r="AP70" s="51"/>
      <c r="AQ70" s="39"/>
      <c r="AR70" s="19"/>
      <c r="AS70" s="19"/>
      <c r="AT70" s="19"/>
      <c r="AU70" s="19"/>
    </row>
    <row r="71" spans="1:47" ht="15" customHeight="1">
      <c r="A71" s="19"/>
      <c r="B71" s="19"/>
      <c r="C71" s="19"/>
      <c r="D71" s="19"/>
      <c r="E71" s="19"/>
      <c r="F71" s="19"/>
      <c r="G71" s="22"/>
      <c r="H71" s="44"/>
      <c r="I71" s="24"/>
      <c r="J71" s="26"/>
      <c r="K71" s="19"/>
      <c r="L71" s="24"/>
      <c r="M71" s="51"/>
      <c r="N71" s="51"/>
      <c r="O71" s="39"/>
      <c r="P71" s="19"/>
      <c r="Q71" s="19"/>
      <c r="R71" s="19"/>
      <c r="S71" s="24"/>
      <c r="T71" s="51"/>
      <c r="U71" s="51"/>
      <c r="V71" s="39"/>
      <c r="W71" s="19"/>
      <c r="X71" s="19"/>
      <c r="Y71" s="41"/>
      <c r="Z71" s="53"/>
      <c r="AA71" s="51"/>
      <c r="AB71" s="51"/>
      <c r="AC71" s="39"/>
      <c r="AD71" s="19"/>
      <c r="AE71" s="19"/>
      <c r="AF71" s="19"/>
      <c r="AG71" s="24"/>
      <c r="AH71" s="51"/>
      <c r="AI71" s="51"/>
      <c r="AJ71" s="39"/>
      <c r="AK71" s="19"/>
      <c r="AL71" s="19"/>
      <c r="AM71" s="19"/>
      <c r="AN71" s="24"/>
      <c r="AO71" s="51"/>
      <c r="AP71" s="51"/>
      <c r="AQ71" s="39"/>
      <c r="AR71" s="19"/>
      <c r="AS71" s="19"/>
      <c r="AT71" s="19"/>
      <c r="AU71" s="19"/>
    </row>
    <row r="72" spans="1:47" ht="15" customHeight="1">
      <c r="A72" s="19"/>
      <c r="B72" s="19"/>
      <c r="C72" s="19"/>
      <c r="D72" s="19"/>
      <c r="E72" s="19"/>
      <c r="F72" s="19"/>
      <c r="G72" s="22"/>
      <c r="H72" s="44"/>
      <c r="I72" s="24"/>
      <c r="J72" s="26"/>
      <c r="K72" s="19"/>
      <c r="L72" s="24"/>
      <c r="M72" s="51"/>
      <c r="N72" s="51"/>
      <c r="O72" s="39"/>
      <c r="P72" s="19"/>
      <c r="Q72" s="19"/>
      <c r="R72" s="19"/>
      <c r="S72" s="24"/>
      <c r="T72" s="51"/>
      <c r="U72" s="51"/>
      <c r="V72" s="39"/>
      <c r="W72" s="19"/>
      <c r="X72" s="19"/>
      <c r="Y72" s="41"/>
      <c r="Z72" s="53"/>
      <c r="AA72" s="51"/>
      <c r="AB72" s="51"/>
      <c r="AC72" s="39"/>
      <c r="AD72" s="19"/>
      <c r="AE72" s="19"/>
      <c r="AF72" s="19"/>
      <c r="AG72" s="24"/>
      <c r="AH72" s="51"/>
      <c r="AI72" s="51"/>
      <c r="AJ72" s="39"/>
      <c r="AK72" s="19"/>
      <c r="AL72" s="19"/>
      <c r="AM72" s="19"/>
      <c r="AN72" s="24"/>
      <c r="AO72" s="51"/>
      <c r="AP72" s="51"/>
      <c r="AQ72" s="39"/>
      <c r="AR72" s="19"/>
      <c r="AS72" s="19"/>
      <c r="AT72" s="19"/>
      <c r="AU72" s="19"/>
    </row>
    <row r="73" spans="1:47" ht="15" customHeight="1">
      <c r="A73" s="19"/>
      <c r="B73" s="19"/>
      <c r="C73" s="19"/>
      <c r="D73" s="19"/>
      <c r="E73" s="19"/>
      <c r="F73" s="19"/>
      <c r="G73" s="22"/>
      <c r="H73" s="44"/>
      <c r="I73" s="24"/>
      <c r="J73" s="26"/>
      <c r="K73" s="19"/>
      <c r="L73" s="24"/>
      <c r="M73" s="51"/>
      <c r="N73" s="51"/>
      <c r="O73" s="39"/>
      <c r="P73" s="19"/>
      <c r="Q73" s="19"/>
      <c r="R73" s="19"/>
      <c r="S73" s="24"/>
      <c r="T73" s="51"/>
      <c r="U73" s="51"/>
      <c r="V73" s="39"/>
      <c r="W73" s="19"/>
      <c r="X73" s="19"/>
      <c r="Y73" s="41"/>
      <c r="Z73" s="53"/>
      <c r="AA73" s="51"/>
      <c r="AB73" s="51"/>
      <c r="AC73" s="39"/>
      <c r="AD73" s="19"/>
      <c r="AE73" s="19"/>
      <c r="AF73" s="19"/>
      <c r="AG73" s="24"/>
      <c r="AH73" s="51"/>
      <c r="AI73" s="51"/>
      <c r="AJ73" s="39"/>
      <c r="AK73" s="19"/>
      <c r="AL73" s="19"/>
      <c r="AM73" s="19"/>
      <c r="AN73" s="24"/>
      <c r="AO73" s="51"/>
      <c r="AP73" s="51"/>
      <c r="AQ73" s="39"/>
      <c r="AR73" s="19"/>
      <c r="AS73" s="19"/>
      <c r="AT73" s="19"/>
      <c r="AU73" s="19"/>
    </row>
    <row r="74" spans="1:47" ht="15" customHeight="1">
      <c r="A74" s="19"/>
      <c r="B74" s="19"/>
      <c r="C74" s="19"/>
      <c r="D74" s="19"/>
      <c r="E74" s="19"/>
      <c r="F74" s="19"/>
      <c r="G74" s="22"/>
      <c r="H74" s="44"/>
      <c r="I74" s="24"/>
      <c r="J74" s="26"/>
      <c r="K74" s="19"/>
      <c r="L74" s="24"/>
      <c r="M74" s="51"/>
      <c r="N74" s="51"/>
      <c r="O74" s="39"/>
      <c r="P74" s="19"/>
      <c r="Q74" s="19"/>
      <c r="R74" s="19"/>
      <c r="S74" s="24"/>
      <c r="T74" s="51"/>
      <c r="U74" s="51"/>
      <c r="V74" s="39"/>
      <c r="W74" s="19"/>
      <c r="X74" s="19"/>
      <c r="Y74" s="41"/>
      <c r="Z74" s="53"/>
      <c r="AA74" s="51"/>
      <c r="AB74" s="51"/>
      <c r="AC74" s="39"/>
      <c r="AD74" s="19"/>
      <c r="AE74" s="19"/>
      <c r="AF74" s="19"/>
      <c r="AG74" s="24"/>
      <c r="AH74" s="51"/>
      <c r="AI74" s="51"/>
      <c r="AJ74" s="39"/>
      <c r="AK74" s="19"/>
      <c r="AL74" s="19"/>
      <c r="AM74" s="19"/>
      <c r="AN74" s="24"/>
      <c r="AO74" s="51"/>
      <c r="AP74" s="51"/>
      <c r="AQ74" s="39"/>
      <c r="AR74" s="19"/>
      <c r="AS74" s="19"/>
      <c r="AT74" s="19"/>
      <c r="AU74" s="19"/>
    </row>
    <row r="75" spans="1:47" ht="15" customHeight="1">
      <c r="A75" s="19"/>
      <c r="B75" s="19"/>
      <c r="C75" s="19"/>
      <c r="D75" s="19"/>
      <c r="E75" s="19"/>
      <c r="F75" s="19"/>
      <c r="G75" s="22"/>
      <c r="H75" s="44"/>
      <c r="I75" s="24"/>
      <c r="J75" s="26"/>
      <c r="K75" s="19"/>
      <c r="L75" s="24"/>
      <c r="M75" s="51"/>
      <c r="N75" s="51"/>
      <c r="O75" s="39"/>
      <c r="P75" s="19"/>
      <c r="Q75" s="19"/>
      <c r="R75" s="19"/>
      <c r="S75" s="24"/>
      <c r="T75" s="51"/>
      <c r="U75" s="51"/>
      <c r="V75" s="39"/>
      <c r="W75" s="19"/>
      <c r="X75" s="19"/>
      <c r="Y75" s="41"/>
      <c r="Z75" s="53"/>
      <c r="AA75" s="51"/>
      <c r="AB75" s="51"/>
      <c r="AC75" s="39"/>
      <c r="AD75" s="19"/>
      <c r="AE75" s="19"/>
      <c r="AF75" s="19"/>
      <c r="AG75" s="24"/>
      <c r="AH75" s="51"/>
      <c r="AI75" s="51"/>
      <c r="AJ75" s="39"/>
      <c r="AK75" s="19"/>
      <c r="AL75" s="19"/>
      <c r="AM75" s="19"/>
      <c r="AN75" s="24"/>
      <c r="AO75" s="51"/>
      <c r="AP75" s="51"/>
      <c r="AQ75" s="39"/>
      <c r="AR75" s="19"/>
      <c r="AS75" s="19"/>
      <c r="AT75" s="19"/>
      <c r="AU75" s="19"/>
    </row>
    <row r="76" spans="1:47" ht="15" customHeight="1">
      <c r="A76" s="19"/>
      <c r="B76" s="19"/>
      <c r="C76" s="19"/>
      <c r="D76" s="19"/>
      <c r="E76" s="19"/>
      <c r="F76" s="19"/>
      <c r="G76" s="22"/>
      <c r="H76" s="44"/>
      <c r="I76" s="24"/>
      <c r="J76" s="26"/>
      <c r="K76" s="19"/>
      <c r="L76" s="24"/>
      <c r="M76" s="51"/>
      <c r="N76" s="51"/>
      <c r="O76" s="39"/>
      <c r="P76" s="19"/>
      <c r="Q76" s="19"/>
      <c r="R76" s="19"/>
      <c r="S76" s="24"/>
      <c r="T76" s="51"/>
      <c r="U76" s="51"/>
      <c r="V76" s="39"/>
      <c r="W76" s="19"/>
      <c r="X76" s="19"/>
      <c r="Y76" s="41"/>
      <c r="Z76" s="53"/>
      <c r="AA76" s="51"/>
      <c r="AB76" s="51"/>
      <c r="AC76" s="39"/>
      <c r="AD76" s="19"/>
      <c r="AE76" s="19"/>
      <c r="AF76" s="19"/>
      <c r="AG76" s="24"/>
      <c r="AH76" s="51"/>
      <c r="AI76" s="51"/>
      <c r="AJ76" s="39"/>
      <c r="AK76" s="19"/>
      <c r="AL76" s="19"/>
      <c r="AM76" s="19"/>
      <c r="AN76" s="24"/>
      <c r="AO76" s="51"/>
      <c r="AP76" s="51"/>
      <c r="AQ76" s="39"/>
      <c r="AR76" s="19"/>
      <c r="AS76" s="19"/>
      <c r="AT76" s="19"/>
      <c r="AU76" s="19"/>
    </row>
    <row r="77" spans="1:47" ht="15" customHeight="1">
      <c r="A77" s="19"/>
      <c r="B77" s="19"/>
      <c r="C77" s="19"/>
      <c r="D77" s="19"/>
      <c r="E77" s="19"/>
      <c r="F77" s="19"/>
      <c r="G77" s="22"/>
      <c r="H77" s="44"/>
      <c r="I77" s="24"/>
      <c r="J77" s="26"/>
      <c r="K77" s="19"/>
      <c r="L77" s="24"/>
      <c r="M77" s="51"/>
      <c r="N77" s="51"/>
      <c r="O77" s="39"/>
      <c r="P77" s="19"/>
      <c r="Q77" s="19"/>
      <c r="R77" s="19"/>
      <c r="S77" s="24"/>
      <c r="T77" s="51"/>
      <c r="U77" s="51"/>
      <c r="V77" s="39"/>
      <c r="W77" s="19"/>
      <c r="X77" s="19"/>
      <c r="Y77" s="41"/>
      <c r="Z77" s="53"/>
      <c r="AA77" s="51"/>
      <c r="AB77" s="51"/>
      <c r="AC77" s="39"/>
      <c r="AD77" s="19"/>
      <c r="AE77" s="19"/>
      <c r="AF77" s="19"/>
      <c r="AG77" s="24"/>
      <c r="AH77" s="51"/>
      <c r="AI77" s="51"/>
      <c r="AJ77" s="39"/>
      <c r="AK77" s="19"/>
      <c r="AL77" s="19"/>
      <c r="AM77" s="19"/>
      <c r="AN77" s="24"/>
      <c r="AO77" s="51"/>
      <c r="AP77" s="51"/>
      <c r="AQ77" s="39"/>
      <c r="AR77" s="19"/>
      <c r="AS77" s="19"/>
      <c r="AT77" s="19"/>
      <c r="AU77" s="19"/>
    </row>
    <row r="78" spans="1:47" ht="15" customHeight="1">
      <c r="A78" s="19"/>
      <c r="B78" s="19"/>
      <c r="C78" s="19"/>
      <c r="D78" s="19"/>
      <c r="E78" s="19"/>
      <c r="F78" s="19"/>
      <c r="G78" s="22"/>
      <c r="H78" s="44"/>
      <c r="I78" s="24"/>
      <c r="J78" s="26"/>
      <c r="K78" s="19"/>
      <c r="L78" s="24"/>
      <c r="M78" s="51"/>
      <c r="N78" s="51"/>
      <c r="O78" s="39"/>
      <c r="P78" s="19"/>
      <c r="Q78" s="19"/>
      <c r="R78" s="19"/>
      <c r="S78" s="24"/>
      <c r="T78" s="51"/>
      <c r="U78" s="51"/>
      <c r="V78" s="39"/>
      <c r="W78" s="19"/>
      <c r="X78" s="19"/>
      <c r="Y78" s="41"/>
      <c r="Z78" s="53"/>
      <c r="AA78" s="51"/>
      <c r="AB78" s="51"/>
      <c r="AC78" s="39"/>
      <c r="AD78" s="19"/>
      <c r="AE78" s="19"/>
      <c r="AF78" s="19"/>
      <c r="AG78" s="24"/>
      <c r="AH78" s="51"/>
      <c r="AI78" s="51"/>
      <c r="AJ78" s="39"/>
      <c r="AK78" s="19"/>
      <c r="AL78" s="19"/>
      <c r="AM78" s="19"/>
      <c r="AN78" s="24"/>
      <c r="AO78" s="51"/>
      <c r="AP78" s="51"/>
      <c r="AQ78" s="39"/>
      <c r="AR78" s="19"/>
      <c r="AS78" s="19"/>
      <c r="AT78" s="19"/>
      <c r="AU78" s="19"/>
    </row>
  </sheetData>
  <mergeCells count="27">
    <mergeCell ref="Z4:AU4"/>
    <mergeCell ref="A1:AU2"/>
    <mergeCell ref="A4:A5"/>
    <mergeCell ref="D4:D5"/>
    <mergeCell ref="E4:E5"/>
    <mergeCell ref="F4:F5"/>
    <mergeCell ref="G4:G5"/>
    <mergeCell ref="I4:I5"/>
    <mergeCell ref="B4:B5"/>
    <mergeCell ref="H4:H5"/>
    <mergeCell ref="C4:C5"/>
    <mergeCell ref="B8:B18"/>
    <mergeCell ref="J4:Y4"/>
    <mergeCell ref="A8:A18"/>
    <mergeCell ref="D37:D38"/>
    <mergeCell ref="C35:C38"/>
    <mergeCell ref="B20:B41"/>
    <mergeCell ref="A20:A41"/>
    <mergeCell ref="C20:C33"/>
    <mergeCell ref="C8:C16"/>
    <mergeCell ref="D42:D43"/>
    <mergeCell ref="A42:A46"/>
    <mergeCell ref="B42:B46"/>
    <mergeCell ref="D47:D48"/>
    <mergeCell ref="B47:B50"/>
    <mergeCell ref="A47:A50"/>
    <mergeCell ref="D44:D4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P77"/>
  <sheetViews>
    <sheetView showGridLines="0" workbookViewId="0">
      <selection activeCell="C4" sqref="C4"/>
    </sheetView>
  </sheetViews>
  <sheetFormatPr defaultColWidth="14" defaultRowHeight="17.100000000000001" customHeight="1"/>
  <cols>
    <col min="1" max="1" width="12.5" style="3" customWidth="1"/>
    <col min="2" max="2" width="14" style="1"/>
    <col min="3" max="7" width="14" style="2"/>
    <col min="8" max="8" width="13.125" style="2" customWidth="1"/>
    <col min="9" max="9" width="13.625" style="3" customWidth="1"/>
    <col min="10" max="16384" width="14" style="3"/>
  </cols>
  <sheetData>
    <row r="2" spans="2:16" ht="17.100000000000001" customHeight="1">
      <c r="B2" s="77" t="s">
        <v>189</v>
      </c>
      <c r="C2" s="4">
        <v>100000000</v>
      </c>
      <c r="D2" s="4" t="s">
        <v>194</v>
      </c>
    </row>
    <row r="3" spans="2:16" ht="17.100000000000001" customHeight="1">
      <c r="B3" s="77" t="s">
        <v>193</v>
      </c>
      <c r="C3" s="4">
        <v>10</v>
      </c>
      <c r="D3" s="4" t="s">
        <v>201</v>
      </c>
      <c r="E3" s="2" t="s">
        <v>202</v>
      </c>
    </row>
    <row r="4" spans="2:16" ht="17.100000000000001" customHeight="1">
      <c r="B4" s="77" t="s">
        <v>203</v>
      </c>
      <c r="C4" s="81">
        <v>42954</v>
      </c>
      <c r="D4" s="4"/>
    </row>
    <row r="5" spans="2:16" ht="17.100000000000001" customHeight="1">
      <c r="B5" s="77" t="s">
        <v>206</v>
      </c>
      <c r="C5" s="81">
        <v>42983</v>
      </c>
      <c r="D5" s="4" t="s">
        <v>219</v>
      </c>
    </row>
    <row r="6" spans="2:16" ht="17.100000000000001" customHeight="1">
      <c r="B6" s="77" t="s">
        <v>204</v>
      </c>
      <c r="C6" s="84">
        <f>DATE(YEAR(C4),MONTH(C4)+C3,DAY(C4)-1)</f>
        <v>43257</v>
      </c>
      <c r="D6" s="4"/>
      <c r="F6" s="2" t="s">
        <v>209</v>
      </c>
    </row>
    <row r="7" spans="2:16" ht="17.100000000000001" customHeight="1">
      <c r="B7" s="77" t="s">
        <v>245</v>
      </c>
      <c r="C7" s="75">
        <v>0.19</v>
      </c>
      <c r="D7" s="4"/>
    </row>
    <row r="8" spans="2:16" ht="17.100000000000001" customHeight="1">
      <c r="B8" s="77" t="s">
        <v>199</v>
      </c>
      <c r="C8" s="75">
        <v>0.25</v>
      </c>
      <c r="D8" s="4"/>
      <c r="F8" s="73">
        <v>0.154</v>
      </c>
    </row>
    <row r="9" spans="2:16" ht="17.100000000000001" customHeight="1">
      <c r="B9" s="77" t="s">
        <v>198</v>
      </c>
      <c r="C9" s="75">
        <v>2.5000000000000001E-2</v>
      </c>
      <c r="D9" s="4"/>
    </row>
    <row r="10" spans="2:16" ht="17.100000000000001" customHeight="1">
      <c r="B10" s="77" t="s">
        <v>196</v>
      </c>
      <c r="C10" s="75">
        <v>1E-3</v>
      </c>
      <c r="D10" s="4"/>
    </row>
    <row r="11" spans="2:16" ht="17.100000000000001" customHeight="1">
      <c r="C11" s="73"/>
      <c r="F11" s="2">
        <f>D15-F15</f>
        <v>1461643.8356164384</v>
      </c>
      <c r="G11" s="2">
        <f>F11*(C8+C9)</f>
        <v>401952.05479452061</v>
      </c>
    </row>
    <row r="12" spans="2:16" ht="17.100000000000001" customHeight="1">
      <c r="B12" s="74" t="s">
        <v>197</v>
      </c>
      <c r="J12" s="74" t="s">
        <v>210</v>
      </c>
      <c r="K12" s="2"/>
      <c r="L12" s="2"/>
      <c r="M12" s="2"/>
      <c r="N12" s="2"/>
      <c r="O12" s="2"/>
      <c r="P12" s="2"/>
    </row>
    <row r="13" spans="2:16" ht="17.100000000000001" customHeight="1">
      <c r="B13" s="78" t="s">
        <v>200</v>
      </c>
      <c r="C13" s="79" t="s">
        <v>189</v>
      </c>
      <c r="D13" s="79" t="s">
        <v>205</v>
      </c>
      <c r="E13" s="79" t="s">
        <v>190</v>
      </c>
      <c r="F13" s="79" t="s">
        <v>192</v>
      </c>
      <c r="G13" s="79" t="s">
        <v>191</v>
      </c>
      <c r="H13" s="79" t="s">
        <v>207</v>
      </c>
      <c r="J13" s="78" t="s">
        <v>200</v>
      </c>
      <c r="K13" s="79" t="s">
        <v>189</v>
      </c>
      <c r="L13" s="79" t="s">
        <v>205</v>
      </c>
      <c r="M13" s="79" t="s">
        <v>190</v>
      </c>
      <c r="N13" s="79" t="s">
        <v>192</v>
      </c>
      <c r="O13" s="79" t="s">
        <v>191</v>
      </c>
      <c r="P13" s="79" t="s">
        <v>207</v>
      </c>
    </row>
    <row r="14" spans="2:16" ht="17.100000000000001" customHeight="1">
      <c r="B14" s="66">
        <f>IF($C$3&gt;=1,1,"")</f>
        <v>1</v>
      </c>
      <c r="C14" s="67">
        <f>IF(B14=$C$3,$C$2,0)</f>
        <v>0</v>
      </c>
      <c r="D14" s="67">
        <f>IFERROR($C$2*$C$7/365*(H14-$C$4-4),"")</f>
        <v>1301369.8630136987</v>
      </c>
      <c r="E14" s="67">
        <f>IFERROR(D14*($C$8+$C$9),"")</f>
        <v>357876.71232876717</v>
      </c>
      <c r="F14" s="67">
        <f>IF(E14="","",$C$2*$C$10)</f>
        <v>100000</v>
      </c>
      <c r="G14" s="67">
        <f>IFERROR(D14-E14-F14+C14,"")</f>
        <v>843493.15068493155</v>
      </c>
      <c r="H14" s="82">
        <f>IF(B14=$C$3,$C$6,DATE(YEAR($C$5),MONTH($C$5),DAY($C$5)))</f>
        <v>42983</v>
      </c>
      <c r="J14" s="66">
        <f>IF($C$3&gt;=1,1,"")</f>
        <v>1</v>
      </c>
      <c r="K14" s="67">
        <f>IF(J14=$C$3,$C$2,0)</f>
        <v>0</v>
      </c>
      <c r="L14" s="67">
        <f>IFERROR($C$2*$C$7/365*(P14-$C$4),"")</f>
        <v>1509589.0410958906</v>
      </c>
      <c r="M14" s="67">
        <f>IFERROR(L14*$F$8,"")</f>
        <v>232476.71232876714</v>
      </c>
      <c r="N14" s="67">
        <f>IF(M14="","",$C$2*$C$10)</f>
        <v>100000</v>
      </c>
      <c r="O14" s="67">
        <f>IFERROR(L14-M14-N14+K14,"")</f>
        <v>1177112.3287671234</v>
      </c>
      <c r="P14" s="82">
        <f>IF(J14=$C$3,$C$6,DATE(YEAR($C$5),MONTH($C$5),DAY($C$5)))</f>
        <v>42983</v>
      </c>
    </row>
    <row r="15" spans="2:16" ht="17.100000000000001" customHeight="1">
      <c r="B15" s="66">
        <f>IF($C$3&gt;=2,2,"")</f>
        <v>2</v>
      </c>
      <c r="C15" s="67">
        <f t="shared" ref="C15:C24" si="0">IF(B15=$C$3,$C$2,0)</f>
        <v>0</v>
      </c>
      <c r="D15" s="67">
        <f>IFERROR($C$2*$C$7/365*(H15-H14),"")</f>
        <v>1561643.8356164384</v>
      </c>
      <c r="E15" s="67">
        <f>IFERROR(D15*($C$8+$C$9),"")</f>
        <v>429452.05479452061</v>
      </c>
      <c r="F15" s="67">
        <f t="shared" ref="F15:F28" si="1">IF(E15="","",C$2*$C$10)</f>
        <v>100000</v>
      </c>
      <c r="G15" s="67">
        <f>IFERROR(D15-E15-F15+C15,"")</f>
        <v>1032191.7808219178</v>
      </c>
      <c r="H15" s="82">
        <f>IF(B15=$C$3,$C$6,IF(NOT(B15=""),DATE(YEAR(H14),MONTH(H14)+1,DAY(H14)),""))</f>
        <v>43013</v>
      </c>
      <c r="J15" s="66">
        <f>IF($C$3&gt;=2,2,"")</f>
        <v>2</v>
      </c>
      <c r="K15" s="67">
        <f t="shared" ref="K15:K24" si="2">IF(J15=$C$3,$C$2,0)</f>
        <v>0</v>
      </c>
      <c r="L15" s="67">
        <f>IFERROR($C$2*$C$7/365*(P15-P14),"")</f>
        <v>1561643.8356164384</v>
      </c>
      <c r="M15" s="67">
        <f t="shared" ref="M15:M28" si="3">IFERROR(L15*$F$8,"")</f>
        <v>240493.15068493152</v>
      </c>
      <c r="N15" s="67">
        <f t="shared" ref="N15:N28" si="4">IF(M15="","",$C$2*$C$10)</f>
        <v>100000</v>
      </c>
      <c r="O15" s="67">
        <f>IFERROR(L15-M15-N15+K15,"")</f>
        <v>1221150.6849315069</v>
      </c>
      <c r="P15" s="82">
        <f>IF(J15=$C$3,$C$6,IF(NOT(J15=""),DATE(YEAR(P14),MONTH(P14)+1,DAY(P14)),""))</f>
        <v>43013</v>
      </c>
    </row>
    <row r="16" spans="2:16" ht="17.100000000000001" customHeight="1">
      <c r="B16" s="66">
        <f>IF($C$3&gt;=3,3,"")</f>
        <v>3</v>
      </c>
      <c r="C16" s="67">
        <f t="shared" si="0"/>
        <v>0</v>
      </c>
      <c r="D16" s="67">
        <f>IFERROR($C$2*$C$7/365*(H16-H15),"")</f>
        <v>1613698.6301369865</v>
      </c>
      <c r="E16" s="67">
        <f>IFERROR(D16*($C$8+$C$9),"")</f>
        <v>443767.1232876713</v>
      </c>
      <c r="F16" s="67">
        <f t="shared" si="1"/>
        <v>100000</v>
      </c>
      <c r="G16" s="67">
        <f t="shared" ref="G16:G28" si="5">IFERROR(D16-E16-F16+C16,"")</f>
        <v>1069931.5068493153</v>
      </c>
      <c r="H16" s="82">
        <f t="shared" ref="H16:H25" si="6">IF(B16=$C$3,$C$6,IF(NOT(B16=""),DATE(YEAR(H15),MONTH(H15)+1,DAY(H15)),""))</f>
        <v>43044</v>
      </c>
      <c r="J16" s="66">
        <f>IF($C$3&gt;=3,3,"")</f>
        <v>3</v>
      </c>
      <c r="K16" s="67">
        <f t="shared" si="2"/>
        <v>0</v>
      </c>
      <c r="L16" s="67">
        <f t="shared" ref="L16:L18" si="7">IFERROR($C$2*$C$7/365*(P16-P15),"")</f>
        <v>1613698.6301369865</v>
      </c>
      <c r="M16" s="67">
        <f t="shared" si="3"/>
        <v>248509.58904109593</v>
      </c>
      <c r="N16" s="67">
        <f t="shared" si="4"/>
        <v>100000</v>
      </c>
      <c r="O16" s="67">
        <f t="shared" ref="O16:O28" si="8">IFERROR(L16-M16-N16+K16,"")</f>
        <v>1265189.0410958906</v>
      </c>
      <c r="P16" s="82">
        <f t="shared" ref="P16:P24" si="9">IF(J16=$C$3,$C$6,IF(NOT(J16=""),DATE(YEAR(P15),MONTH(P15)+1,DAY(P15)),""))</f>
        <v>43044</v>
      </c>
    </row>
    <row r="17" spans="2:16" ht="17.100000000000001" customHeight="1">
      <c r="B17" s="66">
        <f>IF($C$3&gt;=4,4,"")</f>
        <v>4</v>
      </c>
      <c r="C17" s="67">
        <f t="shared" si="0"/>
        <v>0</v>
      </c>
      <c r="D17" s="67">
        <f t="shared" ref="D17:D26" si="10">IFERROR($C$2*$C$7/365*(H17-H16),"")</f>
        <v>1561643.8356164384</v>
      </c>
      <c r="E17" s="67">
        <f t="shared" ref="E17:E28" si="11">IFERROR(D17*($C$8+$C$9),"")</f>
        <v>429452.05479452061</v>
      </c>
      <c r="F17" s="67">
        <f t="shared" si="1"/>
        <v>100000</v>
      </c>
      <c r="G17" s="67">
        <f t="shared" si="5"/>
        <v>1032191.7808219178</v>
      </c>
      <c r="H17" s="82">
        <f t="shared" si="6"/>
        <v>43074</v>
      </c>
      <c r="J17" s="66">
        <f>IF($C$3&gt;=4,4,"")</f>
        <v>4</v>
      </c>
      <c r="K17" s="67">
        <f t="shared" si="2"/>
        <v>0</v>
      </c>
      <c r="L17" s="67">
        <f t="shared" si="7"/>
        <v>1561643.8356164384</v>
      </c>
      <c r="M17" s="67">
        <f t="shared" si="3"/>
        <v>240493.15068493152</v>
      </c>
      <c r="N17" s="67">
        <f t="shared" si="4"/>
        <v>100000</v>
      </c>
      <c r="O17" s="67">
        <f t="shared" si="8"/>
        <v>1221150.6849315069</v>
      </c>
      <c r="P17" s="82">
        <f t="shared" si="9"/>
        <v>43074</v>
      </c>
    </row>
    <row r="18" spans="2:16" ht="17.100000000000001" customHeight="1">
      <c r="B18" s="66">
        <f>IF($C$3&gt;=5,5,"")</f>
        <v>5</v>
      </c>
      <c r="C18" s="67">
        <f t="shared" si="0"/>
        <v>0</v>
      </c>
      <c r="D18" s="67">
        <f t="shared" si="10"/>
        <v>1613698.6301369865</v>
      </c>
      <c r="E18" s="67">
        <f t="shared" si="11"/>
        <v>443767.1232876713</v>
      </c>
      <c r="F18" s="67">
        <f t="shared" si="1"/>
        <v>100000</v>
      </c>
      <c r="G18" s="67">
        <f t="shared" si="5"/>
        <v>1069931.5068493153</v>
      </c>
      <c r="H18" s="82">
        <f>IF(B18=$C$3,$C$6,IF(NOT(B18=""),DATE(YEAR(H17),MONTH(H17)+1,DAY(H17)),""))</f>
        <v>43105</v>
      </c>
      <c r="J18" s="66">
        <f>IF($C$3&gt;=5,5,"")</f>
        <v>5</v>
      </c>
      <c r="K18" s="67">
        <f t="shared" si="2"/>
        <v>0</v>
      </c>
      <c r="L18" s="67">
        <f t="shared" si="7"/>
        <v>1613698.6301369865</v>
      </c>
      <c r="M18" s="67">
        <f t="shared" si="3"/>
        <v>248509.58904109593</v>
      </c>
      <c r="N18" s="67">
        <f t="shared" si="4"/>
        <v>100000</v>
      </c>
      <c r="O18" s="67">
        <f t="shared" si="8"/>
        <v>1265189.0410958906</v>
      </c>
      <c r="P18" s="82">
        <f t="shared" si="9"/>
        <v>43105</v>
      </c>
    </row>
    <row r="19" spans="2:16" ht="17.100000000000001" customHeight="1">
      <c r="B19" s="66">
        <f>IF($C$3&gt;=6,6,"")</f>
        <v>6</v>
      </c>
      <c r="C19" s="67">
        <f t="shared" si="0"/>
        <v>0</v>
      </c>
      <c r="D19" s="67">
        <f>IFERROR($C$2*$C$7/365*(H19-H18),"")</f>
        <v>1613698.6301369865</v>
      </c>
      <c r="E19" s="67">
        <f t="shared" si="11"/>
        <v>443767.1232876713</v>
      </c>
      <c r="F19" s="67">
        <f t="shared" si="1"/>
        <v>100000</v>
      </c>
      <c r="G19" s="67">
        <f>IFERROR(D19-E19-F19+C19,"")</f>
        <v>1069931.5068493153</v>
      </c>
      <c r="H19" s="82">
        <f t="shared" si="6"/>
        <v>43136</v>
      </c>
      <c r="J19" s="66">
        <f>IF($C$3&gt;=6,6,"")</f>
        <v>6</v>
      </c>
      <c r="K19" s="67">
        <f t="shared" si="2"/>
        <v>0</v>
      </c>
      <c r="L19" s="67">
        <f>IFERROR($C$2*$C$7/365*(P19-P18),"")</f>
        <v>1613698.6301369865</v>
      </c>
      <c r="M19" s="67">
        <f t="shared" si="3"/>
        <v>248509.58904109593</v>
      </c>
      <c r="N19" s="67">
        <f t="shared" si="4"/>
        <v>100000</v>
      </c>
      <c r="O19" s="67">
        <f t="shared" si="8"/>
        <v>1265189.0410958906</v>
      </c>
      <c r="P19" s="82">
        <f t="shared" si="9"/>
        <v>43136</v>
      </c>
    </row>
    <row r="20" spans="2:16" ht="17.100000000000001" customHeight="1">
      <c r="B20" s="66">
        <f>IF($C$3&gt;=7,7,"")</f>
        <v>7</v>
      </c>
      <c r="C20" s="67">
        <f t="shared" si="0"/>
        <v>0</v>
      </c>
      <c r="D20" s="67">
        <f t="shared" si="10"/>
        <v>1457534.2465753425</v>
      </c>
      <c r="E20" s="67">
        <f t="shared" si="11"/>
        <v>400821.91780821921</v>
      </c>
      <c r="F20" s="67">
        <f>IF(E20="","",C$2*$C$10)</f>
        <v>100000</v>
      </c>
      <c r="G20" s="67">
        <f t="shared" si="5"/>
        <v>956712.32876712317</v>
      </c>
      <c r="H20" s="82">
        <f t="shared" si="6"/>
        <v>43164</v>
      </c>
      <c r="J20" s="66">
        <f>IF($C$3&gt;=7,7,"")</f>
        <v>7</v>
      </c>
      <c r="K20" s="67">
        <f t="shared" si="2"/>
        <v>0</v>
      </c>
      <c r="L20" s="67">
        <f t="shared" ref="L20:L23" si="12">IFERROR($C$2*$C$7/365*(P20-P19),"")</f>
        <v>1457534.2465753425</v>
      </c>
      <c r="M20" s="67">
        <f t="shared" si="3"/>
        <v>224460.27397260274</v>
      </c>
      <c r="N20" s="67">
        <f t="shared" si="4"/>
        <v>100000</v>
      </c>
      <c r="O20" s="67">
        <f t="shared" si="8"/>
        <v>1133073.9726027397</v>
      </c>
      <c r="P20" s="82">
        <f t="shared" si="9"/>
        <v>43164</v>
      </c>
    </row>
    <row r="21" spans="2:16" ht="17.100000000000001" customHeight="1">
      <c r="B21" s="66">
        <f>IF($C$3&gt;=8,8,"")</f>
        <v>8</v>
      </c>
      <c r="C21" s="67">
        <f t="shared" si="0"/>
        <v>0</v>
      </c>
      <c r="D21" s="67">
        <f t="shared" si="10"/>
        <v>1613698.6301369865</v>
      </c>
      <c r="E21" s="67">
        <f t="shared" si="11"/>
        <v>443767.1232876713</v>
      </c>
      <c r="F21" s="67">
        <f t="shared" si="1"/>
        <v>100000</v>
      </c>
      <c r="G21" s="67">
        <f t="shared" si="5"/>
        <v>1069931.5068493153</v>
      </c>
      <c r="H21" s="82">
        <f t="shared" si="6"/>
        <v>43195</v>
      </c>
      <c r="J21" s="66">
        <f>IF($C$3&gt;=8,8,"")</f>
        <v>8</v>
      </c>
      <c r="K21" s="67">
        <f t="shared" si="2"/>
        <v>0</v>
      </c>
      <c r="L21" s="67">
        <f t="shared" si="12"/>
        <v>1613698.6301369865</v>
      </c>
      <c r="M21" s="67">
        <f t="shared" si="3"/>
        <v>248509.58904109593</v>
      </c>
      <c r="N21" s="67">
        <f t="shared" si="4"/>
        <v>100000</v>
      </c>
      <c r="O21" s="67">
        <f t="shared" si="8"/>
        <v>1265189.0410958906</v>
      </c>
      <c r="P21" s="82">
        <f t="shared" si="9"/>
        <v>43195</v>
      </c>
    </row>
    <row r="22" spans="2:16" ht="17.100000000000001" customHeight="1">
      <c r="B22" s="66">
        <f>IF($C$3&gt;=9,9,"")</f>
        <v>9</v>
      </c>
      <c r="C22" s="67">
        <f t="shared" si="0"/>
        <v>0</v>
      </c>
      <c r="D22" s="67">
        <f t="shared" si="10"/>
        <v>1561643.8356164384</v>
      </c>
      <c r="E22" s="67">
        <f t="shared" si="11"/>
        <v>429452.05479452061</v>
      </c>
      <c r="F22" s="67">
        <f t="shared" si="1"/>
        <v>100000</v>
      </c>
      <c r="G22" s="67">
        <f t="shared" si="5"/>
        <v>1032191.7808219178</v>
      </c>
      <c r="H22" s="82">
        <f t="shared" si="6"/>
        <v>43225</v>
      </c>
      <c r="J22" s="66">
        <f>IF($C$3&gt;=9,9,"")</f>
        <v>9</v>
      </c>
      <c r="K22" s="67">
        <f t="shared" si="2"/>
        <v>0</v>
      </c>
      <c r="L22" s="67">
        <f t="shared" si="12"/>
        <v>1561643.8356164384</v>
      </c>
      <c r="M22" s="67">
        <f t="shared" si="3"/>
        <v>240493.15068493152</v>
      </c>
      <c r="N22" s="67">
        <f t="shared" si="4"/>
        <v>100000</v>
      </c>
      <c r="O22" s="67">
        <f t="shared" si="8"/>
        <v>1221150.6849315069</v>
      </c>
      <c r="P22" s="82">
        <f t="shared" si="9"/>
        <v>43225</v>
      </c>
    </row>
    <row r="23" spans="2:16" ht="17.100000000000001" customHeight="1">
      <c r="B23" s="66">
        <f>IF($C$3&gt;=10,10,"")</f>
        <v>10</v>
      </c>
      <c r="C23" s="67">
        <f>IF(B23=$C$3,$C$2,0)</f>
        <v>100000000</v>
      </c>
      <c r="D23" s="67">
        <f>IFERROR($C$2*$C$7/365*(H23-H22),"")</f>
        <v>1665753.4246575343</v>
      </c>
      <c r="E23" s="67">
        <f t="shared" si="11"/>
        <v>458082.191780822</v>
      </c>
      <c r="F23" s="67">
        <f t="shared" si="1"/>
        <v>100000</v>
      </c>
      <c r="G23" s="67">
        <f t="shared" si="5"/>
        <v>101107671.23287672</v>
      </c>
      <c r="H23" s="82">
        <f t="shared" si="6"/>
        <v>43257</v>
      </c>
      <c r="J23" s="66">
        <f>IF($C$3&gt;=10,10,"")</f>
        <v>10</v>
      </c>
      <c r="K23" s="67">
        <f t="shared" si="2"/>
        <v>100000000</v>
      </c>
      <c r="L23" s="67">
        <f t="shared" si="12"/>
        <v>1665753.4246575343</v>
      </c>
      <c r="M23" s="67">
        <f t="shared" si="3"/>
        <v>256526.02739726027</v>
      </c>
      <c r="N23" s="67">
        <f t="shared" si="4"/>
        <v>100000</v>
      </c>
      <c r="O23" s="67">
        <f t="shared" si="8"/>
        <v>101309227.39726028</v>
      </c>
      <c r="P23" s="82">
        <f t="shared" si="9"/>
        <v>43257</v>
      </c>
    </row>
    <row r="24" spans="2:16" ht="17.100000000000001" customHeight="1">
      <c r="B24" s="66" t="str">
        <f>IF($C$3&gt;=11,11,"")</f>
        <v/>
      </c>
      <c r="C24" s="67">
        <f t="shared" si="0"/>
        <v>0</v>
      </c>
      <c r="D24" s="67" t="str">
        <f>IFERROR($C$2*$C$7/365*(H24-H23),"")</f>
        <v/>
      </c>
      <c r="E24" s="67" t="str">
        <f t="shared" si="11"/>
        <v/>
      </c>
      <c r="F24" s="67" t="str">
        <f t="shared" si="1"/>
        <v/>
      </c>
      <c r="G24" s="67" t="str">
        <f t="shared" si="5"/>
        <v/>
      </c>
      <c r="H24" s="82" t="str">
        <f t="shared" si="6"/>
        <v/>
      </c>
      <c r="J24" s="66" t="str">
        <f>IF($C$3&gt;=11,11,"")</f>
        <v/>
      </c>
      <c r="K24" s="67">
        <f t="shared" si="2"/>
        <v>0</v>
      </c>
      <c r="L24" s="67" t="str">
        <f>IFERROR($C$2*$C$7/365*(P24-P23),"")</f>
        <v/>
      </c>
      <c r="M24" s="67" t="str">
        <f t="shared" si="3"/>
        <v/>
      </c>
      <c r="N24" s="67" t="str">
        <f t="shared" si="4"/>
        <v/>
      </c>
      <c r="O24" s="67" t="str">
        <f t="shared" si="8"/>
        <v/>
      </c>
      <c r="P24" s="82" t="str">
        <f t="shared" si="9"/>
        <v/>
      </c>
    </row>
    <row r="25" spans="2:16" ht="17.100000000000001" customHeight="1">
      <c r="B25" s="66" t="str">
        <f>IF($C$3&gt;=12,12,"")</f>
        <v/>
      </c>
      <c r="C25" s="67">
        <f>IF(B25=$C$3,$C$2,0)</f>
        <v>0</v>
      </c>
      <c r="D25" s="67" t="str">
        <f>IFERROR($C$2*$C$7/365*(H25-H24),"")</f>
        <v/>
      </c>
      <c r="E25" s="67" t="str">
        <f t="shared" si="11"/>
        <v/>
      </c>
      <c r="F25" s="67" t="str">
        <f t="shared" si="1"/>
        <v/>
      </c>
      <c r="G25" s="67" t="str">
        <f t="shared" si="5"/>
        <v/>
      </c>
      <c r="H25" s="82" t="str">
        <f t="shared" si="6"/>
        <v/>
      </c>
      <c r="J25" s="66" t="str">
        <f>IF($C$3&gt;=12,12,"")</f>
        <v/>
      </c>
      <c r="K25" s="67">
        <f>IF(J25=$C$3,$C$2,0)</f>
        <v>0</v>
      </c>
      <c r="L25" s="67" t="str">
        <f>IFERROR($C$2*$C$7/365*(P25-P24),"")</f>
        <v/>
      </c>
      <c r="M25" s="67" t="str">
        <f t="shared" si="3"/>
        <v/>
      </c>
      <c r="N25" s="67" t="str">
        <f t="shared" si="4"/>
        <v/>
      </c>
      <c r="O25" s="67" t="str">
        <f>IFERROR(L25-M25-N25+K25,"")</f>
        <v/>
      </c>
      <c r="P25" s="82" t="str">
        <f>IF(J25=$C$3,$C$6,IF(NOT(J25=""),DATE(YEAR(P24),MONTH(P24)+1,DAY(P24)),""))</f>
        <v/>
      </c>
    </row>
    <row r="26" spans="2:16" ht="17.100000000000001" customHeight="1">
      <c r="B26" s="66" t="str">
        <f>IF($C$3&gt;=13,13,"")</f>
        <v/>
      </c>
      <c r="C26" s="67">
        <f t="shared" ref="C26:C28" si="13">IF(B26=$C$3,$C$2,0)</f>
        <v>0</v>
      </c>
      <c r="D26" s="67" t="str">
        <f t="shared" si="10"/>
        <v/>
      </c>
      <c r="E26" s="67" t="str">
        <f t="shared" si="11"/>
        <v/>
      </c>
      <c r="F26" s="67" t="str">
        <f t="shared" si="1"/>
        <v/>
      </c>
      <c r="G26" s="67" t="str">
        <f t="shared" si="5"/>
        <v/>
      </c>
      <c r="H26" s="82" t="str">
        <f>IF(NOT(B26=""),DATE(YEAR(H25),MONTH(H25)+1,DAY(H25)),IF(B26=$C$3,DATE(YEAR(H25),MONTH(H25)+1,DAY(H25)),""))</f>
        <v/>
      </c>
      <c r="J26" s="66" t="str">
        <f>IF($C$3&gt;=13,13,"")</f>
        <v/>
      </c>
      <c r="K26" s="67">
        <f t="shared" ref="K26:K28" si="14">IF(J26=$C$3,$C$2,0)</f>
        <v>0</v>
      </c>
      <c r="L26" s="67" t="str">
        <f t="shared" ref="L26" si="15">IFERROR($C$2*$C$7/365*(P26-P25),"")</f>
        <v/>
      </c>
      <c r="M26" s="67" t="str">
        <f t="shared" si="3"/>
        <v/>
      </c>
      <c r="N26" s="67" t="str">
        <f t="shared" si="4"/>
        <v/>
      </c>
      <c r="O26" s="67" t="str">
        <f>IFERROR(L26-M26-N26+K26,"")</f>
        <v/>
      </c>
      <c r="P26" s="82" t="str">
        <f>IF(NOT(J26=""),DATE(YEAR(P25),MONTH(P25)+1,DAY(P25)),IF(J26=$C$3,DATE(YEAR(P25),MONTH(P25)+1,DAY(P25)),""))</f>
        <v/>
      </c>
    </row>
    <row r="27" spans="2:16" ht="17.100000000000001" customHeight="1">
      <c r="B27" s="66" t="str">
        <f>IF($C$3&gt;=14,14,"")</f>
        <v/>
      </c>
      <c r="C27" s="67">
        <f t="shared" si="13"/>
        <v>0</v>
      </c>
      <c r="D27" s="67" t="str">
        <f>IFERROR($C$2*$C$7/365*(H27-H26),"")</f>
        <v/>
      </c>
      <c r="E27" s="67" t="str">
        <f t="shared" si="11"/>
        <v/>
      </c>
      <c r="F27" s="67" t="str">
        <f t="shared" si="1"/>
        <v/>
      </c>
      <c r="G27" s="67" t="str">
        <f t="shared" si="5"/>
        <v/>
      </c>
      <c r="H27" s="82" t="str">
        <f t="shared" ref="H27:H28" si="16">IF(NOT(B27=""),DATE(YEAR(H26),MONTH(H26)+1,DAY(H26)),IF(B27=$C$3,DATE(YEAR(H26),MONTH(H26)+1,DAY(H26)),""))</f>
        <v/>
      </c>
      <c r="J27" s="66" t="str">
        <f>IF($C$3&gt;=14,14,"")</f>
        <v/>
      </c>
      <c r="K27" s="67">
        <f t="shared" si="14"/>
        <v>0</v>
      </c>
      <c r="L27" s="67" t="str">
        <f>IFERROR($C$2*$C$7/365*(P27-P26),"")</f>
        <v/>
      </c>
      <c r="M27" s="67" t="str">
        <f t="shared" si="3"/>
        <v/>
      </c>
      <c r="N27" s="67" t="str">
        <f t="shared" si="4"/>
        <v/>
      </c>
      <c r="O27" s="67" t="str">
        <f t="shared" si="8"/>
        <v/>
      </c>
      <c r="P27" s="82" t="str">
        <f t="shared" ref="P27:P28" si="17">IF(NOT(J27=""),DATE(YEAR(P26),MONTH(P26)+1,DAY(P26)),IF(J27=$C$3,DATE(YEAR(P26),MONTH(P26)+1,DAY(P26)),""))</f>
        <v/>
      </c>
    </row>
    <row r="28" spans="2:16" ht="17.100000000000001" customHeight="1">
      <c r="B28" s="66" t="str">
        <f>IF($C$3&gt;=15,15,"")</f>
        <v/>
      </c>
      <c r="C28" s="67">
        <f t="shared" si="13"/>
        <v>0</v>
      </c>
      <c r="D28" s="67" t="str">
        <f>IFERROR($C$2*$C$7/365*(H28-H27),"")</f>
        <v/>
      </c>
      <c r="E28" s="67" t="str">
        <f t="shared" si="11"/>
        <v/>
      </c>
      <c r="F28" s="67" t="str">
        <f t="shared" si="1"/>
        <v/>
      </c>
      <c r="G28" s="67" t="str">
        <f t="shared" si="5"/>
        <v/>
      </c>
      <c r="H28" s="82" t="str">
        <f t="shared" si="16"/>
        <v/>
      </c>
      <c r="J28" s="66" t="str">
        <f>IF($C$3&gt;=15,15,"")</f>
        <v/>
      </c>
      <c r="K28" s="69">
        <f t="shared" si="14"/>
        <v>0</v>
      </c>
      <c r="L28" s="69" t="str">
        <f>IFERROR($C$2*$C$7/365*(P28-P27),"")</f>
        <v/>
      </c>
      <c r="M28" s="69" t="str">
        <f t="shared" si="3"/>
        <v/>
      </c>
      <c r="N28" s="69" t="str">
        <f t="shared" si="4"/>
        <v/>
      </c>
      <c r="O28" s="69" t="str">
        <f t="shared" si="8"/>
        <v/>
      </c>
      <c r="P28" s="83" t="str">
        <f t="shared" si="17"/>
        <v/>
      </c>
    </row>
    <row r="29" spans="2:16" ht="17.100000000000001" customHeight="1">
      <c r="B29" s="66" t="str">
        <f>IF($C$3&gt;=16,16,"")</f>
        <v/>
      </c>
      <c r="C29" s="69">
        <f t="shared" ref="C29" si="18">IF(B29=$C$3,$C$2,0)</f>
        <v>0</v>
      </c>
      <c r="D29" s="69" t="str">
        <f>IFERROR($C$2*$C$7/365*(H29-H28),"")</f>
        <v/>
      </c>
      <c r="E29" s="69" t="str">
        <f t="shared" ref="E29" si="19">IFERROR(D29*($C$8+$C$9),"")</f>
        <v/>
      </c>
      <c r="F29" s="69" t="str">
        <f t="shared" ref="F29" si="20">IF(E29="","",C$2*$C$10)</f>
        <v/>
      </c>
      <c r="G29" s="69" t="str">
        <f t="shared" ref="G29" si="21">IFERROR(D29-E29-F29+C29,"")</f>
        <v/>
      </c>
      <c r="H29" s="83" t="str">
        <f t="shared" ref="H29" si="22">IF(NOT(B29=""),DATE(YEAR(H28),MONTH(H28)+1,DAY(H28)),IF(B29=$C$3,DATE(YEAR(H28),MONTH(H28)+1,DAY(H28)),""))</f>
        <v/>
      </c>
      <c r="J29" s="66"/>
      <c r="K29" s="67"/>
      <c r="L29" s="67"/>
      <c r="M29" s="67"/>
      <c r="N29" s="67"/>
      <c r="O29" s="67"/>
      <c r="P29" s="82"/>
    </row>
    <row r="30" spans="2:16" ht="17.100000000000001" customHeight="1">
      <c r="B30" s="80"/>
      <c r="C30" s="67" t="s">
        <v>211</v>
      </c>
      <c r="D30" s="2">
        <f>SUM(D14:D29)</f>
        <v>15564383.561643837</v>
      </c>
      <c r="E30" s="2">
        <f t="shared" ref="E30:F30" si="23">SUM(E14:E29)</f>
        <v>4280205.4794520559</v>
      </c>
      <c r="F30" s="2">
        <f t="shared" si="23"/>
        <v>1000000</v>
      </c>
      <c r="G30" s="72">
        <f>SUM(G14:G29)</f>
        <v>110284178.08219178</v>
      </c>
      <c r="H30" s="86" t="s">
        <v>208</v>
      </c>
      <c r="J30" s="80"/>
      <c r="K30" s="67" t="s">
        <v>211</v>
      </c>
      <c r="L30" s="2">
        <f>SUM(L14:L28)</f>
        <v>15772602.739726029</v>
      </c>
      <c r="M30" s="2">
        <f>SUM(M14:M28)</f>
        <v>2428980.8219178081</v>
      </c>
      <c r="N30" s="2">
        <f>SUM(N14:N28)</f>
        <v>1000000</v>
      </c>
      <c r="O30" s="72">
        <f>SUM(O14:O28)</f>
        <v>112343621.91780822</v>
      </c>
      <c r="P30" s="86" t="s">
        <v>208</v>
      </c>
    </row>
    <row r="31" spans="2:16" ht="17.100000000000001" customHeight="1">
      <c r="B31" s="66"/>
      <c r="C31" s="67" t="s">
        <v>212</v>
      </c>
      <c r="D31" s="76">
        <f>D30/$C$2</f>
        <v>0.15564383561643838</v>
      </c>
      <c r="E31" s="76">
        <f>E30/$C$2</f>
        <v>4.280205479452056E-2</v>
      </c>
      <c r="F31" s="76">
        <f>F30/$C$2</f>
        <v>0.01</v>
      </c>
      <c r="G31" s="76">
        <f>G30/$C$2</f>
        <v>1.1028417808219177</v>
      </c>
      <c r="H31" s="85">
        <f>G31-1</f>
        <v>0.10284178082191775</v>
      </c>
      <c r="J31" s="66"/>
      <c r="K31" s="67" t="s">
        <v>212</v>
      </c>
      <c r="L31" s="76">
        <f>L30/$C$2</f>
        <v>0.1577260273972603</v>
      </c>
      <c r="M31" s="76">
        <f>M30/$C$2</f>
        <v>2.4289808219178081E-2</v>
      </c>
      <c r="N31" s="76">
        <f>N30/$C$2</f>
        <v>0.01</v>
      </c>
      <c r="O31" s="76">
        <f>O30/$C$2</f>
        <v>1.1234362191780822</v>
      </c>
      <c r="P31" s="85">
        <f>O31-1</f>
        <v>0.12343621917808223</v>
      </c>
    </row>
    <row r="32" spans="2:16" ht="17.100000000000001" customHeight="1">
      <c r="B32" s="74" t="s">
        <v>213</v>
      </c>
      <c r="H32" s="72"/>
    </row>
    <row r="33" spans="2:8" ht="17.100000000000001" customHeight="1">
      <c r="H33" s="76"/>
    </row>
    <row r="34" spans="2:8" ht="17.100000000000001" customHeight="1">
      <c r="D34" s="76"/>
      <c r="E34" s="76"/>
      <c r="F34" s="2">
        <f>D30*(C9+C8)</f>
        <v>4280205.4794520559</v>
      </c>
      <c r="G34" s="76"/>
      <c r="H34" s="76"/>
    </row>
    <row r="35" spans="2:8" ht="17.100000000000001" customHeight="1">
      <c r="D35" s="76"/>
      <c r="E35" s="76"/>
      <c r="F35" s="2">
        <f>(D30-F30)*(C8+C9)</f>
        <v>4005205.4794520554</v>
      </c>
      <c r="G35" s="76"/>
      <c r="H35" s="76"/>
    </row>
    <row r="36" spans="2:8" ht="17.100000000000001" customHeight="1">
      <c r="E36" s="76"/>
      <c r="F36" s="76"/>
      <c r="G36" s="76"/>
      <c r="H36" s="76" t="s">
        <v>251</v>
      </c>
    </row>
    <row r="37" spans="2:8" ht="17.100000000000001" customHeight="1">
      <c r="B37" s="121" t="s">
        <v>215</v>
      </c>
      <c r="C37" s="77" t="s">
        <v>214</v>
      </c>
      <c r="D37" s="4">
        <v>1000000000</v>
      </c>
      <c r="E37" s="4" t="s">
        <v>188</v>
      </c>
      <c r="F37" s="76"/>
      <c r="G37" s="76"/>
      <c r="H37" s="76"/>
    </row>
    <row r="38" spans="2:8" ht="17.100000000000001" customHeight="1">
      <c r="B38" s="122"/>
      <c r="C38" s="77" t="s">
        <v>218</v>
      </c>
      <c r="D38" s="75">
        <v>0.23</v>
      </c>
      <c r="E38" s="4"/>
      <c r="F38" s="76"/>
      <c r="G38" s="76"/>
      <c r="H38" s="76"/>
    </row>
    <row r="39" spans="2:8" ht="17.100000000000001" customHeight="1">
      <c r="B39" s="122"/>
      <c r="C39" s="77" t="s">
        <v>216</v>
      </c>
      <c r="D39" s="75">
        <v>7.0000000000000001E-3</v>
      </c>
      <c r="E39" s="4"/>
      <c r="F39" s="76"/>
      <c r="G39" s="76"/>
      <c r="H39" s="76"/>
    </row>
    <row r="40" spans="2:8" ht="17.100000000000001" customHeight="1">
      <c r="B40" s="122"/>
      <c r="C40" s="77" t="s">
        <v>196</v>
      </c>
      <c r="D40" s="91">
        <f>D38-D39-D43-D44</f>
        <v>3.7000000000000012E-2</v>
      </c>
      <c r="E40" s="4"/>
      <c r="F40" s="76"/>
      <c r="G40" s="76"/>
      <c r="H40" s="76"/>
    </row>
    <row r="41" spans="2:8" ht="17.100000000000001" customHeight="1">
      <c r="B41" s="123"/>
      <c r="C41" s="77"/>
      <c r="D41" s="4"/>
      <c r="E41" s="4"/>
      <c r="F41" s="76"/>
      <c r="G41" s="76"/>
      <c r="H41" s="76"/>
    </row>
    <row r="42" spans="2:8" ht="17.100000000000001" customHeight="1">
      <c r="B42" s="121" t="s">
        <v>217</v>
      </c>
      <c r="C42" s="77" t="s">
        <v>220</v>
      </c>
      <c r="D42" s="4">
        <f>D37</f>
        <v>1000000000</v>
      </c>
      <c r="E42" s="4" t="s">
        <v>221</v>
      </c>
      <c r="F42" s="76"/>
      <c r="G42" s="76"/>
      <c r="H42" s="76"/>
    </row>
    <row r="43" spans="2:8" ht="17.100000000000001" customHeight="1">
      <c r="B43" s="122"/>
      <c r="C43" s="77" t="s">
        <v>212</v>
      </c>
      <c r="D43" s="75">
        <v>0.18</v>
      </c>
      <c r="E43" s="4"/>
      <c r="F43" s="76"/>
      <c r="G43" s="76"/>
      <c r="H43" s="76"/>
    </row>
    <row r="44" spans="2:8" ht="17.100000000000001" customHeight="1">
      <c r="B44" s="122"/>
      <c r="C44" s="77" t="s">
        <v>216</v>
      </c>
      <c r="D44" s="75">
        <v>6.0000000000000001E-3</v>
      </c>
      <c r="E44" s="4"/>
      <c r="F44" s="76"/>
      <c r="G44" s="76"/>
      <c r="H44" s="76"/>
    </row>
    <row r="45" spans="2:8" ht="17.100000000000001" customHeight="1">
      <c r="B45" s="122"/>
      <c r="C45" s="77" t="s">
        <v>196</v>
      </c>
      <c r="D45" s="75">
        <v>1.2E-2</v>
      </c>
      <c r="E45" s="4"/>
      <c r="F45" s="76"/>
      <c r="G45" s="76"/>
      <c r="H45" s="76"/>
    </row>
    <row r="46" spans="2:8" ht="17.100000000000001" customHeight="1">
      <c r="B46" s="122"/>
      <c r="C46" s="77" t="s">
        <v>199</v>
      </c>
      <c r="D46" s="89">
        <v>0.25</v>
      </c>
      <c r="E46" s="4"/>
      <c r="F46" s="76"/>
      <c r="G46" s="76"/>
      <c r="H46" s="76"/>
    </row>
    <row r="47" spans="2:8" ht="17.100000000000001" customHeight="1">
      <c r="B47" s="123"/>
      <c r="C47" s="77" t="s">
        <v>198</v>
      </c>
      <c r="D47" s="75">
        <v>2.5000000000000001E-2</v>
      </c>
      <c r="E47" s="4"/>
      <c r="F47" s="76"/>
      <c r="G47" s="76"/>
      <c r="H47" s="76"/>
    </row>
    <row r="48" spans="2:8" ht="17.100000000000001" customHeight="1">
      <c r="B48" s="121" t="s">
        <v>222</v>
      </c>
      <c r="C48" s="77" t="s">
        <v>193</v>
      </c>
      <c r="D48" s="4">
        <v>12</v>
      </c>
      <c r="E48" s="4" t="s">
        <v>187</v>
      </c>
      <c r="F48" s="76"/>
      <c r="G48" s="76"/>
      <c r="H48" s="76"/>
    </row>
    <row r="49" spans="2:13" ht="17.100000000000001" customHeight="1">
      <c r="B49" s="122"/>
      <c r="C49" s="77" t="s">
        <v>203</v>
      </c>
      <c r="D49" s="81">
        <v>42979</v>
      </c>
      <c r="E49" s="4"/>
      <c r="F49" s="76"/>
      <c r="G49" s="76"/>
      <c r="H49" s="76"/>
    </row>
    <row r="50" spans="2:13" ht="17.100000000000001" customHeight="1">
      <c r="B50" s="122"/>
      <c r="C50" s="77" t="s">
        <v>206</v>
      </c>
      <c r="D50" s="81">
        <v>43013</v>
      </c>
      <c r="E50" s="4" t="s">
        <v>219</v>
      </c>
      <c r="F50" s="76"/>
      <c r="G50" s="76"/>
      <c r="H50" s="76"/>
      <c r="I50" s="5"/>
    </row>
    <row r="51" spans="2:13" ht="17.100000000000001" customHeight="1">
      <c r="B51" s="122"/>
      <c r="C51" s="77" t="s">
        <v>204</v>
      </c>
      <c r="D51" s="84">
        <f>DATE(YEAR(D49),MONTH(D49)+D48,DAY(D49)-1)</f>
        <v>43343</v>
      </c>
      <c r="E51" s="4"/>
      <c r="F51" s="76"/>
      <c r="G51" s="76"/>
      <c r="H51" s="76"/>
    </row>
    <row r="52" spans="2:13" ht="17.100000000000001" customHeight="1">
      <c r="B52" s="123"/>
      <c r="C52" s="77"/>
      <c r="D52" s="87"/>
      <c r="E52" s="4"/>
    </row>
    <row r="55" spans="2:13" ht="17.100000000000001" customHeight="1">
      <c r="B55" s="74" t="s">
        <v>229</v>
      </c>
    </row>
    <row r="56" spans="2:13" ht="17.100000000000001" customHeight="1">
      <c r="B56" s="78" t="s">
        <v>200</v>
      </c>
      <c r="C56" s="79" t="s">
        <v>223</v>
      </c>
      <c r="D56" s="79" t="s">
        <v>224</v>
      </c>
      <c r="E56" s="88" t="s">
        <v>225</v>
      </c>
      <c r="F56" s="79" t="s">
        <v>226</v>
      </c>
      <c r="G56" s="88" t="s">
        <v>228</v>
      </c>
      <c r="H56" s="88" t="s">
        <v>227</v>
      </c>
      <c r="I56" s="94" t="s">
        <v>230</v>
      </c>
      <c r="J56" s="88" t="s">
        <v>231</v>
      </c>
      <c r="K56" s="88" t="s">
        <v>232</v>
      </c>
      <c r="L56" s="79" t="s">
        <v>233</v>
      </c>
      <c r="M56" s="79" t="s">
        <v>207</v>
      </c>
    </row>
    <row r="57" spans="2:13" ht="17.100000000000001" customHeight="1">
      <c r="B57" s="66">
        <f>IF($D$48&gt;=1,1,"")</f>
        <v>1</v>
      </c>
      <c r="C57" s="67">
        <f>IF(B57=$D$48,$D$37,0)</f>
        <v>0</v>
      </c>
      <c r="D57" s="67">
        <f>IFERROR($D$37*$D$38/365*(M57-$D$49),"")</f>
        <v>2520547.9452054794</v>
      </c>
      <c r="E57" s="67">
        <f>IFERROR($D$37*$D$39/365*(M57-D49),"")</f>
        <v>76712.328767123283</v>
      </c>
      <c r="F57" s="67">
        <f>IFERROR($D$37*$D$40/365*(M57-D49),"")</f>
        <v>405479.4520547947</v>
      </c>
      <c r="G57" s="67">
        <f>IFERROR($D$37*$D$44/365*(M57-D49),"")</f>
        <v>65753.42465753424</v>
      </c>
      <c r="H57" s="67">
        <f>IFERROR($D$37*$D$43/365*(M57-D49),"")</f>
        <v>1972602.7397260275</v>
      </c>
      <c r="I57" s="95">
        <f>IFERROR($D$37*$D$45/365*(M57-D49),"")</f>
        <v>131506.84931506848</v>
      </c>
      <c r="J57" s="67">
        <f>IFERROR(H57*($D$46+$D$47),"")</f>
        <v>542465.75342465763</v>
      </c>
      <c r="K57" s="92">
        <f>IFERROR(H57-I57-J57+C57,"")</f>
        <v>1298630.1369863013</v>
      </c>
      <c r="L57" s="92">
        <f>IFERROR(F57+I57,"")</f>
        <v>536986.30136986321</v>
      </c>
      <c r="M57" s="82">
        <f>IF(B57=$C$3,$C$6,DATE(YEAR($C$5),MONTH($C$5),DAY($C$5)))</f>
        <v>42983</v>
      </c>
    </row>
    <row r="58" spans="2:13" ht="17.100000000000001" customHeight="1">
      <c r="B58" s="66">
        <f>IF($D$48&gt;=2,2,"")</f>
        <v>2</v>
      </c>
      <c r="C58" s="67">
        <f t="shared" ref="C58:C71" si="24">IF(B58=$D$48,$D$37,0)</f>
        <v>0</v>
      </c>
      <c r="D58" s="67">
        <f>IFERROR($D$37*$D$38/365*(M58-M57),"")</f>
        <v>18904109.589041095</v>
      </c>
      <c r="E58" s="67">
        <f t="shared" ref="E58:E71" si="25">IFERROR($D$37*$D$39/365*(M58-M57),"")</f>
        <v>575342.46575342468</v>
      </c>
      <c r="F58" s="67">
        <f t="shared" ref="F58:F71" si="26">IFERROR($D$37*$D$40/365*(M58-M57),"")</f>
        <v>3041095.8904109602</v>
      </c>
      <c r="G58" s="67">
        <f>IFERROR($D$37*$D$44/365*(M58-M57),"")</f>
        <v>493150.68493150681</v>
      </c>
      <c r="H58" s="67">
        <f t="shared" ref="H58:H71" si="27">IFERROR($D$37*$D$43/365*(M58-M57),"")</f>
        <v>14794520.547945205</v>
      </c>
      <c r="I58" s="95">
        <f t="shared" ref="I58:I71" si="28">IFERROR($D$37*$D$45/365*(M58-M57),"")</f>
        <v>986301.36986301362</v>
      </c>
      <c r="J58" s="67">
        <f t="shared" ref="J58:J71" si="29">IFERROR(H58*($D$46+$D$47),"")</f>
        <v>4068493.1506849318</v>
      </c>
      <c r="K58" s="92">
        <f t="shared" ref="K58:K71" si="30">IFERROR(H58-I58-J58+C58,"")</f>
        <v>9739726.0273972601</v>
      </c>
      <c r="L58" s="92">
        <f t="shared" ref="L58:L71" si="31">IFERROR(F58+I58,"")</f>
        <v>4027397.2602739739</v>
      </c>
      <c r="M58" s="82">
        <f t="shared" ref="M58:M71" si="32">IF(B58=$C$3,$C$6,IF(NOT(B58=""),DATE(YEAR(M57),MONTH(M57)+1,DAY(M57)),""))</f>
        <v>43013</v>
      </c>
    </row>
    <row r="59" spans="2:13" ht="17.100000000000001" customHeight="1">
      <c r="B59" s="66">
        <f>IF($D$48&gt;=3,3,"")</f>
        <v>3</v>
      </c>
      <c r="C59" s="67">
        <f t="shared" si="24"/>
        <v>0</v>
      </c>
      <c r="D59" s="67">
        <f t="shared" ref="D59:D71" si="33">IFERROR($D$37*$D$38/365*(M59-M58),"")</f>
        <v>19534246.575342465</v>
      </c>
      <c r="E59" s="67">
        <f t="shared" si="25"/>
        <v>594520.54794520547</v>
      </c>
      <c r="F59" s="67">
        <f t="shared" si="26"/>
        <v>3142465.7534246589</v>
      </c>
      <c r="G59" s="67">
        <f t="shared" ref="G59:G71" si="34">IFERROR($D$37*$D$44/365*(M59-M58),"")</f>
        <v>509589.04109589034</v>
      </c>
      <c r="H59" s="67">
        <f t="shared" si="27"/>
        <v>15287671.232876712</v>
      </c>
      <c r="I59" s="95">
        <f t="shared" si="28"/>
        <v>1019178.0821917807</v>
      </c>
      <c r="J59" s="67">
        <f t="shared" si="29"/>
        <v>4204109.5890410962</v>
      </c>
      <c r="K59" s="92">
        <f t="shared" si="30"/>
        <v>10064383.561643835</v>
      </c>
      <c r="L59" s="92">
        <f t="shared" si="31"/>
        <v>4161643.8356164396</v>
      </c>
      <c r="M59" s="82">
        <f t="shared" si="32"/>
        <v>43044</v>
      </c>
    </row>
    <row r="60" spans="2:13" ht="17.100000000000001" customHeight="1">
      <c r="B60" s="66">
        <f>IF($D$48&gt;=4,4,"")</f>
        <v>4</v>
      </c>
      <c r="C60" s="67">
        <f t="shared" si="24"/>
        <v>0</v>
      </c>
      <c r="D60" s="67">
        <f t="shared" si="33"/>
        <v>18904109.589041095</v>
      </c>
      <c r="E60" s="67">
        <f t="shared" si="25"/>
        <v>575342.46575342468</v>
      </c>
      <c r="F60" s="67">
        <f t="shared" si="26"/>
        <v>3041095.8904109602</v>
      </c>
      <c r="G60" s="67">
        <f t="shared" si="34"/>
        <v>493150.68493150681</v>
      </c>
      <c r="H60" s="67">
        <f t="shared" si="27"/>
        <v>14794520.547945205</v>
      </c>
      <c r="I60" s="95">
        <f t="shared" si="28"/>
        <v>986301.36986301362</v>
      </c>
      <c r="J60" s="67">
        <f t="shared" si="29"/>
        <v>4068493.1506849318</v>
      </c>
      <c r="K60" s="92">
        <f t="shared" si="30"/>
        <v>9739726.0273972601</v>
      </c>
      <c r="L60" s="92">
        <f t="shared" si="31"/>
        <v>4027397.2602739739</v>
      </c>
      <c r="M60" s="82">
        <f t="shared" si="32"/>
        <v>43074</v>
      </c>
    </row>
    <row r="61" spans="2:13" ht="17.100000000000001" customHeight="1">
      <c r="B61" s="66">
        <f>IF($D$48&gt;=5,5,"")</f>
        <v>5</v>
      </c>
      <c r="C61" s="67">
        <f t="shared" si="24"/>
        <v>0</v>
      </c>
      <c r="D61" s="67">
        <f t="shared" si="33"/>
        <v>19534246.575342465</v>
      </c>
      <c r="E61" s="67">
        <f t="shared" si="25"/>
        <v>594520.54794520547</v>
      </c>
      <c r="F61" s="67">
        <f t="shared" si="26"/>
        <v>3142465.7534246589</v>
      </c>
      <c r="G61" s="67">
        <f t="shared" si="34"/>
        <v>509589.04109589034</v>
      </c>
      <c r="H61" s="67">
        <f t="shared" si="27"/>
        <v>15287671.232876712</v>
      </c>
      <c r="I61" s="95">
        <f t="shared" si="28"/>
        <v>1019178.0821917807</v>
      </c>
      <c r="J61" s="67">
        <f t="shared" si="29"/>
        <v>4204109.5890410962</v>
      </c>
      <c r="K61" s="92">
        <f t="shared" si="30"/>
        <v>10064383.561643835</v>
      </c>
      <c r="L61" s="92">
        <f t="shared" si="31"/>
        <v>4161643.8356164396</v>
      </c>
      <c r="M61" s="82">
        <f t="shared" si="32"/>
        <v>43105</v>
      </c>
    </row>
    <row r="62" spans="2:13" ht="17.100000000000001" customHeight="1">
      <c r="B62" s="66">
        <f>IF($D$48&gt;=6,6,"")</f>
        <v>6</v>
      </c>
      <c r="C62" s="67">
        <f t="shared" si="24"/>
        <v>0</v>
      </c>
      <c r="D62" s="67">
        <f t="shared" si="33"/>
        <v>19534246.575342465</v>
      </c>
      <c r="E62" s="67">
        <f t="shared" si="25"/>
        <v>594520.54794520547</v>
      </c>
      <c r="F62" s="67">
        <f t="shared" si="26"/>
        <v>3142465.7534246589</v>
      </c>
      <c r="G62" s="67">
        <f t="shared" si="34"/>
        <v>509589.04109589034</v>
      </c>
      <c r="H62" s="67">
        <f t="shared" si="27"/>
        <v>15287671.232876712</v>
      </c>
      <c r="I62" s="95">
        <f t="shared" si="28"/>
        <v>1019178.0821917807</v>
      </c>
      <c r="J62" s="67">
        <f t="shared" si="29"/>
        <v>4204109.5890410962</v>
      </c>
      <c r="K62" s="92">
        <f t="shared" si="30"/>
        <v>10064383.561643835</v>
      </c>
      <c r="L62" s="92">
        <f t="shared" si="31"/>
        <v>4161643.8356164396</v>
      </c>
      <c r="M62" s="82">
        <f t="shared" si="32"/>
        <v>43136</v>
      </c>
    </row>
    <row r="63" spans="2:13" ht="17.100000000000001" customHeight="1">
      <c r="B63" s="66">
        <f>IF($D$48&gt;=7,7,"")</f>
        <v>7</v>
      </c>
      <c r="C63" s="67">
        <f t="shared" si="24"/>
        <v>0</v>
      </c>
      <c r="D63" s="67">
        <f t="shared" si="33"/>
        <v>17643835.616438355</v>
      </c>
      <c r="E63" s="67">
        <f t="shared" si="25"/>
        <v>536986.30136986298</v>
      </c>
      <c r="F63" s="67">
        <f t="shared" si="26"/>
        <v>2838356.1643835627</v>
      </c>
      <c r="G63" s="67">
        <f t="shared" si="34"/>
        <v>460273.9726027397</v>
      </c>
      <c r="H63" s="67">
        <f t="shared" si="27"/>
        <v>13808219.178082192</v>
      </c>
      <c r="I63" s="95">
        <f t="shared" si="28"/>
        <v>920547.94520547939</v>
      </c>
      <c r="J63" s="67">
        <f t="shared" si="29"/>
        <v>3797260.273972603</v>
      </c>
      <c r="K63" s="92">
        <f t="shared" si="30"/>
        <v>9090410.9589041099</v>
      </c>
      <c r="L63" s="92">
        <f t="shared" si="31"/>
        <v>3758904.1095890421</v>
      </c>
      <c r="M63" s="82">
        <f t="shared" si="32"/>
        <v>43164</v>
      </c>
    </row>
    <row r="64" spans="2:13" ht="17.100000000000001" customHeight="1">
      <c r="B64" s="66">
        <f>IF($D$48&gt;=8,8,"")</f>
        <v>8</v>
      </c>
      <c r="C64" s="67">
        <f t="shared" si="24"/>
        <v>0</v>
      </c>
      <c r="D64" s="67">
        <f t="shared" si="33"/>
        <v>19534246.575342465</v>
      </c>
      <c r="E64" s="67">
        <f t="shared" si="25"/>
        <v>594520.54794520547</v>
      </c>
      <c r="F64" s="67">
        <f t="shared" si="26"/>
        <v>3142465.7534246589</v>
      </c>
      <c r="G64" s="67">
        <f t="shared" si="34"/>
        <v>509589.04109589034</v>
      </c>
      <c r="H64" s="67">
        <f t="shared" si="27"/>
        <v>15287671.232876712</v>
      </c>
      <c r="I64" s="95">
        <f t="shared" si="28"/>
        <v>1019178.0821917807</v>
      </c>
      <c r="J64" s="67">
        <f t="shared" si="29"/>
        <v>4204109.5890410962</v>
      </c>
      <c r="K64" s="92">
        <f t="shared" si="30"/>
        <v>10064383.561643835</v>
      </c>
      <c r="L64" s="92">
        <f t="shared" si="31"/>
        <v>4161643.8356164396</v>
      </c>
      <c r="M64" s="82">
        <f t="shared" si="32"/>
        <v>43195</v>
      </c>
    </row>
    <row r="65" spans="2:13" ht="17.100000000000001" customHeight="1">
      <c r="B65" s="66">
        <f>IF($D$48&gt;=9,9,"")</f>
        <v>9</v>
      </c>
      <c r="C65" s="67">
        <f t="shared" si="24"/>
        <v>0</v>
      </c>
      <c r="D65" s="67">
        <f t="shared" si="33"/>
        <v>18904109.589041095</v>
      </c>
      <c r="E65" s="67">
        <f t="shared" si="25"/>
        <v>575342.46575342468</v>
      </c>
      <c r="F65" s="67">
        <f t="shared" si="26"/>
        <v>3041095.8904109602</v>
      </c>
      <c r="G65" s="67">
        <f t="shared" si="34"/>
        <v>493150.68493150681</v>
      </c>
      <c r="H65" s="67">
        <f t="shared" si="27"/>
        <v>14794520.547945205</v>
      </c>
      <c r="I65" s="95">
        <f t="shared" si="28"/>
        <v>986301.36986301362</v>
      </c>
      <c r="J65" s="67">
        <f t="shared" si="29"/>
        <v>4068493.1506849318</v>
      </c>
      <c r="K65" s="92">
        <f t="shared" si="30"/>
        <v>9739726.0273972601</v>
      </c>
      <c r="L65" s="92">
        <f t="shared" si="31"/>
        <v>4027397.2602739739</v>
      </c>
      <c r="M65" s="82">
        <f t="shared" si="32"/>
        <v>43225</v>
      </c>
    </row>
    <row r="66" spans="2:13" ht="17.100000000000001" customHeight="1">
      <c r="B66" s="66">
        <f>IF($D$48&gt;=10,10,"")</f>
        <v>10</v>
      </c>
      <c r="C66" s="67">
        <f t="shared" si="24"/>
        <v>0</v>
      </c>
      <c r="D66" s="67">
        <f t="shared" si="33"/>
        <v>20164383.561643835</v>
      </c>
      <c r="E66" s="67">
        <f t="shared" si="25"/>
        <v>613698.63013698626</v>
      </c>
      <c r="F66" s="67">
        <f t="shared" si="26"/>
        <v>3243835.6164383576</v>
      </c>
      <c r="G66" s="67">
        <f t="shared" si="34"/>
        <v>526027.39726027392</v>
      </c>
      <c r="H66" s="67">
        <f t="shared" si="27"/>
        <v>15780821.91780822</v>
      </c>
      <c r="I66" s="95">
        <f t="shared" si="28"/>
        <v>1052054.7945205478</v>
      </c>
      <c r="J66" s="67">
        <f t="shared" si="29"/>
        <v>4339726.027397261</v>
      </c>
      <c r="K66" s="92">
        <f t="shared" si="30"/>
        <v>10389041.09589041</v>
      </c>
      <c r="L66" s="92">
        <f t="shared" si="31"/>
        <v>4295890.4109589057</v>
      </c>
      <c r="M66" s="82">
        <f t="shared" si="32"/>
        <v>43257</v>
      </c>
    </row>
    <row r="67" spans="2:13" ht="17.100000000000001" customHeight="1">
      <c r="B67" s="66">
        <f>IF($D$48&gt;=11,11,"")</f>
        <v>11</v>
      </c>
      <c r="C67" s="67">
        <f t="shared" si="24"/>
        <v>0</v>
      </c>
      <c r="D67" s="67">
        <f t="shared" si="33"/>
        <v>18904109.589041095</v>
      </c>
      <c r="E67" s="67">
        <f t="shared" si="25"/>
        <v>575342.46575342468</v>
      </c>
      <c r="F67" s="67">
        <f t="shared" si="26"/>
        <v>3041095.8904109602</v>
      </c>
      <c r="G67" s="67">
        <f t="shared" si="34"/>
        <v>493150.68493150681</v>
      </c>
      <c r="H67" s="67">
        <f t="shared" si="27"/>
        <v>14794520.547945205</v>
      </c>
      <c r="I67" s="95">
        <f t="shared" si="28"/>
        <v>986301.36986301362</v>
      </c>
      <c r="J67" s="67">
        <f t="shared" si="29"/>
        <v>4068493.1506849318</v>
      </c>
      <c r="K67" s="92">
        <f t="shared" si="30"/>
        <v>9739726.0273972601</v>
      </c>
      <c r="L67" s="92">
        <f t="shared" si="31"/>
        <v>4027397.2602739739</v>
      </c>
      <c r="M67" s="82">
        <f t="shared" si="32"/>
        <v>43287</v>
      </c>
    </row>
    <row r="68" spans="2:13" ht="17.100000000000001" customHeight="1">
      <c r="B68" s="66">
        <f>IF($D$48&gt;=12,12,"")</f>
        <v>12</v>
      </c>
      <c r="C68" s="67">
        <f t="shared" si="24"/>
        <v>1000000000</v>
      </c>
      <c r="D68" s="67">
        <f>IFERROR($D$37*$D$38/365*(M68-M67),"")</f>
        <v>19534246.575342465</v>
      </c>
      <c r="E68" s="67">
        <f t="shared" si="25"/>
        <v>594520.54794520547</v>
      </c>
      <c r="F68" s="67">
        <f t="shared" si="26"/>
        <v>3142465.7534246589</v>
      </c>
      <c r="G68" s="67">
        <f t="shared" si="34"/>
        <v>509589.04109589034</v>
      </c>
      <c r="H68" s="67">
        <f t="shared" si="27"/>
        <v>15287671.232876712</v>
      </c>
      <c r="I68" s="95">
        <f t="shared" si="28"/>
        <v>1019178.0821917807</v>
      </c>
      <c r="J68" s="67">
        <f t="shared" si="29"/>
        <v>4204109.5890410962</v>
      </c>
      <c r="K68" s="92">
        <f t="shared" si="30"/>
        <v>1010064383.5616438</v>
      </c>
      <c r="L68" s="92">
        <f t="shared" si="31"/>
        <v>4161643.8356164396</v>
      </c>
      <c r="M68" s="82">
        <f>IF(B68=$C$3,$C$6,IF(NOT(B68=""),DATE(YEAR(M67),MONTH(M67)+1,DAY(M67)),""))</f>
        <v>43318</v>
      </c>
    </row>
    <row r="69" spans="2:13" ht="17.100000000000001" customHeight="1">
      <c r="B69" s="66" t="str">
        <f>IF($D$48&gt;=13,13,"")</f>
        <v/>
      </c>
      <c r="C69" s="67">
        <f t="shared" si="24"/>
        <v>0</v>
      </c>
      <c r="D69" s="67" t="str">
        <f t="shared" si="33"/>
        <v/>
      </c>
      <c r="E69" s="67" t="str">
        <f t="shared" si="25"/>
        <v/>
      </c>
      <c r="F69" s="67" t="str">
        <f t="shared" si="26"/>
        <v/>
      </c>
      <c r="G69" s="67" t="str">
        <f>IFERROR($D$37*$D$44/365*(M69-M68),"")</f>
        <v/>
      </c>
      <c r="H69" s="67" t="str">
        <f t="shared" si="27"/>
        <v/>
      </c>
      <c r="I69" s="95" t="str">
        <f t="shared" si="28"/>
        <v/>
      </c>
      <c r="J69" s="67" t="str">
        <f t="shared" si="29"/>
        <v/>
      </c>
      <c r="K69" s="92" t="str">
        <f t="shared" si="30"/>
        <v/>
      </c>
      <c r="L69" s="92" t="str">
        <f t="shared" si="31"/>
        <v/>
      </c>
      <c r="M69" s="82" t="str">
        <f t="shared" si="32"/>
        <v/>
      </c>
    </row>
    <row r="70" spans="2:13" ht="17.100000000000001" customHeight="1">
      <c r="B70" s="66" t="str">
        <f>IF($D$48&gt;=14,14,"")</f>
        <v/>
      </c>
      <c r="C70" s="67">
        <f t="shared" si="24"/>
        <v>0</v>
      </c>
      <c r="D70" s="67" t="str">
        <f t="shared" si="33"/>
        <v/>
      </c>
      <c r="E70" s="67" t="str">
        <f t="shared" si="25"/>
        <v/>
      </c>
      <c r="F70" s="67" t="str">
        <f t="shared" si="26"/>
        <v/>
      </c>
      <c r="G70" s="67" t="str">
        <f t="shared" si="34"/>
        <v/>
      </c>
      <c r="H70" s="67" t="str">
        <f t="shared" si="27"/>
        <v/>
      </c>
      <c r="I70" s="95" t="str">
        <f t="shared" si="28"/>
        <v/>
      </c>
      <c r="J70" s="67" t="str">
        <f t="shared" si="29"/>
        <v/>
      </c>
      <c r="K70" s="92" t="str">
        <f t="shared" si="30"/>
        <v/>
      </c>
      <c r="L70" s="92" t="str">
        <f t="shared" si="31"/>
        <v/>
      </c>
      <c r="M70" s="82" t="str">
        <f t="shared" si="32"/>
        <v/>
      </c>
    </row>
    <row r="71" spans="2:13" ht="17.100000000000001" customHeight="1">
      <c r="B71" s="68" t="str">
        <f>IF($D$48&gt;=15,15,"")</f>
        <v/>
      </c>
      <c r="C71" s="69">
        <f t="shared" si="24"/>
        <v>0</v>
      </c>
      <c r="D71" s="69" t="str">
        <f t="shared" si="33"/>
        <v/>
      </c>
      <c r="E71" s="69" t="str">
        <f t="shared" si="25"/>
        <v/>
      </c>
      <c r="F71" s="69" t="str">
        <f t="shared" si="26"/>
        <v/>
      </c>
      <c r="G71" s="69" t="str">
        <f t="shared" si="34"/>
        <v/>
      </c>
      <c r="H71" s="69" t="str">
        <f t="shared" si="27"/>
        <v/>
      </c>
      <c r="I71" s="96" t="str">
        <f t="shared" si="28"/>
        <v/>
      </c>
      <c r="J71" s="69" t="str">
        <f t="shared" si="29"/>
        <v/>
      </c>
      <c r="K71" s="93" t="str">
        <f t="shared" si="30"/>
        <v/>
      </c>
      <c r="L71" s="93" t="str">
        <f t="shared" si="31"/>
        <v/>
      </c>
      <c r="M71" s="83" t="str">
        <f t="shared" si="32"/>
        <v/>
      </c>
    </row>
    <row r="72" spans="2:13" ht="17.100000000000001" customHeight="1">
      <c r="B72" s="66"/>
      <c r="C72" s="67" t="s">
        <v>211</v>
      </c>
      <c r="D72" s="2">
        <f>SUM(D57:D71)</f>
        <v>213616438.35616437</v>
      </c>
      <c r="E72" s="2">
        <f t="shared" ref="E72:K72" si="35">SUM(E57:E71)</f>
        <v>6501369.8630136987</v>
      </c>
      <c r="F72" s="2">
        <f>SUM(F57:F71)</f>
        <v>34364383.561643854</v>
      </c>
      <c r="G72" s="2">
        <f t="shared" si="35"/>
        <v>5572602.7397260265</v>
      </c>
      <c r="H72" s="2">
        <f t="shared" si="35"/>
        <v>167178082.19178084</v>
      </c>
      <c r="I72" s="2">
        <f t="shared" si="35"/>
        <v>11145205.479452053</v>
      </c>
      <c r="J72" s="2">
        <f t="shared" si="35"/>
        <v>45973972.602739729</v>
      </c>
      <c r="K72" s="2">
        <f t="shared" si="35"/>
        <v>1110058904.1095891</v>
      </c>
      <c r="L72" s="2">
        <f>SUM(L57:L71)</f>
        <v>45509589.041095898</v>
      </c>
      <c r="M72" s="90"/>
    </row>
    <row r="73" spans="2:13" ht="17.100000000000001" customHeight="1">
      <c r="B73" s="66"/>
      <c r="C73" s="67" t="s">
        <v>212</v>
      </c>
      <c r="D73" s="76">
        <f>D72/$D$37</f>
        <v>0.21361643835616437</v>
      </c>
      <c r="E73" s="76">
        <f t="shared" ref="E73:J73" si="36">E72/$D$37</f>
        <v>6.5013698630136986E-3</v>
      </c>
      <c r="F73" s="76">
        <f t="shared" si="36"/>
        <v>3.4364383561643855E-2</v>
      </c>
      <c r="G73" s="76">
        <f t="shared" si="36"/>
        <v>5.5726027397260264E-3</v>
      </c>
      <c r="H73" s="76">
        <f t="shared" si="36"/>
        <v>0.16717808219178085</v>
      </c>
      <c r="I73" s="76">
        <f t="shared" si="36"/>
        <v>1.1145205479452053E-2</v>
      </c>
      <c r="J73" s="76">
        <f t="shared" si="36"/>
        <v>4.5973972602739728E-2</v>
      </c>
      <c r="K73" s="76">
        <f>K72/$D$37</f>
        <v>1.1100589041095892</v>
      </c>
      <c r="L73" s="76">
        <f>L72/$D$37</f>
        <v>4.5509589041095901E-2</v>
      </c>
    </row>
    <row r="74" spans="2:13" ht="17.100000000000001" customHeight="1">
      <c r="B74" s="74" t="s">
        <v>234</v>
      </c>
    </row>
    <row r="75" spans="2:13" ht="17.100000000000001" customHeight="1">
      <c r="B75" s="74" t="s">
        <v>235</v>
      </c>
    </row>
    <row r="76" spans="2:13" ht="17.100000000000001" customHeight="1">
      <c r="B76" s="74" t="s">
        <v>236</v>
      </c>
      <c r="G76" s="72"/>
      <c r="H76" s="86"/>
    </row>
    <row r="77" spans="2:13" ht="17.100000000000001" customHeight="1">
      <c r="E77" s="76"/>
      <c r="F77" s="76"/>
      <c r="G77" s="76"/>
      <c r="H77" s="85"/>
    </row>
  </sheetData>
  <mergeCells count="3">
    <mergeCell ref="B37:B41"/>
    <mergeCell ref="B42:B47"/>
    <mergeCell ref="B48:B5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포커스펀딩IA</vt:lpstr>
      <vt:lpstr>업무진행일정</vt:lpstr>
      <vt:lpstr>예상상환지급표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Registered User</cp:lastModifiedBy>
  <cp:lastPrinted>2017-08-22T08:52:39Z</cp:lastPrinted>
  <dcterms:created xsi:type="dcterms:W3CDTF">2017-06-28T07:27:27Z</dcterms:created>
  <dcterms:modified xsi:type="dcterms:W3CDTF">2020-11-21T09:11:56Z</dcterms:modified>
</cp:coreProperties>
</file>