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vionline-my.sharepoint.com/personal/hyolim_kang_ivi_int/Documents/Desktop/2021/TCV/data/cea/Model/"/>
    </mc:Choice>
  </mc:AlternateContent>
  <xr:revisionPtr revIDLastSave="187" documentId="8_{80555B43-B7BF-4F04-AAB0-FF1E576CF31D}" xr6:coauthVersionLast="47" xr6:coauthVersionMax="47" xr10:uidLastSave="{D8FF0E02-8F97-43D9-8669-55C8867B6110}"/>
  <bookViews>
    <workbookView xWindow="-120" yWindow="-120" windowWidth="29040" windowHeight="15840" xr2:uid="{77373E23-0E50-4B2F-B4D3-B96DFA3ADDC9}"/>
  </bookViews>
  <sheets>
    <sheet name="parameters" sheetId="3" r:id="rId1"/>
    <sheet name="initial" sheetId="1" r:id="rId2"/>
    <sheet name="oth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3" l="1"/>
  <c r="B43" i="3"/>
  <c r="B50" i="3"/>
  <c r="G5" i="3"/>
  <c r="C44" i="3"/>
  <c r="D43" i="3"/>
  <c r="C43" i="3"/>
  <c r="B44" i="3"/>
  <c r="B47" i="3" s="1"/>
  <c r="D32" i="3"/>
  <c r="D45" i="3" s="1"/>
  <c r="C32" i="3"/>
  <c r="C45" i="3" s="1"/>
  <c r="C47" i="3" s="1"/>
  <c r="B32" i="3"/>
  <c r="B45" i="3" s="1"/>
  <c r="G40" i="3"/>
  <c r="G39" i="3"/>
  <c r="G10" i="3"/>
  <c r="D44" i="3" l="1"/>
  <c r="D47" i="3" s="1"/>
  <c r="B39" i="3"/>
  <c r="B38" i="3"/>
  <c r="B37" i="3"/>
  <c r="E15" i="1" l="1"/>
  <c r="E13" i="1"/>
  <c r="E5" i="1"/>
  <c r="E18" i="1"/>
  <c r="E11" i="1"/>
  <c r="E9" i="1"/>
  <c r="E17" i="1"/>
  <c r="E4" i="1"/>
  <c r="E12" i="1"/>
  <c r="B21" i="1"/>
  <c r="B9" i="1"/>
  <c r="B13" i="1" l="1"/>
  <c r="B15" i="1" l="1"/>
  <c r="J26" i="1"/>
  <c r="Q29" i="1"/>
  <c r="Q32" i="1"/>
  <c r="L26" i="1" l="1"/>
  <c r="N26" i="1" s="1"/>
  <c r="S32" i="1" s="1"/>
  <c r="E26" i="1"/>
  <c r="M26" i="1" s="1"/>
  <c r="E25" i="1"/>
  <c r="C25" i="1"/>
  <c r="K3" i="1"/>
  <c r="K4" i="1" l="1"/>
  <c r="B14" i="1"/>
  <c r="J25" i="1" s="1"/>
  <c r="I25" i="1"/>
  <c r="K6" i="1"/>
  <c r="Q28" i="1" l="1"/>
  <c r="Q30" i="1" s="1"/>
  <c r="Q31" i="1"/>
  <c r="Q33" i="1" s="1"/>
  <c r="K5" i="1"/>
  <c r="K10" i="1" s="1"/>
  <c r="L25" i="1"/>
  <c r="N25" i="1" s="1"/>
  <c r="S31" i="1" s="1"/>
  <c r="S33" i="1" s="1"/>
  <c r="K9" i="1" s="1"/>
  <c r="Q3" i="1" s="1"/>
  <c r="M25" i="1"/>
  <c r="N3" i="1"/>
  <c r="K8" i="1"/>
  <c r="Q4" i="1" l="1"/>
  <c r="S35" i="1"/>
  <c r="Q35" i="1"/>
  <c r="K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Hyolim Kang</author>
  </authors>
  <commentList>
    <comment ref="B4" authorId="0" shapeId="0" xr:uid="{A48E8E58-638A-45B2-B8A8-580367ADC7D1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2018 USD</t>
        </r>
      </text>
    </comment>
    <comment ref="I7" authorId="0" shapeId="0" xr:uid="{E51E8478-0A12-4CAC-ABA1-FF9BC9463541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ask Sushant about vaccine induced immunity</t>
        </r>
      </text>
    </comment>
    <comment ref="I8" authorId="0" shapeId="0" xr:uid="{4E707230-16F2-4575-B167-1F3C540243CE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ask Sushant about vaccine induced immunity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Hyolim Kang</author>
  </authors>
  <commentList>
    <comment ref="A4" authorId="0" shapeId="0" xr:uid="{D53CF544-C97F-4DBE-BCAD-78AE4A2F95D5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should I take economic cost value? </t>
        </r>
      </text>
    </comment>
    <comment ref="A5" authorId="0" shapeId="0" xr:uid="{63396648-D82F-40D5-99F5-CD6ED25A7E5B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what other proxy we can use -&gt; ask Sushant 
(ex. Pneumoccocol ? Or others?)</t>
        </r>
      </text>
    </comment>
    <comment ref="A7" authorId="0" shapeId="0" xr:uid="{D33391CC-7A69-49AF-B5E7-FA746FAA40E9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should I use mean or median?</t>
        </r>
      </text>
    </comment>
    <comment ref="A10" authorId="0" shapeId="0" xr:uid="{CE4FC7F5-B40B-4B88-A55F-FDE34F209B0E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from the paper, the death weas zero</t>
        </r>
      </text>
    </comment>
    <comment ref="A18" authorId="0" shapeId="0" xr:uid="{92012AC3-962B-44D5-A7C5-E80D6D84F57C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can I use disability weight of diaorreah instead of typhoid fever? 
There is a lancet paper in 2013 (GBD)</t>
        </r>
      </text>
    </comment>
    <comment ref="A19" authorId="0" shapeId="0" xr:uid="{98CC6707-CEFD-478D-AA4D-7022676B5115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can I use disability weight of diaorreah instead of typhoid fever? 
There is a lancet paper in 2013 (GBD)</t>
        </r>
      </text>
    </comment>
    <comment ref="D24" authorId="0" shapeId="0" xr:uid="{B23C8DCF-53EA-4BAD-A252-AFB142AF9291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which one to choose if age of infection varies? 
Median value of age of infection?
Currently used Maharshtra's information</t>
        </r>
      </text>
    </comment>
    <comment ref="B25" authorId="0" shapeId="0" xr:uid="{B71043EF-2A70-44C5-8B67-079547A4C11A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administrative coverage is 71% but 113420 were all received vaccines. ? </t>
        </r>
      </text>
    </comment>
  </commentList>
</comments>
</file>

<file path=xl/sharedStrings.xml><?xml version="1.0" encoding="utf-8"?>
<sst xmlns="http://schemas.openxmlformats.org/spreadsheetml/2006/main" count="248" uniqueCount="177">
  <si>
    <t>Input</t>
  </si>
  <si>
    <t>People fully vaccinated</t>
  </si>
  <si>
    <t>duration of immunity (years)</t>
  </si>
  <si>
    <t>cost of illness per person ($)</t>
  </si>
  <si>
    <t>vaccine wastage factor (%)</t>
  </si>
  <si>
    <t>total expected case</t>
  </si>
  <si>
    <t>cases averted</t>
  </si>
  <si>
    <t>Incidence (per 10,000 per year)</t>
  </si>
  <si>
    <t>annual discounting rate (%)</t>
  </si>
  <si>
    <t>cost of vaccination</t>
  </si>
  <si>
    <t>cost averted</t>
  </si>
  <si>
    <t>net cost</t>
  </si>
  <si>
    <t>deaths averted</t>
  </si>
  <si>
    <t>total cases averted</t>
  </si>
  <si>
    <t>DALYs averted</t>
  </si>
  <si>
    <t>cost per case averted</t>
  </si>
  <si>
    <t>Vaccine dose requirements</t>
  </si>
  <si>
    <t>primary cost effectiveness analysis</t>
  </si>
  <si>
    <t xml:space="preserve">TCV vaccinated </t>
  </si>
  <si>
    <t>Group</t>
  </si>
  <si>
    <t xml:space="preserve">No vaccine </t>
  </si>
  <si>
    <t xml:space="preserve">percent coverage </t>
  </si>
  <si>
    <t xml:space="preserve">vaccinated </t>
  </si>
  <si>
    <t>life expectancy at the age of birth</t>
  </si>
  <si>
    <t>expected death</t>
  </si>
  <si>
    <t>total averted case</t>
  </si>
  <si>
    <t>YLL averted/year</t>
  </si>
  <si>
    <t>total vaccination cost</t>
  </si>
  <si>
    <t>Total cost</t>
  </si>
  <si>
    <t>ICER</t>
  </si>
  <si>
    <t>cost difference</t>
  </si>
  <si>
    <t>case vaccinated</t>
  </si>
  <si>
    <t>case unvaccinated</t>
  </si>
  <si>
    <t>YLD/year</t>
  </si>
  <si>
    <t>Total DALY</t>
  </si>
  <si>
    <t>Total DALYs per case</t>
  </si>
  <si>
    <t>total DALY of vaccinated group</t>
  </si>
  <si>
    <t>total DALY of unvaccinated group</t>
  </si>
  <si>
    <t>DALY averted</t>
  </si>
  <si>
    <t>case averted</t>
  </si>
  <si>
    <t>vaccine cost per person (including delivery cost, vaccine, syringes, and safety boxes) ($)</t>
  </si>
  <si>
    <t>total cost per DALY averted</t>
  </si>
  <si>
    <t>cost effectiveness thresholds</t>
  </si>
  <si>
    <t>cost effective</t>
  </si>
  <si>
    <t>very cost effective</t>
  </si>
  <si>
    <t xml:space="preserve">vaccine dose per person </t>
  </si>
  <si>
    <t>people vaccinated per case averted (NNV to prevent 1 case)</t>
  </si>
  <si>
    <t>uncertainty distribution</t>
  </si>
  <si>
    <t>reference</t>
  </si>
  <si>
    <t xml:space="preserve"> [153.3541,  273.0597]</t>
  </si>
  <si>
    <t>gamma/lognormal</t>
  </si>
  <si>
    <t>uniform</t>
  </si>
  <si>
    <t>India - Take on Typhoid (coalitionagainsttyphoid.org)</t>
  </si>
  <si>
    <t>total expected case (Pre-vacc case)</t>
  </si>
  <si>
    <t>Cost-effectiveness of routine and campaign use of typhoid Vi-conjugate vaccine in Gavi-eligible countries: a modelling study (thelancet.com)</t>
  </si>
  <si>
    <t>exponential</t>
  </si>
  <si>
    <t>[0·14–0·29]</t>
  </si>
  <si>
    <t>[0·031–0·079]</t>
  </si>
  <si>
    <t>[10, 20]</t>
  </si>
  <si>
    <t>total cost of vaccinated group</t>
  </si>
  <si>
    <t>total cost of unvaccinated group</t>
  </si>
  <si>
    <t xml:space="preserve">parameter uncertainty </t>
  </si>
  <si>
    <t>model structure uncertainty</t>
  </si>
  <si>
    <t>stochastic uncertainty</t>
  </si>
  <si>
    <t>95% CI</t>
  </si>
  <si>
    <t>** not all variable within PSA should be specified as distiributions</t>
  </si>
  <si>
    <t>** those that are known with certainty remain post estimates (discount rate or time horizon)</t>
  </si>
  <si>
    <t>N/A</t>
  </si>
  <si>
    <t>lognormal</t>
  </si>
  <si>
    <t>Cost effectiveness of typhoid vaccination in India - ScienceDirect</t>
  </si>
  <si>
    <t>exchange rate</t>
  </si>
  <si>
    <t>FRB exchange rate</t>
  </si>
  <si>
    <t xml:space="preserve">disease severity </t>
  </si>
  <si>
    <t>Methodological consideration</t>
  </si>
  <si>
    <t>indirect effect (herd immunity)</t>
  </si>
  <si>
    <t xml:space="preserve">age group specific incidence rate and mortality </t>
  </si>
  <si>
    <t xml:space="preserve">vaccine effectiveness scenario </t>
  </si>
  <si>
    <t>distributional analysis? (by region)</t>
  </si>
  <si>
    <t xml:space="preserve">more than 80% of total sample are located in mixed area </t>
  </si>
  <si>
    <t>does uniform distribution not require CI?</t>
  </si>
  <si>
    <t>https://www.who.int/quantifying_ehimpacts/publications/en/9241546204chap3.pdf</t>
  </si>
  <si>
    <t>YLD formula</t>
  </si>
  <si>
    <t>v</t>
  </si>
  <si>
    <t>vaccingam</t>
  </si>
  <si>
    <t>mean value (point estimate)</t>
  </si>
  <si>
    <t>SD</t>
  </si>
  <si>
    <t xml:space="preserve">sample size </t>
  </si>
  <si>
    <t>[4.33 - 6.94]</t>
  </si>
  <si>
    <t>[80-95]</t>
  </si>
  <si>
    <t>[2.7, 3.3]</t>
  </si>
  <si>
    <t>[25.2, 30.8]</t>
  </si>
  <si>
    <t>[0.0010, 0.0053]</t>
  </si>
  <si>
    <t xml:space="preserve">normal? </t>
  </si>
  <si>
    <t>[113.42, 601.13]</t>
  </si>
  <si>
    <t>[286, 339]</t>
  </si>
  <si>
    <t>2 scenarios: &lt;15 years or &gt;15 years old</t>
  </si>
  <si>
    <t>comparison</t>
  </si>
  <si>
    <t>(1~15 or 0~15)</t>
  </si>
  <si>
    <t>population denominator</t>
  </si>
  <si>
    <t>11 UPHC full population</t>
  </si>
  <si>
    <t xml:space="preserve">whole population or age group </t>
  </si>
  <si>
    <t>defining the objective of CEA</t>
  </si>
  <si>
    <t>separate the vaccine delivery cost and vaccine price</t>
  </si>
  <si>
    <t>some of the vaccine is donated (free vaccine)</t>
  </si>
  <si>
    <t xml:space="preserve">vaccine price -&gt; fixed number </t>
  </si>
  <si>
    <t>lognormal or other? (sushant?)</t>
  </si>
  <si>
    <t>GDP per capita 2020 ($) * optional</t>
  </si>
  <si>
    <r>
      <t>* 1)</t>
    </r>
    <r>
      <rPr>
        <sz val="11"/>
        <color rgb="FFFF0000"/>
        <rFont val="Arial"/>
        <family val="2"/>
      </rPr>
      <t xml:space="preserve">health facility cost (cost from government) 
(medicines are given free or subsidized. the cost is borne by gov. / doctors, nurses, etc (healthcare providers), infra, maintenance etc. </t>
    </r>
    <r>
      <rPr>
        <sz val="11"/>
        <rFont val="Arial"/>
        <family val="2"/>
      </rPr>
      <t xml:space="preserve">
-&gt; using indian data from Kolkatta? Or Newdelhi
(2003 publishied COI: deflate/inflate (2nd choice)
-&gt; use SEAP data in bangladesh, nepal
-&gt;  SEFI data if available (best choice)
-&gt; model based analysis (WHO CHOICE or IVI model 2014? 
2) direct medical cost
3) direct non-medical cost
4) indirect cost (minimum wage, gdp, self-reported)
-&gt; scenario analysis </t>
    </r>
  </si>
  <si>
    <r>
      <t xml:space="preserve">1) CFR: scenario analyis (different assumptions across CFR)
1% is typical basecase. 
</t>
    </r>
    <r>
      <rPr>
        <sz val="11"/>
        <color rgb="FFFF0000"/>
        <rFont val="Arial"/>
        <family val="2"/>
      </rPr>
      <t>Recent systematic review of Virginia pitzer? 
Recent CEA of typhoid</t>
    </r>
    <r>
      <rPr>
        <sz val="11"/>
        <color theme="1"/>
        <rFont val="Arial"/>
        <family val="2"/>
      </rPr>
      <t xml:space="preserve"> </t>
    </r>
  </si>
  <si>
    <t>cases averted (inpatient/ outpatient)</t>
  </si>
  <si>
    <t>illness duration (Days)
 -&gt; total days of illness (separately for inpatient/ and outpatient)</t>
  </si>
  <si>
    <t>disability weight (between 0-1) moderate/ outpatient</t>
  </si>
  <si>
    <t>disability weight (between 0-1) severe/ inpatient</t>
  </si>
  <si>
    <t>case fatality rate (%) (inpatient/outpatient)
-&gt; other papers (different sources)</t>
  </si>
  <si>
    <t xml:space="preserve">time horizon 
1) </t>
  </si>
  <si>
    <t>vaccine effectiveness (%) -&gt; kashmira (Based on duration of followup 2years? )
projection for future (scenario analysis: vaccine waning rate)</t>
  </si>
  <si>
    <t>real case after vaccination (Post- vacc case) -&gt; kashmira (inpatient/outpatient) year 1 and2? -&gt; we might need to do projecting? 
Half are averted in year 1 and the other half are averted in year2</t>
  </si>
  <si>
    <t>Input Parameters</t>
  </si>
  <si>
    <t>vaccine delivery cost 
(excluding vaccine, syringes, and safety boxes)</t>
  </si>
  <si>
    <t>mean value (point estimate) / usd</t>
  </si>
  <si>
    <t>total vaccianation cost</t>
  </si>
  <si>
    <t>vaccine economic cost 
- vaccine, syringes, safety boxes
(per dose/unit)</t>
  </si>
  <si>
    <t xml:space="preserve">duration of immunity </t>
  </si>
  <si>
    <t xml:space="preserve">Sushant </t>
  </si>
  <si>
    <t xml:space="preserve">health facility cost </t>
  </si>
  <si>
    <t>2) Indian data from Kolkatta</t>
  </si>
  <si>
    <t>ciaa367.pdf (silverchair.com)</t>
  </si>
  <si>
    <t>TCV COI data</t>
  </si>
  <si>
    <t>cost of illness (direct medical cost)
- total average</t>
  </si>
  <si>
    <t xml:space="preserve">cost of illness (direct non-medical cost)
- total average </t>
  </si>
  <si>
    <t>Patient cost</t>
  </si>
  <si>
    <t>cost of illness (direct medical cost)
- IPD average</t>
  </si>
  <si>
    <t xml:space="preserve">cost of illness (direct non-medical cost)
- IPD average </t>
  </si>
  <si>
    <t>cost of illness (indirect cost)
- IPD average</t>
  </si>
  <si>
    <t>cost of illness (direct medical cost)
- OPD average</t>
  </si>
  <si>
    <t xml:space="preserve">cost of illness (direct non-medical cost)
- OPD average </t>
  </si>
  <si>
    <t>cost of illness (indirect cost)
- OPD average</t>
  </si>
  <si>
    <t xml:space="preserve">Total </t>
  </si>
  <si>
    <t>IPD</t>
  </si>
  <si>
    <t>OPD</t>
  </si>
  <si>
    <t>case fatality rate (IPD severe case)</t>
  </si>
  <si>
    <t>case fatality rae (OPD moderate case)</t>
  </si>
  <si>
    <t xml:space="preserve">vaccine effectiveness </t>
  </si>
  <si>
    <t>field</t>
  </si>
  <si>
    <t>vaccine wastage factor</t>
  </si>
  <si>
    <t>annual discount rate</t>
  </si>
  <si>
    <t>retrospectively calculated by VE and post-vaccination case</t>
  </si>
  <si>
    <t>illness duration (total average)</t>
  </si>
  <si>
    <t>disability weight (moderate)</t>
  </si>
  <si>
    <t>disability weight (severe)</t>
  </si>
  <si>
    <t>time horizon</t>
  </si>
  <si>
    <t>year1 effectiveness</t>
  </si>
  <si>
    <t>year2 effectiveness</t>
  </si>
  <si>
    <t>Typhoid and Paratyphoid Cost of Illness in Bangladesh:
Patient and Health Facility Costs From the Surveillance for
Enteric Fever in Asia Project II</t>
  </si>
  <si>
    <t>post-vaccination case (year1)</t>
  </si>
  <si>
    <t>post-vaccination case (year2)</t>
  </si>
  <si>
    <t>pre-vaccination case (year1)</t>
  </si>
  <si>
    <t>pre-vaccination case (year2)</t>
  </si>
  <si>
    <t>illness duration (IPD severe case) years</t>
  </si>
  <si>
    <t>illness duration (OPD severe case) years</t>
  </si>
  <si>
    <t>weighted average cost per case 
(both hospital in Dhaka 2015-2016)</t>
  </si>
  <si>
    <t>weighted average cost per case 
(both hospital in Nepal)</t>
  </si>
  <si>
    <t>Typhoid and Paratyphoid Cost of Illness in Nepal: Patient
and Health Facility Costs From the Surveillance for Enteric
Fever in Asia Project II</t>
  </si>
  <si>
    <t>1) SEAP</t>
  </si>
  <si>
    <t xml:space="preserve">** no reference found </t>
  </si>
  <si>
    <t>Assumption based</t>
  </si>
  <si>
    <t>n</t>
  </si>
  <si>
    <t>95% CI lower limit</t>
  </si>
  <si>
    <t>95% CI upper limit</t>
  </si>
  <si>
    <t>beta</t>
  </si>
  <si>
    <t xml:space="preserve">case averted </t>
  </si>
  <si>
    <t>DALY of vaccinated group</t>
  </si>
  <si>
    <t>ICER (per case averted)</t>
  </si>
  <si>
    <t>ICER (per DALY averted)</t>
  </si>
  <si>
    <t>constant</t>
  </si>
  <si>
    <t>cost of illness (indirect cost)
- total average 
** min wage approach (base)</t>
  </si>
  <si>
    <t>log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</si>
</sst>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0.00000"/>
    <numFmt numFmtId="168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1" xfId="0" applyFont="1" applyBorder="1" applyAlignment="1">
      <alignment horizontal="center"/>
    </xf>
    <xf numFmtId="165" fontId="3" fillId="0" borderId="1" xfId="1" applyNumberFormat="1" applyFont="1" applyBorder="1"/>
    <xf numFmtId="0" fontId="3" fillId="0" borderId="0" xfId="0" applyFont="1"/>
    <xf numFmtId="0" fontId="3" fillId="0" borderId="1" xfId="0" applyFont="1" applyBorder="1"/>
    <xf numFmtId="165" fontId="3" fillId="0" borderId="0" xfId="1" applyNumberFormat="1" applyFont="1"/>
    <xf numFmtId="43" fontId="3" fillId="0" borderId="0" xfId="0" applyNumberFormat="1" applyFont="1"/>
    <xf numFmtId="2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43" fontId="3" fillId="0" borderId="2" xfId="1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165" fontId="3" fillId="0" borderId="2" xfId="1" applyNumberFormat="1" applyFont="1" applyBorder="1"/>
    <xf numFmtId="0" fontId="4" fillId="0" borderId="2" xfId="0" applyFont="1" applyBorder="1"/>
    <xf numFmtId="0" fontId="3" fillId="0" borderId="3" xfId="0" applyFont="1" applyBorder="1"/>
    <xf numFmtId="165" fontId="3" fillId="0" borderId="3" xfId="1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165" fontId="4" fillId="0" borderId="2" xfId="1" applyNumberFormat="1" applyFont="1" applyBorder="1"/>
    <xf numFmtId="0" fontId="2" fillId="0" borderId="0" xfId="0" applyFont="1" applyAlignment="1">
      <alignment horizontal="center"/>
    </xf>
    <xf numFmtId="43" fontId="3" fillId="2" borderId="0" xfId="1" applyFont="1" applyFill="1"/>
    <xf numFmtId="9" fontId="3" fillId="0" borderId="2" xfId="2" applyFont="1" applyBorder="1"/>
    <xf numFmtId="165" fontId="3" fillId="0" borderId="2" xfId="0" applyNumberFormat="1" applyFont="1" applyBorder="1"/>
    <xf numFmtId="167" fontId="3" fillId="0" borderId="2" xfId="0" applyNumberFormat="1" applyFont="1" applyBorder="1"/>
    <xf numFmtId="43" fontId="3" fillId="0" borderId="2" xfId="0" applyNumberFormat="1" applyFont="1" applyBorder="1"/>
    <xf numFmtId="43" fontId="3" fillId="0" borderId="0" xfId="1" applyFont="1"/>
    <xf numFmtId="0" fontId="3" fillId="0" borderId="0" xfId="0" applyFont="1" applyFill="1"/>
    <xf numFmtId="2" fontId="3" fillId="0" borderId="0" xfId="0" applyNumberFormat="1" applyFont="1" applyFill="1"/>
    <xf numFmtId="0" fontId="7" fillId="0" borderId="0" xfId="0" applyFont="1"/>
    <xf numFmtId="0" fontId="3" fillId="0" borderId="3" xfId="0" applyFont="1" applyBorder="1" applyAlignment="1">
      <alignment wrapText="1"/>
    </xf>
    <xf numFmtId="164" fontId="3" fillId="0" borderId="0" xfId="1" applyNumberFormat="1" applyFont="1" applyBorder="1"/>
    <xf numFmtId="0" fontId="8" fillId="0" borderId="0" xfId="3"/>
    <xf numFmtId="0" fontId="9" fillId="0" borderId="3" xfId="0" applyFont="1" applyBorder="1"/>
    <xf numFmtId="165" fontId="9" fillId="0" borderId="3" xfId="1" applyNumberFormat="1" applyFont="1" applyBorder="1"/>
    <xf numFmtId="0" fontId="9" fillId="0" borderId="2" xfId="0" applyFont="1" applyBorder="1" applyAlignment="1">
      <alignment wrapText="1"/>
    </xf>
    <xf numFmtId="43" fontId="9" fillId="0" borderId="2" xfId="1" applyNumberFormat="1" applyFont="1" applyBorder="1"/>
    <xf numFmtId="0" fontId="9" fillId="0" borderId="2" xfId="0" applyFont="1" applyBorder="1"/>
    <xf numFmtId="164" fontId="9" fillId="0" borderId="2" xfId="1" applyNumberFormat="1" applyFont="1" applyBorder="1"/>
    <xf numFmtId="166" fontId="9" fillId="0" borderId="2" xfId="1" applyNumberFormat="1" applyFont="1" applyBorder="1"/>
    <xf numFmtId="165" fontId="9" fillId="0" borderId="2" xfId="1" applyNumberFormat="1" applyFont="1" applyBorder="1"/>
    <xf numFmtId="168" fontId="9" fillId="0" borderId="2" xfId="1" applyNumberFormat="1" applyFont="1" applyBorder="1"/>
    <xf numFmtId="43" fontId="3" fillId="0" borderId="0" xfId="1" applyFont="1" applyFill="1"/>
    <xf numFmtId="0" fontId="9" fillId="0" borderId="4" xfId="0" applyFont="1" applyBorder="1"/>
    <xf numFmtId="168" fontId="9" fillId="0" borderId="4" xfId="1" applyNumberFormat="1" applyFont="1" applyBorder="1"/>
    <xf numFmtId="43" fontId="9" fillId="0" borderId="4" xfId="1" applyNumberFormat="1" applyFont="1" applyBorder="1"/>
    <xf numFmtId="0" fontId="8" fillId="0" borderId="2" xfId="3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Border="1"/>
    <xf numFmtId="165" fontId="3" fillId="0" borderId="5" xfId="1" applyNumberFormat="1" applyFont="1" applyBorder="1"/>
    <xf numFmtId="43" fontId="3" fillId="0" borderId="6" xfId="1" applyNumberFormat="1" applyFont="1" applyBorder="1"/>
    <xf numFmtId="164" fontId="3" fillId="0" borderId="6" xfId="1" applyNumberFormat="1" applyFont="1" applyBorder="1"/>
    <xf numFmtId="165" fontId="3" fillId="0" borderId="6" xfId="1" applyNumberFormat="1" applyFont="1" applyBorder="1"/>
    <xf numFmtId="165" fontId="4" fillId="0" borderId="6" xfId="1" applyNumberFormat="1" applyFont="1" applyBorder="1"/>
    <xf numFmtId="0" fontId="8" fillId="0" borderId="6" xfId="3" applyBorder="1"/>
    <xf numFmtId="43" fontId="4" fillId="0" borderId="2" xfId="1" applyNumberFormat="1" applyFont="1" applyBorder="1"/>
    <xf numFmtId="0" fontId="9" fillId="2" borderId="2" xfId="0" applyFont="1" applyFill="1" applyBorder="1"/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1" applyNumberFormat="1" applyFont="1" applyBorder="1" applyAlignment="1"/>
    <xf numFmtId="165" fontId="2" fillId="0" borderId="0" xfId="1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8" fillId="0" borderId="2" xfId="3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43" fontId="9" fillId="2" borderId="2" xfId="1" applyNumberFormat="1" applyFont="1" applyFill="1" applyBorder="1"/>
    <xf numFmtId="0" fontId="8" fillId="2" borderId="2" xfId="3" applyFill="1" applyBorder="1" applyAlignment="1">
      <alignment wrapText="1"/>
    </xf>
    <xf numFmtId="165" fontId="9" fillId="2" borderId="2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4" fillId="2" borderId="2" xfId="0" applyFont="1" applyFill="1" applyBorder="1"/>
    <xf numFmtId="43" fontId="3" fillId="3" borderId="2" xfId="0" applyNumberFormat="1" applyFont="1" applyFill="1" applyBorder="1"/>
    <xf numFmtId="43" fontId="3" fillId="3" borderId="2" xfId="1" applyFont="1" applyFill="1" applyBorder="1"/>
    <xf numFmtId="2" fontId="3" fillId="3" borderId="2" xfId="0" applyNumberFormat="1" applyFont="1" applyFill="1" applyBorder="1"/>
    <xf numFmtId="43" fontId="4" fillId="3" borderId="2" xfId="0" applyNumberFormat="1" applyFont="1" applyFill="1" applyBorder="1"/>
    <xf numFmtId="0" fontId="4" fillId="3" borderId="2" xfId="0" applyFont="1" applyFill="1" applyBorder="1"/>
    <xf numFmtId="2" fontId="4" fillId="3" borderId="2" xfId="0" applyNumberFormat="1" applyFont="1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thelancet.com/action/showPdf?pii=S1473-3099%2818%2930804-1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atermark.silverchair.com/ciaa367.pdf?token=AQECAHi208BE49Ooan9kkhW_Ercy7Dm3ZL_9Cf3qfKAc485ysgAAAv0wggL5BgkqhkiG9w0BBwagggLqMIIC5gIBADCCAt8GCSqGSIb3DQEHATAeBglghkgBZQMEAS4wEQQMtxsTqhpUOga-smpgAgEQgIICsDsrfYWofKVJOIe9qkbmogfD88pgpYmLPG39sXV42JrfxP3DQMFrgs6KF1YVodDSemDwHmOJUbBlUpS1jz8eua7NuJFAgPe_qeoHiuy0iLTiZkQMbc_sZn-wbAPX409fySLIXSTTPlcAS81TfvGMbeaSvoR14INIuAjQe59CQwHamiAS28nYypEWgCeMPWSzx5WUVq_8YtrbCLxbvjqa_txcB2aItTmMHBmsE386mSt5lko4yIwa5sjMLvzf4s5Ewsqon5lnLBRsYza9BLUrUTIvU9Ei2HPVHO1tHN5k5QVVTF_2lvIdju2Cd5Z7FPluc6bRLDA7D9lAJGZDpEufxudlJf3aDjEsOxwYFisBrdjQAYcpAr0aAdHqw_hVbVxlM5-uOQWE38vItHVfVF8L121F6q9fXxUaOjR6jAXjmD8fWjhUUE2n4HVaV7DGzI2yCfz7OJP4tIJG9MPdq1asEy9HmP-6Y8_oOPsb834QEwmmmYCoZsIy3htqRu_RcdyLCavvbkOTaRmj6WeM6ZSiBd0pCuqu3MlDIlG5mIShRyVsu0Ou_MJEn0H7rn-JYJIoa1zRoTTLF0LaH69jwrT4xYxDtfyNnftSdgSqIc0c0yZauUAUKrqlGYBt7TajOZCk5Q3uaqYU-1Pi9P860TMHtHAlOrJHsZ2JA6WxZE3M2fQ23c1mmkrJCHAB8gShxDrrtgZN5IxejaOMxM1juQtjqG64v4rY8cY9jQbBd22SLcL3Ng41hio0RsKHACCCysbWeCfpNwU2AnR7YF3avsNHxOZEs22y6UyXvja6bNRJFJlIjJ30C_nSv70uv7Oa5p_HFPwVqEWPabY7ZkuHudVEDq8gOTUvoVksufPLY5cXPfiXCdlcB2sDJL1DVTxi9BXPopHw5DsKuY-46ROANB_pT50" TargetMode="External"/><Relationship Id="rId1" Type="http://schemas.openxmlformats.org/officeDocument/2006/relationships/hyperlink" Target="https://www.thelancet.com/action/showPdf?pii=S1473-3099%2818%2930804-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atermark.silverchair.com/ciaa367.pdf?token=AQECAHi208BE49Ooan9kkhW_Ercy7Dm3ZL_9Cf3qfKAc485ysgAAAv0wggL5BgkqhkiG9w0BBwagggLqMIIC5gIBADCCAt8GCSqGSIb3DQEHATAeBglghkgBZQMEAS4wEQQMtxsTqhpUOga-smpgAgEQgIICsDsrfYWofKVJOIe9qkbmogfD88pgpYmLPG39sXV42JrfxP3DQMFrgs6KF1YVodDSemDwHmOJUbBlUpS1jz8eua7NuJFAgPe_qeoHiuy0iLTiZkQMbc_sZn-wbAPX409fySLIXSTTPlcAS81TfvGMbeaSvoR14INIuAjQe59CQwHamiAS28nYypEWgCeMPWSzx5WUVq_8YtrbCLxbvjqa_txcB2aItTmMHBmsE386mSt5lko4yIwa5sjMLvzf4s5Ewsqon5lnLBRsYza9BLUrUTIvU9Ei2HPVHO1tHN5k5QVVTF_2lvIdju2Cd5Z7FPluc6bRLDA7D9lAJGZDpEufxudlJf3aDjEsOxwYFisBrdjQAYcpAr0aAdHqw_hVbVxlM5-uOQWE38vItHVfVF8L121F6q9fXxUaOjR6jAXjmD8fWjhUUE2n4HVaV7DGzI2yCfz7OJP4tIJG9MPdq1asEy9HmP-6Y8_oOPsb834QEwmmmYCoZsIy3htqRu_RcdyLCavvbkOTaRmj6WeM6ZSiBd0pCuqu3MlDIlG5mIShRyVsu0Ou_MJEn0H7rn-JYJIoa1zRoTTLF0LaH69jwrT4xYxDtfyNnftSdgSqIc0c0yZauUAUKrqlGYBt7TajOZCk5Q3uaqYU-1Pi9P860TMHtHAlOrJHsZ2JA6WxZE3M2fQ23c1mmkrJCHAB8gShxDrrtgZN5IxejaOMxM1juQtjqG64v4rY8cY9jQbBd22SLcL3Ng41hio0RsKHACCCysbWeCfpNwU2AnR7YF3avsNHxOZEs22y6UyXvja6bNRJFJlIjJ30C_nSv70uv7Oa5p_HFPwVqEWPabY7ZkuHudVEDq8gOTUvoVksufPLY5cXPfiXCdlcB2sDJL1DVTxi9BXPopHw5DsKuY-46ROANB_pT50" TargetMode="External"/><Relationship Id="rId4" Type="http://schemas.openxmlformats.org/officeDocument/2006/relationships/hyperlink" Target="https://www.thelancet.com/action/showPdf?pii=S1473-3099%2818%2930804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thelancet.com/action/showPdf?pii=S1473-3099%2818%2930804-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thelancet.com/action/showPdf?pii=S1473-3099%2818%2930804-1" TargetMode="External"/><Relationship Id="rId1" Type="http://schemas.openxmlformats.org/officeDocument/2006/relationships/hyperlink" Target="https://www.coalitionagainsttyphoid.org/cost-effectiveness/india/" TargetMode="External"/><Relationship Id="rId6" Type="http://schemas.openxmlformats.org/officeDocument/2006/relationships/hyperlink" Target="https://www.sciencedirect.com/science/article/pii/S0264410X21007131" TargetMode="External"/><Relationship Id="rId5" Type="http://schemas.openxmlformats.org/officeDocument/2006/relationships/hyperlink" Target="https://www.thelancet.com/action/showPdf?pii=S1473-3099%2818%2930804-1" TargetMode="External"/><Relationship Id="rId4" Type="http://schemas.openxmlformats.org/officeDocument/2006/relationships/hyperlink" Target="https://www.thelancet.com/action/showPdf?pii=S1473-3099%2818%2930804-1" TargetMode="Externa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2138-6F17-4A00-9AA8-D61E19E5D003}">
  <sheetPr>
    <tabColor theme="5" tint="0.79998168889431442"/>
  </sheetPr>
  <dimension ref="A1:I51"/>
  <sheetViews>
    <sheetView tabSelected="1" topLeftCell="A22" workbookViewId="0">
      <selection activeCell="B50" sqref="B50:B51"/>
    </sheetView>
  </sheetViews>
  <sheetFormatPr defaultRowHeight="14.25" x14ac:dyDescent="0.2"/>
  <cols>
    <col min="1" max="1" width="38.42578125" style="59" bestFit="1" customWidth="1"/>
    <col min="2" max="2" width="36.5703125" style="3" bestFit="1" customWidth="1"/>
    <col min="3" max="6" width="20.28515625" style="3" customWidth="1"/>
    <col min="7" max="7" width="23.28515625" style="3" customWidth="1"/>
    <col min="8" max="8" width="30.7109375" style="3" customWidth="1"/>
    <col min="9" max="9" width="56.85546875" style="3" bestFit="1" customWidth="1"/>
    <col min="10" max="16384" width="9.140625" style="3"/>
  </cols>
  <sheetData>
    <row r="1" spans="1:9" ht="15" x14ac:dyDescent="0.25">
      <c r="A1" s="60" t="s">
        <v>117</v>
      </c>
      <c r="B1" s="61" t="s">
        <v>119</v>
      </c>
      <c r="C1" s="62" t="s">
        <v>167</v>
      </c>
      <c r="D1" s="62" t="s">
        <v>168</v>
      </c>
      <c r="E1" s="62" t="s">
        <v>166</v>
      </c>
      <c r="F1" s="62" t="s">
        <v>176</v>
      </c>
      <c r="G1" s="62" t="s">
        <v>85</v>
      </c>
      <c r="H1" s="62" t="s">
        <v>47</v>
      </c>
      <c r="I1" s="62" t="s">
        <v>48</v>
      </c>
    </row>
    <row r="2" spans="1:9" x14ac:dyDescent="0.2">
      <c r="A2" s="63" t="s">
        <v>1</v>
      </c>
      <c r="B2" s="75">
        <v>113420</v>
      </c>
      <c r="C2" s="75" t="s">
        <v>67</v>
      </c>
      <c r="D2" s="75"/>
      <c r="E2" s="75"/>
      <c r="F2" s="75"/>
      <c r="G2" s="72"/>
      <c r="H2" s="72"/>
      <c r="I2" s="72"/>
    </row>
    <row r="3" spans="1:9" ht="42.75" x14ac:dyDescent="0.2">
      <c r="A3" s="64" t="s">
        <v>118</v>
      </c>
      <c r="B3" s="11">
        <v>1.49</v>
      </c>
      <c r="C3" s="11"/>
      <c r="D3" s="11"/>
      <c r="E3" s="11"/>
      <c r="F3" s="11"/>
      <c r="G3" s="11"/>
      <c r="H3" s="11" t="s">
        <v>68</v>
      </c>
      <c r="I3" s="11"/>
    </row>
    <row r="4" spans="1:9" ht="42.75" x14ac:dyDescent="0.2">
      <c r="A4" s="64" t="s">
        <v>121</v>
      </c>
      <c r="B4" s="11">
        <v>2.96</v>
      </c>
      <c r="C4" s="11"/>
      <c r="D4" s="11"/>
      <c r="E4" s="11"/>
      <c r="F4" s="11"/>
      <c r="G4" s="11"/>
      <c r="H4" s="11" t="s">
        <v>68</v>
      </c>
      <c r="I4" s="11"/>
    </row>
    <row r="5" spans="1:9" x14ac:dyDescent="0.2">
      <c r="A5" s="65" t="s">
        <v>120</v>
      </c>
      <c r="B5" s="11">
        <v>4.45</v>
      </c>
      <c r="C5" s="11">
        <v>4.33</v>
      </c>
      <c r="D5" s="11">
        <v>6.94</v>
      </c>
      <c r="E5" s="11">
        <v>113420</v>
      </c>
      <c r="F5" s="11">
        <v>0.22672999999999999</v>
      </c>
      <c r="G5" s="25">
        <f>(SQRT(B2)*(D5-C5))/3.92</f>
        <v>224.23286288170746</v>
      </c>
      <c r="H5" s="11" t="s">
        <v>68</v>
      </c>
      <c r="I5" s="11"/>
    </row>
    <row r="6" spans="1:9" ht="45" x14ac:dyDescent="0.25">
      <c r="A6" s="86" t="s">
        <v>122</v>
      </c>
      <c r="B6" s="73">
        <v>15</v>
      </c>
      <c r="C6" s="73" t="s">
        <v>58</v>
      </c>
      <c r="D6" s="73"/>
      <c r="E6" s="73"/>
      <c r="F6" s="73"/>
      <c r="G6" s="72"/>
      <c r="H6" s="72"/>
      <c r="I6" s="74" t="s">
        <v>54</v>
      </c>
    </row>
    <row r="7" spans="1:9" x14ac:dyDescent="0.2">
      <c r="A7" s="87"/>
      <c r="B7" s="73"/>
      <c r="C7" s="73"/>
      <c r="D7" s="73"/>
      <c r="E7" s="73"/>
      <c r="F7" s="73"/>
      <c r="G7" s="72"/>
      <c r="H7" s="72"/>
      <c r="I7" s="72" t="s">
        <v>123</v>
      </c>
    </row>
    <row r="8" spans="1:9" x14ac:dyDescent="0.2">
      <c r="A8" s="67" t="s">
        <v>124</v>
      </c>
      <c r="B8" s="11"/>
      <c r="C8" s="11"/>
      <c r="D8" s="11"/>
      <c r="E8" s="11"/>
      <c r="F8" s="11"/>
      <c r="G8" s="11"/>
      <c r="H8" s="11"/>
      <c r="I8" s="11"/>
    </row>
    <row r="9" spans="1:9" ht="15" x14ac:dyDescent="0.25">
      <c r="A9" s="68" t="s">
        <v>163</v>
      </c>
      <c r="B9" s="11"/>
      <c r="C9" s="11"/>
      <c r="D9" s="11"/>
      <c r="E9" s="11"/>
      <c r="F9" s="11"/>
      <c r="G9" s="11"/>
      <c r="H9" s="11"/>
      <c r="I9" s="46" t="s">
        <v>126</v>
      </c>
    </row>
    <row r="10" spans="1:9" ht="45" x14ac:dyDescent="0.25">
      <c r="A10" s="70" t="s">
        <v>160</v>
      </c>
      <c r="B10" s="11">
        <v>58.64</v>
      </c>
      <c r="C10" s="11">
        <v>37.25</v>
      </c>
      <c r="D10" s="11">
        <v>73.27</v>
      </c>
      <c r="E10" s="11">
        <v>1640</v>
      </c>
      <c r="F10" s="11">
        <v>0.1136399</v>
      </c>
      <c r="G10" s="11">
        <f>(SQRT(1640)*(D10-C10))/3.92</f>
        <v>372.11704666429762</v>
      </c>
      <c r="H10" s="11" t="s">
        <v>68</v>
      </c>
      <c r="I10" s="66" t="s">
        <v>153</v>
      </c>
    </row>
    <row r="11" spans="1:9" ht="45" x14ac:dyDescent="0.25">
      <c r="A11" s="70" t="s">
        <v>161</v>
      </c>
      <c r="B11" s="11">
        <v>79.8</v>
      </c>
      <c r="C11" s="11"/>
      <c r="D11" s="11"/>
      <c r="E11" s="11"/>
      <c r="F11" s="11"/>
      <c r="G11" s="11"/>
      <c r="H11" s="11" t="s">
        <v>68</v>
      </c>
      <c r="I11" s="66" t="s">
        <v>162</v>
      </c>
    </row>
    <row r="12" spans="1:9" x14ac:dyDescent="0.2">
      <c r="A12" s="76" t="s">
        <v>125</v>
      </c>
      <c r="B12" s="11"/>
      <c r="C12" s="11"/>
      <c r="D12" s="11"/>
      <c r="E12" s="11"/>
      <c r="F12" s="11"/>
      <c r="G12" s="11"/>
      <c r="H12" s="11"/>
      <c r="I12" s="14" t="s">
        <v>164</v>
      </c>
    </row>
    <row r="13" spans="1:9" ht="15" x14ac:dyDescent="0.25">
      <c r="A13" s="67" t="s">
        <v>130</v>
      </c>
      <c r="B13" s="11"/>
      <c r="C13" s="11"/>
      <c r="D13" s="11"/>
      <c r="E13" s="11"/>
      <c r="F13" s="11"/>
      <c r="G13" s="11"/>
      <c r="H13" s="11"/>
      <c r="I13" s="46"/>
    </row>
    <row r="14" spans="1:9" ht="15" x14ac:dyDescent="0.25">
      <c r="A14" s="68" t="s">
        <v>137</v>
      </c>
      <c r="B14" s="11"/>
      <c r="C14" s="11"/>
      <c r="D14" s="11"/>
      <c r="E14" s="11"/>
      <c r="F14" s="11"/>
      <c r="G14" s="11"/>
      <c r="H14" s="11"/>
      <c r="I14" s="46"/>
    </row>
    <row r="15" spans="1:9" ht="28.5" x14ac:dyDescent="0.2">
      <c r="A15" s="69" t="s">
        <v>128</v>
      </c>
      <c r="B15" s="11">
        <v>183.07</v>
      </c>
      <c r="C15" s="11">
        <v>126.4498</v>
      </c>
      <c r="D15" s="11">
        <v>240.35919999999999</v>
      </c>
      <c r="E15" s="11">
        <v>65</v>
      </c>
      <c r="F15" s="11"/>
      <c r="G15" s="11">
        <v>229.31</v>
      </c>
      <c r="H15" s="11" t="s">
        <v>68</v>
      </c>
      <c r="I15" s="11" t="s">
        <v>127</v>
      </c>
    </row>
    <row r="16" spans="1:9" ht="28.5" x14ac:dyDescent="0.2">
      <c r="A16" s="69" t="s">
        <v>129</v>
      </c>
      <c r="B16" s="11">
        <v>30.13</v>
      </c>
      <c r="C16" s="11">
        <v>22.715499999999999</v>
      </c>
      <c r="D16" s="11">
        <v>38.114710000000002</v>
      </c>
      <c r="E16" s="11">
        <v>65</v>
      </c>
      <c r="F16" s="11"/>
      <c r="G16" s="11">
        <v>31.06</v>
      </c>
      <c r="H16" s="11" t="s">
        <v>68</v>
      </c>
      <c r="I16" s="11" t="s">
        <v>127</v>
      </c>
    </row>
    <row r="17" spans="1:9" ht="42.75" x14ac:dyDescent="0.2">
      <c r="A17" s="69" t="s">
        <v>175</v>
      </c>
      <c r="B17" s="11">
        <v>110.95</v>
      </c>
      <c r="C17" s="11">
        <v>104.363</v>
      </c>
      <c r="D17" s="11">
        <v>117.5348</v>
      </c>
      <c r="E17" s="11">
        <v>65</v>
      </c>
      <c r="F17" s="11"/>
      <c r="G17" s="11">
        <v>26.58</v>
      </c>
      <c r="H17" s="11" t="s">
        <v>68</v>
      </c>
      <c r="I17" s="11" t="s">
        <v>127</v>
      </c>
    </row>
    <row r="18" spans="1:9" x14ac:dyDescent="0.2">
      <c r="A18" s="70" t="s">
        <v>138</v>
      </c>
      <c r="B18" s="11"/>
      <c r="C18" s="11"/>
      <c r="D18" s="11"/>
      <c r="E18" s="11"/>
      <c r="F18" s="11"/>
      <c r="G18" s="11"/>
      <c r="H18" s="11"/>
      <c r="I18" s="11" t="s">
        <v>127</v>
      </c>
    </row>
    <row r="19" spans="1:9" ht="28.5" x14ac:dyDescent="0.2">
      <c r="A19" s="69" t="s">
        <v>131</v>
      </c>
      <c r="B19" s="11">
        <v>234.77</v>
      </c>
      <c r="C19" s="11">
        <v>146.0821</v>
      </c>
      <c r="D19" s="11">
        <v>323.4554</v>
      </c>
      <c r="E19" s="11">
        <v>37</v>
      </c>
      <c r="F19" s="11"/>
      <c r="G19" s="11">
        <v>265.99</v>
      </c>
      <c r="H19" s="11" t="s">
        <v>68</v>
      </c>
      <c r="I19" s="11" t="s">
        <v>127</v>
      </c>
    </row>
    <row r="20" spans="1:9" ht="28.5" x14ac:dyDescent="0.2">
      <c r="A20" s="69" t="s">
        <v>132</v>
      </c>
      <c r="B20" s="11">
        <v>37.79</v>
      </c>
      <c r="C20" s="11">
        <v>26.644169999999999</v>
      </c>
      <c r="D20" s="11">
        <v>48.933660000000003</v>
      </c>
      <c r="E20" s="11">
        <v>37</v>
      </c>
      <c r="F20" s="11"/>
      <c r="G20" s="11">
        <v>33.43</v>
      </c>
      <c r="H20" s="11" t="s">
        <v>68</v>
      </c>
      <c r="I20" s="11" t="s">
        <v>127</v>
      </c>
    </row>
    <row r="21" spans="1:9" ht="28.5" x14ac:dyDescent="0.2">
      <c r="A21" s="69" t="s">
        <v>133</v>
      </c>
      <c r="B21" s="11">
        <v>112.54</v>
      </c>
      <c r="C21" s="11">
        <v>102.8715</v>
      </c>
      <c r="D21" s="11">
        <v>122.2003</v>
      </c>
      <c r="E21" s="11">
        <v>37</v>
      </c>
      <c r="F21" s="11"/>
      <c r="G21" s="11">
        <v>28.99</v>
      </c>
      <c r="H21" s="11" t="s">
        <v>68</v>
      </c>
      <c r="I21" s="11" t="s">
        <v>127</v>
      </c>
    </row>
    <row r="22" spans="1:9" x14ac:dyDescent="0.2">
      <c r="A22" s="70" t="s">
        <v>139</v>
      </c>
      <c r="B22" s="11"/>
      <c r="C22" s="11"/>
      <c r="D22" s="11"/>
      <c r="E22" s="11"/>
      <c r="F22" s="11"/>
      <c r="G22" s="11"/>
      <c r="H22" s="11"/>
      <c r="I22" s="11" t="s">
        <v>127</v>
      </c>
    </row>
    <row r="23" spans="1:9" ht="28.5" x14ac:dyDescent="0.2">
      <c r="A23" s="69" t="s">
        <v>134</v>
      </c>
      <c r="B23" s="11">
        <v>114.76</v>
      </c>
      <c r="C23" s="11">
        <v>57.500340000000001</v>
      </c>
      <c r="D23" s="11">
        <v>172.0189</v>
      </c>
      <c r="E23" s="11">
        <v>28</v>
      </c>
      <c r="F23" s="11"/>
      <c r="G23" s="11">
        <v>147.66999999999999</v>
      </c>
      <c r="H23" s="11" t="s">
        <v>68</v>
      </c>
      <c r="I23" s="11" t="s">
        <v>127</v>
      </c>
    </row>
    <row r="24" spans="1:9" ht="28.5" x14ac:dyDescent="0.2">
      <c r="A24" s="69" t="s">
        <v>135</v>
      </c>
      <c r="B24" s="11">
        <v>20.02</v>
      </c>
      <c r="C24" s="11">
        <v>10.43641</v>
      </c>
      <c r="D24" s="11">
        <v>29.602530000000002</v>
      </c>
      <c r="E24" s="11">
        <v>28</v>
      </c>
      <c r="F24" s="11"/>
      <c r="G24" s="11">
        <v>24.71</v>
      </c>
      <c r="H24" s="11" t="s">
        <v>68</v>
      </c>
      <c r="I24" s="11" t="s">
        <v>127</v>
      </c>
    </row>
    <row r="25" spans="1:9" ht="28.5" x14ac:dyDescent="0.2">
      <c r="A25" s="69" t="s">
        <v>136</v>
      </c>
      <c r="B25" s="11">
        <v>108.85</v>
      </c>
      <c r="C25" s="11">
        <v>99.78922</v>
      </c>
      <c r="D25" s="11">
        <v>117.9144</v>
      </c>
      <c r="E25" s="11">
        <v>28</v>
      </c>
      <c r="F25" s="11"/>
      <c r="G25" s="11">
        <v>23.37</v>
      </c>
      <c r="H25" s="11" t="s">
        <v>68</v>
      </c>
      <c r="I25" s="11" t="s">
        <v>127</v>
      </c>
    </row>
    <row r="26" spans="1:9" x14ac:dyDescent="0.2">
      <c r="A26" s="67" t="s">
        <v>140</v>
      </c>
      <c r="B26" s="11"/>
      <c r="C26" s="11"/>
      <c r="D26" s="11"/>
      <c r="E26" s="11"/>
      <c r="F26" s="11"/>
      <c r="G26" s="11"/>
      <c r="H26" s="11"/>
      <c r="I26" s="11"/>
    </row>
    <row r="27" spans="1:9" x14ac:dyDescent="0.2">
      <c r="A27" s="67" t="s">
        <v>141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">
      <c r="A28" s="71" t="s">
        <v>142</v>
      </c>
      <c r="B28" s="72">
        <v>87</v>
      </c>
      <c r="C28" s="72">
        <v>80</v>
      </c>
      <c r="D28" s="72">
        <v>95</v>
      </c>
      <c r="E28" s="72"/>
      <c r="F28" s="72"/>
      <c r="G28" s="79">
        <v>4.1958210000000003E-2</v>
      </c>
      <c r="H28" s="72" t="s">
        <v>169</v>
      </c>
      <c r="I28" s="72" t="s">
        <v>143</v>
      </c>
    </row>
    <row r="29" spans="1:9" x14ac:dyDescent="0.2">
      <c r="A29" s="71" t="s">
        <v>151</v>
      </c>
      <c r="B29" s="72"/>
      <c r="C29" s="72"/>
      <c r="D29" s="72"/>
      <c r="E29" s="72"/>
      <c r="F29" s="72"/>
      <c r="G29" s="72"/>
      <c r="H29" s="72"/>
      <c r="I29" s="72" t="s">
        <v>143</v>
      </c>
    </row>
    <row r="30" spans="1:9" x14ac:dyDescent="0.2">
      <c r="A30" s="71" t="s">
        <v>152</v>
      </c>
      <c r="B30" s="72"/>
      <c r="C30" s="72"/>
      <c r="D30" s="72"/>
      <c r="E30" s="72"/>
      <c r="F30" s="72"/>
      <c r="G30" s="72"/>
      <c r="H30" s="72"/>
      <c r="I30" s="72" t="s">
        <v>143</v>
      </c>
    </row>
    <row r="31" spans="1:9" x14ac:dyDescent="0.2">
      <c r="A31" s="67" t="s">
        <v>144</v>
      </c>
      <c r="B31" s="11">
        <v>3</v>
      </c>
      <c r="C31" s="11">
        <v>2.7</v>
      </c>
      <c r="D31" s="11">
        <v>3.3</v>
      </c>
      <c r="E31" s="11"/>
      <c r="F31" s="11"/>
      <c r="G31" s="14">
        <v>4.862764E-2</v>
      </c>
      <c r="H31" s="11" t="s">
        <v>169</v>
      </c>
      <c r="I31" s="11"/>
    </row>
    <row r="32" spans="1:9" x14ac:dyDescent="0.2">
      <c r="A32" s="67" t="s">
        <v>156</v>
      </c>
      <c r="B32" s="11">
        <f>B34/(1-0.87)</f>
        <v>384.61538461538458</v>
      </c>
      <c r="C32" s="11">
        <f>B34/(1-0.8)</f>
        <v>250.00000000000006</v>
      </c>
      <c r="D32" s="11">
        <f>B34/(1-0.95)</f>
        <v>999.99999999999909</v>
      </c>
      <c r="E32" s="11"/>
      <c r="F32" s="11"/>
      <c r="G32" s="14">
        <v>0.48699999999999999</v>
      </c>
      <c r="H32" s="11" t="s">
        <v>169</v>
      </c>
      <c r="I32" s="11" t="s">
        <v>146</v>
      </c>
    </row>
    <row r="33" spans="1:9" x14ac:dyDescent="0.2">
      <c r="A33" s="67" t="s">
        <v>157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A34" s="71" t="s">
        <v>154</v>
      </c>
      <c r="B34" s="72">
        <v>50</v>
      </c>
      <c r="C34" s="72"/>
      <c r="D34" s="72"/>
      <c r="E34" s="72"/>
      <c r="F34" s="72"/>
      <c r="G34" s="72"/>
      <c r="H34" s="72" t="s">
        <v>174</v>
      </c>
      <c r="I34" s="72" t="s">
        <v>143</v>
      </c>
    </row>
    <row r="35" spans="1:9" x14ac:dyDescent="0.2">
      <c r="A35" s="71" t="s">
        <v>155</v>
      </c>
      <c r="B35" s="72"/>
      <c r="C35" s="72"/>
      <c r="D35" s="72"/>
      <c r="E35" s="72"/>
      <c r="F35" s="72"/>
      <c r="G35" s="72"/>
      <c r="H35" s="72" t="s">
        <v>169</v>
      </c>
      <c r="I35" s="72"/>
    </row>
    <row r="36" spans="1:9" x14ac:dyDescent="0.2">
      <c r="A36" s="67" t="s">
        <v>145</v>
      </c>
      <c r="B36" s="11">
        <v>3</v>
      </c>
      <c r="C36" s="11"/>
      <c r="D36" s="11"/>
      <c r="E36" s="11"/>
      <c r="F36" s="11"/>
      <c r="G36" s="11"/>
      <c r="H36" s="11" t="s">
        <v>169</v>
      </c>
      <c r="I36" s="11"/>
    </row>
    <row r="37" spans="1:9" x14ac:dyDescent="0.2">
      <c r="A37" s="67" t="s">
        <v>158</v>
      </c>
      <c r="B37" s="11">
        <f>14.76/365</f>
        <v>4.0438356164383564E-2</v>
      </c>
      <c r="C37" s="11"/>
      <c r="D37" s="11"/>
      <c r="E37" s="11">
        <v>65</v>
      </c>
      <c r="F37" s="11"/>
      <c r="G37" s="11"/>
      <c r="H37" s="11" t="s">
        <v>169</v>
      </c>
      <c r="I37" s="11" t="s">
        <v>127</v>
      </c>
    </row>
    <row r="38" spans="1:9" x14ac:dyDescent="0.2">
      <c r="A38" s="67" t="s">
        <v>159</v>
      </c>
      <c r="B38" s="11">
        <f>16.64/365</f>
        <v>4.558904109589041E-2</v>
      </c>
      <c r="C38" s="11"/>
      <c r="D38" s="11"/>
      <c r="E38" s="11">
        <v>65</v>
      </c>
      <c r="F38" s="11"/>
      <c r="G38" s="11"/>
      <c r="H38" s="11" t="s">
        <v>169</v>
      </c>
      <c r="I38" s="11" t="s">
        <v>127</v>
      </c>
    </row>
    <row r="39" spans="1:9" x14ac:dyDescent="0.2">
      <c r="A39" s="67" t="s">
        <v>147</v>
      </c>
      <c r="B39" s="11">
        <f>15.57/365</f>
        <v>4.265753424657534E-2</v>
      </c>
      <c r="C39" s="11"/>
      <c r="D39" s="11"/>
      <c r="E39" s="11">
        <v>65</v>
      </c>
      <c r="F39" s="11"/>
      <c r="G39" s="11">
        <f>7.32/365</f>
        <v>2.0054794520547946E-2</v>
      </c>
      <c r="H39" s="11" t="s">
        <v>169</v>
      </c>
      <c r="I39" s="11" t="s">
        <v>127</v>
      </c>
    </row>
    <row r="40" spans="1:9" ht="45" x14ac:dyDescent="0.25">
      <c r="A40" s="67" t="s">
        <v>148</v>
      </c>
      <c r="B40" s="41">
        <v>5.1999999999999998E-2</v>
      </c>
      <c r="C40" s="36">
        <v>3.1E-2</v>
      </c>
      <c r="D40" s="36">
        <v>7.9000000000000001E-2</v>
      </c>
      <c r="E40" s="36">
        <v>16328</v>
      </c>
      <c r="F40" s="36"/>
      <c r="G40" s="17">
        <f>SQRT(E40)*(D40-C40)/3.92</f>
        <v>1.5646660746086485</v>
      </c>
      <c r="H40" s="11" t="s">
        <v>169</v>
      </c>
      <c r="I40" s="66" t="s">
        <v>54</v>
      </c>
    </row>
    <row r="41" spans="1:9" ht="45" x14ac:dyDescent="0.25">
      <c r="A41" s="67" t="s">
        <v>149</v>
      </c>
      <c r="B41" s="41">
        <v>0.21</v>
      </c>
      <c r="C41" s="36" t="s">
        <v>56</v>
      </c>
      <c r="D41" s="36"/>
      <c r="E41" s="36"/>
      <c r="F41" s="36"/>
      <c r="G41" s="11"/>
      <c r="H41" s="11"/>
      <c r="I41" s="66" t="s">
        <v>54</v>
      </c>
    </row>
    <row r="42" spans="1:9" x14ac:dyDescent="0.2">
      <c r="A42" s="67" t="s">
        <v>150</v>
      </c>
      <c r="B42" s="11"/>
      <c r="C42" s="11"/>
      <c r="D42" s="11"/>
      <c r="E42" s="11"/>
      <c r="F42" s="11"/>
      <c r="G42" s="11"/>
      <c r="H42" s="11"/>
      <c r="I42" s="11" t="s">
        <v>165</v>
      </c>
    </row>
    <row r="43" spans="1:9" x14ac:dyDescent="0.2">
      <c r="A43" s="77" t="s">
        <v>59</v>
      </c>
      <c r="B43" s="80">
        <f>B2*B5+B34*(B10+B15+B16+B17)+B2/(1-0.03)*B5</f>
        <v>1044187.3659793815</v>
      </c>
      <c r="C43" s="80">
        <f>B2*C5+B34*(C10+C15+C16+C17)+(B2/(1-0.027))*C5</f>
        <v>1010384.0000976361</v>
      </c>
      <c r="D43" s="80">
        <f>B2*D5+B34*(D10+D15+D16+D17)+(B2/(1-0.033))*D5</f>
        <v>1624595.4262962774</v>
      </c>
      <c r="E43" s="78"/>
      <c r="F43" s="78"/>
      <c r="G43" s="83">
        <v>0.22552030000000001</v>
      </c>
      <c r="H43" s="78" t="s">
        <v>68</v>
      </c>
      <c r="I43" s="78"/>
    </row>
    <row r="44" spans="1:9" x14ac:dyDescent="0.2">
      <c r="A44" s="77" t="s">
        <v>60</v>
      </c>
      <c r="B44" s="81">
        <f>B32*(B10+B15+B16+B17)</f>
        <v>147226.92307692306</v>
      </c>
      <c r="C44" s="78">
        <f>C32*(C10+C15+C16+C17)</f>
        <v>72694.574999999997</v>
      </c>
      <c r="D44" s="78">
        <f>D32*(D10+D15+D16+D17)</f>
        <v>469278.70999999956</v>
      </c>
      <c r="E44" s="78"/>
      <c r="F44" s="78"/>
      <c r="G44" s="85">
        <v>0.59143970000000001</v>
      </c>
      <c r="H44" s="78" t="s">
        <v>68</v>
      </c>
      <c r="I44" s="78"/>
    </row>
    <row r="45" spans="1:9" x14ac:dyDescent="0.2">
      <c r="A45" s="77" t="s">
        <v>170</v>
      </c>
      <c r="B45" s="82">
        <f>B32-B34</f>
        <v>334.61538461538458</v>
      </c>
      <c r="C45" s="78">
        <f>C32-B34</f>
        <v>200.00000000000006</v>
      </c>
      <c r="D45" s="78">
        <f>D32-B34</f>
        <v>949.99999999999909</v>
      </c>
      <c r="E45" s="78"/>
      <c r="F45" s="78"/>
      <c r="G45" s="85">
        <v>0.53200000000000003</v>
      </c>
      <c r="H45" s="78" t="s">
        <v>169</v>
      </c>
      <c r="I45" s="78"/>
    </row>
    <row r="46" spans="1:9" x14ac:dyDescent="0.2">
      <c r="A46" s="77" t="s">
        <v>171</v>
      </c>
      <c r="B46" s="78"/>
      <c r="C46" s="78"/>
      <c r="D46" s="78"/>
      <c r="E46" s="78"/>
      <c r="F46" s="78"/>
      <c r="G46" s="78"/>
      <c r="H46" s="78"/>
      <c r="I46" s="78"/>
    </row>
    <row r="47" spans="1:9" x14ac:dyDescent="0.2">
      <c r="A47" s="77" t="s">
        <v>172</v>
      </c>
      <c r="B47" s="80">
        <f>(B43-B44)/(B32-B34)</f>
        <v>2680.5714385590713</v>
      </c>
      <c r="C47" s="80">
        <f>(C43-C44)/C45</f>
        <v>4688.4471254881792</v>
      </c>
      <c r="D47" s="80">
        <f>(D43-D44)/D45</f>
        <v>1216.1228592592411</v>
      </c>
      <c r="E47" s="78"/>
      <c r="F47" s="78"/>
      <c r="G47" s="84">
        <v>0.28499999999999998</v>
      </c>
      <c r="H47" s="78" t="s">
        <v>169</v>
      </c>
      <c r="I47" s="78"/>
    </row>
    <row r="48" spans="1:9" x14ac:dyDescent="0.2">
      <c r="A48" s="77" t="s">
        <v>173</v>
      </c>
      <c r="B48" s="78"/>
      <c r="C48" s="78"/>
      <c r="D48" s="78"/>
      <c r="E48" s="78"/>
      <c r="F48" s="78"/>
      <c r="G48" s="78"/>
      <c r="H48" s="78"/>
      <c r="I48" s="78"/>
    </row>
    <row r="50" spans="2:2" x14ac:dyDescent="0.2">
      <c r="B50" s="9">
        <f>B2*B5+B2/(1-0.03)*B5</f>
        <v>1025047.8659793815</v>
      </c>
    </row>
    <row r="51" spans="2:2" x14ac:dyDescent="0.2">
      <c r="B51" s="3">
        <f>B34*(B10+B15+B16+B17)</f>
        <v>19139.5</v>
      </c>
    </row>
  </sheetData>
  <mergeCells count="1">
    <mergeCell ref="A6:A7"/>
  </mergeCells>
  <hyperlinks>
    <hyperlink ref="I6" r:id="rId1" display="https://www.thelancet.com/action/showPdf?pii=S1473-3099%2818%2930804-1" xr:uid="{6C9A3356-287E-487B-B4D4-BADF973816E5}"/>
    <hyperlink ref="I9" r:id="rId2" display="https://watermark.silverchair.com/ciaa367.pdf?token=AQECAHi208BE49Ooan9kkhW_Ercy7Dm3ZL_9Cf3qfKAc485ysgAAAv0wggL5BgkqhkiG9w0BBwagggLqMIIC5gIBADCCAt8GCSqGSIb3DQEHATAeBglghkgBZQMEAS4wEQQMtxsTqhpUOga-smpgAgEQgIICsDsrfYWofKVJOIe9qkbmogfD88pgpYmLPG39sXV42JrfxP3DQMFrgs6KF1YVodDSemDwHmOJUbBlUpS1jz8eua7NuJFAgPe_qeoHiuy0iLTiZkQMbc_sZn-wbAPX409fySLIXSTTPlcAS81TfvGMbeaSvoR14INIuAjQe59CQwHamiAS28nYypEWgCeMPWSzx5WUVq_8YtrbCLxbvjqa_txcB2aItTmMHBmsE386mSt5lko4yIwa5sjMLvzf4s5Ewsqon5lnLBRsYza9BLUrUTIvU9Ei2HPVHO1tHN5k5QVVTF_2lvIdju2Cd5Z7FPluc6bRLDA7D9lAJGZDpEufxudlJf3aDjEsOxwYFisBrdjQAYcpAr0aAdHqw_hVbVxlM5-uOQWE38vItHVfVF8L121F6q9fXxUaOjR6jAXjmD8fWjhUUE2n4HVaV7DGzI2yCfz7OJP4tIJG9MPdq1asEy9HmP-6Y8_oOPsb834QEwmmmYCoZsIy3htqRu_RcdyLCavvbkOTaRmj6WeM6ZSiBd0pCuqu3MlDIlG5mIShRyVsu0Ou_MJEn0H7rn-JYJIoa1zRoTTLF0LaH69jwrT4xYxDtfyNnftSdgSqIc0c0yZauUAUKrqlGYBt7TajOZCk5Q3uaqYU-1Pi9P860TMHtHAlOrJHsZ2JA6WxZE3M2fQ23c1mmkrJCHAB8gShxDrrtgZN5IxejaOMxM1juQtjqG64v4rY8cY9jQbBd22SLcL3Ng41hio0RsKHACCCysbWeCfpNwU2AnR7YF3avsNHxOZEs22y6UyXvja6bNRJFJlIjJ30C_nSv70uv7Oa5p_HFPwVqEWPabY7ZkuHudVEDq8gOTUvoVksufPLY5cXPfiXCdlcB2sDJL1DVTxi9BXPopHw5DsKuY-46ROANB_pT50" xr:uid="{5DED1CBC-25FB-49EE-82F4-EEF64277F704}"/>
    <hyperlink ref="I40" r:id="rId3" display="https://www.thelancet.com/action/showPdf?pii=S1473-3099%2818%2930804-1" xr:uid="{6FD0FE78-4B7B-4E65-835A-5A2FB19A3C2E}"/>
    <hyperlink ref="I41" r:id="rId4" display="https://www.thelancet.com/action/showPdf?pii=S1473-3099%2818%2930804-1" xr:uid="{9AC73E4D-D8D2-4BEF-B327-988F69D08B32}"/>
    <hyperlink ref="I10" r:id="rId5" display="https://watermark.silverchair.com/ciaa367.pdf?token=AQECAHi208BE49Ooan9kkhW_Ercy7Dm3ZL_9Cf3qfKAc485ysgAAAv0wggL5BgkqhkiG9w0BBwagggLqMIIC5gIBADCCAt8GCSqGSIb3DQEHATAeBglghkgBZQMEAS4wEQQMtxsTqhpUOga-smpgAgEQgIICsDsrfYWofKVJOIe9qkbmogfD88pgpYmLPG39sXV42JrfxP3DQMFrgs6KF1YVodDSemDwHmOJUbBlUpS1jz8eua7NuJFAgPe_qeoHiuy0iLTiZkQMbc_sZn-wbAPX409fySLIXSTTPlcAS81TfvGMbeaSvoR14INIuAjQe59CQwHamiAS28nYypEWgCeMPWSzx5WUVq_8YtrbCLxbvjqa_txcB2aItTmMHBmsE386mSt5lko4yIwa5sjMLvzf4s5Ewsqon5lnLBRsYza9BLUrUTIvU9Ei2HPVHO1tHN5k5QVVTF_2lvIdju2Cd5Z7FPluc6bRLDA7D9lAJGZDpEufxudlJf3aDjEsOxwYFisBrdjQAYcpAr0aAdHqw_hVbVxlM5-uOQWE38vItHVfVF8L121F6q9fXxUaOjR6jAXjmD8fWjhUUE2n4HVaV7DGzI2yCfz7OJP4tIJG9MPdq1asEy9HmP-6Y8_oOPsb834QEwmmmYCoZsIy3htqRu_RcdyLCavvbkOTaRmj6WeM6ZSiBd0pCuqu3MlDIlG5mIShRyVsu0Ou_MJEn0H7rn-JYJIoa1zRoTTLF0LaH69jwrT4xYxDtfyNnftSdgSqIc0c0yZauUAUKrqlGYBt7TajOZCk5Q3uaqYU-1Pi9P860TMHtHAlOrJHsZ2JA6WxZE3M2fQ23c1mmkrJCHAB8gShxDrrtgZN5IxejaOMxM1juQtjqG64v4rY8cY9jQbBd22SLcL3Ng41hio0RsKHACCCysbWeCfpNwU2AnR7YF3avsNHxOZEs22y6UyXvja6bNRJFJlIjJ30C_nSv70uv7Oa5p_HFPwVqEWPabY7ZkuHudVEDq8gOTUvoVksufPLY5cXPfiXCdlcB2sDJL1DVTxi9BXPopHw5DsKuY-46ROANB_pT50" xr:uid="{E9714B24-CED6-447F-83B5-4844EFC8AA2C}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7E6F-7DC5-4D2F-8FFE-4AFA22F7B159}">
  <sheetPr>
    <pageSetUpPr fitToPage="1"/>
  </sheetPr>
  <dimension ref="A2:S44"/>
  <sheetViews>
    <sheetView topLeftCell="I16" zoomScaleNormal="100" workbookViewId="0">
      <selection activeCell="Q35" sqref="Q35"/>
    </sheetView>
  </sheetViews>
  <sheetFormatPr defaultColWidth="9.140625" defaultRowHeight="15" x14ac:dyDescent="0.25"/>
  <cols>
    <col min="1" max="1" width="42.28515625" style="3" bestFit="1" customWidth="1"/>
    <col min="2" max="2" width="31" style="5" bestFit="1" customWidth="1"/>
    <col min="3" max="3" width="27" style="5" bestFit="1" customWidth="1"/>
    <col min="4" max="5" width="22.85546875" style="5" customWidth="1"/>
    <col min="6" max="6" width="23.5703125" style="5" bestFit="1" customWidth="1"/>
    <col min="7" max="8" width="19.42578125" style="5" customWidth="1"/>
    <col min="9" max="9" width="14.7109375" style="3" bestFit="1" customWidth="1"/>
    <col min="10" max="10" width="37" style="3" customWidth="1"/>
    <col min="11" max="11" width="20.7109375" style="5" bestFit="1" customWidth="1"/>
    <col min="12" max="12" width="15.28515625" style="3" bestFit="1" customWidth="1"/>
    <col min="13" max="13" width="41" style="8" bestFit="1" customWidth="1"/>
    <col min="14" max="14" width="25.5703125" style="3" customWidth="1"/>
    <col min="15" max="15" width="17.7109375" style="3" bestFit="1" customWidth="1"/>
    <col min="16" max="16" width="30.42578125" style="3" bestFit="1" customWidth="1"/>
    <col min="17" max="17" width="16.7109375" style="3" bestFit="1" customWidth="1"/>
    <col min="18" max="18" width="34" style="3" bestFit="1" customWidth="1"/>
    <col min="19" max="19" width="19.85546875" style="3" customWidth="1"/>
    <col min="20" max="20" width="19.140625" style="3" bestFit="1" customWidth="1"/>
    <col min="21" max="16384" width="9.140625" style="3"/>
  </cols>
  <sheetData>
    <row r="2" spans="1:17" ht="15.75" thickBot="1" x14ac:dyDescent="0.3">
      <c r="A2" s="1" t="s">
        <v>0</v>
      </c>
      <c r="B2" s="47" t="s">
        <v>84</v>
      </c>
      <c r="C2" s="47" t="s">
        <v>64</v>
      </c>
      <c r="D2" s="47" t="s">
        <v>86</v>
      </c>
      <c r="E2" s="47" t="s">
        <v>85</v>
      </c>
      <c r="F2" s="47" t="s">
        <v>47</v>
      </c>
      <c r="G2" s="47" t="s">
        <v>48</v>
      </c>
      <c r="H2" s="47"/>
      <c r="J2" s="1" t="s">
        <v>9</v>
      </c>
      <c r="K2" s="2"/>
      <c r="M2" s="1" t="s">
        <v>16</v>
      </c>
      <c r="N2" s="4"/>
      <c r="P2" s="8" t="s">
        <v>42</v>
      </c>
    </row>
    <row r="3" spans="1:17" ht="29.25" thickTop="1" x14ac:dyDescent="0.2">
      <c r="A3" s="33" t="s">
        <v>1</v>
      </c>
      <c r="B3" s="34">
        <v>113420</v>
      </c>
      <c r="C3" s="40" t="s">
        <v>67</v>
      </c>
      <c r="D3" s="40"/>
      <c r="E3" s="40"/>
      <c r="F3" s="40" t="s">
        <v>67</v>
      </c>
      <c r="G3" s="49"/>
      <c r="H3" s="16"/>
      <c r="I3" s="6"/>
      <c r="J3" s="15" t="s">
        <v>27</v>
      </c>
      <c r="K3" s="16">
        <f>B3*B4</f>
        <v>504719</v>
      </c>
      <c r="M3" s="30" t="s">
        <v>46</v>
      </c>
      <c r="N3" s="18">
        <f>B3/K6</f>
        <v>362.77724116977527</v>
      </c>
      <c r="P3" s="3" t="s">
        <v>43</v>
      </c>
      <c r="Q3" s="7">
        <f>(3*B6*K9+K4)/B3</f>
        <v>2.5188967252273518</v>
      </c>
    </row>
    <row r="4" spans="1:17" ht="42.75" x14ac:dyDescent="0.2">
      <c r="A4" s="35" t="s">
        <v>40</v>
      </c>
      <c r="B4" s="36">
        <v>4.45</v>
      </c>
      <c r="C4" s="40" t="s">
        <v>87</v>
      </c>
      <c r="D4" s="40">
        <v>113420</v>
      </c>
      <c r="E4" s="36">
        <f>(6.94-4.45)/1.96</f>
        <v>1.2704081632653061</v>
      </c>
      <c r="F4" s="36" t="s">
        <v>68</v>
      </c>
      <c r="G4" s="50"/>
      <c r="H4" s="10"/>
      <c r="J4" s="11" t="s">
        <v>10</v>
      </c>
      <c r="K4" s="13">
        <f>B7*B15</f>
        <v>66658.75213677749</v>
      </c>
      <c r="M4" s="11" t="s">
        <v>45</v>
      </c>
      <c r="N4" s="11">
        <v>5</v>
      </c>
      <c r="P4" s="3" t="s">
        <v>44</v>
      </c>
      <c r="Q4" s="7">
        <f>(B6*K9+K4)/B3</f>
        <v>1.2314429284924506</v>
      </c>
    </row>
    <row r="5" spans="1:17" x14ac:dyDescent="0.25">
      <c r="A5" s="14" t="s">
        <v>2</v>
      </c>
      <c r="B5" s="36">
        <v>15</v>
      </c>
      <c r="C5" s="36" t="s">
        <v>58</v>
      </c>
      <c r="D5" s="36"/>
      <c r="E5" s="36">
        <f>(20-15)/1.96</f>
        <v>2.5510204081632653</v>
      </c>
      <c r="F5" s="55" t="s">
        <v>105</v>
      </c>
      <c r="G5" s="32" t="s">
        <v>54</v>
      </c>
      <c r="H5" s="46"/>
      <c r="J5" s="11" t="s">
        <v>11</v>
      </c>
      <c r="K5" s="13">
        <f>K3-K4</f>
        <v>438060.2478632225</v>
      </c>
      <c r="M5" s="11"/>
      <c r="N5" s="17"/>
    </row>
    <row r="6" spans="1:17" x14ac:dyDescent="0.25">
      <c r="A6" s="37" t="s">
        <v>106</v>
      </c>
      <c r="B6" s="38">
        <v>1900.7</v>
      </c>
      <c r="C6" s="38"/>
      <c r="D6" s="38"/>
      <c r="E6" s="38"/>
      <c r="F6" s="36" t="s">
        <v>51</v>
      </c>
      <c r="G6" s="51"/>
      <c r="H6" s="12"/>
      <c r="J6" s="11" t="s">
        <v>6</v>
      </c>
      <c r="K6" s="13">
        <f>B15</f>
        <v>312.64364774999996</v>
      </c>
    </row>
    <row r="7" spans="1:17" x14ac:dyDescent="0.25">
      <c r="A7" s="37" t="s">
        <v>3</v>
      </c>
      <c r="B7" s="38">
        <v>213.21</v>
      </c>
      <c r="C7" s="38" t="s">
        <v>49</v>
      </c>
      <c r="D7" s="38"/>
      <c r="E7" s="36">
        <v>241.55</v>
      </c>
      <c r="F7" s="38" t="s">
        <v>50</v>
      </c>
      <c r="G7" s="51"/>
      <c r="H7" s="12"/>
      <c r="J7" s="11" t="s">
        <v>12</v>
      </c>
      <c r="K7" s="13">
        <v>0</v>
      </c>
    </row>
    <row r="8" spans="1:17" ht="271.5" x14ac:dyDescent="0.25">
      <c r="A8" s="35" t="s">
        <v>107</v>
      </c>
      <c r="B8" s="38"/>
      <c r="C8" s="38"/>
      <c r="D8" s="38"/>
      <c r="E8" s="38"/>
      <c r="F8" s="38"/>
      <c r="G8" s="31"/>
      <c r="H8" s="12"/>
      <c r="J8" s="11" t="s">
        <v>13</v>
      </c>
      <c r="K8" s="13">
        <f>K7+K6</f>
        <v>312.64364774999996</v>
      </c>
    </row>
    <row r="9" spans="1:17" x14ac:dyDescent="0.25">
      <c r="A9" s="37" t="s">
        <v>7</v>
      </c>
      <c r="B9" s="39">
        <f>315.03/100000</f>
        <v>3.1502999999999995E-3</v>
      </c>
      <c r="C9" s="39" t="s">
        <v>91</v>
      </c>
      <c r="D9" s="39"/>
      <c r="E9" s="39">
        <f>(0.0053-0.0032)/1.96</f>
        <v>1.0714285714285715E-3</v>
      </c>
      <c r="F9" s="39" t="s">
        <v>51</v>
      </c>
      <c r="G9" s="32" t="s">
        <v>52</v>
      </c>
      <c r="H9" s="46"/>
      <c r="J9" s="11" t="s">
        <v>14</v>
      </c>
      <c r="K9" s="13">
        <f>S33</f>
        <v>38.412955654672615</v>
      </c>
    </row>
    <row r="10" spans="1:17" ht="29.25" x14ac:dyDescent="0.25">
      <c r="A10" s="35" t="s">
        <v>113</v>
      </c>
      <c r="B10" s="40">
        <v>0</v>
      </c>
      <c r="C10" s="40"/>
      <c r="D10" s="40"/>
      <c r="E10" s="40"/>
      <c r="F10" s="40"/>
      <c r="G10" s="52"/>
      <c r="H10" s="13"/>
      <c r="J10" s="11" t="s">
        <v>15</v>
      </c>
      <c r="K10" s="13">
        <f>K5/K6</f>
        <v>1401.1487232054999</v>
      </c>
    </row>
    <row r="11" spans="1:17" ht="57.75" x14ac:dyDescent="0.25">
      <c r="A11" s="58" t="s">
        <v>115</v>
      </c>
      <c r="B11" s="38">
        <v>87.5</v>
      </c>
      <c r="C11" s="40" t="s">
        <v>88</v>
      </c>
      <c r="D11" s="40">
        <v>112</v>
      </c>
      <c r="E11" s="36">
        <f>(95-87.5)/1.96</f>
        <v>3.8265306122448979</v>
      </c>
      <c r="F11" s="40" t="s">
        <v>51</v>
      </c>
      <c r="G11" s="32" t="s">
        <v>69</v>
      </c>
      <c r="H11" s="46"/>
      <c r="J11" s="11" t="s">
        <v>41</v>
      </c>
      <c r="K11" s="13">
        <f>K5/K9</f>
        <v>11403.971404890739</v>
      </c>
    </row>
    <row r="12" spans="1:17" x14ac:dyDescent="0.25">
      <c r="A12" s="37" t="s">
        <v>4</v>
      </c>
      <c r="B12" s="40">
        <v>3</v>
      </c>
      <c r="C12" s="40" t="s">
        <v>89</v>
      </c>
      <c r="D12" s="40"/>
      <c r="E12" s="36">
        <f>(3.3-3)/1.96</f>
        <v>0.15306122448979584</v>
      </c>
      <c r="F12" s="40" t="s">
        <v>92</v>
      </c>
      <c r="G12" s="52"/>
      <c r="H12" s="13"/>
    </row>
    <row r="13" spans="1:17" x14ac:dyDescent="0.25">
      <c r="A13" s="37" t="s">
        <v>53</v>
      </c>
      <c r="B13" s="40">
        <f>B3*B9</f>
        <v>357.30702599999995</v>
      </c>
      <c r="C13" s="38" t="s">
        <v>93</v>
      </c>
      <c r="D13" s="40"/>
      <c r="E13" s="40">
        <f>(601.13-357)/1.96</f>
        <v>124.55612244897959</v>
      </c>
      <c r="F13" s="40"/>
      <c r="G13" s="52"/>
      <c r="H13" s="13"/>
      <c r="J13" s="29"/>
    </row>
    <row r="14" spans="1:17" ht="86.25" x14ac:dyDescent="0.25">
      <c r="A14" s="58" t="s">
        <v>116</v>
      </c>
      <c r="B14" s="40">
        <f>B13-B15</f>
        <v>44.663378249999994</v>
      </c>
      <c r="C14" s="40"/>
      <c r="D14" s="40"/>
      <c r="E14" s="40"/>
      <c r="F14" s="40"/>
      <c r="G14" s="53"/>
      <c r="H14" s="19"/>
      <c r="I14" s="9"/>
    </row>
    <row r="15" spans="1:17" x14ac:dyDescent="0.25">
      <c r="A15" s="56" t="s">
        <v>109</v>
      </c>
      <c r="B15" s="40">
        <f>B13*(B11/100)</f>
        <v>312.64364774999996</v>
      </c>
      <c r="C15" s="40" t="s">
        <v>94</v>
      </c>
      <c r="D15" s="40"/>
      <c r="E15" s="40">
        <f>(339-313)/1.96</f>
        <v>13.26530612244898</v>
      </c>
      <c r="F15" s="40"/>
      <c r="G15" s="52"/>
      <c r="H15" s="13"/>
    </row>
    <row r="16" spans="1:17" x14ac:dyDescent="0.25">
      <c r="A16" s="37" t="s">
        <v>8</v>
      </c>
      <c r="B16" s="40">
        <v>3</v>
      </c>
      <c r="C16" s="40" t="s">
        <v>67</v>
      </c>
      <c r="D16" s="40"/>
      <c r="E16" s="40"/>
      <c r="F16" s="40" t="s">
        <v>67</v>
      </c>
      <c r="G16" s="52"/>
      <c r="H16" s="13"/>
    </row>
    <row r="17" spans="1:19" ht="43.5" x14ac:dyDescent="0.25">
      <c r="A17" s="35" t="s">
        <v>110</v>
      </c>
      <c r="B17" s="40">
        <v>28</v>
      </c>
      <c r="C17" s="40" t="s">
        <v>90</v>
      </c>
      <c r="D17" s="40"/>
      <c r="E17" s="36">
        <f>(30.8-28)/1.96</f>
        <v>1.428571428571429</v>
      </c>
      <c r="F17" s="40" t="s">
        <v>55</v>
      </c>
      <c r="G17" s="32" t="s">
        <v>54</v>
      </c>
      <c r="H17" s="46"/>
    </row>
    <row r="18" spans="1:19" x14ac:dyDescent="0.25">
      <c r="A18" s="37" t="s">
        <v>111</v>
      </c>
      <c r="B18" s="41">
        <v>5.1999999999999998E-2</v>
      </c>
      <c r="C18" s="36" t="s">
        <v>57</v>
      </c>
      <c r="D18" s="36"/>
      <c r="E18" s="36">
        <f>(0.079-LN(0.052))/1.96</f>
        <v>1.548730387959546</v>
      </c>
      <c r="F18" s="36" t="s">
        <v>68</v>
      </c>
      <c r="G18" s="32" t="s">
        <v>54</v>
      </c>
      <c r="H18" s="46"/>
      <c r="N18" s="3" t="s">
        <v>83</v>
      </c>
    </row>
    <row r="19" spans="1:19" x14ac:dyDescent="0.25">
      <c r="A19" s="43" t="s">
        <v>112</v>
      </c>
      <c r="B19" s="44">
        <v>0.21</v>
      </c>
      <c r="C19" s="45" t="s">
        <v>56</v>
      </c>
      <c r="D19" s="45"/>
      <c r="E19" s="45"/>
      <c r="F19" s="36" t="s">
        <v>68</v>
      </c>
      <c r="G19" s="32" t="s">
        <v>54</v>
      </c>
      <c r="H19" s="46"/>
    </row>
    <row r="20" spans="1:19" ht="29.25" x14ac:dyDescent="0.25">
      <c r="A20" s="35" t="s">
        <v>114</v>
      </c>
      <c r="B20" s="41">
        <v>15</v>
      </c>
      <c r="C20" s="40" t="s">
        <v>67</v>
      </c>
      <c r="D20" s="40"/>
      <c r="E20" s="40"/>
      <c r="F20" s="40" t="s">
        <v>67</v>
      </c>
      <c r="G20" s="54"/>
      <c r="H20" s="46"/>
    </row>
    <row r="21" spans="1:19" x14ac:dyDescent="0.25">
      <c r="A21" s="37" t="s">
        <v>70</v>
      </c>
      <c r="B21" s="41">
        <f>1/71.31</f>
        <v>1.4023278642546627E-2</v>
      </c>
      <c r="C21" s="36"/>
      <c r="D21" s="36"/>
      <c r="E21" s="36"/>
      <c r="F21" s="40" t="s">
        <v>51</v>
      </c>
      <c r="G21" s="54" t="s">
        <v>71</v>
      </c>
      <c r="H21" s="46"/>
    </row>
    <row r="23" spans="1:19" x14ac:dyDescent="0.25">
      <c r="A23" s="20" t="s">
        <v>17</v>
      </c>
      <c r="J23" s="48"/>
      <c r="K23" s="48"/>
    </row>
    <row r="24" spans="1:19" ht="14.25" x14ac:dyDescent="0.2">
      <c r="A24" s="11" t="s">
        <v>19</v>
      </c>
      <c r="B24" s="13" t="s">
        <v>21</v>
      </c>
      <c r="C24" s="11" t="s">
        <v>22</v>
      </c>
      <c r="D24" s="11" t="s">
        <v>23</v>
      </c>
      <c r="E24" s="13" t="s">
        <v>5</v>
      </c>
      <c r="F24" s="11" t="s">
        <v>24</v>
      </c>
      <c r="G24" s="23" t="s">
        <v>6</v>
      </c>
      <c r="H24" s="11" t="s">
        <v>12</v>
      </c>
      <c r="I24" s="11" t="s">
        <v>25</v>
      </c>
      <c r="J24" s="11" t="s">
        <v>33</v>
      </c>
      <c r="K24" s="11" t="s">
        <v>26</v>
      </c>
      <c r="L24" s="11" t="s">
        <v>35</v>
      </c>
      <c r="M24" s="11" t="s">
        <v>28</v>
      </c>
      <c r="N24" s="11" t="s">
        <v>34</v>
      </c>
    </row>
    <row r="25" spans="1:19" ht="14.25" x14ac:dyDescent="0.2">
      <c r="A25" s="11" t="s">
        <v>18</v>
      </c>
      <c r="B25" s="22">
        <v>0.71</v>
      </c>
      <c r="C25" s="23">
        <f>B3</f>
        <v>113420</v>
      </c>
      <c r="D25" s="11">
        <v>71.599999999999994</v>
      </c>
      <c r="E25" s="13">
        <f>B13</f>
        <v>357.30702599999995</v>
      </c>
      <c r="F25" s="11">
        <v>0</v>
      </c>
      <c r="G25" s="11">
        <v>310.85711261999995</v>
      </c>
      <c r="H25" s="11">
        <v>0</v>
      </c>
      <c r="I25" s="23" t="str">
        <f>G24</f>
        <v>cases averted</v>
      </c>
      <c r="J25" s="24">
        <f>(B14*(B17/365)*B18*(1-EXP(-0.03*(B17/365))))/0.03</f>
        <v>1.3651664489487498E-2</v>
      </c>
      <c r="K25" s="11">
        <v>0</v>
      </c>
      <c r="L25" s="24">
        <f>K25+J25</f>
        <v>1.3651664489487498E-2</v>
      </c>
      <c r="M25" s="23">
        <f>(B3*B4)+(B14*B13)+(B3/(1-0.03))*(B4)</f>
        <v>1041006.404833002</v>
      </c>
      <c r="N25" s="25">
        <f>L25*B14</f>
        <v>0.60972945483607321</v>
      </c>
    </row>
    <row r="26" spans="1:19" ht="14.25" x14ac:dyDescent="0.2">
      <c r="A26" s="11" t="s">
        <v>20</v>
      </c>
      <c r="B26" s="13"/>
      <c r="C26" s="11">
        <v>0</v>
      </c>
      <c r="D26" s="11">
        <v>71.599999999999994</v>
      </c>
      <c r="E26" s="13">
        <f>B13</f>
        <v>357.30702599999995</v>
      </c>
      <c r="F26" s="11"/>
      <c r="G26" s="11">
        <v>0</v>
      </c>
      <c r="H26" s="13">
        <v>0</v>
      </c>
      <c r="I26" s="11">
        <v>0</v>
      </c>
      <c r="J26" s="24">
        <f>(B13*B18*(B17/365)*(1-EXP(-0.03*B17/365)))/0.03</f>
        <v>0.10921331591589999</v>
      </c>
      <c r="K26" s="11">
        <v>0</v>
      </c>
      <c r="L26" s="24">
        <f>J26+K26</f>
        <v>0.10921331591589999</v>
      </c>
      <c r="M26" s="13">
        <f>E26*B7</f>
        <v>76181.431013459995</v>
      </c>
      <c r="N26" s="25">
        <f>L26*B13</f>
        <v>39.022685109508686</v>
      </c>
    </row>
    <row r="27" spans="1:19" x14ac:dyDescent="0.25">
      <c r="O27" s="3" t="s">
        <v>82</v>
      </c>
    </row>
    <row r="28" spans="1:19" x14ac:dyDescent="0.25">
      <c r="A28" s="3" t="s">
        <v>65</v>
      </c>
      <c r="P28" s="27" t="s">
        <v>59</v>
      </c>
      <c r="Q28" s="42">
        <f>(B40*B4)+(B14*B7)+(B3/(1-B12/100))*(B4)</f>
        <v>529851.54485606402</v>
      </c>
      <c r="R28" s="27"/>
      <c r="S28" s="28"/>
    </row>
    <row r="29" spans="1:19" x14ac:dyDescent="0.25">
      <c r="A29" s="3" t="s">
        <v>66</v>
      </c>
      <c r="P29" s="3" t="s">
        <v>60</v>
      </c>
      <c r="Q29" s="26">
        <f>B13*B7</f>
        <v>76181.431013459995</v>
      </c>
    </row>
    <row r="30" spans="1:19" x14ac:dyDescent="0.25">
      <c r="P30" s="21" t="s">
        <v>30</v>
      </c>
      <c r="Q30" s="21">
        <f>Q28-Q29</f>
        <v>453670.11384260404</v>
      </c>
      <c r="R30" s="21" t="s">
        <v>30</v>
      </c>
      <c r="S30" s="21"/>
    </row>
    <row r="31" spans="1:19" x14ac:dyDescent="0.25">
      <c r="G31" s="5" t="s">
        <v>81</v>
      </c>
      <c r="P31" s="26" t="s">
        <v>31</v>
      </c>
      <c r="Q31" s="26">
        <f>B14</f>
        <v>44.663378249999994</v>
      </c>
      <c r="R31" s="26" t="s">
        <v>36</v>
      </c>
      <c r="S31" s="26">
        <f>N25</f>
        <v>0.60972945483607321</v>
      </c>
    </row>
    <row r="32" spans="1:19" x14ac:dyDescent="0.25">
      <c r="A32" s="3" t="s">
        <v>95</v>
      </c>
      <c r="B32" s="5" t="s">
        <v>96</v>
      </c>
      <c r="G32" s="5" t="s">
        <v>80</v>
      </c>
      <c r="P32" s="26" t="s">
        <v>32</v>
      </c>
      <c r="Q32" s="26">
        <f>B13</f>
        <v>357.30702599999995</v>
      </c>
      <c r="R32" s="26" t="s">
        <v>37</v>
      </c>
      <c r="S32" s="26">
        <f>N26</f>
        <v>39.022685109508686</v>
      </c>
    </row>
    <row r="33" spans="1:19" x14ac:dyDescent="0.25">
      <c r="A33" s="3" t="s">
        <v>97</v>
      </c>
      <c r="B33" s="5" t="s">
        <v>98</v>
      </c>
      <c r="P33" s="21" t="s">
        <v>39</v>
      </c>
      <c r="Q33" s="21">
        <f>Q32-Q31</f>
        <v>312.64364774999996</v>
      </c>
      <c r="R33" s="21" t="s">
        <v>38</v>
      </c>
      <c r="S33" s="21">
        <f>S32-S31</f>
        <v>38.412955654672615</v>
      </c>
    </row>
    <row r="34" spans="1:19" x14ac:dyDescent="0.25">
      <c r="A34" s="3" t="s">
        <v>99</v>
      </c>
      <c r="P34" s="26"/>
      <c r="Q34" s="26"/>
      <c r="R34" s="26"/>
      <c r="S34" s="26"/>
    </row>
    <row r="35" spans="1:19" x14ac:dyDescent="0.25">
      <c r="P35" s="21" t="s">
        <v>29</v>
      </c>
      <c r="Q35" s="21">
        <f>Q30/Q33</f>
        <v>1451.0773435108249</v>
      </c>
      <c r="R35" s="21" t="s">
        <v>29</v>
      </c>
      <c r="S35" s="21">
        <f>Q30/S33</f>
        <v>11810.341227606599</v>
      </c>
    </row>
    <row r="36" spans="1:19" x14ac:dyDescent="0.25">
      <c r="A36" s="3" t="s">
        <v>100</v>
      </c>
    </row>
    <row r="38" spans="1:19" x14ac:dyDescent="0.25">
      <c r="A38" s="3" t="s">
        <v>101</v>
      </c>
    </row>
    <row r="40" spans="1:19" x14ac:dyDescent="0.25">
      <c r="A40" s="3" t="s">
        <v>102</v>
      </c>
    </row>
    <row r="41" spans="1:19" x14ac:dyDescent="0.25">
      <c r="A41" s="3" t="s">
        <v>103</v>
      </c>
    </row>
    <row r="42" spans="1:19" x14ac:dyDescent="0.25">
      <c r="A42" s="3" t="s">
        <v>104</v>
      </c>
    </row>
    <row r="44" spans="1:19" ht="86.25" x14ac:dyDescent="0.25">
      <c r="A44" s="57" t="s">
        <v>108</v>
      </c>
    </row>
  </sheetData>
  <hyperlinks>
    <hyperlink ref="G9" r:id="rId1" location="tab-2" display="https://www.coalitionagainsttyphoid.org/cost-effectiveness/india/ - tab-2" xr:uid="{7576A928-668B-4670-81CF-A3A11889EB09}"/>
    <hyperlink ref="G17" r:id="rId2" display="https://www.thelancet.com/action/showPdf?pii=S1473-3099%2818%2930804-1" xr:uid="{053F4F90-88CF-430C-BD47-B91A8390CCEA}"/>
    <hyperlink ref="G18" r:id="rId3" display="https://www.thelancet.com/action/showPdf?pii=S1473-3099%2818%2930804-1" xr:uid="{5236F754-8E84-43C7-9051-665F917121A6}"/>
    <hyperlink ref="G19" r:id="rId4" display="https://www.thelancet.com/action/showPdf?pii=S1473-3099%2818%2930804-1" xr:uid="{D52C652E-18E0-49DC-A155-7FD4BAB092A5}"/>
    <hyperlink ref="G5" r:id="rId5" display="https://www.thelancet.com/action/showPdf?pii=S1473-3099%2818%2930804-1" xr:uid="{C9AAD829-A6B7-4C4C-93C1-844E0895DABD}"/>
    <hyperlink ref="G11" r:id="rId6" display="https://www.sciencedirect.com/science/article/pii/S0264410X21007131" xr:uid="{A8D6AFEA-38D5-424E-B609-419EB3D5CB08}"/>
  </hyperlinks>
  <pageMargins left="0.25" right="0.25" top="0.75" bottom="0.75" header="0.3" footer="0.3"/>
  <pageSetup paperSize="9" scale="41" orientation="landscape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BD90-DAB5-47DF-BAD2-97D451B8D765}">
  <dimension ref="A2:B12"/>
  <sheetViews>
    <sheetView topLeftCell="A4" workbookViewId="0">
      <selection activeCell="A7" sqref="A7:A9"/>
    </sheetView>
  </sheetViews>
  <sheetFormatPr defaultColWidth="9.140625" defaultRowHeight="14.25" x14ac:dyDescent="0.2"/>
  <cols>
    <col min="1" max="1" width="45.7109375" style="3" bestFit="1" customWidth="1"/>
    <col min="2" max="16384" width="9.140625" style="3"/>
  </cols>
  <sheetData>
    <row r="2" spans="1:2" x14ac:dyDescent="0.2">
      <c r="A2" s="3" t="s">
        <v>61</v>
      </c>
    </row>
    <row r="3" spans="1:2" x14ac:dyDescent="0.2">
      <c r="A3" s="3" t="s">
        <v>62</v>
      </c>
    </row>
    <row r="4" spans="1:2" x14ac:dyDescent="0.2">
      <c r="A4" s="3" t="s">
        <v>63</v>
      </c>
    </row>
    <row r="6" spans="1:2" s="8" customFormat="1" ht="15" x14ac:dyDescent="0.25">
      <c r="A6" s="8" t="s">
        <v>73</v>
      </c>
    </row>
    <row r="7" spans="1:2" x14ac:dyDescent="0.2">
      <c r="A7" s="3" t="s">
        <v>75</v>
      </c>
    </row>
    <row r="8" spans="1:2" x14ac:dyDescent="0.2">
      <c r="A8" s="3" t="s">
        <v>72</v>
      </c>
    </row>
    <row r="9" spans="1:2" x14ac:dyDescent="0.2">
      <c r="A9" s="3" t="s">
        <v>74</v>
      </c>
    </row>
    <row r="10" spans="1:2" x14ac:dyDescent="0.2">
      <c r="A10" s="3" t="s">
        <v>76</v>
      </c>
    </row>
    <row r="11" spans="1:2" x14ac:dyDescent="0.2">
      <c r="A11" s="3" t="s">
        <v>77</v>
      </c>
      <c r="B11" s="3" t="s">
        <v>78</v>
      </c>
    </row>
    <row r="12" spans="1:2" x14ac:dyDescent="0.2">
      <c r="A12" s="3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initial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Hyolim Kang</dc:creator>
  <cp:lastModifiedBy>Hyolim Kang</cp:lastModifiedBy>
  <cp:lastPrinted>2021-08-05T07:59:55Z</cp:lastPrinted>
  <dcterms:created xsi:type="dcterms:W3CDTF">2021-08-04T03:05:27Z</dcterms:created>
  <dcterms:modified xsi:type="dcterms:W3CDTF">2021-08-24T06:20:59Z</dcterms:modified>
</cp:coreProperties>
</file>