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Input Parameters" sheetId="1" r:id="rId4"/>
    <sheet state="visible" name="2. Executive Dashboard" sheetId="2" r:id="rId5"/>
    <sheet state="visible" name="3. Monthly Cash Flow" sheetId="3" r:id="rId6"/>
    <sheet state="visible" name="4. Business Scaling" sheetId="4" r:id="rId7"/>
    <sheet state="visible" name="5. Executive Summary" sheetId="5" r:id="rId8"/>
    <sheet state="visible" name="6. Scenario Analysis" sheetId="6" r:id="rId9"/>
  </sheets>
  <definedNames/>
  <calcPr/>
  <extLst>
    <ext uri="GoogleSheetsCustomDataVersion2">
      <go:sheetsCustomData xmlns:go="http://customooxmlschemas.google.com/" r:id="rId10" roundtripDataChecksum="rEhC3MfRYj0lbcUMK1REI/Rr5R7H9nG2yMjP5VG59Qs="/>
    </ext>
  </extLst>
</workbook>
</file>

<file path=xl/sharedStrings.xml><?xml version="1.0" encoding="utf-8"?>
<sst xmlns="http://schemas.openxmlformats.org/spreadsheetml/2006/main" count="352" uniqueCount="256">
  <si>
    <t>AUGMENTGROWTH FINANCIAL MODEL - INPUT PARAMETERS</t>
  </si>
  <si>
    <t>Last Updated: 2025-09-17 19:12</t>
  </si>
  <si>
    <t>CURRENT FINANCIAL POSITION</t>
  </si>
  <si>
    <t>Available Cash</t>
  </si>
  <si>
    <t>From account analysis</t>
  </si>
  <si>
    <t>Monthly Personal Expenses</t>
  </si>
  <si>
    <t>From Monarch budget data</t>
  </si>
  <si>
    <t>Danielle's Bi-weekly Paycheck</t>
  </si>
  <si>
    <t>Sony Interactive</t>
  </si>
  <si>
    <t>Rental Income (monthly)</t>
  </si>
  <si>
    <t>Tenant payments</t>
  </si>
  <si>
    <t>Interest Income (monthly)</t>
  </si>
  <si>
    <t>Average from accounts</t>
  </si>
  <si>
    <t>Business Tax Rate (%)</t>
  </si>
  <si>
    <t>Fed + State + Self-employment</t>
  </si>
  <si>
    <t>Danielle's July 2026 Bonus</t>
  </si>
  <si>
    <t>Backstop safety net</t>
  </si>
  <si>
    <t>CALCULATED VALUES</t>
  </si>
  <si>
    <t>Danielle's Monthly Income</t>
  </si>
  <si>
    <t>Bi-weekly × 2.17 (avg per month)</t>
  </si>
  <si>
    <t>Total Current Monthly Income</t>
  </si>
  <si>
    <t>All current income sources</t>
  </si>
  <si>
    <t>Monthly Shortfall</t>
  </si>
  <si>
    <t>Gap to fill with business income</t>
  </si>
  <si>
    <t>Net Business Income Needed</t>
  </si>
  <si>
    <t>After-tax amount needed</t>
  </si>
  <si>
    <t>Business Take-home Rate (%)</t>
  </si>
  <si>
    <t>After paying taxes</t>
  </si>
  <si>
    <t>Gross Business Income Needed</t>
  </si>
  <si>
    <t>Pre-tax income required</t>
  </si>
  <si>
    <t>BUSINESS MODEL PARAMETERS</t>
  </si>
  <si>
    <t>High-Touch Consulting Price</t>
  </si>
  <si>
    <t>Months 1-3 average, Requires 30% Malachi time for each client</t>
  </si>
  <si>
    <t>Managed Service Price (Platform + Human)</t>
  </si>
  <si>
    <t>Months 4-6 average, Malachi manages first 1-2 and then hire others to manage more clients</t>
  </si>
  <si>
    <t>Self-Serve Platform Price</t>
  </si>
  <si>
    <t>Months 6+ self-serve tier</t>
  </si>
  <si>
    <t>Max Personal Clients</t>
  </si>
  <si>
    <t>Personal capacity limit (High-touch consulting), 3 clients if full time dedicated; otherwise assume 2 clients to carve out time to build Augment agents</t>
  </si>
  <si>
    <t>Growth Marketer Salary</t>
  </si>
  <si>
    <t>@ $50/hr, assuming 30 hours a month to support client scaling past 2 clients</t>
  </si>
  <si>
    <t>Technical Specialist Salary</t>
  </si>
  <si>
    <t>Monthly cost starting Month 4</t>
  </si>
  <si>
    <t>Software Costs (% of revenue)</t>
  </si>
  <si>
    <t>API usage, platforms</t>
  </si>
  <si>
    <t>Marketing Costs (% of revenue)</t>
  </si>
  <si>
    <t>Average after Month 6</t>
  </si>
  <si>
    <t>Total OpEx (% of revenue)</t>
  </si>
  <si>
    <t>All business expenses</t>
  </si>
  <si>
    <t>AUGMENTGROWTH EXECUTIVE DASHBOARD</t>
  </si>
  <si>
    <t>Generated: 2025-09-17 19:12</t>
  </si>
  <si>
    <t>FINANCIAL STATUS OVERVIEW</t>
  </si>
  <si>
    <t>$</t>
  </si>
  <si>
    <t>Current Monthly Income</t>
  </si>
  <si>
    <t>Runway (months)</t>
  </si>
  <si>
    <t>months</t>
  </si>
  <si>
    <t>Cash Depletion Date</t>
  </si>
  <si>
    <t>BUSINESS INCOME REQUIREMENTS</t>
  </si>
  <si>
    <t>Net Income Needed (monthly)</t>
  </si>
  <si>
    <t>GROSS Income Needed (monthly)</t>
  </si>
  <si>
    <t>Pre-tax requirement</t>
  </si>
  <si>
    <t>Take-home Rate</t>
  </si>
  <si>
    <t>After taxes</t>
  </si>
  <si>
    <t>BREAK-EVEN CLIENT ANALYSIS</t>
  </si>
  <si>
    <t>High-Touch Consulting ($10k)</t>
  </si>
  <si>
    <t>clients</t>
  </si>
  <si>
    <t>Managed Service ($6k)</t>
  </si>
  <si>
    <t>Self-Serve Platform ($2k)</t>
  </si>
  <si>
    <t>Mixed Revenue Break-Even</t>
  </si>
  <si>
    <t>avg clients</t>
  </si>
  <si>
    <t>SUCCESS INDICATORS</t>
  </si>
  <si>
    <t>Month 3 Target: 2+ High-Touch Clients</t>
  </si>
  <si>
    <t>Base Case Success</t>
  </si>
  <si>
    <t>Month 6 Target: 4+ Mixed Clients</t>
  </si>
  <si>
    <t>Platform Transition Success</t>
  </si>
  <si>
    <t>Month 9 Target: 8+ Platform Clients</t>
  </si>
  <si>
    <t>Scaling Success</t>
  </si>
  <si>
    <t>Month 12 Target: 15+ Total Clients</t>
  </si>
  <si>
    <t>Market Leadership</t>
  </si>
  <si>
    <t>MONTHLY CASH FLOW PROJECTIONS</t>
  </si>
  <si>
    <t>12-Month Business Evolution Scenarios</t>
  </si>
  <si>
    <t>Scenario</t>
  </si>
  <si>
    <t>Metric</t>
  </si>
  <si>
    <t>WORST CASE</t>
  </si>
  <si>
    <t>No income from business</t>
  </si>
  <si>
    <t>Beginning Cash</t>
  </si>
  <si>
    <t>Danielle Income</t>
  </si>
  <si>
    <t>Rental Income</t>
  </si>
  <si>
    <t>Interest Income</t>
  </si>
  <si>
    <t>Business Revenue</t>
  </si>
  <si>
    <t>Personal Expenses</t>
  </si>
  <si>
    <t>Business Expenses</t>
  </si>
  <si>
    <t>Net Cash Flow</t>
  </si>
  <si>
    <t>Ending Cash</t>
  </si>
  <si>
    <t>CONSERVATIVE</t>
  </si>
  <si>
    <t>Minimal income from business</t>
  </si>
  <si>
    <t>Business Revenue (Gross)</t>
  </si>
  <si>
    <t>Business Revenue (Net)</t>
  </si>
  <si>
    <t>REALISTIC</t>
  </si>
  <si>
    <t>Achieving expected level of income from business</t>
  </si>
  <si>
    <t>OPTIMISTIC</t>
  </si>
  <si>
    <t>Exceeding expected level of income from business</t>
  </si>
  <si>
    <t>AUGMENTGROWTH BUSINESS SCALING SCENARIOS</t>
  </si>
  <si>
    <t>Client Acquisition &amp; Revenue Evolution - Reverse Engineered for Cash Flow Targets</t>
  </si>
  <si>
    <t>Scenario / Month</t>
  </si>
  <si>
    <t>WORST CASE SCENARIO</t>
  </si>
  <si>
    <t>Target: No income</t>
  </si>
  <si>
    <t>High-Touch Clients</t>
  </si>
  <si>
    <t>Managed Service</t>
  </si>
  <si>
    <t>Self-Serve</t>
  </si>
  <si>
    <t>Total Clients</t>
  </si>
  <si>
    <t>Gross Revenue</t>
  </si>
  <si>
    <t>Net Revenue</t>
  </si>
  <si>
    <t>&gt;&gt;&gt; BUSINESS EXPENSES SCALING</t>
  </si>
  <si>
    <t>Software Costs (5% of revenue)</t>
  </si>
  <si>
    <t>Managed Service Cost</t>
  </si>
  <si>
    <t>Technical Staff</t>
  </si>
  <si>
    <t>Marketing (7.5% after Month 6)</t>
  </si>
  <si>
    <t>Other OpEx (5%)</t>
  </si>
  <si>
    <t>Total Business Expenses</t>
  </si>
  <si>
    <t>&gt;&gt;&gt; KEY PERFORMANCE METRICS</t>
  </si>
  <si>
    <t>Average Client Value</t>
  </si>
  <si>
    <t>Gross Margin %</t>
  </si>
  <si>
    <t>Net Profit After Tax</t>
  </si>
  <si>
    <t>CONSERVATIVE SCENARIO</t>
  </si>
  <si>
    <t>Target: Break-even by Month 6, $35k gross by Month 12, no external hires</t>
  </si>
  <si>
    <t>REALISTIC SCENARIO</t>
  </si>
  <si>
    <t>Target: Break-even by Month 4, $50k gross by Month 9</t>
  </si>
  <si>
    <t>OPTIMISTIC SCENARIO</t>
  </si>
  <si>
    <t>Target: Break-even by Month 3, $75k+ gross by Month 8</t>
  </si>
  <si>
    <t>BUSINESS EXPENSES SCALING INPUTS</t>
  </si>
  <si>
    <t>Software Costs ($300 min, 5% of revenue)</t>
  </si>
  <si>
    <t>AUGMENTGROWTH EXECUTIVE SUMMARY</t>
  </si>
  <si>
    <t>Business Partner &amp; Investor Overview</t>
  </si>
  <si>
    <t>BUSINESS OVERVIEW</t>
  </si>
  <si>
    <t>Company</t>
  </si>
  <si>
    <t>AugmentGrowth - Growth Executive AI Platform</t>
  </si>
  <si>
    <t>Market</t>
  </si>
  <si>
    <t>Series A-C companies ($1-50M ARR) needing AI-enhanced growth marketing</t>
  </si>
  <si>
    <t>Founder</t>
  </si>
  <si>
    <t>Malachi Rose - Independent AI-powered Growth Executive</t>
  </si>
  <si>
    <t>Business Model</t>
  </si>
  <si>
    <t>Specialized AI agents + strategic orchestration</t>
  </si>
  <si>
    <t>Evolution</t>
  </si>
  <si>
    <t>High-touch consulting → Platform + managed services</t>
  </si>
  <si>
    <t>Target Timeline</t>
  </si>
  <si>
    <t>Break-even by Month 6, $50k+ MRR by Month 12</t>
  </si>
  <si>
    <t>FINANCIAL POSITION</t>
  </si>
  <si>
    <t>Starting Cash</t>
  </si>
  <si>
    <t>Break-Even Requirement</t>
  </si>
  <si>
    <t>Danielle's Backup Bonus</t>
  </si>
  <si>
    <t>July 2026: $50,000 Gross; $25k Net</t>
  </si>
  <si>
    <t>Personal Risk Level</t>
  </si>
  <si>
    <t>Moderate - 6 month runway + safety net</t>
  </si>
  <si>
    <t>SUCCESS MILESTONES</t>
  </si>
  <si>
    <t>Month 1-2</t>
  </si>
  <si>
    <t>Land first high-touch consulting client ($10k)</t>
  </si>
  <si>
    <t>CRITICAL</t>
  </si>
  <si>
    <t>Month 3</t>
  </si>
  <si>
    <t>2+ active high-touch or managed service clients</t>
  </si>
  <si>
    <t>SUCCESS INDICATOR</t>
  </si>
  <si>
    <t>Month 4</t>
  </si>
  <si>
    <t>Profitable cash flow (beyond personal breakeven requirement)</t>
  </si>
  <si>
    <t>SCALING TRIGGER</t>
  </si>
  <si>
    <t>Month 6</t>
  </si>
  <si>
    <t>Platform transition: 5+ mixed clients, adding self-serve clients each month</t>
  </si>
  <si>
    <t>VALIDATION</t>
  </si>
  <si>
    <t>Month 9</t>
  </si>
  <si>
    <t>10+ self-serve clients, $50k+ MRR</t>
  </si>
  <si>
    <t>GROWTH ACCELERATION</t>
  </si>
  <si>
    <t>Month 12</t>
  </si>
  <si>
    <t>15+ clients, $75k+ MRR, market leadership</t>
  </si>
  <si>
    <t>SUSTAINABILITY</t>
  </si>
  <si>
    <t>RISK FACTORS &amp; MITIGATION</t>
  </si>
  <si>
    <t>Issue:</t>
  </si>
  <si>
    <t>Mitigation:</t>
  </si>
  <si>
    <t>Client Acquisition</t>
  </si>
  <si>
    <t>May take longer than projected to find early adopters</t>
  </si>
  <si>
    <t>Strong network, proven expertise, clear value prop</t>
  </si>
  <si>
    <t>Platform Development</t>
  </si>
  <si>
    <t>Technical complexity in AI agent development</t>
  </si>
  <si>
    <t>Proven technical capability, iterative approach</t>
  </si>
  <si>
    <t>Market Timing</t>
  </si>
  <si>
    <t>AI tools market evolving rapidly</t>
  </si>
  <si>
    <t>Focus on performance marketing niche, human oversight differentiation</t>
  </si>
  <si>
    <t>Personal Capacity</t>
  </si>
  <si>
    <t>Scaling beyond founder's personal bandwidth</t>
  </si>
  <si>
    <t>Hire technical resources to help scale/maintain automations; add in leads to manage services directly beyond a certain client and revenue baseline where costs are justified</t>
  </si>
  <si>
    <t>Competition</t>
  </si>
  <si>
    <t>Large players entering space</t>
  </si>
  <si>
    <t>Speed advantage, specialized expertise, early market entry</t>
  </si>
  <si>
    <t>INVESTMENT THESIS</t>
  </si>
  <si>
    <t>Market Need</t>
  </si>
  <si>
    <t>Series A-C companies want AI enhancement but lack expertise for implementation or bandwidth to manage agents</t>
  </si>
  <si>
    <t>Unique Position</t>
  </si>
  <si>
    <t>Only specialized Growth Marketing AI platform combining strategy + execution + human-in-the-loop oversight</t>
  </si>
  <si>
    <t>Scalable Model</t>
  </si>
  <si>
    <t>Evolution from consulting to platform reduces founder dependence</t>
  </si>
  <si>
    <t>Competitive Moat</t>
  </si>
  <si>
    <t>Growth marketing expertise + AI specialization difficult to replicate</t>
  </si>
  <si>
    <t>Strong Unit Economics</t>
  </si>
  <si>
    <t>High gross margins, recurring revenue model, sticky retention w/ platform dependency</t>
  </si>
  <si>
    <t>Experienced Founder</t>
  </si>
  <si>
    <t>Proven growth marketing track record + AI implementation capability</t>
  </si>
  <si>
    <t>Attractive Portfolio Value Prop</t>
  </si>
  <si>
    <t>Potential acquisition target for larger companies looking to quickly add these capabilities to their own portfolio to offset costs/scale</t>
  </si>
  <si>
    <t>WHAT WE NEED TO SEE TO STAY ON TRACK</t>
  </si>
  <si>
    <t>By Month 2</t>
  </si>
  <si>
    <t>First paying client secured and delivering value</t>
  </si>
  <si>
    <t>By Month 4</t>
  </si>
  <si>
    <t>2+ clients, positive cash flow trend, technical hire secured</t>
  </si>
  <si>
    <t>By Month 6</t>
  </si>
  <si>
    <t>Break-even achieved, platform capabilities validated</t>
  </si>
  <si>
    <t>By Month 9</t>
  </si>
  <si>
    <t>Clear scaling trajectory, 8+ clients, $30k+ MRR</t>
  </si>
  <si>
    <t>By Month 12</t>
  </si>
  <si>
    <t>Market leadership position, 15+ clients, sustainable growth</t>
  </si>
  <si>
    <t>KEY ISSUES IDENTIFIED</t>
  </si>
  <si>
    <r>
      <rPr>
        <rFont val="Calibri"/>
        <b/>
        <color theme="1"/>
        <sz val="11.0"/>
      </rPr>
      <t>ISSUE</t>
    </r>
    <r>
      <rPr>
        <rFont val="Calibri"/>
        <color theme="1"/>
        <sz val="11.0"/>
      </rPr>
      <t xml:space="preserve">: Not enough revenue to justify adding external resources for managed service cost. It's not that scalable. This is a big issue that's core to the value prop of Augment growth - that agents work better with humans guiding them. If we hire outside help to manage clients, even at $5k per managed client (which is not a lot to pay someone), it crushes the margin.
</t>
    </r>
    <r>
      <rPr>
        <rFont val="Calibri"/>
        <b/>
        <color theme="1"/>
        <sz val="11.0"/>
      </rPr>
      <t>SOLUTION</t>
    </r>
    <r>
      <rPr>
        <rFont val="Calibri"/>
        <color theme="1"/>
        <sz val="11.0"/>
      </rPr>
      <t>: Shift away from managed services to self-service and/or increase the price of the managed service. If people are self-serving, where they manage the agents themselves, then there is no cost of managing the client outside of customer support. If we increase the price for managed services to $15-20k and can deliver enough value to justify that, then we can likely hire someone to manage it.</t>
    </r>
  </si>
  <si>
    <r>
      <rPr>
        <rFont val="Calibri"/>
        <b/>
        <color theme="1"/>
        <sz val="11.0"/>
      </rPr>
      <t>ISSUE</t>
    </r>
    <r>
      <rPr>
        <rFont val="Calibri"/>
        <color theme="1"/>
        <sz val="11.0"/>
      </rPr>
      <t xml:space="preserve">: None of the scenarios, including the optimistic scenario, are generating a substantial amount of net income. 
</t>
    </r>
    <r>
      <rPr>
        <rFont val="Calibri"/>
        <b/>
        <color theme="1"/>
        <sz val="11.0"/>
      </rPr>
      <t>SOLUTION</t>
    </r>
    <r>
      <rPr>
        <rFont val="Calibri"/>
        <color theme="1"/>
        <sz val="11.0"/>
      </rPr>
      <t>: Several solutions I see are: 
A) Focus on Malachi managing high-touch and managed services to save on costs, until no longer scalable; operate within the constraints of what Malachi can personally take on (in other words, don't try to scale this into an agency model). 
B) Focus the business model on self-serve revenue, which inherently is more scalable. Then all of Malachi's time goes into scaling the platform rather than running it.
C) Raise prices across the board, even for self-serve. Try and get the avg self serve client to cover $7.5k through modular upsells (e.g. they can buy portions of the platform vs. all-or-nothing).</t>
    </r>
  </si>
  <si>
    <r>
      <rPr>
        <rFont val="Calibri"/>
        <b/>
        <color theme="1"/>
        <sz val="11.0"/>
      </rPr>
      <t>ISSUE</t>
    </r>
    <r>
      <rPr>
        <rFont val="Calibri"/>
        <color theme="1"/>
        <sz val="11.0"/>
      </rPr>
      <t xml:space="preserve">: Positioning issue. If we position Augment as humans + AI, where we are managing the services, that can set expectations that this will be a high touch offering. Where that positioning might not be scalable.
</t>
    </r>
    <r>
      <rPr>
        <rFont val="Calibri"/>
        <b/>
        <color theme="1"/>
        <sz val="11.0"/>
      </rPr>
      <t>SOLUTION</t>
    </r>
    <r>
      <rPr>
        <rFont val="Calibri"/>
        <color theme="1"/>
        <sz val="11.0"/>
      </rPr>
      <t>: We position augment as complementing humans (rather than replacing them). Those humans could be the client's own growth team managing the platform. Or if could be a managed service Augment offers. But in this way, we keep it flexible enough to set the right expectations. Position it as superpowering the human workforce to get a lot more done, move faster, and generate more business value.</t>
    </r>
  </si>
  <si>
    <t>SCENARIO ANALYSIS &amp; TARGET ACHIEVEMENT</t>
  </si>
  <si>
    <t>Reverse Engineering Success Metrics</t>
  </si>
  <si>
    <t>CASH FLOW TARGETS</t>
  </si>
  <si>
    <t>Monthly Break-Even (Net)</t>
  </si>
  <si>
    <t>Personal shortfall to cover</t>
  </si>
  <si>
    <t>Monthly Break-Even (Gross)</t>
  </si>
  <si>
    <t>Pre-tax business income needed</t>
  </si>
  <si>
    <t>Month 4 Target (Gross)</t>
  </si>
  <si>
    <t>Minimum break-even</t>
  </si>
  <si>
    <t>Month 6 Target (Gross)</t>
  </si>
  <si>
    <t>25% above break-even</t>
  </si>
  <si>
    <t>Month 9 Target (Gross)</t>
  </si>
  <si>
    <t>Double break-even</t>
  </si>
  <si>
    <t>Month 12 Target (Gross)</t>
  </si>
  <si>
    <t>Sustainable scale</t>
  </si>
  <si>
    <t>SCENARIO PERFORMANCE vs TARGETS</t>
  </si>
  <si>
    <t>Month 4 Revenue</t>
  </si>
  <si>
    <t>Month 6 Revenue</t>
  </si>
  <si>
    <t>Month 9 Revenue</t>
  </si>
  <si>
    <t>Month 12 Revenue</t>
  </si>
  <si>
    <t>Target Achievement (M4)</t>
  </si>
  <si>
    <t>Conservative</t>
  </si>
  <si>
    <t>Realistic</t>
  </si>
  <si>
    <t>Optimistic</t>
  </si>
  <si>
    <t>UNIT ECONOMICS ANALYSIS</t>
  </si>
  <si>
    <t>High-Touch Client Value</t>
  </si>
  <si>
    <t>Growth consulting</t>
  </si>
  <si>
    <t>Managed Service Value</t>
  </si>
  <si>
    <t>Managed services + agent transition</t>
  </si>
  <si>
    <t>Self-Serve Value</t>
  </si>
  <si>
    <t>Volume play</t>
  </si>
  <si>
    <t>Blended Average (Realistic Case)</t>
  </si>
  <si>
    <t>Weighted average</t>
  </si>
  <si>
    <t>Break-even Client Equivalent</t>
  </si>
  <si>
    <t>Clients needed at avg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</si>
</sst>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\$#,##0.00"/>
    <numFmt numFmtId="165" formatCode="mm/dd/yyyy"/>
    <numFmt numFmtId="166" formatCode="0.0%"/>
    <numFmt numFmtId="167" formatCode="yyyy&quot;-&quot;mm"/>
    <numFmt numFmtId="168" formatCode="&quot;$&quot;#,##0"/>
    <numFmt numFmtId="169" formatCode="\$#,##0"/>
    <numFmt numFmtId="170" formatCode="&quot;$&quot;#,##0.00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FFFFFF"/>
      <name val="Calibri"/>
    </font>
    <font>
      <b/>
      <sz val="11.0"/>
      <color theme="1"/>
      <name val="Calibri"/>
    </font>
    <font>
      <b/>
      <sz val="12.0"/>
      <color rgb="FF000000"/>
      <name val="Calibri"/>
    </font>
    <font>
      <b/>
      <color theme="1"/>
      <name val="Calibri"/>
      <scheme val="minor"/>
    </font>
    <font>
      <b/>
      <sz val="11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FFF2CC"/>
        <bgColor rgb="FFFFF2CC"/>
      </patternFill>
    </fill>
    <fill>
      <patternFill patternType="solid">
        <fgColor rgb="FFF0F8F0"/>
        <bgColor rgb="FFF0F8F0"/>
      </patternFill>
    </fill>
    <fill>
      <patternFill patternType="solid">
        <fgColor rgb="FFFFCDD2"/>
        <bgColor rgb="FFFFCDD2"/>
      </patternFill>
    </fill>
    <fill>
      <patternFill patternType="solid">
        <fgColor rgb="FFE7F3FF"/>
        <bgColor rgb="FFE7F3FF"/>
      </patternFill>
    </fill>
    <fill>
      <patternFill patternType="solid">
        <fgColor rgb="FFC8E6C9"/>
        <bgColor rgb="FFC8E6C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1" fillId="3" fontId="2" numFmtId="164" xfId="0" applyAlignment="1" applyBorder="1" applyFill="1" applyFont="1" applyNumberFormat="1">
      <alignment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2" numFmtId="164" xfId="0" applyAlignment="1" applyBorder="1" applyFont="1" applyNumberFormat="1">
      <alignment readingOrder="0"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1" fillId="6" fontId="2" numFmtId="0" xfId="0" applyAlignment="1" applyBorder="1" applyFont="1">
      <alignment readingOrder="0" shrinkToFit="0" vertical="bottom" wrapText="0"/>
    </xf>
    <xf borderId="1" fillId="7" fontId="3" numFmtId="0" xfId="0" applyAlignment="1" applyBorder="1" applyFill="1" applyFont="1">
      <alignment shrinkToFit="0" vertical="bottom" wrapText="0"/>
    </xf>
    <xf borderId="1" fillId="7" fontId="2" numFmtId="0" xfId="0" applyAlignment="1" applyBorder="1" applyFont="1">
      <alignment shrinkToFit="0" vertical="bottom" wrapText="0"/>
    </xf>
    <xf borderId="1" fillId="2" fontId="3" numFmtId="167" xfId="0" applyAlignment="1" applyBorder="1" applyFont="1" applyNumberFormat="1">
      <alignment readingOrder="0" shrinkToFit="0" vertical="bottom" wrapText="0"/>
    </xf>
    <xf borderId="1" fillId="5" fontId="4" numFmtId="0" xfId="0" applyAlignment="1" applyBorder="1" applyFon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5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3" fontId="4" numFmtId="0" xfId="0" applyAlignment="1" applyBorder="1" applyFont="1">
      <alignment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2" numFmtId="0" xfId="0" applyAlignment="1" applyFont="1">
      <alignment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0" fillId="6" fontId="4" numFmtId="0" xfId="0" applyAlignment="1" applyFont="1">
      <alignment readingOrder="0" shrinkToFit="0" vertical="bottom" wrapText="0"/>
    </xf>
    <xf borderId="0" fillId="6" fontId="2" numFmtId="0" xfId="0" applyAlignment="1" applyFont="1">
      <alignment shrinkToFit="0" vertical="bottom" wrapText="0"/>
    </xf>
    <xf borderId="1" fillId="7" fontId="4" numFmtId="0" xfId="0" applyAlignment="1" applyBorder="1" applyFont="1">
      <alignment shrinkToFit="0" vertical="bottom" wrapText="0"/>
    </xf>
    <xf borderId="0" fillId="7" fontId="4" numFmtId="0" xfId="0" applyAlignment="1" applyFont="1">
      <alignment readingOrder="0" shrinkToFit="0" vertical="bottom" wrapText="0"/>
    </xf>
    <xf borderId="0" fillId="7" fontId="2" numFmtId="0" xfId="0" applyAlignment="1" applyFont="1">
      <alignment shrinkToFit="0" vertical="bottom" wrapText="0"/>
    </xf>
    <xf borderId="1" fillId="5" fontId="2" numFmtId="0" xfId="0" applyAlignment="1" applyBorder="1" applyFont="1">
      <alignment readingOrder="0" shrinkToFit="0" vertical="bottom" wrapText="0"/>
    </xf>
    <xf borderId="1" fillId="0" fontId="2" numFmtId="168" xfId="0" applyAlignment="1" applyBorder="1" applyFont="1" applyNumberFormat="1">
      <alignment shrinkToFit="0" vertical="bottom" wrapText="0"/>
    </xf>
    <xf borderId="0" fillId="0" fontId="2" numFmtId="168" xfId="0" applyAlignment="1" applyFont="1" applyNumberForma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0" fontId="2" numFmtId="168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1" fillId="5" fontId="2" numFmtId="0" xfId="0" applyAlignment="1" applyBorder="1" applyFont="1">
      <alignment vertical="bottom"/>
    </xf>
    <xf borderId="0" fillId="0" fontId="2" numFmtId="168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1" fillId="6" fontId="2" numFmtId="0" xfId="0" applyAlignment="1" applyBorder="1" applyFont="1">
      <alignment vertical="bottom"/>
    </xf>
    <xf borderId="1" fillId="7" fontId="2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readingOrder="0" shrinkToFit="0" vertical="bottom" wrapText="1"/>
    </xf>
    <xf borderId="0" fillId="0" fontId="2" numFmtId="9" xfId="0" applyAlignment="1" applyFont="1" applyNumberFormat="1">
      <alignment readingOrder="0" shrinkToFit="0" vertical="bottom" wrapText="0"/>
    </xf>
    <xf borderId="0" fillId="0" fontId="2" numFmtId="169" xfId="0" applyAlignment="1" applyFont="1" applyNumberFormat="1">
      <alignment readingOrder="0" shrinkToFit="0" vertical="bottom" wrapText="0"/>
    </xf>
    <xf borderId="0" fillId="0" fontId="2" numFmtId="10" xfId="0" applyAlignment="1" applyFont="1" applyNumberForma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1" fillId="5" fontId="5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1"/>
    </xf>
    <xf borderId="0" fillId="0" fontId="6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0" fillId="0" fontId="2" numFmtId="169" xfId="0" applyAlignment="1" applyFont="1" applyNumberForma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readingOrder="0" shrinkToFit="0" vertical="bottom" wrapText="0"/>
    </xf>
    <xf borderId="0" fillId="0" fontId="2" numFmtId="170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15.0"/>
    <col customWidth="1" min="3" max="3" width="35.0"/>
    <col customWidth="1" min="4" max="6" width="8.71"/>
  </cols>
  <sheetData>
    <row r="1" ht="17.25" customHeight="1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 t="s">
        <v>3</v>
      </c>
      <c r="B5" s="4">
        <v>108000.0</v>
      </c>
      <c r="C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 t="s">
        <v>5</v>
      </c>
      <c r="B6" s="4">
        <v>28300.0</v>
      </c>
      <c r="C6" s="2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 t="s">
        <v>7</v>
      </c>
      <c r="B7" s="4">
        <v>5395.17</v>
      </c>
      <c r="C7" s="2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 t="s">
        <v>9</v>
      </c>
      <c r="B8" s="4">
        <v>1000.0</v>
      </c>
      <c r="C8" s="2" t="s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 t="s">
        <v>11</v>
      </c>
      <c r="B9" s="4">
        <v>225.0</v>
      </c>
      <c r="C9" s="2" t="s">
        <v>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2" t="s">
        <v>13</v>
      </c>
      <c r="B10" s="5">
        <v>40.0</v>
      </c>
      <c r="C10" s="2" t="s">
        <v>14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 t="s">
        <v>15</v>
      </c>
      <c r="B11" s="4">
        <v>25000.0</v>
      </c>
      <c r="C11" s="2" t="s">
        <v>16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3" t="s">
        <v>17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2" t="s">
        <v>18</v>
      </c>
      <c r="B14" s="6">
        <f>B7*2.17</f>
        <v>11707.5189</v>
      </c>
      <c r="C14" s="2" t="s">
        <v>19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2" t="s">
        <v>20</v>
      </c>
      <c r="B15" s="6">
        <f>B14+B8+B9</f>
        <v>12932.5189</v>
      </c>
      <c r="C15" s="2" t="s">
        <v>21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2" t="s">
        <v>22</v>
      </c>
      <c r="B16" s="6">
        <f>B6-B15</f>
        <v>15367.4811</v>
      </c>
      <c r="C16" s="2" t="s">
        <v>23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" t="s">
        <v>24</v>
      </c>
      <c r="B17" s="6">
        <f>ABS(B16)</f>
        <v>15367.4811</v>
      </c>
      <c r="C17" s="2" t="s">
        <v>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2" t="s">
        <v>26</v>
      </c>
      <c r="B18" s="2">
        <f>100-B10</f>
        <v>60</v>
      </c>
      <c r="C18" s="2" t="s">
        <v>27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2" t="s">
        <v>28</v>
      </c>
      <c r="B19" s="6">
        <f>B17/(B18/100)</f>
        <v>25612.4685</v>
      </c>
      <c r="C19" s="2" t="s">
        <v>29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30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31</v>
      </c>
      <c r="B23" s="4">
        <v>10000.0</v>
      </c>
      <c r="C23" s="7" t="s">
        <v>32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7" t="s">
        <v>33</v>
      </c>
      <c r="B24" s="8">
        <v>5000.0</v>
      </c>
      <c r="C24" s="7" t="s">
        <v>34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35</v>
      </c>
      <c r="B25" s="8">
        <v>3500.0</v>
      </c>
      <c r="C25" s="2" t="s">
        <v>36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37</v>
      </c>
      <c r="B26" s="5">
        <v>2.0</v>
      </c>
      <c r="C26" s="7" t="s">
        <v>38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7" t="s">
        <v>39</v>
      </c>
      <c r="B27" s="8">
        <v>1500.0</v>
      </c>
      <c r="C27" s="7" t="s">
        <v>40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41</v>
      </c>
      <c r="B28" s="8">
        <v>5000.0</v>
      </c>
      <c r="C28" s="2" t="s">
        <v>42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43</v>
      </c>
      <c r="B29" s="9">
        <v>5.0</v>
      </c>
      <c r="C29" s="2" t="s">
        <v>44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45</v>
      </c>
      <c r="B30" s="9">
        <v>7.5</v>
      </c>
      <c r="C30" s="2" t="s">
        <v>46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47</v>
      </c>
      <c r="B31" s="9">
        <v>17.5</v>
      </c>
      <c r="C31" s="2" t="s">
        <v>48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5" width="20.0"/>
    <col customWidth="1" min="6" max="6" width="8.71"/>
  </cols>
  <sheetData>
    <row r="1" ht="17.25" customHeight="1">
      <c r="A1" s="1" t="s">
        <v>49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 t="s">
        <v>50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" t="s">
        <v>51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10" t="s">
        <v>3</v>
      </c>
      <c r="B5" s="11">
        <f>'1. Input Parameters'!B5</f>
        <v>108000</v>
      </c>
      <c r="C5" s="2" t="s">
        <v>52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10" t="s">
        <v>53</v>
      </c>
      <c r="B6" s="11">
        <f>'1. Input Parameters'!B15</f>
        <v>12932.5189</v>
      </c>
      <c r="C6" s="2" t="s">
        <v>52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10" t="s">
        <v>5</v>
      </c>
      <c r="B7" s="11">
        <f>'1. Input Parameters'!B6</f>
        <v>28300</v>
      </c>
      <c r="C7" s="2" t="s">
        <v>52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12" t="s">
        <v>22</v>
      </c>
      <c r="B8" s="11">
        <f>'1. Input Parameters'!B16</f>
        <v>15367.4811</v>
      </c>
      <c r="C8" s="2" t="s">
        <v>52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 t="s">
        <v>54</v>
      </c>
      <c r="B9" s="13">
        <f>IF(B8&lt;=0,"Positive",B5/ABS(B8))</f>
        <v>7.027827091</v>
      </c>
      <c r="C9" s="2" t="s">
        <v>55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10" t="s">
        <v>56</v>
      </c>
      <c r="B10" s="14">
        <f>IF(B9="Positive","N/A",TODAY()+(B9*30))</f>
        <v>46140.83481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3" t="s">
        <v>57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15" t="s">
        <v>58</v>
      </c>
      <c r="B13" s="6">
        <f>'1. Input Parameters'!B17</f>
        <v>15367.4811</v>
      </c>
      <c r="C13" s="2" t="s">
        <v>52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15" t="s">
        <v>59</v>
      </c>
      <c r="B14" s="6">
        <f>'1. Input Parameters'!B19</f>
        <v>25612.4685</v>
      </c>
      <c r="C14" s="2" t="s">
        <v>60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15" t="s">
        <v>61</v>
      </c>
      <c r="B15" s="16" t="str">
        <f>'1. Input Parameters'!B18&amp;"%"</f>
        <v>60%</v>
      </c>
      <c r="C15" s="2" t="s">
        <v>62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3" t="s">
        <v>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15" t="s">
        <v>64</v>
      </c>
      <c r="B18" s="2">
        <f>ROUNDUP('1. Input Parameters'!$B$19/'1. Input Parameters'!B23,0)</f>
        <v>3</v>
      </c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15" t="s">
        <v>66</v>
      </c>
      <c r="B19" s="2">
        <f>ROUNDUP('1. Input Parameters'!$B$19/'1. Input Parameters'!B24,0)</f>
        <v>6</v>
      </c>
      <c r="C19" s="2" t="s">
        <v>65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17" t="s">
        <v>67</v>
      </c>
      <c r="B20" s="2">
        <f>ROUNDUP('1. Input Parameters'!$B$19/'1. Input Parameters'!B25,0)</f>
        <v>8</v>
      </c>
      <c r="C20" s="2" t="s">
        <v>65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5" t="s">
        <v>68</v>
      </c>
      <c r="B21" s="2">
        <f>ROUNDUP('1. Input Parameters'!B19/6000,0)</f>
        <v>5</v>
      </c>
      <c r="C21" s="2" t="s">
        <v>69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 t="s">
        <v>70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9" t="s">
        <v>71</v>
      </c>
      <c r="B24" s="2" t="s">
        <v>72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9" t="s">
        <v>73</v>
      </c>
      <c r="B25" s="2" t="s">
        <v>74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9" t="s">
        <v>75</v>
      </c>
      <c r="B26" s="2" t="s">
        <v>76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9" t="s">
        <v>77</v>
      </c>
      <c r="B27" s="2" t="s">
        <v>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25.29"/>
    <col customWidth="1" min="3" max="14" width="12.0"/>
    <col customWidth="1" min="15" max="15" width="8.71"/>
  </cols>
  <sheetData>
    <row r="1" ht="17.25" customHeight="1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" t="s">
        <v>81</v>
      </c>
      <c r="B4" s="3" t="s">
        <v>82</v>
      </c>
      <c r="C4" s="20">
        <v>45931.0</v>
      </c>
      <c r="D4" s="20">
        <v>45962.0</v>
      </c>
      <c r="E4" s="20">
        <v>45992.0</v>
      </c>
      <c r="F4" s="20">
        <v>46023.0</v>
      </c>
      <c r="G4" s="20">
        <v>46054.0</v>
      </c>
      <c r="H4" s="20">
        <v>46082.0</v>
      </c>
      <c r="I4" s="20">
        <v>46113.0</v>
      </c>
      <c r="J4" s="20">
        <v>46143.0</v>
      </c>
      <c r="K4" s="20">
        <v>46174.0</v>
      </c>
      <c r="L4" s="20">
        <v>46204.0</v>
      </c>
      <c r="M4" s="20">
        <v>46235.0</v>
      </c>
      <c r="N4" s="20">
        <v>46266.0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1" t="s">
        <v>83</v>
      </c>
      <c r="B6" s="22" t="s">
        <v>84</v>
      </c>
      <c r="C6" s="23"/>
      <c r="D6" s="2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B7" s="15" t="s">
        <v>85</v>
      </c>
      <c r="C7" s="6">
        <f>'1. Input Parameters'!$B$5</f>
        <v>108000</v>
      </c>
      <c r="D7" s="6">
        <f t="shared" ref="D7:N7" si="1">C15</f>
        <v>92332.5189</v>
      </c>
      <c r="E7" s="6">
        <f t="shared" si="1"/>
        <v>76665.0378</v>
      </c>
      <c r="F7" s="6">
        <f t="shared" si="1"/>
        <v>60997.5567</v>
      </c>
      <c r="G7" s="6">
        <f t="shared" si="1"/>
        <v>45330.0756</v>
      </c>
      <c r="H7" s="6">
        <f t="shared" si="1"/>
        <v>29662.5945</v>
      </c>
      <c r="I7" s="6">
        <f t="shared" si="1"/>
        <v>13995.1134</v>
      </c>
      <c r="J7" s="6">
        <f t="shared" si="1"/>
        <v>-1672.3677</v>
      </c>
      <c r="K7" s="6">
        <f t="shared" si="1"/>
        <v>-17339.8488</v>
      </c>
      <c r="L7" s="6">
        <f t="shared" si="1"/>
        <v>-33007.3299</v>
      </c>
      <c r="M7" s="6">
        <f t="shared" si="1"/>
        <v>-48674.811</v>
      </c>
      <c r="N7" s="6">
        <f t="shared" si="1"/>
        <v>-39342.2921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/>
      <c r="B8" s="10" t="s">
        <v>86</v>
      </c>
      <c r="C8" s="6">
        <f>'1. Input Parameters'!$B$14</f>
        <v>11707.5189</v>
      </c>
      <c r="D8" s="6">
        <f>'1. Input Parameters'!$B$14</f>
        <v>11707.5189</v>
      </c>
      <c r="E8" s="6">
        <f>'1. Input Parameters'!$B$14</f>
        <v>11707.5189</v>
      </c>
      <c r="F8" s="6">
        <f>'1. Input Parameters'!$B$14</f>
        <v>11707.5189</v>
      </c>
      <c r="G8" s="6">
        <f>'1. Input Parameters'!$B$14</f>
        <v>11707.5189</v>
      </c>
      <c r="H8" s="6">
        <f>'1. Input Parameters'!$B$14</f>
        <v>11707.5189</v>
      </c>
      <c r="I8" s="6">
        <f>'1. Input Parameters'!$B$14</f>
        <v>11707.5189</v>
      </c>
      <c r="J8" s="6">
        <f>'1. Input Parameters'!$B$14</f>
        <v>11707.5189</v>
      </c>
      <c r="K8" s="6">
        <f>'1. Input Parameters'!$B$14</f>
        <v>11707.5189</v>
      </c>
      <c r="L8" s="6">
        <f>'1. Input Parameters'!$B$14</f>
        <v>11707.5189</v>
      </c>
      <c r="M8" s="6">
        <f>'1. Input Parameters'!$B$14+'1. Input Parameters'!$B$11</f>
        <v>36707.5189</v>
      </c>
      <c r="N8" s="6">
        <f>'1. Input Parameters'!$B$14</f>
        <v>11707.5189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/>
      <c r="B9" s="10" t="s">
        <v>87</v>
      </c>
      <c r="C9" s="6">
        <f>'1. Input Parameters'!$B$8</f>
        <v>1000</v>
      </c>
      <c r="D9" s="6">
        <f>'1. Input Parameters'!$B$8</f>
        <v>1000</v>
      </c>
      <c r="E9" s="6">
        <f>'1. Input Parameters'!$B$8</f>
        <v>1000</v>
      </c>
      <c r="F9" s="6">
        <f>'1. Input Parameters'!$B$8</f>
        <v>1000</v>
      </c>
      <c r="G9" s="6">
        <f>'1. Input Parameters'!$B$8</f>
        <v>1000</v>
      </c>
      <c r="H9" s="6">
        <f>'1. Input Parameters'!$B$8</f>
        <v>1000</v>
      </c>
      <c r="I9" s="6">
        <f>'1. Input Parameters'!$B$8</f>
        <v>1000</v>
      </c>
      <c r="J9" s="6">
        <f>'1. Input Parameters'!$B$8</f>
        <v>1000</v>
      </c>
      <c r="K9" s="6">
        <f>'1. Input Parameters'!$B$8</f>
        <v>1000</v>
      </c>
      <c r="L9" s="6">
        <f>'1. Input Parameters'!$B$8</f>
        <v>1000</v>
      </c>
      <c r="M9" s="6">
        <f>'1. Input Parameters'!$B$8</f>
        <v>1000</v>
      </c>
      <c r="N9" s="6">
        <f>'1. Input Parameters'!$B$8</f>
        <v>1000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2"/>
      <c r="B10" s="10" t="s">
        <v>88</v>
      </c>
      <c r="C10" s="6">
        <f>'1. Input Parameters'!$B$9</f>
        <v>225</v>
      </c>
      <c r="D10" s="6">
        <f>'1. Input Parameters'!$B$9</f>
        <v>225</v>
      </c>
      <c r="E10" s="6">
        <f>'1. Input Parameters'!$B$9</f>
        <v>225</v>
      </c>
      <c r="F10" s="6">
        <f>'1. Input Parameters'!$B$9</f>
        <v>225</v>
      </c>
      <c r="G10" s="6">
        <f>'1. Input Parameters'!$B$9</f>
        <v>225</v>
      </c>
      <c r="H10" s="6">
        <f>'1. Input Parameters'!$B$9</f>
        <v>225</v>
      </c>
      <c r="I10" s="6">
        <f>'1. Input Parameters'!$B$9</f>
        <v>225</v>
      </c>
      <c r="J10" s="6">
        <f>'1. Input Parameters'!$B$9</f>
        <v>225</v>
      </c>
      <c r="K10" s="6">
        <f>'1. Input Parameters'!$B$9</f>
        <v>225</v>
      </c>
      <c r="L10" s="6">
        <f>'1. Input Parameters'!$B$9</f>
        <v>225</v>
      </c>
      <c r="M10" s="6">
        <f>'1. Input Parameters'!$B$9</f>
        <v>225</v>
      </c>
      <c r="N10" s="6">
        <f>'1. Input Parameters'!$B$9</f>
        <v>225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/>
      <c r="B11" s="15" t="s">
        <v>89</v>
      </c>
      <c r="C11" s="6">
        <f>'4. Business Scaling'!B12</f>
        <v>0</v>
      </c>
      <c r="D11" s="6">
        <f>'4. Business Scaling'!C12</f>
        <v>0</v>
      </c>
      <c r="E11" s="6">
        <f>'4. Business Scaling'!D12</f>
        <v>0</v>
      </c>
      <c r="F11" s="6">
        <f>'4. Business Scaling'!E12</f>
        <v>0</v>
      </c>
      <c r="G11" s="6">
        <f>'4. Business Scaling'!F12</f>
        <v>0</v>
      </c>
      <c r="H11" s="6">
        <f>'4. Business Scaling'!G12</f>
        <v>0</v>
      </c>
      <c r="I11" s="6">
        <f>'4. Business Scaling'!H12</f>
        <v>0</v>
      </c>
      <c r="J11" s="6">
        <f>'4. Business Scaling'!I12</f>
        <v>0</v>
      </c>
      <c r="K11" s="6">
        <f>'4. Business Scaling'!J12</f>
        <v>0</v>
      </c>
      <c r="L11" s="6">
        <f>'4. Business Scaling'!K12</f>
        <v>0</v>
      </c>
      <c r="M11" s="6">
        <f>'4. Business Scaling'!L12</f>
        <v>0</v>
      </c>
      <c r="N11" s="6">
        <f>'4. Business Scaling'!M12</f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"/>
      <c r="B12" s="10" t="s">
        <v>90</v>
      </c>
      <c r="C12" s="6">
        <f>'1. Input Parameters'!$B$6</f>
        <v>28300</v>
      </c>
      <c r="D12" s="6">
        <f>'1. Input Parameters'!$B$6</f>
        <v>28300</v>
      </c>
      <c r="E12" s="6">
        <f>'1. Input Parameters'!$B$6</f>
        <v>28300</v>
      </c>
      <c r="F12" s="6">
        <f>'1. Input Parameters'!$B$6</f>
        <v>28300</v>
      </c>
      <c r="G12" s="6">
        <f>'1. Input Parameters'!$B$6</f>
        <v>28300</v>
      </c>
      <c r="H12" s="6">
        <f>'1. Input Parameters'!$B$6</f>
        <v>28300</v>
      </c>
      <c r="I12" s="6">
        <f>'1. Input Parameters'!$B$6</f>
        <v>28300</v>
      </c>
      <c r="J12" s="6">
        <f>'1. Input Parameters'!$B$6</f>
        <v>28300</v>
      </c>
      <c r="K12" s="6">
        <f>'1. Input Parameters'!$B$6</f>
        <v>28300</v>
      </c>
      <c r="L12" s="6">
        <f>'1. Input Parameters'!$B$6</f>
        <v>28300</v>
      </c>
      <c r="M12" s="6">
        <f>'1. Input Parameters'!$B$6</f>
        <v>28300</v>
      </c>
      <c r="N12" s="6">
        <f>'1. Input Parameters'!$B$6</f>
        <v>28300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"/>
      <c r="B13" s="10" t="s">
        <v>91</v>
      </c>
      <c r="C13" s="24">
        <v>300.0</v>
      </c>
      <c r="D13" s="24">
        <v>300.0</v>
      </c>
      <c r="E13" s="24">
        <v>300.0</v>
      </c>
      <c r="F13" s="24">
        <v>300.0</v>
      </c>
      <c r="G13" s="24">
        <v>300.0</v>
      </c>
      <c r="H13" s="24">
        <v>300.0</v>
      </c>
      <c r="I13" s="24">
        <v>300.0</v>
      </c>
      <c r="J13" s="24">
        <v>300.0</v>
      </c>
      <c r="K13" s="24">
        <v>300.0</v>
      </c>
      <c r="L13" s="24">
        <v>300.0</v>
      </c>
      <c r="M13" s="24">
        <v>300.0</v>
      </c>
      <c r="N13" s="24">
        <v>300.0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2"/>
      <c r="B14" s="15" t="s">
        <v>92</v>
      </c>
      <c r="C14" s="6">
        <f t="shared" ref="C14:N14" si="2">SUM(C8:C11)-C12-C13</f>
        <v>-15667.4811</v>
      </c>
      <c r="D14" s="6">
        <f t="shared" si="2"/>
        <v>-15667.4811</v>
      </c>
      <c r="E14" s="6">
        <f t="shared" si="2"/>
        <v>-15667.4811</v>
      </c>
      <c r="F14" s="6">
        <f t="shared" si="2"/>
        <v>-15667.4811</v>
      </c>
      <c r="G14" s="6">
        <f t="shared" si="2"/>
        <v>-15667.4811</v>
      </c>
      <c r="H14" s="6">
        <f t="shared" si="2"/>
        <v>-15667.4811</v>
      </c>
      <c r="I14" s="6">
        <f t="shared" si="2"/>
        <v>-15667.4811</v>
      </c>
      <c r="J14" s="6">
        <f t="shared" si="2"/>
        <v>-15667.4811</v>
      </c>
      <c r="K14" s="6">
        <f t="shared" si="2"/>
        <v>-15667.4811</v>
      </c>
      <c r="L14" s="6">
        <f t="shared" si="2"/>
        <v>-15667.4811</v>
      </c>
      <c r="M14" s="6">
        <f t="shared" si="2"/>
        <v>9332.5189</v>
      </c>
      <c r="N14" s="6">
        <f t="shared" si="2"/>
        <v>-15667.4811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2"/>
      <c r="B15" s="15" t="s">
        <v>93</v>
      </c>
      <c r="C15" s="6">
        <f t="shared" ref="C15:N15" si="3">C7+C14</f>
        <v>92332.5189</v>
      </c>
      <c r="D15" s="6">
        <f t="shared" si="3"/>
        <v>76665.0378</v>
      </c>
      <c r="E15" s="6">
        <f t="shared" si="3"/>
        <v>60997.5567</v>
      </c>
      <c r="F15" s="6">
        <f t="shared" si="3"/>
        <v>45330.0756</v>
      </c>
      <c r="G15" s="6">
        <f t="shared" si="3"/>
        <v>29662.5945</v>
      </c>
      <c r="H15" s="6">
        <f t="shared" si="3"/>
        <v>13995.1134</v>
      </c>
      <c r="I15" s="6">
        <f t="shared" si="3"/>
        <v>-1672.3677</v>
      </c>
      <c r="J15" s="6">
        <f t="shared" si="3"/>
        <v>-17339.8488</v>
      </c>
      <c r="K15" s="6">
        <f t="shared" si="3"/>
        <v>-33007.3299</v>
      </c>
      <c r="L15" s="6">
        <f t="shared" si="3"/>
        <v>-48674.811</v>
      </c>
      <c r="M15" s="6">
        <f t="shared" si="3"/>
        <v>-39342.2921</v>
      </c>
      <c r="N15" s="6">
        <f t="shared" si="3"/>
        <v>-55009.7732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25"/>
      <c r="B16" s="2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6" t="s">
        <v>94</v>
      </c>
      <c r="B17" s="27" t="s">
        <v>95</v>
      </c>
      <c r="C17" s="28"/>
      <c r="D17" s="2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B18" s="15" t="s">
        <v>85</v>
      </c>
      <c r="C18" s="6">
        <f>'1. Input Parameters'!$B$5</f>
        <v>108000</v>
      </c>
      <c r="D18" s="6">
        <f t="shared" ref="D18:N18" si="4">C27</f>
        <v>92332.5189</v>
      </c>
      <c r="E18" s="6">
        <f t="shared" si="4"/>
        <v>84465.0378</v>
      </c>
      <c r="F18" s="6">
        <f t="shared" si="4"/>
        <v>76597.5567</v>
      </c>
      <c r="G18" s="6">
        <f t="shared" si="4"/>
        <v>68730.0756</v>
      </c>
      <c r="H18" s="6">
        <f t="shared" si="4"/>
        <v>65112.5945</v>
      </c>
      <c r="I18" s="6">
        <f t="shared" si="4"/>
        <v>61495.1134</v>
      </c>
      <c r="J18" s="6">
        <f t="shared" si="4"/>
        <v>59627.6323</v>
      </c>
      <c r="K18" s="6">
        <f t="shared" si="4"/>
        <v>57760.1512</v>
      </c>
      <c r="L18" s="6">
        <f t="shared" si="4"/>
        <v>57642.6701</v>
      </c>
      <c r="M18" s="6">
        <f t="shared" si="4"/>
        <v>55025.189</v>
      </c>
      <c r="N18" s="6">
        <f t="shared" si="4"/>
        <v>79157.7079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2"/>
      <c r="B19" s="10" t="s">
        <v>86</v>
      </c>
      <c r="C19" s="6">
        <f>'1. Input Parameters'!$B$14</f>
        <v>11707.5189</v>
      </c>
      <c r="D19" s="6">
        <f>'1. Input Parameters'!$B$14</f>
        <v>11707.5189</v>
      </c>
      <c r="E19" s="6">
        <f>'1. Input Parameters'!$B$14</f>
        <v>11707.5189</v>
      </c>
      <c r="F19" s="6">
        <f>'1. Input Parameters'!$B$14</f>
        <v>11707.5189</v>
      </c>
      <c r="G19" s="6">
        <f>'1. Input Parameters'!$B$14</f>
        <v>11707.5189</v>
      </c>
      <c r="H19" s="6">
        <f>'1. Input Parameters'!$B$14</f>
        <v>11707.5189</v>
      </c>
      <c r="I19" s="6">
        <f>'1. Input Parameters'!$B$14</f>
        <v>11707.5189</v>
      </c>
      <c r="J19" s="6">
        <f>'1. Input Parameters'!$B$14</f>
        <v>11707.5189</v>
      </c>
      <c r="K19" s="6">
        <f>'1. Input Parameters'!$B$14</f>
        <v>11707.5189</v>
      </c>
      <c r="L19" s="6">
        <f>'1. Input Parameters'!$B$14</f>
        <v>11707.5189</v>
      </c>
      <c r="M19" s="6">
        <f>'1. Input Parameters'!$B$14+'1. Input Parameters'!$B$11</f>
        <v>36707.5189</v>
      </c>
      <c r="N19" s="6">
        <f>'1. Input Parameters'!$B$14</f>
        <v>11707.5189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2"/>
      <c r="B20" s="10" t="s">
        <v>87</v>
      </c>
      <c r="C20" s="6">
        <f>'1. Input Parameters'!$B$8</f>
        <v>1000</v>
      </c>
      <c r="D20" s="6">
        <f>'1. Input Parameters'!$B$8</f>
        <v>1000</v>
      </c>
      <c r="E20" s="6">
        <f>'1. Input Parameters'!$B$8</f>
        <v>1000</v>
      </c>
      <c r="F20" s="6">
        <f>'1. Input Parameters'!$B$8</f>
        <v>1000</v>
      </c>
      <c r="G20" s="6">
        <f>'1. Input Parameters'!$B$8</f>
        <v>1000</v>
      </c>
      <c r="H20" s="6">
        <f>'1. Input Parameters'!$B$8</f>
        <v>1000</v>
      </c>
      <c r="I20" s="6">
        <f>'1. Input Parameters'!$B$8</f>
        <v>1000</v>
      </c>
      <c r="J20" s="6">
        <f>'1. Input Parameters'!$B$8</f>
        <v>1000</v>
      </c>
      <c r="K20" s="6">
        <f>'1. Input Parameters'!$B$8</f>
        <v>1000</v>
      </c>
      <c r="L20" s="6">
        <f>'1. Input Parameters'!$B$8</f>
        <v>1000</v>
      </c>
      <c r="M20" s="6">
        <f>'1. Input Parameters'!$B$8</f>
        <v>1000</v>
      </c>
      <c r="N20" s="6">
        <f>'1. Input Parameters'!$B$8</f>
        <v>1000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2"/>
      <c r="B21" s="10" t="s">
        <v>88</v>
      </c>
      <c r="C21" s="6">
        <f>'1. Input Parameters'!$B$9</f>
        <v>225</v>
      </c>
      <c r="D21" s="6">
        <f>'1. Input Parameters'!$B$9</f>
        <v>225</v>
      </c>
      <c r="E21" s="6">
        <f>'1. Input Parameters'!$B$9</f>
        <v>225</v>
      </c>
      <c r="F21" s="6">
        <f>'1. Input Parameters'!$B$9</f>
        <v>225</v>
      </c>
      <c r="G21" s="6">
        <f>'1. Input Parameters'!$B$9</f>
        <v>225</v>
      </c>
      <c r="H21" s="6">
        <f>'1. Input Parameters'!$B$9</f>
        <v>225</v>
      </c>
      <c r="I21" s="6">
        <f>'1. Input Parameters'!$B$9</f>
        <v>225</v>
      </c>
      <c r="J21" s="6">
        <f>'1. Input Parameters'!$B$9</f>
        <v>225</v>
      </c>
      <c r="K21" s="6">
        <f>'1. Input Parameters'!$B$9</f>
        <v>225</v>
      </c>
      <c r="L21" s="6">
        <f>'1. Input Parameters'!$B$9</f>
        <v>225</v>
      </c>
      <c r="M21" s="6">
        <f>'1. Input Parameters'!$B$9</f>
        <v>225</v>
      </c>
      <c r="N21" s="6">
        <f>'1. Input Parameters'!$B$9</f>
        <v>225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2"/>
      <c r="B22" s="17" t="s">
        <v>96</v>
      </c>
      <c r="C22" s="6">
        <f>'4. Business Scaling'!B32</f>
        <v>0</v>
      </c>
      <c r="D22" s="6">
        <f>'4. Business Scaling'!C32</f>
        <v>15000</v>
      </c>
      <c r="E22" s="6">
        <f>'4. Business Scaling'!D32</f>
        <v>15000</v>
      </c>
      <c r="F22" s="6">
        <f>'4. Business Scaling'!E32</f>
        <v>15000</v>
      </c>
      <c r="G22" s="6">
        <f>'4. Business Scaling'!F32</f>
        <v>23500</v>
      </c>
      <c r="H22" s="6">
        <f>'4. Business Scaling'!G32</f>
        <v>23500</v>
      </c>
      <c r="I22" s="6">
        <f>'4. Business Scaling'!H32</f>
        <v>27000</v>
      </c>
      <c r="J22" s="6">
        <f>'4. Business Scaling'!I32</f>
        <v>27000</v>
      </c>
      <c r="K22" s="6">
        <f>'4. Business Scaling'!J32</f>
        <v>30500</v>
      </c>
      <c r="L22" s="6">
        <f>'4. Business Scaling'!K32</f>
        <v>25500</v>
      </c>
      <c r="M22" s="6">
        <f>'4. Business Scaling'!L32</f>
        <v>29000</v>
      </c>
      <c r="N22" s="6">
        <f>'4. Business Scaling'!M32</f>
        <v>29000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2"/>
      <c r="B23" s="17" t="s">
        <v>97</v>
      </c>
      <c r="C23" s="6">
        <f>'4. Business Scaling'!B33</f>
        <v>0</v>
      </c>
      <c r="D23" s="6">
        <f>'4. Business Scaling'!C33</f>
        <v>9000</v>
      </c>
      <c r="E23" s="6">
        <f>'4. Business Scaling'!D33</f>
        <v>9000</v>
      </c>
      <c r="F23" s="6">
        <f>'4. Business Scaling'!E33</f>
        <v>9000</v>
      </c>
      <c r="G23" s="6">
        <f>'4. Business Scaling'!F33</f>
        <v>14100</v>
      </c>
      <c r="H23" s="6">
        <f>'4. Business Scaling'!G33</f>
        <v>14100</v>
      </c>
      <c r="I23" s="6">
        <f>'4. Business Scaling'!H33</f>
        <v>16200</v>
      </c>
      <c r="J23" s="6">
        <f>'4. Business Scaling'!I33</f>
        <v>16200</v>
      </c>
      <c r="K23" s="6">
        <f>'4. Business Scaling'!J33</f>
        <v>18300</v>
      </c>
      <c r="L23" s="6">
        <f>'4. Business Scaling'!K33</f>
        <v>15300</v>
      </c>
      <c r="M23" s="6">
        <f>'4. Business Scaling'!L33</f>
        <v>17400</v>
      </c>
      <c r="N23" s="6">
        <f>'4. Business Scaling'!M33</f>
        <v>17400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2"/>
      <c r="B24" s="10" t="s">
        <v>90</v>
      </c>
      <c r="C24" s="6">
        <f>'1. Input Parameters'!$B$6</f>
        <v>28300</v>
      </c>
      <c r="D24" s="6">
        <f>'1. Input Parameters'!$B$6</f>
        <v>28300</v>
      </c>
      <c r="E24" s="6">
        <f>'1. Input Parameters'!$B$6</f>
        <v>28300</v>
      </c>
      <c r="F24" s="6">
        <f>'1. Input Parameters'!$B$6</f>
        <v>28300</v>
      </c>
      <c r="G24" s="6">
        <f>'1. Input Parameters'!$B$6</f>
        <v>28300</v>
      </c>
      <c r="H24" s="6">
        <f>'1. Input Parameters'!$B$6</f>
        <v>28300</v>
      </c>
      <c r="I24" s="6">
        <f>'1. Input Parameters'!$B$6</f>
        <v>28300</v>
      </c>
      <c r="J24" s="6">
        <f>'1. Input Parameters'!$B$6</f>
        <v>28300</v>
      </c>
      <c r="K24" s="6">
        <f>'1. Input Parameters'!$B$6</f>
        <v>28300</v>
      </c>
      <c r="L24" s="6">
        <f>'1. Input Parameters'!$B$6</f>
        <v>28300</v>
      </c>
      <c r="M24" s="6">
        <f>'1. Input Parameters'!$B$6</f>
        <v>28300</v>
      </c>
      <c r="N24" s="6">
        <f>'1. Input Parameters'!$B$6</f>
        <v>28300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A25" s="2"/>
      <c r="B25" s="10" t="s">
        <v>91</v>
      </c>
      <c r="C25" s="6">
        <f>'4. Business Scaling'!B40</f>
        <v>300</v>
      </c>
      <c r="D25" s="6">
        <f>'4. Business Scaling'!C40</f>
        <v>1500</v>
      </c>
      <c r="E25" s="6">
        <f>'4. Business Scaling'!D40</f>
        <v>1500</v>
      </c>
      <c r="F25" s="6">
        <f>'4. Business Scaling'!E40</f>
        <v>1500</v>
      </c>
      <c r="G25" s="6">
        <f>'4. Business Scaling'!F40</f>
        <v>2350</v>
      </c>
      <c r="H25" s="6">
        <f>'4. Business Scaling'!G40</f>
        <v>2350</v>
      </c>
      <c r="I25" s="6">
        <f>'4. Business Scaling'!H40</f>
        <v>2700</v>
      </c>
      <c r="J25" s="6">
        <f>'4. Business Scaling'!I40</f>
        <v>2700</v>
      </c>
      <c r="K25" s="6">
        <f>'4. Business Scaling'!J40</f>
        <v>3050</v>
      </c>
      <c r="L25" s="6">
        <f>'4. Business Scaling'!K40</f>
        <v>2550</v>
      </c>
      <c r="M25" s="6">
        <f>'4. Business Scaling'!L40</f>
        <v>2900</v>
      </c>
      <c r="N25" s="6">
        <f>'4. Business Scaling'!M40</f>
        <v>2900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0" customHeight="1">
      <c r="A26" s="2"/>
      <c r="B26" s="15" t="s">
        <v>92</v>
      </c>
      <c r="C26" s="6">
        <f t="shared" ref="C26:N26" si="5">SUM(C19:C21,C23)-C24-C25</f>
        <v>-15667.4811</v>
      </c>
      <c r="D26" s="6">
        <f t="shared" si="5"/>
        <v>-7867.4811</v>
      </c>
      <c r="E26" s="6">
        <f t="shared" si="5"/>
        <v>-7867.4811</v>
      </c>
      <c r="F26" s="6">
        <f t="shared" si="5"/>
        <v>-7867.4811</v>
      </c>
      <c r="G26" s="6">
        <f t="shared" si="5"/>
        <v>-3617.4811</v>
      </c>
      <c r="H26" s="6">
        <f t="shared" si="5"/>
        <v>-3617.4811</v>
      </c>
      <c r="I26" s="6">
        <f t="shared" si="5"/>
        <v>-1867.4811</v>
      </c>
      <c r="J26" s="6">
        <f t="shared" si="5"/>
        <v>-1867.4811</v>
      </c>
      <c r="K26" s="6">
        <f t="shared" si="5"/>
        <v>-117.4811</v>
      </c>
      <c r="L26" s="6">
        <f t="shared" si="5"/>
        <v>-2617.4811</v>
      </c>
      <c r="M26" s="6">
        <f t="shared" si="5"/>
        <v>24132.5189</v>
      </c>
      <c r="N26" s="6">
        <f t="shared" si="5"/>
        <v>-867.4811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0" customHeight="1">
      <c r="A27" s="2"/>
      <c r="B27" s="15" t="s">
        <v>93</v>
      </c>
      <c r="C27" s="6">
        <f t="shared" ref="C27:N27" si="6">C18+C26</f>
        <v>92332.5189</v>
      </c>
      <c r="D27" s="6">
        <f t="shared" si="6"/>
        <v>84465.0378</v>
      </c>
      <c r="E27" s="6">
        <f t="shared" si="6"/>
        <v>76597.5567</v>
      </c>
      <c r="F27" s="6">
        <f t="shared" si="6"/>
        <v>68730.0756</v>
      </c>
      <c r="G27" s="6">
        <f t="shared" si="6"/>
        <v>65112.5945</v>
      </c>
      <c r="H27" s="6">
        <f t="shared" si="6"/>
        <v>61495.1134</v>
      </c>
      <c r="I27" s="6">
        <f t="shared" si="6"/>
        <v>59627.6323</v>
      </c>
      <c r="J27" s="6">
        <f t="shared" si="6"/>
        <v>57760.1512</v>
      </c>
      <c r="K27" s="6">
        <f t="shared" si="6"/>
        <v>57642.6701</v>
      </c>
      <c r="L27" s="6">
        <f t="shared" si="6"/>
        <v>55025.189</v>
      </c>
      <c r="M27" s="6">
        <f t="shared" si="6"/>
        <v>79157.7079</v>
      </c>
      <c r="N27" s="6">
        <f t="shared" si="6"/>
        <v>78290.2268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0" customHeight="1">
      <c r="A29" s="29" t="s">
        <v>98</v>
      </c>
      <c r="B29" s="30" t="s">
        <v>99</v>
      </c>
      <c r="C29" s="31"/>
      <c r="D29" s="3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0" customHeight="1">
      <c r="A30" s="2"/>
      <c r="B30" s="15" t="s">
        <v>85</v>
      </c>
      <c r="C30" s="6">
        <f>'1. Input Parameters'!$B$5</f>
        <v>108000</v>
      </c>
      <c r="D30" s="6">
        <f t="shared" ref="D30:N30" si="7">C39</f>
        <v>92332.5189</v>
      </c>
      <c r="E30" s="6">
        <f t="shared" si="7"/>
        <v>84465.0378</v>
      </c>
      <c r="F30" s="6">
        <f t="shared" si="7"/>
        <v>79097.5567</v>
      </c>
      <c r="G30" s="6">
        <f t="shared" si="7"/>
        <v>74730.0756</v>
      </c>
      <c r="H30" s="6">
        <f t="shared" si="7"/>
        <v>71362.5945</v>
      </c>
      <c r="I30" s="6">
        <f t="shared" si="7"/>
        <v>67995.1134</v>
      </c>
      <c r="J30" s="6">
        <f t="shared" si="7"/>
        <v>65627.6323</v>
      </c>
      <c r="K30" s="6">
        <f t="shared" si="7"/>
        <v>66010.1512</v>
      </c>
      <c r="L30" s="6">
        <f t="shared" si="7"/>
        <v>66892.6701</v>
      </c>
      <c r="M30" s="6">
        <f t="shared" si="7"/>
        <v>69525.189</v>
      </c>
      <c r="N30" s="6">
        <f t="shared" si="7"/>
        <v>98907.7079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2"/>
      <c r="B31" s="10" t="s">
        <v>86</v>
      </c>
      <c r="C31" s="6">
        <f>'1. Input Parameters'!$B$14</f>
        <v>11707.5189</v>
      </c>
      <c r="D31" s="6">
        <f>'1. Input Parameters'!$B$14</f>
        <v>11707.5189</v>
      </c>
      <c r="E31" s="6">
        <f>'1. Input Parameters'!$B$14</f>
        <v>11707.5189</v>
      </c>
      <c r="F31" s="6">
        <f>'1. Input Parameters'!$B$14</f>
        <v>11707.5189</v>
      </c>
      <c r="G31" s="6">
        <f>'1. Input Parameters'!$B$14</f>
        <v>11707.5189</v>
      </c>
      <c r="H31" s="6">
        <f>'1. Input Parameters'!$B$14</f>
        <v>11707.5189</v>
      </c>
      <c r="I31" s="6">
        <f>'1. Input Parameters'!$B$14</f>
        <v>11707.5189</v>
      </c>
      <c r="J31" s="6">
        <f>'1. Input Parameters'!$B$14</f>
        <v>11707.5189</v>
      </c>
      <c r="K31" s="6">
        <f>'1. Input Parameters'!$B$14</f>
        <v>11707.5189</v>
      </c>
      <c r="L31" s="6">
        <f>'1. Input Parameters'!$B$14</f>
        <v>11707.5189</v>
      </c>
      <c r="M31" s="6">
        <f>'1. Input Parameters'!$B$14+'1. Input Parameters'!$B$11</f>
        <v>36707.5189</v>
      </c>
      <c r="N31" s="6">
        <f>'1. Input Parameters'!$B$14</f>
        <v>11707.5189</v>
      </c>
      <c r="O31" s="2" t="str">
        <f>'1. Input Parameters'!B13</f>
        <v/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2"/>
      <c r="B32" s="10" t="s">
        <v>87</v>
      </c>
      <c r="C32" s="6">
        <f>'1. Input Parameters'!$B$8</f>
        <v>1000</v>
      </c>
      <c r="D32" s="6">
        <f>'1. Input Parameters'!$B$8</f>
        <v>1000</v>
      </c>
      <c r="E32" s="6">
        <f>'1. Input Parameters'!$B$8</f>
        <v>1000</v>
      </c>
      <c r="F32" s="6">
        <f>'1. Input Parameters'!$B$8</f>
        <v>1000</v>
      </c>
      <c r="G32" s="6">
        <f>'1. Input Parameters'!$B$8</f>
        <v>1000</v>
      </c>
      <c r="H32" s="6">
        <f>'1. Input Parameters'!$B$8</f>
        <v>1000</v>
      </c>
      <c r="I32" s="6">
        <f>'1. Input Parameters'!$B$8</f>
        <v>1000</v>
      </c>
      <c r="J32" s="6">
        <f>'1. Input Parameters'!$B$8</f>
        <v>1000</v>
      </c>
      <c r="K32" s="6">
        <f>'1. Input Parameters'!$B$8</f>
        <v>1000</v>
      </c>
      <c r="L32" s="6">
        <f>'1. Input Parameters'!$B$8</f>
        <v>1000</v>
      </c>
      <c r="M32" s="6">
        <f>'1. Input Parameters'!$B$8</f>
        <v>1000</v>
      </c>
      <c r="N32" s="6">
        <f>'1. Input Parameters'!$B$8</f>
        <v>1000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10" t="s">
        <v>88</v>
      </c>
      <c r="C33" s="6">
        <f>'1. Input Parameters'!$B$9</f>
        <v>225</v>
      </c>
      <c r="D33" s="6">
        <f>'1. Input Parameters'!$B$9</f>
        <v>225</v>
      </c>
      <c r="E33" s="6">
        <f>'1. Input Parameters'!$B$9</f>
        <v>225</v>
      </c>
      <c r="F33" s="6">
        <f>'1. Input Parameters'!$B$9</f>
        <v>225</v>
      </c>
      <c r="G33" s="6">
        <f>'1. Input Parameters'!$B$9</f>
        <v>225</v>
      </c>
      <c r="H33" s="6">
        <f>'1. Input Parameters'!$B$9</f>
        <v>225</v>
      </c>
      <c r="I33" s="6">
        <f>'1. Input Parameters'!$B$9</f>
        <v>225</v>
      </c>
      <c r="J33" s="6">
        <f>'1. Input Parameters'!$B$9</f>
        <v>225</v>
      </c>
      <c r="K33" s="6">
        <f>'1. Input Parameters'!$B$9</f>
        <v>225</v>
      </c>
      <c r="L33" s="6">
        <f>'1. Input Parameters'!$B$9</f>
        <v>225</v>
      </c>
      <c r="M33" s="6">
        <f>'1. Input Parameters'!$B$9</f>
        <v>225</v>
      </c>
      <c r="N33" s="6">
        <f>'1. Input Parameters'!$B$9</f>
        <v>225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17" t="s">
        <v>96</v>
      </c>
      <c r="C34" s="6">
        <f>'4. Business Scaling'!B52</f>
        <v>0</v>
      </c>
      <c r="D34" s="6">
        <f>'4. Business Scaling'!C52</f>
        <v>15000</v>
      </c>
      <c r="E34" s="6">
        <f>'4. Business Scaling'!D52</f>
        <v>20000</v>
      </c>
      <c r="F34" s="6">
        <f>'4. Business Scaling'!E52</f>
        <v>25000</v>
      </c>
      <c r="G34" s="6">
        <f>'4. Business Scaling'!F52</f>
        <v>30000</v>
      </c>
      <c r="H34" s="6">
        <f>'4. Business Scaling'!G52</f>
        <v>30000</v>
      </c>
      <c r="I34" s="6">
        <f>'4. Business Scaling'!H52</f>
        <v>35000</v>
      </c>
      <c r="J34" s="6">
        <f>'4. Business Scaling'!I52</f>
        <v>43500</v>
      </c>
      <c r="K34" s="6">
        <f>'4. Business Scaling'!J52</f>
        <v>50500</v>
      </c>
      <c r="L34" s="6">
        <f>'4. Business Scaling'!K52</f>
        <v>54000</v>
      </c>
      <c r="M34" s="6">
        <f>'4. Business Scaling'!L52</f>
        <v>57500</v>
      </c>
      <c r="N34" s="6">
        <f>'4. Business Scaling'!M52</f>
        <v>61000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0" customHeight="1">
      <c r="A35" s="2"/>
      <c r="B35" s="17" t="s">
        <v>97</v>
      </c>
      <c r="C35" s="6">
        <f>'4. Business Scaling'!B53</f>
        <v>0</v>
      </c>
      <c r="D35" s="6">
        <f>'4. Business Scaling'!C53</f>
        <v>9000</v>
      </c>
      <c r="E35" s="6">
        <f>'4. Business Scaling'!D53</f>
        <v>12000</v>
      </c>
      <c r="F35" s="6">
        <f>'4. Business Scaling'!E53</f>
        <v>15000</v>
      </c>
      <c r="G35" s="6">
        <f>'4. Business Scaling'!F53</f>
        <v>18000</v>
      </c>
      <c r="H35" s="6">
        <f>'4. Business Scaling'!G53</f>
        <v>18000</v>
      </c>
      <c r="I35" s="6">
        <f>'4. Business Scaling'!H53</f>
        <v>21000</v>
      </c>
      <c r="J35" s="6">
        <f>'4. Business Scaling'!I53</f>
        <v>26100</v>
      </c>
      <c r="K35" s="6">
        <f>'4. Business Scaling'!J53</f>
        <v>30300</v>
      </c>
      <c r="L35" s="6">
        <f>'4. Business Scaling'!K53</f>
        <v>32400</v>
      </c>
      <c r="M35" s="6">
        <f>'4. Business Scaling'!L53</f>
        <v>34500</v>
      </c>
      <c r="N35" s="6">
        <f>'4. Business Scaling'!M53</f>
        <v>36600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10" t="s">
        <v>90</v>
      </c>
      <c r="C36" s="6">
        <f>'1. Input Parameters'!B6</f>
        <v>28300</v>
      </c>
      <c r="D36" s="6">
        <f>'1. Input Parameters'!B6</f>
        <v>28300</v>
      </c>
      <c r="E36" s="6">
        <f>'1. Input Parameters'!B6</f>
        <v>28300</v>
      </c>
      <c r="F36" s="6">
        <f>'1. Input Parameters'!B6</f>
        <v>28300</v>
      </c>
      <c r="G36" s="6">
        <f>'1. Input Parameters'!B6</f>
        <v>28300</v>
      </c>
      <c r="H36" s="6">
        <f>'1. Input Parameters'!B6</f>
        <v>28300</v>
      </c>
      <c r="I36" s="6">
        <f>'1. Input Parameters'!B6</f>
        <v>28300</v>
      </c>
      <c r="J36" s="6">
        <f>'1. Input Parameters'!B6</f>
        <v>28300</v>
      </c>
      <c r="K36" s="6">
        <f>'1. Input Parameters'!B6</f>
        <v>28300</v>
      </c>
      <c r="L36" s="6">
        <f>'1. Input Parameters'!B6</f>
        <v>28300</v>
      </c>
      <c r="M36" s="6">
        <f>'1. Input Parameters'!B6</f>
        <v>28300</v>
      </c>
      <c r="N36" s="6">
        <f>'1. Input Parameters'!B6</f>
        <v>28300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10" t="s">
        <v>91</v>
      </c>
      <c r="C37" s="6">
        <f>'4. Business Scaling'!B60</f>
        <v>300</v>
      </c>
      <c r="D37" s="6">
        <f>'4. Business Scaling'!C60</f>
        <v>1500</v>
      </c>
      <c r="E37" s="6">
        <f>'4. Business Scaling'!D60</f>
        <v>2000</v>
      </c>
      <c r="F37" s="6">
        <f>'4. Business Scaling'!E60</f>
        <v>4000</v>
      </c>
      <c r="G37" s="6">
        <f>'4. Business Scaling'!F60</f>
        <v>6000</v>
      </c>
      <c r="H37" s="6">
        <f>'4. Business Scaling'!G60</f>
        <v>6000</v>
      </c>
      <c r="I37" s="6">
        <f>'4. Business Scaling'!H60</f>
        <v>8000</v>
      </c>
      <c r="J37" s="6">
        <f>'4. Business Scaling'!I60</f>
        <v>10350</v>
      </c>
      <c r="K37" s="6">
        <f>'4. Business Scaling'!J60</f>
        <v>14050</v>
      </c>
      <c r="L37" s="6">
        <f>'4. Business Scaling'!K60</f>
        <v>14400</v>
      </c>
      <c r="M37" s="6">
        <f>'4. Business Scaling'!L60</f>
        <v>14750</v>
      </c>
      <c r="N37" s="6">
        <f>'4. Business Scaling'!M60</f>
        <v>15100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15" t="s">
        <v>92</v>
      </c>
      <c r="C38" s="6">
        <f t="shared" ref="C38:N38" si="8">SUM(C31:C33,C35)-C36-C37</f>
        <v>-15667.4811</v>
      </c>
      <c r="D38" s="6">
        <f t="shared" si="8"/>
        <v>-7867.4811</v>
      </c>
      <c r="E38" s="6">
        <f t="shared" si="8"/>
        <v>-5367.4811</v>
      </c>
      <c r="F38" s="6">
        <f t="shared" si="8"/>
        <v>-4367.4811</v>
      </c>
      <c r="G38" s="6">
        <f t="shared" si="8"/>
        <v>-3367.4811</v>
      </c>
      <c r="H38" s="6">
        <f t="shared" si="8"/>
        <v>-3367.4811</v>
      </c>
      <c r="I38" s="6">
        <f t="shared" si="8"/>
        <v>-2367.4811</v>
      </c>
      <c r="J38" s="6">
        <f t="shared" si="8"/>
        <v>382.5189</v>
      </c>
      <c r="K38" s="6">
        <f t="shared" si="8"/>
        <v>882.5189</v>
      </c>
      <c r="L38" s="6">
        <f t="shared" si="8"/>
        <v>2632.5189</v>
      </c>
      <c r="M38" s="6">
        <f t="shared" si="8"/>
        <v>29382.5189</v>
      </c>
      <c r="N38" s="6">
        <f t="shared" si="8"/>
        <v>6132.5189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15" t="s">
        <v>93</v>
      </c>
      <c r="C39" s="6">
        <f t="shared" ref="C39:N39" si="9">C30+C38</f>
        <v>92332.5189</v>
      </c>
      <c r="D39" s="6">
        <f t="shared" si="9"/>
        <v>84465.0378</v>
      </c>
      <c r="E39" s="6">
        <f t="shared" si="9"/>
        <v>79097.5567</v>
      </c>
      <c r="F39" s="6">
        <f t="shared" si="9"/>
        <v>74730.0756</v>
      </c>
      <c r="G39" s="6">
        <f t="shared" si="9"/>
        <v>71362.5945</v>
      </c>
      <c r="H39" s="6">
        <f t="shared" si="9"/>
        <v>67995.1134</v>
      </c>
      <c r="I39" s="6">
        <f t="shared" si="9"/>
        <v>65627.6323</v>
      </c>
      <c r="J39" s="6">
        <f t="shared" si="9"/>
        <v>66010.1512</v>
      </c>
      <c r="K39" s="6">
        <f t="shared" si="9"/>
        <v>66892.6701</v>
      </c>
      <c r="L39" s="6">
        <f t="shared" si="9"/>
        <v>69525.189</v>
      </c>
      <c r="M39" s="6">
        <f t="shared" si="9"/>
        <v>98907.7079</v>
      </c>
      <c r="N39" s="6">
        <f t="shared" si="9"/>
        <v>105040.2268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2" t="s">
        <v>100</v>
      </c>
      <c r="B41" s="33" t="s">
        <v>101</v>
      </c>
      <c r="C41" s="34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15" t="s">
        <v>85</v>
      </c>
      <c r="C42" s="6">
        <f>'1. Input Parameters'!$B$5</f>
        <v>108000</v>
      </c>
      <c r="D42" s="6">
        <f t="shared" ref="D42:N42" si="10">C51</f>
        <v>92332.5189</v>
      </c>
      <c r="E42" s="6">
        <f t="shared" si="10"/>
        <v>86965.0378</v>
      </c>
      <c r="F42" s="6">
        <f t="shared" si="10"/>
        <v>82597.5567</v>
      </c>
      <c r="G42" s="6">
        <f t="shared" si="10"/>
        <v>80230.0756</v>
      </c>
      <c r="H42" s="6">
        <f t="shared" si="10"/>
        <v>79862.5945</v>
      </c>
      <c r="I42" s="6">
        <f t="shared" si="10"/>
        <v>81745.1134</v>
      </c>
      <c r="J42" s="6">
        <f t="shared" si="10"/>
        <v>85907.6323</v>
      </c>
      <c r="K42" s="6">
        <f t="shared" si="10"/>
        <v>95665.1512</v>
      </c>
      <c r="L42" s="6">
        <f t="shared" si="10"/>
        <v>107610.1701</v>
      </c>
      <c r="M42" s="6">
        <f t="shared" si="10"/>
        <v>127517.689</v>
      </c>
      <c r="N42" s="6">
        <f t="shared" si="10"/>
        <v>175387.7079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10" t="s">
        <v>86</v>
      </c>
      <c r="C43" s="6">
        <f>'1. Input Parameters'!$B$14</f>
        <v>11707.5189</v>
      </c>
      <c r="D43" s="6">
        <f>'1. Input Parameters'!$B$14</f>
        <v>11707.5189</v>
      </c>
      <c r="E43" s="6">
        <f>'1. Input Parameters'!$B$14</f>
        <v>11707.5189</v>
      </c>
      <c r="F43" s="6">
        <f>'1. Input Parameters'!$B$14</f>
        <v>11707.5189</v>
      </c>
      <c r="G43" s="6">
        <f>'1. Input Parameters'!$B$14</f>
        <v>11707.5189</v>
      </c>
      <c r="H43" s="6">
        <f>'1. Input Parameters'!$B$14</f>
        <v>11707.5189</v>
      </c>
      <c r="I43" s="6">
        <f>'1. Input Parameters'!$B$14</f>
        <v>11707.5189</v>
      </c>
      <c r="J43" s="6">
        <f>'1. Input Parameters'!$B$14</f>
        <v>11707.5189</v>
      </c>
      <c r="K43" s="6">
        <f>'1. Input Parameters'!$B$14</f>
        <v>11707.5189</v>
      </c>
      <c r="L43" s="6">
        <f>'1. Input Parameters'!$B$14</f>
        <v>11707.5189</v>
      </c>
      <c r="M43" s="6">
        <f>'1. Input Parameters'!$B$14+'1. Input Parameters'!$B$11</f>
        <v>36707.5189</v>
      </c>
      <c r="N43" s="6">
        <f>'1. Input Parameters'!$B$14</f>
        <v>11707.5189</v>
      </c>
      <c r="O43" s="2" t="str">
        <f>'1. Input Parameters'!B13</f>
        <v/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10" t="s">
        <v>87</v>
      </c>
      <c r="C44" s="6">
        <f>'1. Input Parameters'!$B$8</f>
        <v>1000</v>
      </c>
      <c r="D44" s="6">
        <f>'1. Input Parameters'!$B$8</f>
        <v>1000</v>
      </c>
      <c r="E44" s="6">
        <f>'1. Input Parameters'!$B$8</f>
        <v>1000</v>
      </c>
      <c r="F44" s="6">
        <f>'1. Input Parameters'!$B$8</f>
        <v>1000</v>
      </c>
      <c r="G44" s="6">
        <f>'1. Input Parameters'!$B$8</f>
        <v>1000</v>
      </c>
      <c r="H44" s="6">
        <f>'1. Input Parameters'!$B$8</f>
        <v>1000</v>
      </c>
      <c r="I44" s="6">
        <f>'1. Input Parameters'!$B$8</f>
        <v>1000</v>
      </c>
      <c r="J44" s="6">
        <f>'1. Input Parameters'!$B$8</f>
        <v>1000</v>
      </c>
      <c r="K44" s="6">
        <f>'1. Input Parameters'!$B$8</f>
        <v>1000</v>
      </c>
      <c r="L44" s="6">
        <f>'1. Input Parameters'!$B$8</f>
        <v>1000</v>
      </c>
      <c r="M44" s="6">
        <f>'1. Input Parameters'!$B$8</f>
        <v>1000</v>
      </c>
      <c r="N44" s="6">
        <f>'1. Input Parameters'!$B$8</f>
        <v>1000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10" t="s">
        <v>88</v>
      </c>
      <c r="C45" s="6">
        <f>'1. Input Parameters'!$B$9</f>
        <v>225</v>
      </c>
      <c r="D45" s="6">
        <f>'1. Input Parameters'!$B$9</f>
        <v>225</v>
      </c>
      <c r="E45" s="6">
        <f>'1. Input Parameters'!$B$9</f>
        <v>225</v>
      </c>
      <c r="F45" s="6">
        <f>'1. Input Parameters'!$B$9</f>
        <v>225</v>
      </c>
      <c r="G45" s="6">
        <f>'1. Input Parameters'!$B$9</f>
        <v>225</v>
      </c>
      <c r="H45" s="6">
        <f>'1. Input Parameters'!$B$9</f>
        <v>225</v>
      </c>
      <c r="I45" s="6">
        <f>'1. Input Parameters'!$B$9</f>
        <v>225</v>
      </c>
      <c r="J45" s="6">
        <f>'1. Input Parameters'!$B$9</f>
        <v>225</v>
      </c>
      <c r="K45" s="6">
        <f>'1. Input Parameters'!$B$9</f>
        <v>225</v>
      </c>
      <c r="L45" s="6">
        <f>'1. Input Parameters'!$B$9</f>
        <v>225</v>
      </c>
      <c r="M45" s="6">
        <f>'1. Input Parameters'!$B$9</f>
        <v>225</v>
      </c>
      <c r="N45" s="6">
        <f>'1. Input Parameters'!$B$9</f>
        <v>225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17" t="s">
        <v>96</v>
      </c>
      <c r="C46" s="6">
        <f>'4. Business Scaling'!B72</f>
        <v>0</v>
      </c>
      <c r="D46" s="6">
        <f>'4. Business Scaling'!C72</f>
        <v>20000</v>
      </c>
      <c r="E46" s="6">
        <f>'4. Business Scaling'!D72</f>
        <v>25000</v>
      </c>
      <c r="F46" s="6">
        <f>'4. Business Scaling'!E72</f>
        <v>35000</v>
      </c>
      <c r="G46" s="6">
        <f>'4. Business Scaling'!F72</f>
        <v>45000</v>
      </c>
      <c r="H46" s="6">
        <f>'4. Business Scaling'!G72</f>
        <v>55500</v>
      </c>
      <c r="I46" s="6">
        <f>'4. Business Scaling'!H72</f>
        <v>66000</v>
      </c>
      <c r="J46" s="6">
        <f>'4. Business Scaling'!I72</f>
        <v>75000</v>
      </c>
      <c r="K46" s="6">
        <f>'4. Business Scaling'!J72</f>
        <v>87500</v>
      </c>
      <c r="L46" s="6">
        <f>'4. Business Scaling'!K72</f>
        <v>105000</v>
      </c>
      <c r="M46" s="6">
        <f>'4. Business Scaling'!L72</f>
        <v>122500</v>
      </c>
      <c r="N46" s="6">
        <f>'4. Business Scaling'!M72</f>
        <v>140000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17" t="s">
        <v>97</v>
      </c>
      <c r="C47" s="6">
        <f>'4. Business Scaling'!B73</f>
        <v>0</v>
      </c>
      <c r="D47" s="6">
        <f>'4. Business Scaling'!C73</f>
        <v>12000</v>
      </c>
      <c r="E47" s="6">
        <f>'4. Business Scaling'!D73</f>
        <v>15000</v>
      </c>
      <c r="F47" s="6">
        <f>'4. Business Scaling'!E73</f>
        <v>21000</v>
      </c>
      <c r="G47" s="6">
        <f>'4. Business Scaling'!F73</f>
        <v>27000</v>
      </c>
      <c r="H47" s="6">
        <f>'4. Business Scaling'!G73</f>
        <v>33300</v>
      </c>
      <c r="I47" s="6">
        <f>'4. Business Scaling'!H73</f>
        <v>39600</v>
      </c>
      <c r="J47" s="6">
        <f>'4. Business Scaling'!I73</f>
        <v>45000</v>
      </c>
      <c r="K47" s="6">
        <f>'4. Business Scaling'!J73</f>
        <v>52500</v>
      </c>
      <c r="L47" s="6">
        <f>'4. Business Scaling'!K73</f>
        <v>63000</v>
      </c>
      <c r="M47" s="6">
        <f>'4. Business Scaling'!L73</f>
        <v>73500</v>
      </c>
      <c r="N47" s="6">
        <f>'4. Business Scaling'!M73</f>
        <v>84000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10" t="s">
        <v>90</v>
      </c>
      <c r="C48" s="6">
        <f>'1. Input Parameters'!B6</f>
        <v>28300</v>
      </c>
      <c r="D48" s="6">
        <f>'1. Input Parameters'!B6</f>
        <v>28300</v>
      </c>
      <c r="E48" s="6">
        <f>'1. Input Parameters'!B6</f>
        <v>28300</v>
      </c>
      <c r="F48" s="6">
        <f>'1. Input Parameters'!B6</f>
        <v>28300</v>
      </c>
      <c r="G48" s="6">
        <f>'1. Input Parameters'!B6</f>
        <v>28300</v>
      </c>
      <c r="H48" s="6">
        <f>'1. Input Parameters'!B6</f>
        <v>28300</v>
      </c>
      <c r="I48" s="6">
        <f>'1. Input Parameters'!B6</f>
        <v>28300</v>
      </c>
      <c r="J48" s="6">
        <f>'1. Input Parameters'!B6</f>
        <v>28300</v>
      </c>
      <c r="K48" s="6">
        <f>'1. Input Parameters'!B6</f>
        <v>28300</v>
      </c>
      <c r="L48" s="6">
        <f>'1. Input Parameters'!B6</f>
        <v>28300</v>
      </c>
      <c r="M48" s="6">
        <f>'1. Input Parameters'!B6</f>
        <v>28300</v>
      </c>
      <c r="N48" s="6">
        <f>'1. Input Parameters'!B6</f>
        <v>28300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10" t="s">
        <v>91</v>
      </c>
      <c r="C49" s="6">
        <f>'4. Business Scaling'!B80</f>
        <v>300</v>
      </c>
      <c r="D49" s="6">
        <f>'4. Business Scaling'!C80</f>
        <v>2000</v>
      </c>
      <c r="E49" s="6">
        <f>'4. Business Scaling'!D80</f>
        <v>4000</v>
      </c>
      <c r="F49" s="6">
        <f>'4. Business Scaling'!E80</f>
        <v>8000</v>
      </c>
      <c r="G49" s="6">
        <f>'4. Business Scaling'!F80</f>
        <v>12000</v>
      </c>
      <c r="H49" s="6">
        <f>'4. Business Scaling'!G80</f>
        <v>16050</v>
      </c>
      <c r="I49" s="6">
        <f>'4. Business Scaling'!H80</f>
        <v>20070</v>
      </c>
      <c r="J49" s="6">
        <f>'4. Business Scaling'!I80</f>
        <v>19875</v>
      </c>
      <c r="K49" s="6">
        <f>'4. Business Scaling'!J80</f>
        <v>25187.5</v>
      </c>
      <c r="L49" s="6">
        <f>'4. Business Scaling'!K80</f>
        <v>27725</v>
      </c>
      <c r="M49" s="6">
        <f>'4. Business Scaling'!L80</f>
        <v>35262.5</v>
      </c>
      <c r="N49" s="6">
        <f>'4. Business Scaling'!M80</f>
        <v>37800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15" t="s">
        <v>92</v>
      </c>
      <c r="C50" s="6">
        <f t="shared" ref="C50:N50" si="11">SUM(C43:C45,C47)-C48-C49</f>
        <v>-15667.4811</v>
      </c>
      <c r="D50" s="6">
        <f t="shared" si="11"/>
        <v>-5367.4811</v>
      </c>
      <c r="E50" s="6">
        <f t="shared" si="11"/>
        <v>-4367.4811</v>
      </c>
      <c r="F50" s="6">
        <f t="shared" si="11"/>
        <v>-2367.4811</v>
      </c>
      <c r="G50" s="6">
        <f t="shared" si="11"/>
        <v>-367.4811</v>
      </c>
      <c r="H50" s="6">
        <f t="shared" si="11"/>
        <v>1882.5189</v>
      </c>
      <c r="I50" s="6">
        <f t="shared" si="11"/>
        <v>4162.5189</v>
      </c>
      <c r="J50" s="6">
        <f t="shared" si="11"/>
        <v>9757.5189</v>
      </c>
      <c r="K50" s="6">
        <f t="shared" si="11"/>
        <v>11945.0189</v>
      </c>
      <c r="L50" s="6">
        <f t="shared" si="11"/>
        <v>19907.5189</v>
      </c>
      <c r="M50" s="6">
        <f t="shared" si="11"/>
        <v>47870.0189</v>
      </c>
      <c r="N50" s="6">
        <f t="shared" si="11"/>
        <v>30832.5189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15" t="s">
        <v>93</v>
      </c>
      <c r="C51" s="6">
        <f t="shared" ref="C51:N51" si="12">C42+C50</f>
        <v>92332.5189</v>
      </c>
      <c r="D51" s="6">
        <f t="shared" si="12"/>
        <v>86965.0378</v>
      </c>
      <c r="E51" s="6">
        <f t="shared" si="12"/>
        <v>82597.5567</v>
      </c>
      <c r="F51" s="6">
        <f t="shared" si="12"/>
        <v>80230.0756</v>
      </c>
      <c r="G51" s="6">
        <f t="shared" si="12"/>
        <v>79862.5945</v>
      </c>
      <c r="H51" s="6">
        <f t="shared" si="12"/>
        <v>81745.1134</v>
      </c>
      <c r="I51" s="6">
        <f t="shared" si="12"/>
        <v>85907.6323</v>
      </c>
      <c r="J51" s="6">
        <f t="shared" si="12"/>
        <v>95665.1512</v>
      </c>
      <c r="K51" s="6">
        <f t="shared" si="12"/>
        <v>107610.1701</v>
      </c>
      <c r="L51" s="6">
        <f t="shared" si="12"/>
        <v>127517.689</v>
      </c>
      <c r="M51" s="6">
        <f t="shared" si="12"/>
        <v>175387.7079</v>
      </c>
      <c r="N51" s="6">
        <f t="shared" si="12"/>
        <v>206220.2268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</row>
    <row r="1014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</row>
  </sheetData>
  <conditionalFormatting sqref="C15:N15 C27:N27 C39:N39 C51:N51">
    <cfRule type="cellIs" dxfId="0" priority="1" operator="lessThanOrEqual">
      <formula>0</formula>
    </cfRule>
  </conditionalFormatting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0.71"/>
    <col customWidth="1" min="2" max="13" width="15.0"/>
  </cols>
  <sheetData>
    <row r="1" ht="17.25" customHeight="1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5.0" customHeight="1">
      <c r="A2" s="2" t="s">
        <v>103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5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15.0" customHeight="1">
      <c r="A4" s="2" t="s">
        <v>104</v>
      </c>
      <c r="B4" s="20">
        <v>45931.0</v>
      </c>
      <c r="C4" s="20">
        <v>45962.0</v>
      </c>
      <c r="D4" s="20">
        <v>45992.0</v>
      </c>
      <c r="E4" s="20">
        <v>46023.0</v>
      </c>
      <c r="F4" s="20">
        <v>46054.0</v>
      </c>
      <c r="G4" s="20">
        <v>46082.0</v>
      </c>
      <c r="H4" s="20">
        <v>46113.0</v>
      </c>
      <c r="I4" s="20">
        <v>46143.0</v>
      </c>
      <c r="J4" s="20">
        <v>46174.0</v>
      </c>
      <c r="K4" s="20">
        <v>46204.0</v>
      </c>
      <c r="L4" s="20">
        <v>46235.0</v>
      </c>
      <c r="M4" s="20">
        <v>46266.0</v>
      </c>
    </row>
    <row r="5" ht="15.0" customHeight="1">
      <c r="A5" s="2"/>
      <c r="B5" s="25">
        <v>1.0</v>
      </c>
      <c r="C5" s="25">
        <v>2.0</v>
      </c>
      <c r="D5" s="25">
        <v>3.0</v>
      </c>
      <c r="E5" s="25">
        <v>4.0</v>
      </c>
      <c r="F5" s="25">
        <v>5.0</v>
      </c>
      <c r="G5" s="25">
        <v>6.0</v>
      </c>
      <c r="H5" s="25">
        <v>7.0</v>
      </c>
      <c r="I5" s="25">
        <v>8.0</v>
      </c>
      <c r="J5" s="25">
        <v>9.0</v>
      </c>
      <c r="K5" s="25">
        <v>10.0</v>
      </c>
      <c r="L5" s="25">
        <v>11.0</v>
      </c>
      <c r="M5" s="25">
        <v>12.0</v>
      </c>
    </row>
    <row r="6" ht="15.0" customHeight="1">
      <c r="A6" s="21" t="s">
        <v>105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ht="15.0" customHeight="1">
      <c r="A7" s="7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ht="15.0" customHeight="1">
      <c r="A8" s="35" t="s">
        <v>107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</row>
    <row r="9" ht="15.0" customHeight="1">
      <c r="A9" s="35" t="s">
        <v>108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</row>
    <row r="10" ht="15.0" customHeight="1">
      <c r="A10" s="35" t="s">
        <v>109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</row>
    <row r="11" ht="15.0" customHeight="1">
      <c r="A11" s="12" t="s">
        <v>110</v>
      </c>
      <c r="B11" s="2">
        <f t="shared" ref="B11:M11" si="1">SUM(B8:B10)</f>
        <v>0</v>
      </c>
      <c r="C11" s="2">
        <f t="shared" si="1"/>
        <v>0</v>
      </c>
      <c r="D11" s="2">
        <f t="shared" si="1"/>
        <v>0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>
        <f t="shared" si="1"/>
        <v>0</v>
      </c>
      <c r="I11" s="2">
        <f t="shared" si="1"/>
        <v>0</v>
      </c>
      <c r="J11" s="2">
        <f t="shared" si="1"/>
        <v>0</v>
      </c>
      <c r="K11" s="2">
        <f t="shared" si="1"/>
        <v>0</v>
      </c>
      <c r="L11" s="2">
        <f t="shared" si="1"/>
        <v>0</v>
      </c>
      <c r="M11" s="2">
        <f t="shared" si="1"/>
        <v>0</v>
      </c>
    </row>
    <row r="12" ht="15.0" customHeight="1">
      <c r="A12" s="12" t="s">
        <v>111</v>
      </c>
      <c r="B12" s="36">
        <f>(B8*'1. Input Parameters'!$B$23)+(B9*'1. Input Parameters'!$B$24)+(B10*'1. Input Parameters'!$B$25)</f>
        <v>0</v>
      </c>
      <c r="C12" s="36">
        <f>(C8*'1. Input Parameters'!$B$23)+(C9*'1. Input Parameters'!$B$24)+(C10*'1. Input Parameters'!$B$25)</f>
        <v>0</v>
      </c>
      <c r="D12" s="36">
        <f>(D8*'1. Input Parameters'!$B$23)+(D9*'1. Input Parameters'!$B$24)+(D10*'1. Input Parameters'!$B$25)</f>
        <v>0</v>
      </c>
      <c r="E12" s="36">
        <f>(E8*'1. Input Parameters'!$B$23)+(E9*'1. Input Parameters'!$B$24)+(E10*'1. Input Parameters'!$B$25)</f>
        <v>0</v>
      </c>
      <c r="F12" s="36">
        <f>(F8*'1. Input Parameters'!$B$23)+(F9*'1. Input Parameters'!$B$24)+(F10*'1. Input Parameters'!$B$25)</f>
        <v>0</v>
      </c>
      <c r="G12" s="36">
        <f>(G8*'1. Input Parameters'!$B$23)+(G9*'1. Input Parameters'!$B$24)+(G10*'1. Input Parameters'!$B$25)</f>
        <v>0</v>
      </c>
      <c r="H12" s="36">
        <f>(H8*'1. Input Parameters'!$B$23)+(H9*'1. Input Parameters'!$B$24)+(H10*'1. Input Parameters'!$B$25)</f>
        <v>0</v>
      </c>
      <c r="I12" s="36">
        <f>(I8*'1. Input Parameters'!$B$23)+(I9*'1. Input Parameters'!$B$24)+(I10*'1. Input Parameters'!$B$25)</f>
        <v>0</v>
      </c>
      <c r="J12" s="36">
        <f>(J8*'1. Input Parameters'!$B$23)+(J9*'1. Input Parameters'!$B$24)+(J10*'1. Input Parameters'!$B$25)</f>
        <v>0</v>
      </c>
      <c r="K12" s="36">
        <f>(K8*'1. Input Parameters'!$B$23)+(K9*'1. Input Parameters'!$B$24)+(K10*'1. Input Parameters'!$B$25)</f>
        <v>0</v>
      </c>
      <c r="L12" s="36">
        <f>(L8*'1. Input Parameters'!$B$23)+(L9*'1. Input Parameters'!$B$24)+(L10*'1. Input Parameters'!$B$25)</f>
        <v>0</v>
      </c>
      <c r="M12" s="36">
        <f>(M8*'1. Input Parameters'!$B$23)+(M9*'1. Input Parameters'!$B$24)+(M10*'1. Input Parameters'!$B$25)</f>
        <v>0</v>
      </c>
    </row>
    <row r="13" ht="15.0" customHeight="1">
      <c r="A13" s="35" t="s">
        <v>112</v>
      </c>
      <c r="B13" s="37">
        <f t="shared" ref="B13:M13" si="2">B12*0.55</f>
        <v>0</v>
      </c>
      <c r="C13" s="37">
        <f t="shared" si="2"/>
        <v>0</v>
      </c>
      <c r="D13" s="37">
        <f t="shared" si="2"/>
        <v>0</v>
      </c>
      <c r="E13" s="37">
        <f t="shared" si="2"/>
        <v>0</v>
      </c>
      <c r="F13" s="37">
        <f t="shared" si="2"/>
        <v>0</v>
      </c>
      <c r="G13" s="37">
        <f t="shared" si="2"/>
        <v>0</v>
      </c>
      <c r="H13" s="37">
        <f t="shared" si="2"/>
        <v>0</v>
      </c>
      <c r="I13" s="37">
        <f t="shared" si="2"/>
        <v>0</v>
      </c>
      <c r="J13" s="37">
        <f t="shared" si="2"/>
        <v>0</v>
      </c>
      <c r="K13" s="37">
        <f t="shared" si="2"/>
        <v>0</v>
      </c>
      <c r="L13" s="37">
        <f t="shared" si="2"/>
        <v>0</v>
      </c>
      <c r="M13" s="37">
        <f t="shared" si="2"/>
        <v>0</v>
      </c>
    </row>
    <row r="14" ht="15.0" customHeight="1">
      <c r="A14" s="38" t="s">
        <v>113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ht="15.0" customHeight="1">
      <c r="A15" s="23" t="s">
        <v>114</v>
      </c>
      <c r="B15" s="37">
        <f t="shared" ref="B15:M15" si="3">MAX(B12*0.05,300)</f>
        <v>300</v>
      </c>
      <c r="C15" s="37">
        <f t="shared" si="3"/>
        <v>300</v>
      </c>
      <c r="D15" s="37">
        <f t="shared" si="3"/>
        <v>300</v>
      </c>
      <c r="E15" s="37">
        <f t="shared" si="3"/>
        <v>300</v>
      </c>
      <c r="F15" s="37">
        <f t="shared" si="3"/>
        <v>300</v>
      </c>
      <c r="G15" s="37">
        <f t="shared" si="3"/>
        <v>300</v>
      </c>
      <c r="H15" s="37">
        <f t="shared" si="3"/>
        <v>300</v>
      </c>
      <c r="I15" s="37">
        <f t="shared" si="3"/>
        <v>300</v>
      </c>
      <c r="J15" s="37">
        <f t="shared" si="3"/>
        <v>300</v>
      </c>
      <c r="K15" s="37">
        <f t="shared" si="3"/>
        <v>300</v>
      </c>
      <c r="L15" s="37">
        <f t="shared" si="3"/>
        <v>300</v>
      </c>
      <c r="M15" s="37">
        <f t="shared" si="3"/>
        <v>300</v>
      </c>
    </row>
    <row r="16" ht="15.0" customHeight="1">
      <c r="A16" s="39" t="s">
        <v>115</v>
      </c>
      <c r="B16" s="40">
        <f t="shared" ref="B16:M16" si="4">IF(B9&lt;=3,0,(B9-3)*$B$88)</f>
        <v>0</v>
      </c>
      <c r="C16" s="40">
        <f t="shared" si="4"/>
        <v>0</v>
      </c>
      <c r="D16" s="40">
        <f t="shared" si="4"/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</row>
    <row r="17" ht="15.0" customHeight="1">
      <c r="A17" s="23" t="s">
        <v>116</v>
      </c>
      <c r="B17" s="40">
        <v>0.0</v>
      </c>
      <c r="C17" s="40">
        <v>0.0</v>
      </c>
      <c r="D17" s="40">
        <v>0.0</v>
      </c>
      <c r="E17" s="40">
        <v>0.0</v>
      </c>
      <c r="F17" s="40">
        <v>0.0</v>
      </c>
      <c r="G17" s="40">
        <v>0.0</v>
      </c>
      <c r="H17" s="40">
        <v>0.0</v>
      </c>
      <c r="I17" s="40">
        <v>0.0</v>
      </c>
      <c r="J17" s="40">
        <v>0.0</v>
      </c>
      <c r="K17" s="40">
        <v>0.0</v>
      </c>
      <c r="L17" s="40">
        <v>0.0</v>
      </c>
      <c r="M17" s="40">
        <v>0.0</v>
      </c>
    </row>
    <row r="18" ht="15.0" customHeight="1">
      <c r="A18" s="23" t="s">
        <v>117</v>
      </c>
      <c r="B18" s="40">
        <v>0.0</v>
      </c>
      <c r="C18" s="40">
        <v>0.0</v>
      </c>
      <c r="D18" s="40">
        <v>0.0</v>
      </c>
      <c r="E18" s="40">
        <v>0.0</v>
      </c>
      <c r="F18" s="40">
        <v>0.0</v>
      </c>
      <c r="G18" s="40">
        <v>0.0</v>
      </c>
      <c r="H18" s="40">
        <v>0.0</v>
      </c>
      <c r="I18" s="40">
        <v>0.0</v>
      </c>
      <c r="J18" s="40">
        <v>0.0</v>
      </c>
      <c r="K18" s="40">
        <v>0.0</v>
      </c>
      <c r="L18" s="40">
        <v>0.0</v>
      </c>
      <c r="M18" s="40">
        <v>0.0</v>
      </c>
    </row>
    <row r="19" ht="15.0" customHeight="1">
      <c r="A19" s="23" t="s">
        <v>118</v>
      </c>
      <c r="B19" s="40">
        <v>0.0</v>
      </c>
      <c r="C19" s="40">
        <v>0.0</v>
      </c>
      <c r="D19" s="40">
        <v>0.0</v>
      </c>
      <c r="E19" s="40">
        <v>0.0</v>
      </c>
      <c r="F19" s="40">
        <v>0.0</v>
      </c>
      <c r="G19" s="40">
        <v>0.0</v>
      </c>
      <c r="H19" s="40">
        <v>0.0</v>
      </c>
      <c r="I19" s="40">
        <v>0.0</v>
      </c>
      <c r="J19" s="40">
        <v>0.0</v>
      </c>
      <c r="K19" s="40">
        <v>0.0</v>
      </c>
      <c r="L19" s="40">
        <v>0.0</v>
      </c>
      <c r="M19" s="40">
        <v>0.0</v>
      </c>
    </row>
    <row r="20" ht="15.0" customHeight="1">
      <c r="A20" s="23" t="s">
        <v>119</v>
      </c>
      <c r="B20" s="37">
        <f t="shared" ref="B20:M20" si="5">sum(B15:B19)</f>
        <v>300</v>
      </c>
      <c r="C20" s="37">
        <f t="shared" si="5"/>
        <v>300</v>
      </c>
      <c r="D20" s="37">
        <f t="shared" si="5"/>
        <v>300</v>
      </c>
      <c r="E20" s="37">
        <f t="shared" si="5"/>
        <v>300</v>
      </c>
      <c r="F20" s="37">
        <f t="shared" si="5"/>
        <v>300</v>
      </c>
      <c r="G20" s="37">
        <f t="shared" si="5"/>
        <v>300</v>
      </c>
      <c r="H20" s="37">
        <f t="shared" si="5"/>
        <v>300</v>
      </c>
      <c r="I20" s="37">
        <f t="shared" si="5"/>
        <v>300</v>
      </c>
      <c r="J20" s="37">
        <f t="shared" si="5"/>
        <v>300</v>
      </c>
      <c r="K20" s="37">
        <f t="shared" si="5"/>
        <v>300</v>
      </c>
      <c r="L20" s="37">
        <f t="shared" si="5"/>
        <v>300</v>
      </c>
      <c r="M20" s="37">
        <f t="shared" si="5"/>
        <v>300</v>
      </c>
    </row>
    <row r="21" ht="15.0" customHeight="1">
      <c r="A21" s="41" t="s">
        <v>120</v>
      </c>
    </row>
    <row r="22" ht="15.0" customHeight="1">
      <c r="A22" s="42" t="s">
        <v>121</v>
      </c>
      <c r="B22" s="43">
        <f t="shared" ref="B22:M22" si="6">IF(B11=0,0,B12/B11)</f>
        <v>0</v>
      </c>
      <c r="C22" s="43">
        <f t="shared" si="6"/>
        <v>0</v>
      </c>
      <c r="D22" s="43">
        <f t="shared" si="6"/>
        <v>0</v>
      </c>
      <c r="E22" s="43">
        <f t="shared" si="6"/>
        <v>0</v>
      </c>
      <c r="F22" s="43">
        <f t="shared" si="6"/>
        <v>0</v>
      </c>
      <c r="G22" s="43">
        <f t="shared" si="6"/>
        <v>0</v>
      </c>
      <c r="H22" s="43">
        <f t="shared" si="6"/>
        <v>0</v>
      </c>
      <c r="I22" s="43">
        <f t="shared" si="6"/>
        <v>0</v>
      </c>
      <c r="J22" s="43">
        <f t="shared" si="6"/>
        <v>0</v>
      </c>
      <c r="K22" s="43">
        <f t="shared" si="6"/>
        <v>0</v>
      </c>
      <c r="L22" s="43">
        <f t="shared" si="6"/>
        <v>0</v>
      </c>
      <c r="M22" s="43">
        <f t="shared" si="6"/>
        <v>0</v>
      </c>
    </row>
    <row r="23" ht="15.0" customHeight="1">
      <c r="A23" s="42" t="s">
        <v>122</v>
      </c>
      <c r="B23" s="44">
        <f t="shared" ref="B23:M23" si="7">IF(B12=0,0,(B12-B20)/B12*100)</f>
        <v>0</v>
      </c>
      <c r="C23" s="44">
        <f t="shared" si="7"/>
        <v>0</v>
      </c>
      <c r="D23" s="44">
        <f t="shared" si="7"/>
        <v>0</v>
      </c>
      <c r="E23" s="44">
        <f t="shared" si="7"/>
        <v>0</v>
      </c>
      <c r="F23" s="44">
        <f t="shared" si="7"/>
        <v>0</v>
      </c>
      <c r="G23" s="44">
        <f t="shared" si="7"/>
        <v>0</v>
      </c>
      <c r="H23" s="44">
        <f t="shared" si="7"/>
        <v>0</v>
      </c>
      <c r="I23" s="44">
        <f t="shared" si="7"/>
        <v>0</v>
      </c>
      <c r="J23" s="44">
        <f t="shared" si="7"/>
        <v>0</v>
      </c>
      <c r="K23" s="44">
        <f t="shared" si="7"/>
        <v>0</v>
      </c>
      <c r="L23" s="44">
        <f t="shared" si="7"/>
        <v>0</v>
      </c>
      <c r="M23" s="44">
        <f t="shared" si="7"/>
        <v>0</v>
      </c>
    </row>
    <row r="24" ht="15.0" customHeight="1">
      <c r="A24" s="42" t="s">
        <v>123</v>
      </c>
      <c r="B24" s="43">
        <f t="shared" ref="B24:M24" si="8">B13-B20</f>
        <v>-300</v>
      </c>
      <c r="C24" s="43">
        <f t="shared" si="8"/>
        <v>-300</v>
      </c>
      <c r="D24" s="43">
        <f t="shared" si="8"/>
        <v>-300</v>
      </c>
      <c r="E24" s="43">
        <f t="shared" si="8"/>
        <v>-300</v>
      </c>
      <c r="F24" s="43">
        <f t="shared" si="8"/>
        <v>-300</v>
      </c>
      <c r="G24" s="43">
        <f t="shared" si="8"/>
        <v>-300</v>
      </c>
      <c r="H24" s="43">
        <f t="shared" si="8"/>
        <v>-300</v>
      </c>
      <c r="I24" s="43">
        <f t="shared" si="8"/>
        <v>-300</v>
      </c>
      <c r="J24" s="43">
        <f t="shared" si="8"/>
        <v>-300</v>
      </c>
      <c r="K24" s="43">
        <f t="shared" si="8"/>
        <v>-300</v>
      </c>
      <c r="L24" s="43">
        <f t="shared" si="8"/>
        <v>-300</v>
      </c>
      <c r="M24" s="43">
        <f t="shared" si="8"/>
        <v>-300</v>
      </c>
    </row>
    <row r="25" ht="15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ht="15.0" customHeight="1">
      <c r="A26" s="26" t="s">
        <v>124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5.0" customHeight="1">
      <c r="A27" s="7" t="s">
        <v>125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ht="15.0" customHeight="1">
      <c r="A28" s="5" t="s">
        <v>107</v>
      </c>
      <c r="B28" s="7">
        <v>0.0</v>
      </c>
      <c r="C28" s="7">
        <v>1.0</v>
      </c>
      <c r="D28" s="7">
        <v>1.0</v>
      </c>
      <c r="E28" s="7">
        <v>1.0</v>
      </c>
      <c r="F28" s="7">
        <v>1.0</v>
      </c>
      <c r="G28" s="7">
        <v>1.0</v>
      </c>
      <c r="H28" s="2">
        <v>1.0</v>
      </c>
      <c r="I28" s="2">
        <v>1.0</v>
      </c>
      <c r="J28" s="2">
        <v>1.0</v>
      </c>
      <c r="K28" s="2">
        <v>0.0</v>
      </c>
      <c r="L28" s="2">
        <v>0.0</v>
      </c>
      <c r="M28" s="2">
        <v>0.0</v>
      </c>
    </row>
    <row r="29" ht="15.0" customHeight="1">
      <c r="A29" s="5" t="s">
        <v>108</v>
      </c>
      <c r="B29" s="2">
        <v>0.0</v>
      </c>
      <c r="C29" s="7">
        <v>1.0</v>
      </c>
      <c r="D29" s="7">
        <v>1.0</v>
      </c>
      <c r="E29" s="7">
        <v>1.0</v>
      </c>
      <c r="F29" s="2">
        <v>2.0</v>
      </c>
      <c r="G29" s="7">
        <v>2.0</v>
      </c>
      <c r="H29" s="7">
        <v>2.0</v>
      </c>
      <c r="I29" s="7">
        <v>2.0</v>
      </c>
      <c r="J29" s="7">
        <v>2.0</v>
      </c>
      <c r="K29" s="7">
        <v>3.0</v>
      </c>
      <c r="L29" s="7">
        <v>3.0</v>
      </c>
      <c r="M29" s="7">
        <v>3.0</v>
      </c>
    </row>
    <row r="30" ht="15.0" customHeight="1">
      <c r="A30" s="5" t="s">
        <v>109</v>
      </c>
      <c r="B30" s="2">
        <v>0.0</v>
      </c>
      <c r="C30" s="2">
        <v>0.0</v>
      </c>
      <c r="D30" s="2">
        <v>0.0</v>
      </c>
      <c r="E30" s="2">
        <v>0.0</v>
      </c>
      <c r="F30" s="7">
        <v>1.0</v>
      </c>
      <c r="G30" s="7">
        <v>1.0</v>
      </c>
      <c r="H30" s="7">
        <v>2.0</v>
      </c>
      <c r="I30" s="2">
        <v>2.0</v>
      </c>
      <c r="J30" s="7">
        <v>3.0</v>
      </c>
      <c r="K30" s="7">
        <v>3.0</v>
      </c>
      <c r="L30" s="7">
        <v>4.0</v>
      </c>
      <c r="M30" s="7">
        <v>4.0</v>
      </c>
    </row>
    <row r="31" ht="15.0" customHeight="1">
      <c r="A31" s="9" t="s">
        <v>110</v>
      </c>
      <c r="B31" s="2">
        <f t="shared" ref="B31:M31" si="9">SUM(B28:B30)</f>
        <v>0</v>
      </c>
      <c r="C31" s="2">
        <f t="shared" si="9"/>
        <v>2</v>
      </c>
      <c r="D31" s="2">
        <f t="shared" si="9"/>
        <v>2</v>
      </c>
      <c r="E31" s="2">
        <f t="shared" si="9"/>
        <v>2</v>
      </c>
      <c r="F31" s="2">
        <f t="shared" si="9"/>
        <v>4</v>
      </c>
      <c r="G31" s="2">
        <f t="shared" si="9"/>
        <v>4</v>
      </c>
      <c r="H31" s="2">
        <f t="shared" si="9"/>
        <v>5</v>
      </c>
      <c r="I31" s="2">
        <f t="shared" si="9"/>
        <v>5</v>
      </c>
      <c r="J31" s="2">
        <f t="shared" si="9"/>
        <v>6</v>
      </c>
      <c r="K31" s="2">
        <f t="shared" si="9"/>
        <v>6</v>
      </c>
      <c r="L31" s="2">
        <f t="shared" si="9"/>
        <v>7</v>
      </c>
      <c r="M31" s="2">
        <f t="shared" si="9"/>
        <v>7</v>
      </c>
    </row>
    <row r="32" ht="15.0" customHeight="1">
      <c r="A32" s="9" t="s">
        <v>111</v>
      </c>
      <c r="B32" s="36">
        <f>(B28*'1. Input Parameters'!$B$23)+(B29*'1. Input Parameters'!$B$24)+(B30*'1. Input Parameters'!$B$25)</f>
        <v>0</v>
      </c>
      <c r="C32" s="36">
        <f>(C28*'1. Input Parameters'!$B$23)+(C29*'1. Input Parameters'!$B$24)+(C30*'1. Input Parameters'!$B$25)</f>
        <v>15000</v>
      </c>
      <c r="D32" s="36">
        <f>(D28*'1. Input Parameters'!$B$23)+(D29*'1. Input Parameters'!$B$24)+(D30*'1. Input Parameters'!$B$25)</f>
        <v>15000</v>
      </c>
      <c r="E32" s="36">
        <f>(E28*'1. Input Parameters'!$B$23)+(E29*'1. Input Parameters'!$B$24)+(E30*'1. Input Parameters'!$B$25)</f>
        <v>15000</v>
      </c>
      <c r="F32" s="36">
        <f>(F28*'1. Input Parameters'!$B$23)+(F29*'1. Input Parameters'!$B$24)+(F30*'1. Input Parameters'!$B$25)</f>
        <v>23500</v>
      </c>
      <c r="G32" s="36">
        <f>(G28*'1. Input Parameters'!$B$23)+(G29*'1. Input Parameters'!$B$24)+(G30*'1. Input Parameters'!$B$25)</f>
        <v>23500</v>
      </c>
      <c r="H32" s="36">
        <f>(H28*'1. Input Parameters'!$B$23)+(H29*'1. Input Parameters'!$B$24)+(H30*'1. Input Parameters'!$B$25)</f>
        <v>27000</v>
      </c>
      <c r="I32" s="36">
        <f>(I28*'1. Input Parameters'!$B$23)+(I29*'1. Input Parameters'!$B$24)+(I30*'1. Input Parameters'!$B$25)</f>
        <v>27000</v>
      </c>
      <c r="J32" s="36">
        <f>(J28*'1. Input Parameters'!$B$23)+(J29*'1. Input Parameters'!$B$24)+(J30*'1. Input Parameters'!$B$25)</f>
        <v>30500</v>
      </c>
      <c r="K32" s="36">
        <f>(K28*'1. Input Parameters'!$B$23)+(K29*'1. Input Parameters'!$B$24)+(K30*'1. Input Parameters'!$B$25)</f>
        <v>25500</v>
      </c>
      <c r="L32" s="36">
        <f>(L28*'1. Input Parameters'!$B$23)+(L29*'1. Input Parameters'!$B$24)+(L30*'1. Input Parameters'!$B$25)</f>
        <v>29000</v>
      </c>
      <c r="M32" s="36">
        <f>(M28*'1. Input Parameters'!$B$23)+(M29*'1. Input Parameters'!$B$24)+(M30*'1. Input Parameters'!$B$25)</f>
        <v>29000</v>
      </c>
    </row>
    <row r="33" ht="15.0" customHeight="1">
      <c r="A33" s="5" t="s">
        <v>112</v>
      </c>
      <c r="B33" s="37">
        <f>B32*('1. Input Parameters'!$B$18/100)</f>
        <v>0</v>
      </c>
      <c r="C33" s="37">
        <f>C32*('1. Input Parameters'!$B$18/100)</f>
        <v>9000</v>
      </c>
      <c r="D33" s="37">
        <f>D32*('1. Input Parameters'!$B$18/100)</f>
        <v>9000</v>
      </c>
      <c r="E33" s="37">
        <f>E32*('1. Input Parameters'!$B$18/100)</f>
        <v>9000</v>
      </c>
      <c r="F33" s="37">
        <f>F32*('1. Input Parameters'!$B$18/100)</f>
        <v>14100</v>
      </c>
      <c r="G33" s="37">
        <f>G32*('1. Input Parameters'!$B$18/100)</f>
        <v>14100</v>
      </c>
      <c r="H33" s="37">
        <f>H32*('1. Input Parameters'!$B$18/100)</f>
        <v>16200</v>
      </c>
      <c r="I33" s="37">
        <f>I32*('1. Input Parameters'!$B$18/100)</f>
        <v>16200</v>
      </c>
      <c r="J33" s="37">
        <f>J32*('1. Input Parameters'!$B$18/100)</f>
        <v>18300</v>
      </c>
      <c r="K33" s="37">
        <f>K32*('1. Input Parameters'!$B$18/100)</f>
        <v>15300</v>
      </c>
      <c r="L33" s="37">
        <f>L32*('1. Input Parameters'!$B$18/100)</f>
        <v>17400</v>
      </c>
      <c r="M33" s="37">
        <f>M32*('1. Input Parameters'!$B$18/100)</f>
        <v>17400</v>
      </c>
    </row>
    <row r="34" ht="15.0" customHeight="1">
      <c r="A34" s="38" t="s">
        <v>113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ht="15.0" customHeight="1">
      <c r="A35" s="9" t="s">
        <v>114</v>
      </c>
      <c r="B35" s="37">
        <f t="shared" ref="B35:M35" si="10">MAX(B32*0.05,300)</f>
        <v>300</v>
      </c>
      <c r="C35" s="37">
        <f t="shared" si="10"/>
        <v>750</v>
      </c>
      <c r="D35" s="37">
        <f t="shared" si="10"/>
        <v>750</v>
      </c>
      <c r="E35" s="37">
        <f t="shared" si="10"/>
        <v>750</v>
      </c>
      <c r="F35" s="37">
        <f t="shared" si="10"/>
        <v>1175</v>
      </c>
      <c r="G35" s="37">
        <f t="shared" si="10"/>
        <v>1175</v>
      </c>
      <c r="H35" s="37">
        <f t="shared" si="10"/>
        <v>1350</v>
      </c>
      <c r="I35" s="37">
        <f t="shared" si="10"/>
        <v>1350</v>
      </c>
      <c r="J35" s="37">
        <f t="shared" si="10"/>
        <v>1525</v>
      </c>
      <c r="K35" s="37">
        <f t="shared" si="10"/>
        <v>1275</v>
      </c>
      <c r="L35" s="37">
        <f t="shared" si="10"/>
        <v>1450</v>
      </c>
      <c r="M35" s="37">
        <f t="shared" si="10"/>
        <v>1450</v>
      </c>
    </row>
    <row r="36" ht="15.0" customHeight="1">
      <c r="A36" s="9" t="s">
        <v>115</v>
      </c>
      <c r="B36" s="40">
        <v>0.0</v>
      </c>
      <c r="C36" s="40">
        <v>0.0</v>
      </c>
      <c r="D36" s="40">
        <v>0.0</v>
      </c>
      <c r="E36" s="40">
        <v>0.0</v>
      </c>
      <c r="F36" s="40">
        <v>0.0</v>
      </c>
      <c r="G36" s="40">
        <v>0.0</v>
      </c>
      <c r="H36" s="40">
        <v>0.0</v>
      </c>
      <c r="I36" s="40">
        <v>0.0</v>
      </c>
      <c r="J36" s="40">
        <v>0.0</v>
      </c>
      <c r="K36" s="40">
        <v>0.0</v>
      </c>
      <c r="L36" s="40">
        <v>0.0</v>
      </c>
      <c r="M36" s="40">
        <v>0.0</v>
      </c>
    </row>
    <row r="37" ht="15.0" customHeight="1">
      <c r="A37" s="9" t="s">
        <v>116</v>
      </c>
      <c r="B37" s="40">
        <v>0.0</v>
      </c>
      <c r="C37" s="40">
        <v>0.0</v>
      </c>
      <c r="D37" s="40">
        <v>0.0</v>
      </c>
      <c r="E37" s="40">
        <v>0.0</v>
      </c>
      <c r="F37" s="40">
        <v>0.0</v>
      </c>
      <c r="G37" s="40">
        <v>0.0</v>
      </c>
      <c r="H37" s="40">
        <v>0.0</v>
      </c>
      <c r="I37" s="40">
        <v>0.0</v>
      </c>
      <c r="J37" s="40">
        <v>0.0</v>
      </c>
      <c r="K37" s="40">
        <v>0.0</v>
      </c>
      <c r="L37" s="40">
        <v>0.0</v>
      </c>
      <c r="M37" s="40">
        <v>0.0</v>
      </c>
    </row>
    <row r="38" ht="15.0" customHeight="1">
      <c r="A38" s="9" t="s">
        <v>117</v>
      </c>
      <c r="B38" s="40">
        <v>0.0</v>
      </c>
      <c r="C38" s="40">
        <v>0.0</v>
      </c>
      <c r="D38" s="40">
        <v>0.0</v>
      </c>
      <c r="E38" s="40">
        <v>0.0</v>
      </c>
      <c r="F38" s="40">
        <v>0.0</v>
      </c>
      <c r="G38" s="40">
        <v>0.0</v>
      </c>
      <c r="H38" s="40">
        <v>0.0</v>
      </c>
      <c r="I38" s="40">
        <v>0.0</v>
      </c>
      <c r="J38" s="40">
        <v>0.0</v>
      </c>
      <c r="K38" s="40">
        <v>0.0</v>
      </c>
      <c r="L38" s="40">
        <v>0.0</v>
      </c>
      <c r="M38" s="40">
        <v>0.0</v>
      </c>
    </row>
    <row r="39" ht="15.0" customHeight="1">
      <c r="A39" s="9" t="s">
        <v>118</v>
      </c>
      <c r="B39" s="40">
        <f t="shared" ref="B39:M39" si="11">B32*0.05</f>
        <v>0</v>
      </c>
      <c r="C39" s="40">
        <f t="shared" si="11"/>
        <v>750</v>
      </c>
      <c r="D39" s="40">
        <f t="shared" si="11"/>
        <v>750</v>
      </c>
      <c r="E39" s="40">
        <f t="shared" si="11"/>
        <v>750</v>
      </c>
      <c r="F39" s="40">
        <f t="shared" si="11"/>
        <v>1175</v>
      </c>
      <c r="G39" s="40">
        <f t="shared" si="11"/>
        <v>1175</v>
      </c>
      <c r="H39" s="40">
        <f t="shared" si="11"/>
        <v>1350</v>
      </c>
      <c r="I39" s="40">
        <f t="shared" si="11"/>
        <v>1350</v>
      </c>
      <c r="J39" s="40">
        <f t="shared" si="11"/>
        <v>1525</v>
      </c>
      <c r="K39" s="40">
        <f t="shared" si="11"/>
        <v>1275</v>
      </c>
      <c r="L39" s="40">
        <f t="shared" si="11"/>
        <v>1450</v>
      </c>
      <c r="M39" s="40">
        <f t="shared" si="11"/>
        <v>1450</v>
      </c>
    </row>
    <row r="40" ht="15.0" customHeight="1">
      <c r="A40" s="9" t="s">
        <v>119</v>
      </c>
      <c r="B40" s="37">
        <f t="shared" ref="B40:M40" si="12">sum(B35:B39)</f>
        <v>300</v>
      </c>
      <c r="C40" s="37">
        <f t="shared" si="12"/>
        <v>1500</v>
      </c>
      <c r="D40" s="37">
        <f t="shared" si="12"/>
        <v>1500</v>
      </c>
      <c r="E40" s="37">
        <f t="shared" si="12"/>
        <v>1500</v>
      </c>
      <c r="F40" s="37">
        <f t="shared" si="12"/>
        <v>2350</v>
      </c>
      <c r="G40" s="37">
        <f t="shared" si="12"/>
        <v>2350</v>
      </c>
      <c r="H40" s="37">
        <f t="shared" si="12"/>
        <v>2700</v>
      </c>
      <c r="I40" s="37">
        <f t="shared" si="12"/>
        <v>2700</v>
      </c>
      <c r="J40" s="37">
        <f t="shared" si="12"/>
        <v>3050</v>
      </c>
      <c r="K40" s="37">
        <f t="shared" si="12"/>
        <v>2550</v>
      </c>
      <c r="L40" s="37">
        <f t="shared" si="12"/>
        <v>2900</v>
      </c>
      <c r="M40" s="37">
        <f t="shared" si="12"/>
        <v>2900</v>
      </c>
    </row>
    <row r="41" ht="15.0" customHeight="1">
      <c r="A41" s="41" t="s">
        <v>120</v>
      </c>
    </row>
    <row r="42" ht="15.0" customHeight="1">
      <c r="A42" s="45" t="s">
        <v>121</v>
      </c>
      <c r="B42" s="43">
        <f t="shared" ref="B42:M42" si="13">IF(B31=0,0,B32/B31)</f>
        <v>0</v>
      </c>
      <c r="C42" s="43">
        <f t="shared" si="13"/>
        <v>7500</v>
      </c>
      <c r="D42" s="43">
        <f t="shared" si="13"/>
        <v>7500</v>
      </c>
      <c r="E42" s="43">
        <f t="shared" si="13"/>
        <v>7500</v>
      </c>
      <c r="F42" s="43">
        <f t="shared" si="13"/>
        <v>5875</v>
      </c>
      <c r="G42" s="43">
        <f t="shared" si="13"/>
        <v>5875</v>
      </c>
      <c r="H42" s="43">
        <f t="shared" si="13"/>
        <v>5400</v>
      </c>
      <c r="I42" s="43">
        <f t="shared" si="13"/>
        <v>5400</v>
      </c>
      <c r="J42" s="43">
        <f t="shared" si="13"/>
        <v>5083.333333</v>
      </c>
      <c r="K42" s="43">
        <f t="shared" si="13"/>
        <v>4250</v>
      </c>
      <c r="L42" s="43">
        <f t="shared" si="13"/>
        <v>4142.857143</v>
      </c>
      <c r="M42" s="43">
        <f t="shared" si="13"/>
        <v>4142.857143</v>
      </c>
    </row>
    <row r="43" ht="15.0" customHeight="1">
      <c r="A43" s="45" t="s">
        <v>122</v>
      </c>
      <c r="B43" s="44">
        <f t="shared" ref="B43:M43" si="14">IF(B32=0,0,(B32-B40)/B32*100)</f>
        <v>0</v>
      </c>
      <c r="C43" s="44">
        <f t="shared" si="14"/>
        <v>90</v>
      </c>
      <c r="D43" s="44">
        <f t="shared" si="14"/>
        <v>90</v>
      </c>
      <c r="E43" s="44">
        <f t="shared" si="14"/>
        <v>90</v>
      </c>
      <c r="F43" s="44">
        <f t="shared" si="14"/>
        <v>90</v>
      </c>
      <c r="G43" s="44">
        <f t="shared" si="14"/>
        <v>90</v>
      </c>
      <c r="H43" s="44">
        <f t="shared" si="14"/>
        <v>90</v>
      </c>
      <c r="I43" s="44">
        <f t="shared" si="14"/>
        <v>90</v>
      </c>
      <c r="J43" s="44">
        <f t="shared" si="14"/>
        <v>90</v>
      </c>
      <c r="K43" s="44">
        <f t="shared" si="14"/>
        <v>90</v>
      </c>
      <c r="L43" s="44">
        <f t="shared" si="14"/>
        <v>90</v>
      </c>
      <c r="M43" s="44">
        <f t="shared" si="14"/>
        <v>90</v>
      </c>
    </row>
    <row r="44" ht="15.0" customHeight="1">
      <c r="A44" s="45" t="s">
        <v>123</v>
      </c>
      <c r="B44" s="43">
        <f t="shared" ref="B44:M44" si="15">B33-B40</f>
        <v>-300</v>
      </c>
      <c r="C44" s="43">
        <f t="shared" si="15"/>
        <v>7500</v>
      </c>
      <c r="D44" s="43">
        <f t="shared" si="15"/>
        <v>7500</v>
      </c>
      <c r="E44" s="43">
        <f t="shared" si="15"/>
        <v>7500</v>
      </c>
      <c r="F44" s="43">
        <f t="shared" si="15"/>
        <v>11750</v>
      </c>
      <c r="G44" s="43">
        <f t="shared" si="15"/>
        <v>11750</v>
      </c>
      <c r="H44" s="43">
        <f t="shared" si="15"/>
        <v>13500</v>
      </c>
      <c r="I44" s="43">
        <f t="shared" si="15"/>
        <v>13500</v>
      </c>
      <c r="J44" s="43">
        <f t="shared" si="15"/>
        <v>15250</v>
      </c>
      <c r="K44" s="43">
        <f t="shared" si="15"/>
        <v>12750</v>
      </c>
      <c r="L44" s="43">
        <f t="shared" si="15"/>
        <v>14500</v>
      </c>
      <c r="M44" s="43">
        <f t="shared" si="15"/>
        <v>14500</v>
      </c>
    </row>
    <row r="45" ht="15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ht="15.0" customHeight="1">
      <c r="A46" s="29" t="s">
        <v>126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ht="15.0" customHeight="1">
      <c r="A47" s="2" t="s">
        <v>127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ht="15.0" customHeight="1">
      <c r="A48" s="17" t="s">
        <v>107</v>
      </c>
      <c r="B48" s="7">
        <v>0.0</v>
      </c>
      <c r="C48" s="7">
        <v>1.0</v>
      </c>
      <c r="D48" s="7">
        <v>1.0</v>
      </c>
      <c r="E48" s="7">
        <v>1.0</v>
      </c>
      <c r="F48" s="7">
        <v>1.0</v>
      </c>
      <c r="G48" s="7">
        <v>1.0</v>
      </c>
      <c r="H48" s="2">
        <v>1.0</v>
      </c>
      <c r="I48" s="7">
        <v>1.0</v>
      </c>
      <c r="J48" s="2">
        <v>0.0</v>
      </c>
      <c r="K48" s="2">
        <v>0.0</v>
      </c>
      <c r="L48" s="2">
        <v>0.0</v>
      </c>
      <c r="M48" s="2">
        <v>0.0</v>
      </c>
    </row>
    <row r="49" ht="15.0" customHeight="1">
      <c r="A49" s="17" t="s">
        <v>108</v>
      </c>
      <c r="B49" s="2">
        <v>0.0</v>
      </c>
      <c r="C49" s="7">
        <v>1.0</v>
      </c>
      <c r="D49" s="7">
        <v>2.0</v>
      </c>
      <c r="E49" s="7">
        <v>3.0</v>
      </c>
      <c r="F49" s="7">
        <v>4.0</v>
      </c>
      <c r="G49" s="7">
        <v>4.0</v>
      </c>
      <c r="H49" s="7">
        <v>5.0</v>
      </c>
      <c r="I49" s="7">
        <v>6.0</v>
      </c>
      <c r="J49" s="7">
        <v>8.0</v>
      </c>
      <c r="K49" s="7">
        <v>8.0</v>
      </c>
      <c r="L49" s="7">
        <v>8.0</v>
      </c>
      <c r="M49" s="7">
        <v>8.0</v>
      </c>
    </row>
    <row r="50" ht="15.75" customHeight="1">
      <c r="A50" s="17" t="s">
        <v>109</v>
      </c>
      <c r="B50" s="7">
        <v>0.0</v>
      </c>
      <c r="C50" s="7">
        <v>0.0</v>
      </c>
      <c r="D50" s="7">
        <v>0.0</v>
      </c>
      <c r="E50" s="7">
        <v>0.0</v>
      </c>
      <c r="F50" s="7">
        <v>0.0</v>
      </c>
      <c r="G50" s="7">
        <v>0.0</v>
      </c>
      <c r="H50" s="7">
        <v>0.0</v>
      </c>
      <c r="I50" s="46">
        <v>1.0</v>
      </c>
      <c r="J50" s="47">
        <v>3.0</v>
      </c>
      <c r="K50" s="47">
        <v>4.0</v>
      </c>
      <c r="L50" s="47">
        <v>5.0</v>
      </c>
      <c r="M50" s="46">
        <v>6.0</v>
      </c>
    </row>
    <row r="51" ht="15.75" customHeight="1">
      <c r="A51" s="15" t="s">
        <v>110</v>
      </c>
      <c r="B51" s="2">
        <f t="shared" ref="B51:M51" si="16">SUM(B48:B50)</f>
        <v>0</v>
      </c>
      <c r="C51" s="2">
        <f t="shared" si="16"/>
        <v>2</v>
      </c>
      <c r="D51" s="2">
        <f t="shared" si="16"/>
        <v>3</v>
      </c>
      <c r="E51" s="2">
        <f t="shared" si="16"/>
        <v>4</v>
      </c>
      <c r="F51" s="2">
        <f t="shared" si="16"/>
        <v>5</v>
      </c>
      <c r="G51" s="2">
        <f t="shared" si="16"/>
        <v>5</v>
      </c>
      <c r="H51" s="2">
        <f t="shared" si="16"/>
        <v>6</v>
      </c>
      <c r="I51" s="2">
        <f t="shared" si="16"/>
        <v>8</v>
      </c>
      <c r="J51" s="2">
        <f t="shared" si="16"/>
        <v>11</v>
      </c>
      <c r="K51" s="2">
        <f t="shared" si="16"/>
        <v>12</v>
      </c>
      <c r="L51" s="2">
        <f t="shared" si="16"/>
        <v>13</v>
      </c>
      <c r="M51" s="2">
        <f t="shared" si="16"/>
        <v>14</v>
      </c>
    </row>
    <row r="52" ht="15.75" customHeight="1">
      <c r="A52" s="15" t="s">
        <v>111</v>
      </c>
      <c r="B52" s="37">
        <f>(B48*'1. Input Parameters'!$B$23)+(B49*'1. Input Parameters'!$B$24)+(B50*'1. Input Parameters'!$B$25)</f>
        <v>0</v>
      </c>
      <c r="C52" s="37">
        <f>(C48*'1. Input Parameters'!$B$23)+(C49*'1. Input Parameters'!$B$24)+(C50*'1. Input Parameters'!$B$25)</f>
        <v>15000</v>
      </c>
      <c r="D52" s="37">
        <f>(D48*'1. Input Parameters'!$B$23)+(D49*'1. Input Parameters'!$B$24)+(D50*'1. Input Parameters'!$B$25)</f>
        <v>20000</v>
      </c>
      <c r="E52" s="37">
        <f>(E48*'1. Input Parameters'!$B$23)+(E49*'1. Input Parameters'!$B$24)+(E50*'1. Input Parameters'!$B$25)</f>
        <v>25000</v>
      </c>
      <c r="F52" s="37">
        <f>(F48*'1. Input Parameters'!$B$23)+(F49*'1. Input Parameters'!$B$24)+(F50*'1. Input Parameters'!$B$25)</f>
        <v>30000</v>
      </c>
      <c r="G52" s="37">
        <f>(G48*'1. Input Parameters'!$B$23)+(G49*'1. Input Parameters'!$B$24)+(G50*'1. Input Parameters'!$B$25)</f>
        <v>30000</v>
      </c>
      <c r="H52" s="37">
        <f>(H48*'1. Input Parameters'!$B$23)+(H49*'1. Input Parameters'!$B$24)+(H50*'1. Input Parameters'!$B$25)</f>
        <v>35000</v>
      </c>
      <c r="I52" s="37">
        <f>(I48*'1. Input Parameters'!$B$23)+(I49*'1. Input Parameters'!$B$24)+(I50*'1. Input Parameters'!$B$25)</f>
        <v>43500</v>
      </c>
      <c r="J52" s="37">
        <f>(J48*'1. Input Parameters'!$B$23)+(J49*'1. Input Parameters'!$B$24)+(J50*'1. Input Parameters'!$B$25)</f>
        <v>50500</v>
      </c>
      <c r="K52" s="37">
        <f>(K48*'1. Input Parameters'!$B$23)+(K49*'1. Input Parameters'!$B$24)+(K50*'1. Input Parameters'!$B$25)</f>
        <v>54000</v>
      </c>
      <c r="L52" s="37">
        <f>(L48*'1. Input Parameters'!$B$23)+(L49*'1. Input Parameters'!$B$24)+(L50*'1. Input Parameters'!$B$25)</f>
        <v>57500</v>
      </c>
      <c r="M52" s="37">
        <f>(M48*'1. Input Parameters'!$B$23)+(M49*'1. Input Parameters'!$B$24)+(M50*'1. Input Parameters'!$B$25)</f>
        <v>61000</v>
      </c>
    </row>
    <row r="53" ht="15.75" customHeight="1">
      <c r="A53" s="17" t="s">
        <v>112</v>
      </c>
      <c r="B53" s="37">
        <f>B52*('1. Input Parameters'!$B$18/100)</f>
        <v>0</v>
      </c>
      <c r="C53" s="37">
        <f>C52*('1. Input Parameters'!$B$18/100)</f>
        <v>9000</v>
      </c>
      <c r="D53" s="37">
        <f>D52*('1. Input Parameters'!$B$18/100)</f>
        <v>12000</v>
      </c>
      <c r="E53" s="37">
        <f>E52*('1. Input Parameters'!$B$18/100)</f>
        <v>15000</v>
      </c>
      <c r="F53" s="37">
        <f>F52*('1. Input Parameters'!$B$18/100)</f>
        <v>18000</v>
      </c>
      <c r="G53" s="37">
        <f>G52*('1. Input Parameters'!$B$18/100)</f>
        <v>18000</v>
      </c>
      <c r="H53" s="37">
        <f>H52*('1. Input Parameters'!$B$18/100)</f>
        <v>21000</v>
      </c>
      <c r="I53" s="37">
        <f>I52*('1. Input Parameters'!$B$18/100)</f>
        <v>26100</v>
      </c>
      <c r="J53" s="37">
        <f>J52*('1. Input Parameters'!$B$18/100)</f>
        <v>30300</v>
      </c>
      <c r="K53" s="37">
        <f>K52*('1. Input Parameters'!$B$18/100)</f>
        <v>32400</v>
      </c>
      <c r="L53" s="37">
        <f>L52*('1. Input Parameters'!$B$18/100)</f>
        <v>34500</v>
      </c>
      <c r="M53" s="37">
        <f>M52*('1. Input Parameters'!$B$18/100)</f>
        <v>36600</v>
      </c>
    </row>
    <row r="54" ht="15.75" customHeight="1">
      <c r="A54" s="38" t="s">
        <v>113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</row>
    <row r="55" ht="15.75" customHeight="1">
      <c r="A55" s="15" t="s">
        <v>114</v>
      </c>
      <c r="B55" s="37">
        <f t="shared" ref="B55:M55" si="17">MAX(B52*0.05,300)</f>
        <v>300</v>
      </c>
      <c r="C55" s="37">
        <f t="shared" si="17"/>
        <v>750</v>
      </c>
      <c r="D55" s="37">
        <f t="shared" si="17"/>
        <v>1000</v>
      </c>
      <c r="E55" s="37">
        <f t="shared" si="17"/>
        <v>1250</v>
      </c>
      <c r="F55" s="37">
        <f t="shared" si="17"/>
        <v>1500</v>
      </c>
      <c r="G55" s="37">
        <f t="shared" si="17"/>
        <v>1500</v>
      </c>
      <c r="H55" s="37">
        <f t="shared" si="17"/>
        <v>1750</v>
      </c>
      <c r="I55" s="37">
        <f t="shared" si="17"/>
        <v>2175</v>
      </c>
      <c r="J55" s="37">
        <f t="shared" si="17"/>
        <v>2525</v>
      </c>
      <c r="K55" s="37">
        <f t="shared" si="17"/>
        <v>2700</v>
      </c>
      <c r="L55" s="37">
        <f t="shared" si="17"/>
        <v>2875</v>
      </c>
      <c r="M55" s="37">
        <f t="shared" si="17"/>
        <v>3050</v>
      </c>
    </row>
    <row r="56" ht="15.75" customHeight="1">
      <c r="A56" s="15" t="s">
        <v>115</v>
      </c>
      <c r="B56" s="40">
        <f t="shared" ref="B56:M56" si="18">IF(B49&lt;=2,0,(B49-2)*$B$88)</f>
        <v>0</v>
      </c>
      <c r="C56" s="40">
        <f t="shared" si="18"/>
        <v>0</v>
      </c>
      <c r="D56" s="40">
        <f t="shared" si="18"/>
        <v>0</v>
      </c>
      <c r="E56" s="40">
        <f t="shared" si="18"/>
        <v>1500</v>
      </c>
      <c r="F56" s="40">
        <f t="shared" si="18"/>
        <v>3000</v>
      </c>
      <c r="G56" s="40">
        <f t="shared" si="18"/>
        <v>3000</v>
      </c>
      <c r="H56" s="40">
        <f t="shared" si="18"/>
        <v>4500</v>
      </c>
      <c r="I56" s="40">
        <f t="shared" si="18"/>
        <v>6000</v>
      </c>
      <c r="J56" s="40">
        <f t="shared" si="18"/>
        <v>9000</v>
      </c>
      <c r="K56" s="40">
        <f t="shared" si="18"/>
        <v>9000</v>
      </c>
      <c r="L56" s="40">
        <f t="shared" si="18"/>
        <v>9000</v>
      </c>
      <c r="M56" s="40">
        <f t="shared" si="18"/>
        <v>9000</v>
      </c>
    </row>
    <row r="57" ht="15.75" customHeight="1">
      <c r="A57" s="15" t="s">
        <v>116</v>
      </c>
      <c r="B57" s="40">
        <v>0.0</v>
      </c>
      <c r="C57" s="40">
        <v>0.0</v>
      </c>
      <c r="D57" s="40">
        <v>0.0</v>
      </c>
      <c r="E57" s="40">
        <v>0.0</v>
      </c>
      <c r="F57" s="40">
        <v>0.0</v>
      </c>
      <c r="G57" s="40">
        <v>0.0</v>
      </c>
      <c r="H57" s="40">
        <v>0.0</v>
      </c>
      <c r="I57" s="40">
        <v>0.0</v>
      </c>
      <c r="J57" s="40">
        <v>0.0</v>
      </c>
      <c r="K57" s="40">
        <v>0.0</v>
      </c>
      <c r="L57" s="40">
        <v>0.0</v>
      </c>
      <c r="M57" s="40">
        <v>0.0</v>
      </c>
    </row>
    <row r="58" ht="15.75" customHeight="1">
      <c r="A58" s="15" t="s">
        <v>117</v>
      </c>
      <c r="B58" s="40">
        <v>0.0</v>
      </c>
      <c r="C58" s="40">
        <v>0.0</v>
      </c>
      <c r="D58" s="40">
        <v>0.0</v>
      </c>
      <c r="E58" s="40">
        <v>0.0</v>
      </c>
      <c r="F58" s="40">
        <v>0.0</v>
      </c>
      <c r="G58" s="40">
        <v>0.0</v>
      </c>
      <c r="H58" s="40">
        <v>0.0</v>
      </c>
      <c r="I58" s="40">
        <v>0.0</v>
      </c>
      <c r="J58" s="40">
        <v>0.0</v>
      </c>
      <c r="K58" s="40">
        <v>0.0</v>
      </c>
      <c r="L58" s="40">
        <v>0.0</v>
      </c>
      <c r="M58" s="40">
        <v>0.0</v>
      </c>
    </row>
    <row r="59" ht="15.75" customHeight="1">
      <c r="A59" s="15" t="s">
        <v>118</v>
      </c>
      <c r="B59" s="40">
        <f t="shared" ref="B59:M59" si="19">B52*0.05</f>
        <v>0</v>
      </c>
      <c r="C59" s="40">
        <f t="shared" si="19"/>
        <v>750</v>
      </c>
      <c r="D59" s="40">
        <f t="shared" si="19"/>
        <v>1000</v>
      </c>
      <c r="E59" s="40">
        <f t="shared" si="19"/>
        <v>1250</v>
      </c>
      <c r="F59" s="40">
        <f t="shared" si="19"/>
        <v>1500</v>
      </c>
      <c r="G59" s="40">
        <f t="shared" si="19"/>
        <v>1500</v>
      </c>
      <c r="H59" s="40">
        <f t="shared" si="19"/>
        <v>1750</v>
      </c>
      <c r="I59" s="40">
        <f t="shared" si="19"/>
        <v>2175</v>
      </c>
      <c r="J59" s="40">
        <f t="shared" si="19"/>
        <v>2525</v>
      </c>
      <c r="K59" s="40">
        <f t="shared" si="19"/>
        <v>2700</v>
      </c>
      <c r="L59" s="40">
        <f t="shared" si="19"/>
        <v>2875</v>
      </c>
      <c r="M59" s="40">
        <f t="shared" si="19"/>
        <v>3050</v>
      </c>
    </row>
    <row r="60" ht="15.75" customHeight="1">
      <c r="A60" s="15" t="s">
        <v>119</v>
      </c>
      <c r="B60" s="37">
        <f t="shared" ref="B60:M60" si="20">sum(B55:B59)</f>
        <v>300</v>
      </c>
      <c r="C60" s="37">
        <f t="shared" si="20"/>
        <v>1500</v>
      </c>
      <c r="D60" s="37">
        <f t="shared" si="20"/>
        <v>2000</v>
      </c>
      <c r="E60" s="37">
        <f t="shared" si="20"/>
        <v>4000</v>
      </c>
      <c r="F60" s="37">
        <f t="shared" si="20"/>
        <v>6000</v>
      </c>
      <c r="G60" s="37">
        <f t="shared" si="20"/>
        <v>6000</v>
      </c>
      <c r="H60" s="37">
        <f t="shared" si="20"/>
        <v>8000</v>
      </c>
      <c r="I60" s="37">
        <f t="shared" si="20"/>
        <v>10350</v>
      </c>
      <c r="J60" s="37">
        <f t="shared" si="20"/>
        <v>14050</v>
      </c>
      <c r="K60" s="37">
        <f t="shared" si="20"/>
        <v>14400</v>
      </c>
      <c r="L60" s="37">
        <f t="shared" si="20"/>
        <v>14750</v>
      </c>
      <c r="M60" s="37">
        <f t="shared" si="20"/>
        <v>15100</v>
      </c>
    </row>
    <row r="61" ht="15.75" customHeight="1">
      <c r="A61" s="41" t="s">
        <v>120</v>
      </c>
    </row>
    <row r="62" ht="15.75" customHeight="1">
      <c r="A62" s="48" t="s">
        <v>121</v>
      </c>
      <c r="B62" s="43">
        <f t="shared" ref="B62:M62" si="21">IF(B51=0,0,B52/B51)</f>
        <v>0</v>
      </c>
      <c r="C62" s="43">
        <f t="shared" si="21"/>
        <v>7500</v>
      </c>
      <c r="D62" s="43">
        <f t="shared" si="21"/>
        <v>6666.666667</v>
      </c>
      <c r="E62" s="43">
        <f t="shared" si="21"/>
        <v>6250</v>
      </c>
      <c r="F62" s="43">
        <f t="shared" si="21"/>
        <v>6000</v>
      </c>
      <c r="G62" s="43">
        <f t="shared" si="21"/>
        <v>6000</v>
      </c>
      <c r="H62" s="43">
        <f t="shared" si="21"/>
        <v>5833.333333</v>
      </c>
      <c r="I62" s="43">
        <f t="shared" si="21"/>
        <v>5437.5</v>
      </c>
      <c r="J62" s="43">
        <f t="shared" si="21"/>
        <v>4590.909091</v>
      </c>
      <c r="K62" s="43">
        <f t="shared" si="21"/>
        <v>4500</v>
      </c>
      <c r="L62" s="43">
        <f t="shared" si="21"/>
        <v>4423.076923</v>
      </c>
      <c r="M62" s="43">
        <f t="shared" si="21"/>
        <v>4357.142857</v>
      </c>
    </row>
    <row r="63" ht="15.75" customHeight="1">
      <c r="A63" s="48" t="s">
        <v>122</v>
      </c>
      <c r="B63" s="44">
        <f t="shared" ref="B63:M63" si="22">IF(B52=0,0,(B52-B60)/B52*100)</f>
        <v>0</v>
      </c>
      <c r="C63" s="44">
        <f t="shared" si="22"/>
        <v>90</v>
      </c>
      <c r="D63" s="44">
        <f t="shared" si="22"/>
        <v>90</v>
      </c>
      <c r="E63" s="44">
        <f t="shared" si="22"/>
        <v>84</v>
      </c>
      <c r="F63" s="44">
        <f t="shared" si="22"/>
        <v>80</v>
      </c>
      <c r="G63" s="44">
        <f t="shared" si="22"/>
        <v>80</v>
      </c>
      <c r="H63" s="44">
        <f t="shared" si="22"/>
        <v>77.14285714</v>
      </c>
      <c r="I63" s="44">
        <f t="shared" si="22"/>
        <v>76.20689655</v>
      </c>
      <c r="J63" s="44">
        <f t="shared" si="22"/>
        <v>72.17821782</v>
      </c>
      <c r="K63" s="44">
        <f t="shared" si="22"/>
        <v>73.33333333</v>
      </c>
      <c r="L63" s="44">
        <f t="shared" si="22"/>
        <v>74.34782609</v>
      </c>
      <c r="M63" s="44">
        <f t="shared" si="22"/>
        <v>75.24590164</v>
      </c>
    </row>
    <row r="64" ht="15.75" customHeight="1">
      <c r="A64" s="48" t="s">
        <v>123</v>
      </c>
      <c r="B64" s="43">
        <f t="shared" ref="B64:M64" si="23">B53-B60</f>
        <v>-300</v>
      </c>
      <c r="C64" s="43">
        <f t="shared" si="23"/>
        <v>7500</v>
      </c>
      <c r="D64" s="43">
        <f t="shared" si="23"/>
        <v>10000</v>
      </c>
      <c r="E64" s="43">
        <f t="shared" si="23"/>
        <v>11000</v>
      </c>
      <c r="F64" s="43">
        <f t="shared" si="23"/>
        <v>12000</v>
      </c>
      <c r="G64" s="43">
        <f t="shared" si="23"/>
        <v>12000</v>
      </c>
      <c r="H64" s="43">
        <f t="shared" si="23"/>
        <v>13000</v>
      </c>
      <c r="I64" s="43">
        <f t="shared" si="23"/>
        <v>15750</v>
      </c>
      <c r="J64" s="43">
        <f t="shared" si="23"/>
        <v>16250</v>
      </c>
      <c r="K64" s="43">
        <f t="shared" si="23"/>
        <v>18000</v>
      </c>
      <c r="L64" s="43">
        <f t="shared" si="23"/>
        <v>19750</v>
      </c>
      <c r="M64" s="43">
        <f t="shared" si="23"/>
        <v>21500</v>
      </c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5.75" customHeight="1">
      <c r="A66" s="32" t="s">
        <v>128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5.75" customHeight="1">
      <c r="A67" s="2" t="s">
        <v>129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5.75" customHeight="1">
      <c r="A68" s="49" t="s">
        <v>107</v>
      </c>
      <c r="B68" s="7">
        <v>0.0</v>
      </c>
      <c r="C68" s="7">
        <v>1.0</v>
      </c>
      <c r="D68" s="7">
        <v>1.0</v>
      </c>
      <c r="E68" s="7">
        <v>1.0</v>
      </c>
      <c r="F68" s="7">
        <v>1.0</v>
      </c>
      <c r="G68" s="7">
        <v>0.0</v>
      </c>
      <c r="H68" s="7">
        <v>0.0</v>
      </c>
      <c r="I68" s="7">
        <v>0.0</v>
      </c>
      <c r="J68" s="7">
        <v>0.0</v>
      </c>
      <c r="K68" s="7">
        <v>0.0</v>
      </c>
      <c r="L68" s="7">
        <v>0.0</v>
      </c>
      <c r="M68" s="7">
        <v>0.0</v>
      </c>
    </row>
    <row r="69" ht="15.75" customHeight="1">
      <c r="A69" s="49" t="s">
        <v>108</v>
      </c>
      <c r="B69" s="2">
        <v>0.0</v>
      </c>
      <c r="C69" s="7">
        <v>2.0</v>
      </c>
      <c r="D69" s="7">
        <v>3.0</v>
      </c>
      <c r="E69" s="7">
        <v>5.0</v>
      </c>
      <c r="F69" s="7">
        <v>7.0</v>
      </c>
      <c r="G69" s="7">
        <v>9.0</v>
      </c>
      <c r="H69" s="7">
        <v>9.0</v>
      </c>
      <c r="I69" s="7">
        <v>8.0</v>
      </c>
      <c r="J69" s="7">
        <v>7.0</v>
      </c>
      <c r="K69" s="7">
        <v>7.0</v>
      </c>
      <c r="L69" s="7">
        <v>7.0</v>
      </c>
      <c r="M69" s="7">
        <v>7.0</v>
      </c>
    </row>
    <row r="70" ht="15.75" customHeight="1">
      <c r="A70" s="49" t="s">
        <v>109</v>
      </c>
      <c r="B70" s="2">
        <v>0.0</v>
      </c>
      <c r="C70" s="7">
        <v>0.0</v>
      </c>
      <c r="D70" s="7">
        <v>0.0</v>
      </c>
      <c r="E70" s="7">
        <v>0.0</v>
      </c>
      <c r="F70" s="7">
        <v>0.0</v>
      </c>
      <c r="G70" s="7">
        <v>3.0</v>
      </c>
      <c r="H70" s="7">
        <v>6.0</v>
      </c>
      <c r="I70" s="7">
        <v>10.0</v>
      </c>
      <c r="J70" s="7">
        <v>15.0</v>
      </c>
      <c r="K70" s="7">
        <v>20.0</v>
      </c>
      <c r="L70" s="7">
        <v>25.0</v>
      </c>
      <c r="M70" s="7">
        <v>30.0</v>
      </c>
    </row>
    <row r="71" ht="15.75" customHeight="1">
      <c r="A71" s="19" t="s">
        <v>110</v>
      </c>
      <c r="B71" s="2">
        <f t="shared" ref="B71:M71" si="24">SUM(B68:B70)</f>
        <v>0</v>
      </c>
      <c r="C71" s="2">
        <f t="shared" si="24"/>
        <v>3</v>
      </c>
      <c r="D71" s="2">
        <f t="shared" si="24"/>
        <v>4</v>
      </c>
      <c r="E71" s="2">
        <f t="shared" si="24"/>
        <v>6</v>
      </c>
      <c r="F71" s="2">
        <f t="shared" si="24"/>
        <v>8</v>
      </c>
      <c r="G71" s="2">
        <f t="shared" si="24"/>
        <v>12</v>
      </c>
      <c r="H71" s="2">
        <f t="shared" si="24"/>
        <v>15</v>
      </c>
      <c r="I71" s="2">
        <f t="shared" si="24"/>
        <v>18</v>
      </c>
      <c r="J71" s="2">
        <f t="shared" si="24"/>
        <v>22</v>
      </c>
      <c r="K71" s="2">
        <f t="shared" si="24"/>
        <v>27</v>
      </c>
      <c r="L71" s="2">
        <f t="shared" si="24"/>
        <v>32</v>
      </c>
      <c r="M71" s="2">
        <f t="shared" si="24"/>
        <v>37</v>
      </c>
    </row>
    <row r="72" ht="15.75" customHeight="1">
      <c r="A72" s="19" t="s">
        <v>111</v>
      </c>
      <c r="B72" s="37">
        <f>(B68*'1. Input Parameters'!$B$23)+(B69*'1. Input Parameters'!$B$24)+(B70*'1. Input Parameters'!$B$25)</f>
        <v>0</v>
      </c>
      <c r="C72" s="37">
        <f>(C68*'1. Input Parameters'!$B$23)+(C69*'1. Input Parameters'!$B$24)+(C70*'1. Input Parameters'!$B$25)</f>
        <v>20000</v>
      </c>
      <c r="D72" s="37">
        <f>(D68*'1. Input Parameters'!$B$23)+(D69*'1. Input Parameters'!$B$24)+(D70*'1. Input Parameters'!$B$25)</f>
        <v>25000</v>
      </c>
      <c r="E72" s="37">
        <f>(E68*'1. Input Parameters'!$B$23)+(E69*'1. Input Parameters'!$B$24)+(E70*'1. Input Parameters'!$B$25)</f>
        <v>35000</v>
      </c>
      <c r="F72" s="37">
        <f>(F68*'1. Input Parameters'!$B$23)+(F69*'1. Input Parameters'!$B$24)+(F70*'1. Input Parameters'!$B$25)</f>
        <v>45000</v>
      </c>
      <c r="G72" s="37">
        <f>(G68*'1. Input Parameters'!$B$23)+(G69*'1. Input Parameters'!$B$24)+(G70*'1. Input Parameters'!$B$25)</f>
        <v>55500</v>
      </c>
      <c r="H72" s="37">
        <f>(H68*'1. Input Parameters'!$B$23)+(H69*'1. Input Parameters'!$B$24)+(H70*'1. Input Parameters'!$B$25)</f>
        <v>66000</v>
      </c>
      <c r="I72" s="37">
        <f>(I68*'1. Input Parameters'!$B$23)+(I69*'1. Input Parameters'!$B$24)+(I70*'1. Input Parameters'!$B$25)</f>
        <v>75000</v>
      </c>
      <c r="J72" s="37">
        <f>(J68*'1. Input Parameters'!$B$23)+(J69*'1. Input Parameters'!$B$24)+(J70*'1. Input Parameters'!$B$25)</f>
        <v>87500</v>
      </c>
      <c r="K72" s="37">
        <f>(K68*'1. Input Parameters'!$B$23)+(K69*'1. Input Parameters'!$B$24)+(K70*'1. Input Parameters'!$B$25)</f>
        <v>105000</v>
      </c>
      <c r="L72" s="37">
        <f>(L68*'1. Input Parameters'!$B$23)+(L69*'1. Input Parameters'!$B$24)+(L70*'1. Input Parameters'!$B$25)</f>
        <v>122500</v>
      </c>
      <c r="M72" s="37">
        <f>(M68*'1. Input Parameters'!$B$23)+(M69*'1. Input Parameters'!$B$24)+(M70*'1. Input Parameters'!$B$25)</f>
        <v>140000</v>
      </c>
    </row>
    <row r="73" ht="15.75" customHeight="1">
      <c r="A73" s="49" t="s">
        <v>112</v>
      </c>
      <c r="B73" s="37">
        <f>B72*('1. Input Parameters'!$B$18/100)</f>
        <v>0</v>
      </c>
      <c r="C73" s="37">
        <f>C72*('1. Input Parameters'!$B$18/100)</f>
        <v>12000</v>
      </c>
      <c r="D73" s="37">
        <f>D72*('1. Input Parameters'!$B$18/100)</f>
        <v>15000</v>
      </c>
      <c r="E73" s="37">
        <f>E72*('1. Input Parameters'!$B$18/100)</f>
        <v>21000</v>
      </c>
      <c r="F73" s="37">
        <f>F72*('1. Input Parameters'!$B$18/100)</f>
        <v>27000</v>
      </c>
      <c r="G73" s="37">
        <f>G72*('1. Input Parameters'!$B$18/100)</f>
        <v>33300</v>
      </c>
      <c r="H73" s="37">
        <f>H72*('1. Input Parameters'!$B$18/100)</f>
        <v>39600</v>
      </c>
      <c r="I73" s="37">
        <f>I72*('1. Input Parameters'!$B$18/100)</f>
        <v>45000</v>
      </c>
      <c r="J73" s="37">
        <f>J72*('1. Input Parameters'!$B$18/100)</f>
        <v>52500</v>
      </c>
      <c r="K73" s="37">
        <f>K72*('1. Input Parameters'!$B$18/100)</f>
        <v>63000</v>
      </c>
      <c r="L73" s="37">
        <f>L72*('1. Input Parameters'!$B$18/100)</f>
        <v>73500</v>
      </c>
      <c r="M73" s="37">
        <f>M72*('1. Input Parameters'!$B$18/100)</f>
        <v>84000</v>
      </c>
    </row>
    <row r="74" ht="15.75" customHeight="1">
      <c r="A74" s="38" t="s">
        <v>113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ht="15.75" customHeight="1">
      <c r="A75" s="19" t="s">
        <v>114</v>
      </c>
      <c r="B75" s="37">
        <f t="shared" ref="B75:M75" si="25">MAX(B72*0.05,300)</f>
        <v>300</v>
      </c>
      <c r="C75" s="37">
        <f t="shared" si="25"/>
        <v>1000</v>
      </c>
      <c r="D75" s="37">
        <f t="shared" si="25"/>
        <v>1250</v>
      </c>
      <c r="E75" s="37">
        <f t="shared" si="25"/>
        <v>1750</v>
      </c>
      <c r="F75" s="37">
        <f t="shared" si="25"/>
        <v>2250</v>
      </c>
      <c r="G75" s="37">
        <f t="shared" si="25"/>
        <v>2775</v>
      </c>
      <c r="H75" s="37">
        <f t="shared" si="25"/>
        <v>3300</v>
      </c>
      <c r="I75" s="37">
        <f t="shared" si="25"/>
        <v>3750</v>
      </c>
      <c r="J75" s="37">
        <f t="shared" si="25"/>
        <v>4375</v>
      </c>
      <c r="K75" s="37">
        <f t="shared" si="25"/>
        <v>5250</v>
      </c>
      <c r="L75" s="37">
        <f t="shared" si="25"/>
        <v>6125</v>
      </c>
      <c r="M75" s="37">
        <f t="shared" si="25"/>
        <v>7000</v>
      </c>
    </row>
    <row r="76" ht="15.75" customHeight="1">
      <c r="A76" s="19" t="s">
        <v>115</v>
      </c>
      <c r="B76" s="40">
        <f t="shared" ref="B76:M76" si="26">IF(B69&lt;=2,0,(B69-2)*$B$88)</f>
        <v>0</v>
      </c>
      <c r="C76" s="40">
        <f t="shared" si="26"/>
        <v>0</v>
      </c>
      <c r="D76" s="40">
        <f t="shared" si="26"/>
        <v>1500</v>
      </c>
      <c r="E76" s="40">
        <f t="shared" si="26"/>
        <v>4500</v>
      </c>
      <c r="F76" s="40">
        <f t="shared" si="26"/>
        <v>7500</v>
      </c>
      <c r="G76" s="40">
        <f t="shared" si="26"/>
        <v>10500</v>
      </c>
      <c r="H76" s="40">
        <f t="shared" si="26"/>
        <v>10500</v>
      </c>
      <c r="I76" s="40">
        <f t="shared" si="26"/>
        <v>9000</v>
      </c>
      <c r="J76" s="40">
        <f t="shared" si="26"/>
        <v>7500</v>
      </c>
      <c r="K76" s="40">
        <f t="shared" si="26"/>
        <v>7500</v>
      </c>
      <c r="L76" s="40">
        <f t="shared" si="26"/>
        <v>7500</v>
      </c>
      <c r="M76" s="40">
        <f t="shared" si="26"/>
        <v>7500</v>
      </c>
    </row>
    <row r="77" ht="15.75" customHeight="1">
      <c r="A77" s="19" t="s">
        <v>116</v>
      </c>
      <c r="B77" s="40">
        <f t="shared" ref="B77:M77" si="27">IF(B70&lt;=10,0,IF(B70&lt;=20,5000,IF(B70&lt;=40,10000,IF(B70&gt;40,15000,0))))</f>
        <v>0</v>
      </c>
      <c r="C77" s="40">
        <f t="shared" si="27"/>
        <v>0</v>
      </c>
      <c r="D77" s="40">
        <f t="shared" si="27"/>
        <v>0</v>
      </c>
      <c r="E77" s="40">
        <f t="shared" si="27"/>
        <v>0</v>
      </c>
      <c r="F77" s="40">
        <f t="shared" si="27"/>
        <v>0</v>
      </c>
      <c r="G77" s="40">
        <f t="shared" si="27"/>
        <v>0</v>
      </c>
      <c r="H77" s="40">
        <f t="shared" si="27"/>
        <v>0</v>
      </c>
      <c r="I77" s="40">
        <f t="shared" si="27"/>
        <v>0</v>
      </c>
      <c r="J77" s="40">
        <f t="shared" si="27"/>
        <v>5000</v>
      </c>
      <c r="K77" s="40">
        <f t="shared" si="27"/>
        <v>5000</v>
      </c>
      <c r="L77" s="40">
        <f t="shared" si="27"/>
        <v>10000</v>
      </c>
      <c r="M77" s="40">
        <f t="shared" si="27"/>
        <v>10000</v>
      </c>
    </row>
    <row r="78" ht="15.75" customHeight="1">
      <c r="A78" s="19" t="s">
        <v>117</v>
      </c>
      <c r="B78" s="40">
        <v>0.0</v>
      </c>
      <c r="C78" s="40">
        <v>0.0</v>
      </c>
      <c r="D78" s="40">
        <v>0.0</v>
      </c>
      <c r="E78" s="40">
        <v>0.0</v>
      </c>
      <c r="F78" s="40">
        <v>0.0</v>
      </c>
      <c r="G78" s="40">
        <v>0.0</v>
      </c>
      <c r="H78" s="40">
        <f t="shared" ref="H78:M78" si="28">H73*0.075</f>
        <v>2970</v>
      </c>
      <c r="I78" s="40">
        <f t="shared" si="28"/>
        <v>3375</v>
      </c>
      <c r="J78" s="40">
        <f t="shared" si="28"/>
        <v>3937.5</v>
      </c>
      <c r="K78" s="40">
        <f t="shared" si="28"/>
        <v>4725</v>
      </c>
      <c r="L78" s="40">
        <f t="shared" si="28"/>
        <v>5512.5</v>
      </c>
      <c r="M78" s="40">
        <f t="shared" si="28"/>
        <v>6300</v>
      </c>
    </row>
    <row r="79" ht="15.75" customHeight="1">
      <c r="A79" s="19" t="s">
        <v>118</v>
      </c>
      <c r="B79" s="40">
        <f t="shared" ref="B79:M79" si="29">B72*0.05</f>
        <v>0</v>
      </c>
      <c r="C79" s="40">
        <f t="shared" si="29"/>
        <v>1000</v>
      </c>
      <c r="D79" s="40">
        <f t="shared" si="29"/>
        <v>1250</v>
      </c>
      <c r="E79" s="40">
        <f t="shared" si="29"/>
        <v>1750</v>
      </c>
      <c r="F79" s="40">
        <f t="shared" si="29"/>
        <v>2250</v>
      </c>
      <c r="G79" s="40">
        <f t="shared" si="29"/>
        <v>2775</v>
      </c>
      <c r="H79" s="40">
        <f t="shared" si="29"/>
        <v>3300</v>
      </c>
      <c r="I79" s="40">
        <f t="shared" si="29"/>
        <v>3750</v>
      </c>
      <c r="J79" s="40">
        <f t="shared" si="29"/>
        <v>4375</v>
      </c>
      <c r="K79" s="40">
        <f t="shared" si="29"/>
        <v>5250</v>
      </c>
      <c r="L79" s="40">
        <f t="shared" si="29"/>
        <v>6125</v>
      </c>
      <c r="M79" s="40">
        <f t="shared" si="29"/>
        <v>7000</v>
      </c>
    </row>
    <row r="80" ht="15.75" customHeight="1">
      <c r="A80" s="19" t="s">
        <v>119</v>
      </c>
      <c r="B80" s="37">
        <f t="shared" ref="B80:M80" si="30">sum(B75:B79)</f>
        <v>300</v>
      </c>
      <c r="C80" s="37">
        <f t="shared" si="30"/>
        <v>2000</v>
      </c>
      <c r="D80" s="37">
        <f t="shared" si="30"/>
        <v>4000</v>
      </c>
      <c r="E80" s="37">
        <f t="shared" si="30"/>
        <v>8000</v>
      </c>
      <c r="F80" s="37">
        <f t="shared" si="30"/>
        <v>12000</v>
      </c>
      <c r="G80" s="37">
        <f t="shared" si="30"/>
        <v>16050</v>
      </c>
      <c r="H80" s="37">
        <f t="shared" si="30"/>
        <v>20070</v>
      </c>
      <c r="I80" s="37">
        <f t="shared" si="30"/>
        <v>19875</v>
      </c>
      <c r="J80" s="37">
        <f t="shared" si="30"/>
        <v>25187.5</v>
      </c>
      <c r="K80" s="37">
        <f t="shared" si="30"/>
        <v>27725</v>
      </c>
      <c r="L80" s="37">
        <f t="shared" si="30"/>
        <v>35262.5</v>
      </c>
      <c r="M80" s="37">
        <f t="shared" si="30"/>
        <v>37800</v>
      </c>
    </row>
    <row r="81" ht="15.75" customHeight="1">
      <c r="A81" s="41" t="s">
        <v>120</v>
      </c>
    </row>
    <row r="82" ht="15.75" customHeight="1">
      <c r="A82" s="19" t="s">
        <v>121</v>
      </c>
      <c r="B82" s="43">
        <f t="shared" ref="B82:M82" si="31">IF(B71=0,0,B72/B71)</f>
        <v>0</v>
      </c>
      <c r="C82" s="43">
        <f t="shared" si="31"/>
        <v>6666.666667</v>
      </c>
      <c r="D82" s="43">
        <f t="shared" si="31"/>
        <v>6250</v>
      </c>
      <c r="E82" s="43">
        <f t="shared" si="31"/>
        <v>5833.333333</v>
      </c>
      <c r="F82" s="43">
        <f t="shared" si="31"/>
        <v>5625</v>
      </c>
      <c r="G82" s="43">
        <f t="shared" si="31"/>
        <v>4625</v>
      </c>
      <c r="H82" s="43">
        <f t="shared" si="31"/>
        <v>4400</v>
      </c>
      <c r="I82" s="43">
        <f t="shared" si="31"/>
        <v>4166.666667</v>
      </c>
      <c r="J82" s="43">
        <f t="shared" si="31"/>
        <v>3977.272727</v>
      </c>
      <c r="K82" s="43">
        <f t="shared" si="31"/>
        <v>3888.888889</v>
      </c>
      <c r="L82" s="43">
        <f t="shared" si="31"/>
        <v>3828.125</v>
      </c>
      <c r="M82" s="43">
        <f t="shared" si="31"/>
        <v>3783.783784</v>
      </c>
    </row>
    <row r="83" ht="15.75" customHeight="1">
      <c r="A83" s="19" t="s">
        <v>122</v>
      </c>
      <c r="B83" s="44">
        <f t="shared" ref="B83:M83" si="32">IF(B72=0,0,(B72-B80)/B72*100)</f>
        <v>0</v>
      </c>
      <c r="C83" s="44">
        <f t="shared" si="32"/>
        <v>90</v>
      </c>
      <c r="D83" s="44">
        <f t="shared" si="32"/>
        <v>84</v>
      </c>
      <c r="E83" s="44">
        <f t="shared" si="32"/>
        <v>77.14285714</v>
      </c>
      <c r="F83" s="44">
        <f t="shared" si="32"/>
        <v>73.33333333</v>
      </c>
      <c r="G83" s="44">
        <f t="shared" si="32"/>
        <v>71.08108108</v>
      </c>
      <c r="H83" s="44">
        <f t="shared" si="32"/>
        <v>69.59090909</v>
      </c>
      <c r="I83" s="44">
        <f t="shared" si="32"/>
        <v>73.5</v>
      </c>
      <c r="J83" s="44">
        <f t="shared" si="32"/>
        <v>71.21428571</v>
      </c>
      <c r="K83" s="44">
        <f t="shared" si="32"/>
        <v>73.5952381</v>
      </c>
      <c r="L83" s="44">
        <f t="shared" si="32"/>
        <v>71.21428571</v>
      </c>
      <c r="M83" s="44">
        <f t="shared" si="32"/>
        <v>73</v>
      </c>
    </row>
    <row r="84" ht="15.75" customHeight="1">
      <c r="A84" s="19" t="s">
        <v>123</v>
      </c>
      <c r="B84" s="43">
        <f t="shared" ref="B84:M84" si="33">B73-B80</f>
        <v>-300</v>
      </c>
      <c r="C84" s="43">
        <f t="shared" si="33"/>
        <v>10000</v>
      </c>
      <c r="D84" s="43">
        <f t="shared" si="33"/>
        <v>11000</v>
      </c>
      <c r="E84" s="43">
        <f t="shared" si="33"/>
        <v>13000</v>
      </c>
      <c r="F84" s="43">
        <f t="shared" si="33"/>
        <v>15000</v>
      </c>
      <c r="G84" s="43">
        <f t="shared" si="33"/>
        <v>17250</v>
      </c>
      <c r="H84" s="43">
        <f t="shared" si="33"/>
        <v>19530</v>
      </c>
      <c r="I84" s="43">
        <f t="shared" si="33"/>
        <v>25125</v>
      </c>
      <c r="J84" s="43">
        <f t="shared" si="33"/>
        <v>27312.5</v>
      </c>
      <c r="K84" s="43">
        <f t="shared" si="33"/>
        <v>35275</v>
      </c>
      <c r="L84" s="43">
        <f t="shared" si="33"/>
        <v>38237.5</v>
      </c>
      <c r="M84" s="43">
        <f t="shared" si="33"/>
        <v>46200</v>
      </c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ht="15.75" customHeight="1">
      <c r="A86" s="50" t="s">
        <v>130</v>
      </c>
      <c r="B86" s="50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51" t="s">
        <v>131</v>
      </c>
      <c r="B87" s="52">
        <v>0.05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ht="15.75" customHeight="1">
      <c r="A88" s="5" t="s">
        <v>115</v>
      </c>
      <c r="B88" s="40">
        <f>'1. Input Parameters'!B27</f>
        <v>1500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ht="15.75" customHeight="1">
      <c r="A89" s="9" t="s">
        <v>116</v>
      </c>
      <c r="B89" s="53">
        <f>'1. Input Parameters'!B28</f>
        <v>5000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ht="15.75" customHeight="1">
      <c r="A90" s="9" t="s">
        <v>117</v>
      </c>
      <c r="B90" s="54">
        <v>0.075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ht="15.75" customHeight="1">
      <c r="A91" s="9" t="s">
        <v>118</v>
      </c>
      <c r="B91" s="52">
        <v>0.05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ht="15.75" customHeight="1">
      <c r="A92" s="3" t="s">
        <v>119</v>
      </c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</row>
    <row r="1015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</row>
    <row r="1019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</row>
    <row r="1020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</row>
    <row r="1021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</row>
    <row r="1022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</row>
    <row r="1023" ht="15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ht="15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</row>
    <row r="1025" ht="15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</row>
    <row r="1026" ht="15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</row>
    <row r="1027" ht="15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ht="15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ht="15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</row>
    <row r="1032" ht="15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</row>
    <row r="1033" ht="15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</row>
    <row r="1034" ht="15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</row>
    <row r="1035" ht="15.7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</row>
    <row r="1036" ht="15.7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ht="15.7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ht="15.7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ht="15.7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</row>
    <row r="1040" ht="15.7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</row>
    <row r="1041" ht="15.7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</row>
    <row r="1042" ht="15.7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</row>
    <row r="1043" ht="15.7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ht="15.7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ht="15.7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</row>
    <row r="1046" ht="15.7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</row>
    <row r="1047" ht="15.7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</row>
    <row r="1048" ht="15.7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</row>
    <row r="1049" ht="15.7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</row>
    <row r="1050" ht="15.7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ht="15.7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</sheetData>
  <mergeCells count="4">
    <mergeCell ref="A21:M21"/>
    <mergeCell ref="A41:M41"/>
    <mergeCell ref="A61:M61"/>
    <mergeCell ref="A81:M81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25.0"/>
    <col customWidth="1" min="3" max="3" width="25.71"/>
    <col customWidth="1" min="4" max="4" width="26.0"/>
    <col customWidth="1" min="5" max="5" width="23.57"/>
    <col customWidth="1" min="6" max="6" width="15.0"/>
  </cols>
  <sheetData>
    <row r="1" ht="17.25" customHeight="1">
      <c r="A1" s="1" t="s">
        <v>132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 t="s">
        <v>133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" t="s">
        <v>134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55" t="s">
        <v>135</v>
      </c>
      <c r="B5" s="2" t="s">
        <v>136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55" t="s">
        <v>137</v>
      </c>
      <c r="B6" s="2" t="s">
        <v>138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55" t="s">
        <v>139</v>
      </c>
      <c r="B7" s="2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55" t="s">
        <v>141</v>
      </c>
      <c r="B8" s="2" t="s">
        <v>142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55" t="s">
        <v>143</v>
      </c>
      <c r="B9" s="2" t="s">
        <v>144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55" t="s">
        <v>145</v>
      </c>
      <c r="B10" s="2" t="s">
        <v>146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3" t="s">
        <v>147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55" t="s">
        <v>148</v>
      </c>
      <c r="B13" s="6">
        <f>'1. Input Parameters'!B5</f>
        <v>108000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55" t="s">
        <v>22</v>
      </c>
      <c r="B14" s="6">
        <f>'1. Input Parameters'!B16</f>
        <v>15367.4811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55" t="s">
        <v>54</v>
      </c>
      <c r="B15" s="13">
        <f>'2. Executive Dashboard'!B9</f>
        <v>7.027827091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55" t="s">
        <v>149</v>
      </c>
      <c r="B16" s="6">
        <f>'1. Input Parameters'!B19</f>
        <v>25612.4685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55" t="s">
        <v>150</v>
      </c>
      <c r="B17" s="2" t="s">
        <v>151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55" t="s">
        <v>152</v>
      </c>
      <c r="B18" s="2" t="s">
        <v>153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56" t="s">
        <v>154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5" t="s">
        <v>155</v>
      </c>
      <c r="B21" s="7" t="s">
        <v>156</v>
      </c>
      <c r="C21" s="2"/>
      <c r="D21" s="2"/>
      <c r="E21" s="12" t="s">
        <v>157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5" t="s">
        <v>158</v>
      </c>
      <c r="B22" s="7" t="s">
        <v>159</v>
      </c>
      <c r="C22" s="2"/>
      <c r="D22" s="2"/>
      <c r="E22" s="19" t="s">
        <v>160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5" t="s">
        <v>161</v>
      </c>
      <c r="B23" s="7" t="s">
        <v>162</v>
      </c>
      <c r="C23" s="2"/>
      <c r="D23" s="2"/>
      <c r="E23" s="19" t="s">
        <v>163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5" t="s">
        <v>164</v>
      </c>
      <c r="B24" s="7" t="s">
        <v>165</v>
      </c>
      <c r="C24" s="2"/>
      <c r="D24" s="2"/>
      <c r="E24" s="19" t="s">
        <v>166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55" t="s">
        <v>167</v>
      </c>
      <c r="B25" s="7" t="s">
        <v>168</v>
      </c>
      <c r="C25" s="2"/>
      <c r="D25" s="2"/>
      <c r="E25" s="19" t="s">
        <v>169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55" t="s">
        <v>170</v>
      </c>
      <c r="B26" s="7" t="s">
        <v>171</v>
      </c>
      <c r="C26" s="2"/>
      <c r="D26" s="2"/>
      <c r="E26" s="19" t="s">
        <v>172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7" t="s">
        <v>173</v>
      </c>
      <c r="B28" s="25" t="s">
        <v>174</v>
      </c>
      <c r="C28" s="55"/>
      <c r="D28" s="25" t="s">
        <v>175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55" t="s">
        <v>176</v>
      </c>
      <c r="B29" s="2" t="s">
        <v>177</v>
      </c>
      <c r="C29" s="2"/>
      <c r="D29" s="2" t="s">
        <v>178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5" t="s">
        <v>179</v>
      </c>
      <c r="B30" s="2" t="s">
        <v>180</v>
      </c>
      <c r="C30" s="2"/>
      <c r="D30" s="2" t="s">
        <v>181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5" t="s">
        <v>182</v>
      </c>
      <c r="B31" s="2" t="s">
        <v>183</v>
      </c>
      <c r="C31" s="2"/>
      <c r="D31" s="7" t="s">
        <v>184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55" t="s">
        <v>185</v>
      </c>
      <c r="B32" s="2" t="s">
        <v>186</v>
      </c>
      <c r="C32" s="2"/>
      <c r="D32" s="7" t="s">
        <v>187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55" t="s">
        <v>188</v>
      </c>
      <c r="B33" s="2" t="s">
        <v>189</v>
      </c>
      <c r="C33" s="2"/>
      <c r="D33" s="2" t="s">
        <v>190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58" t="s">
        <v>191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5" t="s">
        <v>192</v>
      </c>
      <c r="B36" s="7" t="s">
        <v>193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55" t="s">
        <v>194</v>
      </c>
      <c r="B37" s="7" t="s">
        <v>195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55" t="s">
        <v>196</v>
      </c>
      <c r="B38" s="2" t="s">
        <v>197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55" t="s">
        <v>198</v>
      </c>
      <c r="B39" s="2" t="s">
        <v>199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5" t="s">
        <v>200</v>
      </c>
      <c r="B40" s="7" t="s">
        <v>201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55" t="s">
        <v>202</v>
      </c>
      <c r="B41" s="2" t="s">
        <v>203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5" t="s">
        <v>204</v>
      </c>
      <c r="B42" s="7" t="s">
        <v>205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9" t="s">
        <v>206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5" t="s">
        <v>207</v>
      </c>
      <c r="B45" s="2" t="s">
        <v>208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55" t="s">
        <v>209</v>
      </c>
      <c r="B46" s="2" t="s">
        <v>210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55" t="s">
        <v>211</v>
      </c>
      <c r="B47" s="2" t="s">
        <v>212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5" t="s">
        <v>213</v>
      </c>
      <c r="B48" s="2" t="s">
        <v>214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55" t="s">
        <v>215</v>
      </c>
      <c r="B49" s="2" t="s">
        <v>216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57" t="s">
        <v>217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0">
        <v>1.0</v>
      </c>
      <c r="B52" s="61" t="s">
        <v>218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0">
        <v>2.0</v>
      </c>
      <c r="B53" s="61" t="s">
        <v>219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62">
        <v>3.0</v>
      </c>
      <c r="B54" s="61" t="s">
        <v>220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  <row r="1001" ht="15.75" customHeight="1">
      <c r="A1001" s="2"/>
      <c r="B1001" s="2"/>
      <c r="C1001" s="2"/>
      <c r="D1001" s="2"/>
      <c r="E1001" s="2"/>
      <c r="F1001" s="2"/>
    </row>
  </sheetData>
  <mergeCells count="3">
    <mergeCell ref="B52:I52"/>
    <mergeCell ref="B53:I53"/>
    <mergeCell ref="B54:I54"/>
  </mergeCell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5" width="20.0"/>
    <col customWidth="1" min="6" max="6" width="23.14"/>
  </cols>
  <sheetData>
    <row r="1" ht="17.25" customHeight="1">
      <c r="A1" s="1" t="s">
        <v>221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 t="s">
        <v>222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" t="s">
        <v>223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55" t="s">
        <v>224</v>
      </c>
      <c r="B5" s="63">
        <f>'1. Input Parameters'!$B$17</f>
        <v>15367.4811</v>
      </c>
      <c r="C5" s="2" t="s">
        <v>225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55" t="s">
        <v>226</v>
      </c>
      <c r="B6" s="63">
        <f>'1. Input Parameters'!$B$19</f>
        <v>25612.4685</v>
      </c>
      <c r="C6" s="2" t="s">
        <v>227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5" t="s">
        <v>228</v>
      </c>
      <c r="B7" s="63">
        <f>B6</f>
        <v>25612.4685</v>
      </c>
      <c r="C7" s="2" t="s">
        <v>229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5" t="s">
        <v>230</v>
      </c>
      <c r="B8" s="63">
        <f>B7*1.25</f>
        <v>32015.58563</v>
      </c>
      <c r="C8" s="2" t="s">
        <v>231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5" t="s">
        <v>232</v>
      </c>
      <c r="B9" s="63">
        <f>B7*2</f>
        <v>51224.937</v>
      </c>
      <c r="C9" s="2" t="s">
        <v>233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25" t="s">
        <v>234</v>
      </c>
      <c r="B10" s="63">
        <f>B7*2.75</f>
        <v>70434.28838</v>
      </c>
      <c r="C10" s="2" t="s">
        <v>235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3" t="s">
        <v>236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64" t="s">
        <v>81</v>
      </c>
      <c r="B13" s="64" t="s">
        <v>237</v>
      </c>
      <c r="C13" s="64" t="s">
        <v>238</v>
      </c>
      <c r="D13" s="64" t="s">
        <v>239</v>
      </c>
      <c r="E13" s="64" t="s">
        <v>240</v>
      </c>
      <c r="F13" s="65" t="s">
        <v>241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2" t="s">
        <v>242</v>
      </c>
      <c r="B14" s="37">
        <f>'4. Business Scaling'!E32</f>
        <v>15000</v>
      </c>
      <c r="C14" s="37">
        <f>'4. Business Scaling'!G32</f>
        <v>23500</v>
      </c>
      <c r="D14" s="37">
        <f>'4. Business Scaling'!J32</f>
        <v>30500</v>
      </c>
      <c r="E14" s="37">
        <f>'4. Business Scaling'!M32</f>
        <v>29000</v>
      </c>
      <c r="F14" s="2" t="str">
        <f>IF(B14&gt;=B6,"✓ Break-even","✗ Below target")</f>
        <v>✗ Below target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7" t="s">
        <v>243</v>
      </c>
      <c r="B15" s="37">
        <f>'4. Business Scaling'!E52</f>
        <v>25000</v>
      </c>
      <c r="C15" s="37">
        <f>'4. Business Scaling'!G52</f>
        <v>30000</v>
      </c>
      <c r="D15" s="37">
        <f>'4. Business Scaling'!J52</f>
        <v>50500</v>
      </c>
      <c r="E15" s="37">
        <f>'4. Business Scaling'!M52</f>
        <v>61000</v>
      </c>
      <c r="F15" s="2" t="str">
        <f>IF(AND(B15&gt;=B6,C15&gt;=B8),"✓ Exceeds targets",IF(B15&gt;=B6,"✓ Break-even only","✗ Below target"))</f>
        <v>✗ Below target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2" t="s">
        <v>244</v>
      </c>
      <c r="B16" s="37">
        <f>'4. Business Scaling'!E72</f>
        <v>35000</v>
      </c>
      <c r="C16" s="37">
        <f>'4. Business Scaling'!G72</f>
        <v>55500</v>
      </c>
      <c r="D16" s="37">
        <f>'4. Business Scaling'!J72</f>
        <v>87500</v>
      </c>
      <c r="E16" s="37">
        <f>'4. Business Scaling'!M72</f>
        <v>140000</v>
      </c>
      <c r="F16" s="2" t="str">
        <f>IF(D16&gt;=B9,"✓ Scale achieved",IF(B16&gt;=B6,"✓ Break-even","✗ Below target"))</f>
        <v>✓ Scale achieved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3" t="s">
        <v>245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55" t="s">
        <v>246</v>
      </c>
      <c r="B19" s="6">
        <f>'1. Input Parameters'!$B$23</f>
        <v>10000</v>
      </c>
      <c r="C19" s="7" t="s">
        <v>247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55" t="s">
        <v>248</v>
      </c>
      <c r="B20" s="6">
        <f>'1. Input Parameters'!$B$24</f>
        <v>5000</v>
      </c>
      <c r="C20" s="7" t="s">
        <v>249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5" t="s">
        <v>250</v>
      </c>
      <c r="B21" s="6">
        <f>'1. Input Parameters'!$B$25</f>
        <v>3500</v>
      </c>
      <c r="C21" s="2" t="s">
        <v>251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5" t="s">
        <v>252</v>
      </c>
      <c r="B22" s="66">
        <f>AVERAGE('4. Business Scaling'!B53:M53)</f>
        <v>21075</v>
      </c>
      <c r="C22" s="2" t="s">
        <v>253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5" t="s">
        <v>254</v>
      </c>
      <c r="B23" s="13">
        <f>B6/B22</f>
        <v>1.215300996</v>
      </c>
      <c r="C23" s="2" t="s">
        <v>255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2025-09-17T19:12:24Z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