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Hypermaq\Electronics\"/>
    </mc:Choice>
  </mc:AlternateContent>
  <bookViews>
    <workbookView xWindow="0" yWindow="0" windowWidth="3900" windowHeight="9990" activeTab="1"/>
  </bookViews>
  <sheets>
    <sheet name="Sheet1" sheetId="1" r:id="rId1"/>
    <sheet name="Component Selection" sheetId="2" r:id="rId2"/>
    <sheet name="Power draw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23" i="2"/>
  <c r="D27" i="2"/>
  <c r="D29" i="2" s="1"/>
  <c r="D28" i="2" s="1"/>
  <c r="N9" i="2" l="1"/>
  <c r="H12" i="3" l="1"/>
  <c r="H5" i="3" l="1"/>
  <c r="H4" i="3"/>
  <c r="H9" i="3"/>
  <c r="H7" i="3"/>
  <c r="H8" i="3"/>
  <c r="H3" i="3"/>
  <c r="H6" i="3"/>
  <c r="H10" i="3"/>
  <c r="H11" i="3"/>
  <c r="H2" i="3"/>
  <c r="G11" i="3"/>
  <c r="G13" i="3"/>
  <c r="E10" i="3"/>
  <c r="G10" i="3" s="1"/>
  <c r="E13" i="3"/>
  <c r="E12" i="3"/>
  <c r="G12" i="3" s="1"/>
  <c r="E11" i="3"/>
  <c r="G7" i="3" l="1"/>
  <c r="G8" i="3"/>
  <c r="G9" i="3"/>
  <c r="E9" i="3"/>
  <c r="E8" i="3"/>
  <c r="E7" i="3"/>
  <c r="E6" i="3"/>
  <c r="G6" i="3" s="1"/>
  <c r="E5" i="3"/>
  <c r="G5" i="3" s="1"/>
  <c r="E4" i="3"/>
  <c r="G4" i="3" s="1"/>
  <c r="E3" i="3"/>
  <c r="G3" i="3" s="1"/>
  <c r="E2" i="3"/>
  <c r="G2" i="3" s="1"/>
  <c r="N17" i="2" l="1"/>
  <c r="P17" i="2" l="1"/>
  <c r="P18" i="2" s="1"/>
  <c r="I40" i="1" l="1"/>
  <c r="F39" i="1" s="1"/>
  <c r="F38" i="1"/>
  <c r="H40" i="1"/>
  <c r="F45" i="1" l="1"/>
  <c r="F44" i="1"/>
  <c r="F43" i="1"/>
  <c r="F42" i="1"/>
  <c r="F41" i="1"/>
  <c r="F40" i="1"/>
  <c r="N15" i="2"/>
  <c r="E39" i="1"/>
  <c r="E40" i="1"/>
  <c r="E41" i="1"/>
  <c r="E42" i="1"/>
  <c r="E43" i="1"/>
  <c r="E44" i="1"/>
  <c r="E45" i="1"/>
  <c r="E38" i="1"/>
  <c r="C30" i="1"/>
  <c r="C31" i="1"/>
  <c r="C32" i="1"/>
  <c r="C33" i="1"/>
  <c r="C34" i="1"/>
  <c r="C35" i="1"/>
  <c r="C36" i="1"/>
  <c r="C29" i="1"/>
  <c r="E32" i="1"/>
  <c r="E33" i="1"/>
  <c r="E34" i="1"/>
  <c r="E35" i="1"/>
  <c r="E36" i="1"/>
  <c r="E31" i="1"/>
  <c r="E30" i="1"/>
  <c r="E29" i="1"/>
</calcChain>
</file>

<file path=xl/sharedStrings.xml><?xml version="1.0" encoding="utf-8"?>
<sst xmlns="http://schemas.openxmlformats.org/spreadsheetml/2006/main" count="138" uniqueCount="110">
  <si>
    <t>0-24-0</t>
  </si>
  <si>
    <t>24-0-0</t>
  </si>
  <si>
    <t>0-0-24</t>
  </si>
  <si>
    <t>S</t>
  </si>
  <si>
    <t>P</t>
  </si>
  <si>
    <t>SHDN7</t>
  </si>
  <si>
    <t>SHDN8</t>
  </si>
  <si>
    <t>SHDN1</t>
  </si>
  <si>
    <t>SHDN5</t>
  </si>
  <si>
    <t>SHDN6</t>
  </si>
  <si>
    <t>SHDN3</t>
  </si>
  <si>
    <t>SHDN4</t>
  </si>
  <si>
    <t>SHDN2</t>
  </si>
  <si>
    <t>33:RF3</t>
  </si>
  <si>
    <t>34:RF2</t>
  </si>
  <si>
    <t>35:RF6</t>
  </si>
  <si>
    <t>32:RF5</t>
  </si>
  <si>
    <t>31:RF4</t>
  </si>
  <si>
    <t>17:RB6</t>
  </si>
  <si>
    <t>6:RG8</t>
  </si>
  <si>
    <t>15:RB1</t>
  </si>
  <si>
    <t>34:RF7</t>
  </si>
  <si>
    <t>35:Vusb3v3</t>
  </si>
  <si>
    <t>D1-P</t>
  </si>
  <si>
    <t>D1-S</t>
  </si>
  <si>
    <t>D2-P</t>
  </si>
  <si>
    <t>D2-S</t>
  </si>
  <si>
    <t>D3-P</t>
  </si>
  <si>
    <t>D3-S</t>
  </si>
  <si>
    <t>D4-S</t>
  </si>
  <si>
    <t>D4-P</t>
  </si>
  <si>
    <t>18,05V</t>
  </si>
  <si>
    <t>UVP</t>
  </si>
  <si>
    <t>OVP</t>
  </si>
  <si>
    <t>Imax</t>
  </si>
  <si>
    <t>1A</t>
  </si>
  <si>
    <t>R1</t>
  </si>
  <si>
    <t>R2</t>
  </si>
  <si>
    <t>R3</t>
  </si>
  <si>
    <t>V(ov)</t>
  </si>
  <si>
    <t>V(uv)</t>
  </si>
  <si>
    <t>R1+R2</t>
  </si>
  <si>
    <t>kOhm</t>
  </si>
  <si>
    <t>V</t>
  </si>
  <si>
    <t>Calculate Resistors for Undervoltage and Overvoltage</t>
  </si>
  <si>
    <r>
      <t>I</t>
    </r>
    <r>
      <rPr>
        <sz val="8"/>
        <color theme="1"/>
        <rFont val="Calibri"/>
        <family val="2"/>
        <scheme val="minor"/>
      </rPr>
      <t>lim</t>
    </r>
  </si>
  <si>
    <t>A</t>
  </si>
  <si>
    <r>
      <t>R</t>
    </r>
    <r>
      <rPr>
        <sz val="9"/>
        <color theme="1"/>
        <rFont val="Calibri"/>
        <family val="2"/>
        <scheme val="minor"/>
      </rPr>
      <t>(Ilim)</t>
    </r>
  </si>
  <si>
    <t>Calculated</t>
  </si>
  <si>
    <r>
      <t>Calculate Resistor for I</t>
    </r>
    <r>
      <rPr>
        <b/>
        <u/>
        <sz val="9"/>
        <color theme="1"/>
        <rFont val="Calibri"/>
        <family val="2"/>
        <scheme val="minor"/>
      </rPr>
      <t>lim</t>
    </r>
  </si>
  <si>
    <r>
      <t>Calculate Resistor for I</t>
    </r>
    <r>
      <rPr>
        <b/>
        <u/>
        <sz val="9"/>
        <color theme="1"/>
        <rFont val="Calibri"/>
        <family val="2"/>
        <scheme val="minor"/>
      </rPr>
      <t>mon</t>
    </r>
  </si>
  <si>
    <t>Picked 1%</t>
  </si>
  <si>
    <t>ADC Range</t>
  </si>
  <si>
    <r>
      <t>R</t>
    </r>
    <r>
      <rPr>
        <sz val="8"/>
        <color theme="1"/>
        <rFont val="Calibri"/>
        <family val="2"/>
        <scheme val="minor"/>
      </rPr>
      <t>(Imon)</t>
    </r>
  </si>
  <si>
    <t>750mA</t>
  </si>
  <si>
    <t>sustained</t>
  </si>
  <si>
    <t>inrush</t>
  </si>
  <si>
    <t>Closed</t>
  </si>
  <si>
    <t>Open</t>
  </si>
  <si>
    <t>100mA</t>
  </si>
  <si>
    <t>Not Powered</t>
  </si>
  <si>
    <t>Enabled</t>
  </si>
  <si>
    <t>Disabled</t>
  </si>
  <si>
    <t>Powered (No load)</t>
  </si>
  <si>
    <t>D1P</t>
  </si>
  <si>
    <t>D2P</t>
  </si>
  <si>
    <t>D3P</t>
  </si>
  <si>
    <t>D4P</t>
  </si>
  <si>
    <t>D5P</t>
  </si>
  <si>
    <t>D6P</t>
  </si>
  <si>
    <t>D7P</t>
  </si>
  <si>
    <t>D8P</t>
  </si>
  <si>
    <t>S1</t>
  </si>
  <si>
    <t>S2</t>
  </si>
  <si>
    <t>S3</t>
  </si>
  <si>
    <t>S4</t>
  </si>
  <si>
    <t>S5</t>
  </si>
  <si>
    <t>S6</t>
  </si>
  <si>
    <t>S7</t>
  </si>
  <si>
    <t>S8</t>
  </si>
  <si>
    <t>Device</t>
  </si>
  <si>
    <t>Min Idle</t>
  </si>
  <si>
    <t>Max Idle</t>
  </si>
  <si>
    <t>HD Cam</t>
  </si>
  <si>
    <t>Low Light</t>
  </si>
  <si>
    <t>Max Idle [mA]</t>
  </si>
  <si>
    <t>Exp Watt</t>
  </si>
  <si>
    <t>Altimeter</t>
  </si>
  <si>
    <t>Imenco</t>
  </si>
  <si>
    <t>Sonar</t>
  </si>
  <si>
    <t>Transponder</t>
  </si>
  <si>
    <t>Ethernet1</t>
  </si>
  <si>
    <t>AF</t>
  </si>
  <si>
    <t>Lasers</t>
  </si>
  <si>
    <t>CTD</t>
  </si>
  <si>
    <t>Compact</t>
  </si>
  <si>
    <t>Active</t>
  </si>
  <si>
    <t>OK</t>
  </si>
  <si>
    <t>?</t>
  </si>
  <si>
    <t>min idle = not active</t>
  </si>
  <si>
    <t>Tele + p&amp;t</t>
  </si>
  <si>
    <t>Idle Watt</t>
  </si>
  <si>
    <t>Max Watt</t>
  </si>
  <si>
    <t>??</t>
  </si>
  <si>
    <t>???</t>
  </si>
  <si>
    <t>Nominal (with values below)</t>
  </si>
  <si>
    <t>RFLTB (pull up)</t>
  </si>
  <si>
    <t>Cin</t>
  </si>
  <si>
    <t>0,1 - 1uF</t>
  </si>
  <si>
    <t>10k - 100k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</si>
</sst>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Sheet1!$C$38:$C$45</c:f>
              <c:numCache>
                <c:formatCode>General</c:formatCode>
                <c:ptCount val="8"/>
                <c:pt idx="0">
                  <c:v>170</c:v>
                </c:pt>
                <c:pt idx="1">
                  <c:v>248.5</c:v>
                </c:pt>
                <c:pt idx="2">
                  <c:v>330.5</c:v>
                </c:pt>
                <c:pt idx="3">
                  <c:v>409</c:v>
                </c:pt>
                <c:pt idx="4">
                  <c:v>493.5</c:v>
                </c:pt>
                <c:pt idx="5">
                  <c:v>571.5</c:v>
                </c:pt>
                <c:pt idx="6">
                  <c:v>651.5</c:v>
                </c:pt>
                <c:pt idx="7">
                  <c:v>732.5</c:v>
                </c:pt>
              </c:numCache>
            </c:numRef>
          </c:xVal>
          <c:yVal>
            <c:numRef>
              <c:f>Sheet1!$D$38:$D$45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801</c:v>
                </c:pt>
                <c:pt idx="7">
                  <c:v>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E-4AF1-A9AA-8A4998BE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688"/>
        <c:axId val="9985584"/>
      </c:scatterChart>
      <c:valAx>
        <c:axId val="99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584"/>
        <c:crosses val="autoZero"/>
        <c:crossBetween val="midCat"/>
      </c:valAx>
      <c:valAx>
        <c:axId val="99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22</xdr:row>
      <xdr:rowOff>14287</xdr:rowOff>
    </xdr:from>
    <xdr:to>
      <xdr:col>14</xdr:col>
      <xdr:colOff>347662</xdr:colOff>
      <xdr:row>36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161925</xdr:rowOff>
    </xdr:from>
    <xdr:to>
      <xdr:col>10</xdr:col>
      <xdr:colOff>285750</xdr:colOff>
      <xdr:row>17</xdr:row>
      <xdr:rowOff>85725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2" t="2402" r="2622" b="3916"/>
        <a:stretch/>
      </xdr:blipFill>
      <xdr:spPr>
        <a:xfrm>
          <a:off x="428625" y="352425"/>
          <a:ext cx="6162675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" workbookViewId="0">
      <selection activeCell="D40" sqref="D40"/>
    </sheetView>
  </sheetViews>
  <sheetFormatPr defaultRowHeight="15" x14ac:dyDescent="0.25"/>
  <cols>
    <col min="11" max="11" width="17.5703125" customWidth="1"/>
    <col min="12" max="12" width="12.7109375" bestFit="1" customWidth="1"/>
  </cols>
  <sheetData>
    <row r="1" spans="1:12" x14ac:dyDescent="0.25">
      <c r="A1" t="s">
        <v>1</v>
      </c>
      <c r="B1">
        <v>0</v>
      </c>
      <c r="C1" s="1">
        <v>24</v>
      </c>
      <c r="D1">
        <v>0</v>
      </c>
      <c r="E1">
        <v>0</v>
      </c>
    </row>
    <row r="2" spans="1:12" x14ac:dyDescent="0.25">
      <c r="A2" t="s">
        <v>0</v>
      </c>
      <c r="B2" s="1">
        <v>24</v>
      </c>
      <c r="C2">
        <v>0</v>
      </c>
      <c r="D2" s="3">
        <v>24</v>
      </c>
      <c r="E2">
        <v>0</v>
      </c>
      <c r="J2" s="12"/>
      <c r="K2" s="13" t="s">
        <v>63</v>
      </c>
      <c r="L2" s="13" t="s">
        <v>60</v>
      </c>
    </row>
    <row r="3" spans="1:12" x14ac:dyDescent="0.25">
      <c r="A3" t="s">
        <v>2</v>
      </c>
      <c r="B3">
        <v>0</v>
      </c>
      <c r="C3">
        <v>0</v>
      </c>
      <c r="D3" s="4">
        <v>24</v>
      </c>
      <c r="E3" s="1">
        <v>24</v>
      </c>
      <c r="J3" s="12" t="s">
        <v>61</v>
      </c>
      <c r="K3" s="12">
        <v>22</v>
      </c>
      <c r="L3" s="12">
        <v>100</v>
      </c>
    </row>
    <row r="4" spans="1:12" x14ac:dyDescent="0.25">
      <c r="J4" s="12" t="s">
        <v>62</v>
      </c>
      <c r="K4" s="12">
        <v>1</v>
      </c>
      <c r="L4" s="12">
        <v>100</v>
      </c>
    </row>
    <row r="7" spans="1:12" x14ac:dyDescent="0.25">
      <c r="A7">
        <v>1</v>
      </c>
      <c r="B7" t="s">
        <v>3</v>
      </c>
      <c r="C7" s="5" t="s">
        <v>4</v>
      </c>
      <c r="D7">
        <v>0</v>
      </c>
      <c r="E7">
        <v>0</v>
      </c>
    </row>
    <row r="8" spans="1:12" x14ac:dyDescent="0.25">
      <c r="A8">
        <v>2</v>
      </c>
      <c r="B8" s="5" t="s">
        <v>4</v>
      </c>
      <c r="C8">
        <v>0</v>
      </c>
      <c r="D8" s="5" t="s">
        <v>4</v>
      </c>
      <c r="E8" t="s">
        <v>3</v>
      </c>
    </row>
    <row r="9" spans="1:12" x14ac:dyDescent="0.25">
      <c r="A9">
        <v>3</v>
      </c>
      <c r="B9">
        <v>0</v>
      </c>
      <c r="C9" t="s">
        <v>3</v>
      </c>
      <c r="D9" s="2" t="s">
        <v>3</v>
      </c>
      <c r="E9" s="5" t="s">
        <v>4</v>
      </c>
    </row>
    <row r="11" spans="1:12" x14ac:dyDescent="0.25">
      <c r="A11">
        <v>1</v>
      </c>
      <c r="B11" t="s">
        <v>6</v>
      </c>
      <c r="C11" t="s">
        <v>8</v>
      </c>
    </row>
    <row r="12" spans="1:12" x14ac:dyDescent="0.25">
      <c r="A12">
        <v>2</v>
      </c>
      <c r="B12" t="s">
        <v>5</v>
      </c>
      <c r="D12" t="s">
        <v>10</v>
      </c>
      <c r="E12" t="s">
        <v>12</v>
      </c>
    </row>
    <row r="13" spans="1:12" x14ac:dyDescent="0.25">
      <c r="A13">
        <v>3</v>
      </c>
      <c r="C13" t="s">
        <v>9</v>
      </c>
      <c r="D13" s="2" t="s">
        <v>11</v>
      </c>
      <c r="E13" t="s">
        <v>7</v>
      </c>
    </row>
    <row r="15" spans="1:12" x14ac:dyDescent="0.25">
      <c r="A15">
        <v>1</v>
      </c>
      <c r="B15" t="s">
        <v>19</v>
      </c>
      <c r="C15" t="s">
        <v>17</v>
      </c>
      <c r="G15" t="s">
        <v>21</v>
      </c>
    </row>
    <row r="16" spans="1:12" x14ac:dyDescent="0.25">
      <c r="A16">
        <v>2</v>
      </c>
      <c r="B16" t="s">
        <v>20</v>
      </c>
      <c r="D16" t="s">
        <v>14</v>
      </c>
      <c r="E16" t="s">
        <v>13</v>
      </c>
      <c r="G16" t="s">
        <v>22</v>
      </c>
    </row>
    <row r="17" spans="1:5" x14ac:dyDescent="0.25">
      <c r="A17">
        <v>3</v>
      </c>
      <c r="C17" t="s">
        <v>18</v>
      </c>
      <c r="D17" s="2" t="s">
        <v>15</v>
      </c>
      <c r="E17" t="s">
        <v>16</v>
      </c>
    </row>
    <row r="19" spans="1:5" x14ac:dyDescent="0.25">
      <c r="A19">
        <v>1</v>
      </c>
      <c r="B19" t="s">
        <v>24</v>
      </c>
      <c r="C19" t="s">
        <v>25</v>
      </c>
    </row>
    <row r="20" spans="1:5" x14ac:dyDescent="0.25">
      <c r="A20">
        <v>2</v>
      </c>
      <c r="B20" t="s">
        <v>23</v>
      </c>
      <c r="D20" t="s">
        <v>27</v>
      </c>
      <c r="E20" t="s">
        <v>29</v>
      </c>
    </row>
    <row r="21" spans="1:5" x14ac:dyDescent="0.25">
      <c r="A21">
        <v>3</v>
      </c>
      <c r="C21" t="s">
        <v>26</v>
      </c>
      <c r="D21" s="2" t="s">
        <v>28</v>
      </c>
      <c r="E21" t="s">
        <v>30</v>
      </c>
    </row>
    <row r="24" spans="1:5" x14ac:dyDescent="0.25">
      <c r="B24" t="s">
        <v>32</v>
      </c>
      <c r="C24" t="s">
        <v>31</v>
      </c>
    </row>
    <row r="25" spans="1:5" x14ac:dyDescent="0.25">
      <c r="B25" t="s">
        <v>33</v>
      </c>
      <c r="C25">
        <v>30</v>
      </c>
    </row>
    <row r="26" spans="1:5" x14ac:dyDescent="0.25">
      <c r="B26" t="s">
        <v>34</v>
      </c>
      <c r="C26" t="s">
        <v>35</v>
      </c>
      <c r="D26" t="s">
        <v>55</v>
      </c>
    </row>
    <row r="27" spans="1:5" x14ac:dyDescent="0.25">
      <c r="C27" t="s">
        <v>54</v>
      </c>
      <c r="D27" t="s">
        <v>56</v>
      </c>
    </row>
    <row r="29" spans="1:5" x14ac:dyDescent="0.25">
      <c r="A29">
        <v>163</v>
      </c>
      <c r="B29">
        <v>200</v>
      </c>
      <c r="C29">
        <f>(D29+A29)/2</f>
        <v>170</v>
      </c>
      <c r="D29">
        <v>177</v>
      </c>
      <c r="E29">
        <f t="shared" ref="E29:E36" si="0">D29-A29</f>
        <v>14</v>
      </c>
    </row>
    <row r="30" spans="1:5" x14ac:dyDescent="0.25">
      <c r="A30">
        <v>242</v>
      </c>
      <c r="B30">
        <v>300</v>
      </c>
      <c r="C30">
        <f t="shared" ref="C30:C36" si="1">(D30+A30)/2</f>
        <v>248.5</v>
      </c>
      <c r="D30">
        <v>255</v>
      </c>
      <c r="E30">
        <f t="shared" si="0"/>
        <v>13</v>
      </c>
    </row>
    <row r="31" spans="1:5" x14ac:dyDescent="0.25">
      <c r="A31">
        <v>324</v>
      </c>
      <c r="B31">
        <v>400</v>
      </c>
      <c r="C31">
        <f t="shared" si="1"/>
        <v>330.5</v>
      </c>
      <c r="D31">
        <v>337</v>
      </c>
      <c r="E31">
        <f t="shared" si="0"/>
        <v>13</v>
      </c>
    </row>
    <row r="32" spans="1:5" x14ac:dyDescent="0.25">
      <c r="A32">
        <v>402</v>
      </c>
      <c r="B32">
        <v>500</v>
      </c>
      <c r="C32">
        <f t="shared" si="1"/>
        <v>409</v>
      </c>
      <c r="D32">
        <v>416</v>
      </c>
      <c r="E32">
        <f t="shared" si="0"/>
        <v>14</v>
      </c>
    </row>
    <row r="33" spans="1:9" x14ac:dyDescent="0.25">
      <c r="A33">
        <v>487</v>
      </c>
      <c r="B33">
        <v>600</v>
      </c>
      <c r="C33">
        <f t="shared" si="1"/>
        <v>493.5</v>
      </c>
      <c r="D33">
        <v>500</v>
      </c>
      <c r="E33">
        <f t="shared" si="0"/>
        <v>13</v>
      </c>
    </row>
    <row r="34" spans="1:9" x14ac:dyDescent="0.25">
      <c r="A34">
        <v>565</v>
      </c>
      <c r="B34">
        <v>700</v>
      </c>
      <c r="C34">
        <f t="shared" si="1"/>
        <v>571.5</v>
      </c>
      <c r="D34">
        <v>578</v>
      </c>
      <c r="E34">
        <f t="shared" si="0"/>
        <v>13</v>
      </c>
    </row>
    <row r="35" spans="1:9" x14ac:dyDescent="0.25">
      <c r="A35">
        <v>645</v>
      </c>
      <c r="B35">
        <v>801</v>
      </c>
      <c r="C35">
        <f t="shared" si="1"/>
        <v>651.5</v>
      </c>
      <c r="D35">
        <v>658</v>
      </c>
      <c r="E35">
        <f t="shared" si="0"/>
        <v>13</v>
      </c>
    </row>
    <row r="36" spans="1:9" x14ac:dyDescent="0.25">
      <c r="A36">
        <v>726</v>
      </c>
      <c r="B36">
        <v>901</v>
      </c>
      <c r="C36">
        <f t="shared" si="1"/>
        <v>732.5</v>
      </c>
      <c r="D36">
        <v>739</v>
      </c>
      <c r="E36">
        <f t="shared" si="0"/>
        <v>13</v>
      </c>
    </row>
    <row r="38" spans="1:9" x14ac:dyDescent="0.25">
      <c r="C38">
        <v>170</v>
      </c>
      <c r="D38">
        <v>200</v>
      </c>
      <c r="E38">
        <f>1.2443*C38-10.786</f>
        <v>200.745</v>
      </c>
      <c r="F38">
        <f>C38*$I$40</f>
        <v>219.140625</v>
      </c>
    </row>
    <row r="39" spans="1:9" x14ac:dyDescent="0.25">
      <c r="C39">
        <v>248.5</v>
      </c>
      <c r="D39">
        <v>300</v>
      </c>
      <c r="E39">
        <f t="shared" ref="E39:E45" si="2">1.2443*C39-10.786</f>
        <v>298.42255</v>
      </c>
      <c r="F39">
        <f t="shared" ref="F39:F45" si="3">C39*$I$40</f>
        <v>320.33203125</v>
      </c>
      <c r="G39">
        <v>2.5</v>
      </c>
      <c r="H39">
        <v>1</v>
      </c>
    </row>
    <row r="40" spans="1:9" x14ac:dyDescent="0.25">
      <c r="C40">
        <v>330.5</v>
      </c>
      <c r="D40">
        <v>400</v>
      </c>
      <c r="E40">
        <f t="shared" si="2"/>
        <v>400.45515</v>
      </c>
      <c r="F40">
        <f t="shared" si="3"/>
        <v>426.03515625</v>
      </c>
      <c r="G40">
        <v>3.3</v>
      </c>
      <c r="H40">
        <f>(1/2.5)*3.3</f>
        <v>1.32</v>
      </c>
      <c r="I40">
        <f>H40/1024*1000</f>
        <v>1.2890625</v>
      </c>
    </row>
    <row r="41" spans="1:9" x14ac:dyDescent="0.25">
      <c r="C41">
        <v>409</v>
      </c>
      <c r="D41">
        <v>500</v>
      </c>
      <c r="E41">
        <f t="shared" si="2"/>
        <v>498.1327</v>
      </c>
      <c r="F41">
        <f t="shared" si="3"/>
        <v>527.2265625</v>
      </c>
    </row>
    <row r="42" spans="1:9" x14ac:dyDescent="0.25">
      <c r="C42">
        <v>493.5</v>
      </c>
      <c r="D42">
        <v>600</v>
      </c>
      <c r="E42">
        <f t="shared" si="2"/>
        <v>603.27605000000005</v>
      </c>
      <c r="F42">
        <f t="shared" si="3"/>
        <v>636.15234375</v>
      </c>
    </row>
    <row r="43" spans="1:9" x14ac:dyDescent="0.25">
      <c r="C43">
        <v>571.5</v>
      </c>
      <c r="D43">
        <v>700</v>
      </c>
      <c r="E43">
        <f t="shared" si="2"/>
        <v>700.33145000000002</v>
      </c>
      <c r="F43">
        <f t="shared" si="3"/>
        <v>736.69921875</v>
      </c>
    </row>
    <row r="44" spans="1:9" x14ac:dyDescent="0.25">
      <c r="C44">
        <v>651.5</v>
      </c>
      <c r="D44">
        <v>801</v>
      </c>
      <c r="E44">
        <f t="shared" si="2"/>
        <v>799.87545</v>
      </c>
      <c r="F44">
        <f t="shared" si="3"/>
        <v>839.82421875</v>
      </c>
    </row>
    <row r="45" spans="1:9" x14ac:dyDescent="0.25">
      <c r="C45">
        <v>732.5</v>
      </c>
      <c r="D45">
        <v>901</v>
      </c>
      <c r="E45">
        <f t="shared" si="2"/>
        <v>900.66375000000005</v>
      </c>
      <c r="F45">
        <f t="shared" si="3"/>
        <v>944.23828125</v>
      </c>
    </row>
    <row r="48" spans="1:9" x14ac:dyDescent="0.25">
      <c r="B48" t="s">
        <v>57</v>
      </c>
      <c r="C48" t="s">
        <v>58</v>
      </c>
      <c r="D48" t="s">
        <v>59</v>
      </c>
      <c r="E48">
        <v>200</v>
      </c>
      <c r="F48">
        <v>300</v>
      </c>
    </row>
    <row r="49" spans="2:6" x14ac:dyDescent="0.25">
      <c r="B49">
        <v>70</v>
      </c>
      <c r="C49">
        <v>140</v>
      </c>
      <c r="E49">
        <v>225</v>
      </c>
      <c r="F49">
        <v>312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29"/>
  <sheetViews>
    <sheetView tabSelected="1" workbookViewId="0">
      <selection activeCell="H29" sqref="H29"/>
    </sheetView>
  </sheetViews>
  <sheetFormatPr defaultRowHeight="15" x14ac:dyDescent="0.25"/>
  <cols>
    <col min="1" max="1" width="10.42578125" customWidth="1"/>
    <col min="2" max="2" width="10.28515625" bestFit="1" customWidth="1"/>
    <col min="5" max="5" width="9.85546875" bestFit="1" customWidth="1"/>
    <col min="13" max="13" width="14.85546875" customWidth="1"/>
  </cols>
  <sheetData>
    <row r="5" spans="7:15" x14ac:dyDescent="0.25">
      <c r="G5" s="7"/>
      <c r="H5" s="7"/>
    </row>
    <row r="6" spans="7:15" x14ac:dyDescent="0.25">
      <c r="G6" s="7"/>
      <c r="H6" s="7"/>
      <c r="M6" s="9" t="s">
        <v>49</v>
      </c>
    </row>
    <row r="8" spans="7:15" x14ac:dyDescent="0.25">
      <c r="M8" t="s">
        <v>45</v>
      </c>
      <c r="N8">
        <v>1</v>
      </c>
      <c r="O8" t="s">
        <v>46</v>
      </c>
    </row>
    <row r="9" spans="7:15" x14ac:dyDescent="0.25">
      <c r="M9" t="s">
        <v>47</v>
      </c>
      <c r="N9">
        <f>12/N8</f>
        <v>12</v>
      </c>
      <c r="O9" t="s">
        <v>42</v>
      </c>
    </row>
    <row r="11" spans="7:15" x14ac:dyDescent="0.25">
      <c r="M11" s="9" t="s">
        <v>50</v>
      </c>
    </row>
    <row r="13" spans="7:15" x14ac:dyDescent="0.25">
      <c r="M13" t="s">
        <v>52</v>
      </c>
      <c r="N13">
        <v>3</v>
      </c>
      <c r="O13" t="s">
        <v>43</v>
      </c>
    </row>
    <row r="14" spans="7:15" x14ac:dyDescent="0.25">
      <c r="M14" t="s">
        <v>45</v>
      </c>
      <c r="N14">
        <v>2</v>
      </c>
      <c r="O14" t="s">
        <v>46</v>
      </c>
    </row>
    <row r="15" spans="7:15" x14ac:dyDescent="0.25">
      <c r="M15" t="s">
        <v>53</v>
      </c>
      <c r="N15" s="6">
        <f>(N13/(N14*75*10^(-6)))/1000</f>
        <v>20</v>
      </c>
      <c r="O15" t="s">
        <v>42</v>
      </c>
    </row>
    <row r="16" spans="7:15" x14ac:dyDescent="0.25">
      <c r="N16">
        <v>17.399999999999999</v>
      </c>
    </row>
    <row r="17" spans="3:16" x14ac:dyDescent="0.25">
      <c r="N17">
        <f>N16*0.000002*1000000</f>
        <v>34.799999999999997</v>
      </c>
      <c r="P17">
        <f>3300/1024</f>
        <v>3.22265625</v>
      </c>
    </row>
    <row r="18" spans="3:16" x14ac:dyDescent="0.25">
      <c r="P18">
        <f>N17/P17</f>
        <v>10.798545454545454</v>
      </c>
    </row>
    <row r="20" spans="3:16" x14ac:dyDescent="0.25">
      <c r="C20" s="9" t="s">
        <v>44</v>
      </c>
    </row>
    <row r="21" spans="3:16" x14ac:dyDescent="0.25">
      <c r="M21" t="s">
        <v>106</v>
      </c>
      <c r="N21" t="s">
        <v>109</v>
      </c>
    </row>
    <row r="22" spans="3:16" x14ac:dyDescent="0.25">
      <c r="C22" t="s">
        <v>38</v>
      </c>
      <c r="D22">
        <v>30.1</v>
      </c>
      <c r="E22" t="s">
        <v>42</v>
      </c>
      <c r="G22" s="8" t="s">
        <v>105</v>
      </c>
      <c r="M22" t="s">
        <v>107</v>
      </c>
      <c r="N22" t="s">
        <v>108</v>
      </c>
    </row>
    <row r="23" spans="3:16" x14ac:dyDescent="0.25">
      <c r="C23" t="s">
        <v>39</v>
      </c>
      <c r="D23">
        <v>30</v>
      </c>
      <c r="E23" t="s">
        <v>43</v>
      </c>
      <c r="G23" s="6">
        <f>1.19*((G28+G29+D22)/D22)</f>
        <v>30.089999999999996</v>
      </c>
      <c r="H23" t="s">
        <v>43</v>
      </c>
    </row>
    <row r="24" spans="3:16" x14ac:dyDescent="0.25">
      <c r="C24" t="s">
        <v>40</v>
      </c>
      <c r="D24">
        <v>4.2</v>
      </c>
      <c r="E24" t="s">
        <v>43</v>
      </c>
      <c r="G24" s="6">
        <f>(1.19/(G29+D22))*((G28+G29)+D22)</f>
        <v>4.2701980198019802</v>
      </c>
      <c r="H24" t="s">
        <v>43</v>
      </c>
    </row>
    <row r="26" spans="3:16" x14ac:dyDescent="0.25">
      <c r="D26" s="8" t="s">
        <v>48</v>
      </c>
      <c r="G26" s="8" t="s">
        <v>51</v>
      </c>
    </row>
    <row r="27" spans="3:16" x14ac:dyDescent="0.25">
      <c r="C27" t="s">
        <v>41</v>
      </c>
      <c r="D27" s="10">
        <f>((D22*D23)/1.19)-D22</f>
        <v>728.72352941176473</v>
      </c>
      <c r="E27" t="s">
        <v>42</v>
      </c>
    </row>
    <row r="28" spans="3:16" x14ac:dyDescent="0.25">
      <c r="C28" t="s">
        <v>36</v>
      </c>
      <c r="D28" s="11">
        <f>D27-D29</f>
        <v>543.82352941176475</v>
      </c>
      <c r="E28" t="s">
        <v>42</v>
      </c>
      <c r="G28">
        <v>549</v>
      </c>
      <c r="H28">
        <v>1803008</v>
      </c>
    </row>
    <row r="29" spans="3:16" x14ac:dyDescent="0.25">
      <c r="C29" t="s">
        <v>37</v>
      </c>
      <c r="D29" s="11">
        <f>((1.19*(D27+D22))/D24)-D22</f>
        <v>184.9</v>
      </c>
      <c r="E29" t="s">
        <v>42</v>
      </c>
      <c r="G29">
        <v>182</v>
      </c>
      <c r="H29">
        <v>2072718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8" sqref="H8"/>
    </sheetView>
  </sheetViews>
  <sheetFormatPr defaultRowHeight="15" x14ac:dyDescent="0.25"/>
  <cols>
    <col min="2" max="2" width="12.140625" bestFit="1" customWidth="1"/>
    <col min="5" max="5" width="13.5703125" bestFit="1" customWidth="1"/>
    <col min="6" max="6" width="13.5703125" customWidth="1"/>
  </cols>
  <sheetData>
    <row r="1" spans="1:12" x14ac:dyDescent="0.25">
      <c r="B1" s="8" t="s">
        <v>80</v>
      </c>
      <c r="C1" s="8" t="s">
        <v>81</v>
      </c>
      <c r="D1" s="8" t="s">
        <v>82</v>
      </c>
      <c r="E1" s="8" t="s">
        <v>85</v>
      </c>
      <c r="F1" s="8" t="s">
        <v>96</v>
      </c>
      <c r="G1" s="8" t="s">
        <v>101</v>
      </c>
      <c r="H1" s="8" t="s">
        <v>102</v>
      </c>
      <c r="I1" s="8" t="s">
        <v>86</v>
      </c>
    </row>
    <row r="2" spans="1:12" x14ac:dyDescent="0.25">
      <c r="A2" s="8" t="s">
        <v>64</v>
      </c>
      <c r="B2" t="s">
        <v>84</v>
      </c>
      <c r="C2">
        <v>103</v>
      </c>
      <c r="D2">
        <v>110</v>
      </c>
      <c r="E2">
        <f>10*(D2/8)</f>
        <v>137.5</v>
      </c>
      <c r="F2">
        <v>130</v>
      </c>
      <c r="G2" s="7">
        <f>(23.9*E2)/1000</f>
        <v>3.2862499999999999</v>
      </c>
      <c r="H2" s="7">
        <f>(23.9*10*(F2/8))/1000</f>
        <v>3.88375</v>
      </c>
      <c r="I2">
        <v>6.5</v>
      </c>
      <c r="K2" t="s">
        <v>97</v>
      </c>
    </row>
    <row r="3" spans="1:12" x14ac:dyDescent="0.25">
      <c r="A3" s="8" t="s">
        <v>65</v>
      </c>
      <c r="B3" t="s">
        <v>83</v>
      </c>
      <c r="C3">
        <v>176</v>
      </c>
      <c r="D3">
        <v>201</v>
      </c>
      <c r="E3">
        <f>10*(D3/8)</f>
        <v>251.25</v>
      </c>
      <c r="F3">
        <v>222</v>
      </c>
      <c r="G3" s="7">
        <f t="shared" ref="G3:G9" si="0">(23.9*E3)/1000</f>
        <v>6.0048750000000002</v>
      </c>
      <c r="H3" s="7">
        <f t="shared" ref="H3:H11" si="1">(23.9*10*(F3/8))/1000</f>
        <v>6.63225</v>
      </c>
      <c r="I3">
        <v>5</v>
      </c>
      <c r="K3" t="s">
        <v>97</v>
      </c>
    </row>
    <row r="4" spans="1:12" x14ac:dyDescent="0.25">
      <c r="A4" s="8" t="s">
        <v>66</v>
      </c>
      <c r="B4" t="s">
        <v>87</v>
      </c>
      <c r="C4">
        <v>39</v>
      </c>
      <c r="D4">
        <v>42</v>
      </c>
      <c r="E4">
        <f>D4*2</f>
        <v>84</v>
      </c>
      <c r="G4" s="7">
        <f t="shared" si="0"/>
        <v>2.0076000000000001</v>
      </c>
      <c r="H4" s="7">
        <f>(23.9*10*(F4/5))/1000</f>
        <v>0</v>
      </c>
      <c r="I4">
        <v>2</v>
      </c>
      <c r="K4" t="s">
        <v>97</v>
      </c>
      <c r="L4" t="s">
        <v>103</v>
      </c>
    </row>
    <row r="5" spans="1:12" x14ac:dyDescent="0.25">
      <c r="A5" s="8" t="s">
        <v>67</v>
      </c>
      <c r="B5" t="s">
        <v>88</v>
      </c>
      <c r="C5">
        <v>38</v>
      </c>
      <c r="D5">
        <v>42</v>
      </c>
      <c r="E5">
        <f>D5*2</f>
        <v>84</v>
      </c>
      <c r="F5">
        <v>445</v>
      </c>
      <c r="G5" s="7">
        <f t="shared" si="0"/>
        <v>2.0076000000000001</v>
      </c>
      <c r="H5" s="7">
        <f>(23.9*10*(F5/5))/1000</f>
        <v>21.271000000000001</v>
      </c>
      <c r="I5">
        <v>24</v>
      </c>
      <c r="J5">
        <v>445</v>
      </c>
      <c r="K5" t="s">
        <v>97</v>
      </c>
    </row>
    <row r="6" spans="1:12" x14ac:dyDescent="0.25">
      <c r="A6" s="8" t="s">
        <v>68</v>
      </c>
      <c r="B6" t="s">
        <v>89</v>
      </c>
      <c r="C6">
        <v>180</v>
      </c>
      <c r="D6">
        <v>195</v>
      </c>
      <c r="E6">
        <f>10*(D6/8)</f>
        <v>243.75</v>
      </c>
      <c r="F6">
        <v>305</v>
      </c>
      <c r="G6" s="7">
        <f t="shared" si="0"/>
        <v>5.8256249999999996</v>
      </c>
      <c r="H6" s="7">
        <f t="shared" si="1"/>
        <v>9.1118749999999995</v>
      </c>
      <c r="I6">
        <v>12</v>
      </c>
      <c r="K6" t="s">
        <v>97</v>
      </c>
      <c r="L6" t="s">
        <v>99</v>
      </c>
    </row>
    <row r="7" spans="1:12" x14ac:dyDescent="0.25">
      <c r="A7" s="8" t="s">
        <v>69</v>
      </c>
      <c r="B7" t="s">
        <v>90</v>
      </c>
      <c r="D7">
        <v>22</v>
      </c>
      <c r="E7">
        <f>10*(D7/8)</f>
        <v>27.5</v>
      </c>
      <c r="G7" s="7">
        <f t="shared" si="0"/>
        <v>0.65725</v>
      </c>
      <c r="H7" s="7">
        <f>(23.9*10*(F7/8))/1000</f>
        <v>0</v>
      </c>
      <c r="K7" t="s">
        <v>104</v>
      </c>
    </row>
    <row r="8" spans="1:12" x14ac:dyDescent="0.25">
      <c r="A8" s="8" t="s">
        <v>70</v>
      </c>
      <c r="B8" t="s">
        <v>100</v>
      </c>
      <c r="C8">
        <v>62</v>
      </c>
      <c r="D8">
        <v>63</v>
      </c>
      <c r="E8">
        <f>D8*2</f>
        <v>126</v>
      </c>
      <c r="F8">
        <v>510</v>
      </c>
      <c r="G8" s="7">
        <f t="shared" si="0"/>
        <v>3.0113999999999996</v>
      </c>
      <c r="H8" s="7">
        <f>(23.9*10*(F8/5))/1000</f>
        <v>24.378</v>
      </c>
      <c r="I8">
        <v>24</v>
      </c>
      <c r="K8" t="s">
        <v>97</v>
      </c>
    </row>
    <row r="9" spans="1:12" x14ac:dyDescent="0.25">
      <c r="A9" s="8" t="s">
        <v>71</v>
      </c>
      <c r="B9" t="s">
        <v>91</v>
      </c>
      <c r="E9">
        <f>D9*2</f>
        <v>0</v>
      </c>
      <c r="G9" s="7">
        <f t="shared" si="0"/>
        <v>0</v>
      </c>
      <c r="H9" s="7">
        <f>(23.9*10*(F9/5))/1000</f>
        <v>0</v>
      </c>
      <c r="K9" t="s">
        <v>98</v>
      </c>
    </row>
    <row r="10" spans="1:12" x14ac:dyDescent="0.25">
      <c r="A10" s="8" t="s">
        <v>72</v>
      </c>
      <c r="B10" t="s">
        <v>93</v>
      </c>
      <c r="C10">
        <v>70</v>
      </c>
      <c r="D10">
        <v>97</v>
      </c>
      <c r="E10">
        <f>10*(D10/8)</f>
        <v>121.25</v>
      </c>
      <c r="G10" s="7">
        <f>(12*E10)/1000</f>
        <v>1.4550000000000001</v>
      </c>
      <c r="H10" s="7">
        <f t="shared" si="1"/>
        <v>0</v>
      </c>
      <c r="I10">
        <v>1.5</v>
      </c>
      <c r="K10" t="s">
        <v>97</v>
      </c>
    </row>
    <row r="11" spans="1:12" x14ac:dyDescent="0.25">
      <c r="A11" s="8" t="s">
        <v>73</v>
      </c>
      <c r="B11" t="s">
        <v>94</v>
      </c>
      <c r="C11">
        <v>90</v>
      </c>
      <c r="D11">
        <v>113</v>
      </c>
      <c r="E11">
        <f>10*(D11/8)</f>
        <v>141.25</v>
      </c>
      <c r="G11" s="7">
        <f>(12*E11)/1000</f>
        <v>1.6950000000000001</v>
      </c>
      <c r="H11" s="7">
        <f t="shared" si="1"/>
        <v>0</v>
      </c>
      <c r="I11">
        <v>0.72</v>
      </c>
      <c r="K11" t="s">
        <v>97</v>
      </c>
    </row>
    <row r="12" spans="1:12" x14ac:dyDescent="0.25">
      <c r="A12" s="8" t="s">
        <v>74</v>
      </c>
      <c r="B12" t="s">
        <v>95</v>
      </c>
      <c r="C12">
        <v>106</v>
      </c>
      <c r="D12">
        <v>111</v>
      </c>
      <c r="E12">
        <f>10*(D12/8)</f>
        <v>138.75</v>
      </c>
      <c r="F12">
        <v>112</v>
      </c>
      <c r="G12" s="7">
        <f>(12*E12)/1000</f>
        <v>1.665</v>
      </c>
      <c r="H12" s="7">
        <f>(12*10*(F12/8))/1000</f>
        <v>1.68</v>
      </c>
      <c r="I12">
        <v>4</v>
      </c>
      <c r="K12" t="s">
        <v>97</v>
      </c>
    </row>
    <row r="13" spans="1:12" x14ac:dyDescent="0.25">
      <c r="A13" s="8" t="s">
        <v>75</v>
      </c>
      <c r="E13">
        <f>10*(D13/8)</f>
        <v>0</v>
      </c>
      <c r="G13" s="7">
        <f>(12*E13)/1000</f>
        <v>0</v>
      </c>
      <c r="H13" s="7"/>
    </row>
    <row r="14" spans="1:12" x14ac:dyDescent="0.25">
      <c r="A14" s="8" t="s">
        <v>76</v>
      </c>
      <c r="B14" t="s">
        <v>92</v>
      </c>
    </row>
    <row r="15" spans="1:12" x14ac:dyDescent="0.25">
      <c r="A15" s="8" t="s">
        <v>77</v>
      </c>
      <c r="B15" t="s">
        <v>92</v>
      </c>
    </row>
    <row r="16" spans="1:12" x14ac:dyDescent="0.25">
      <c r="A16" s="8" t="s">
        <v>78</v>
      </c>
      <c r="B16" t="s">
        <v>92</v>
      </c>
    </row>
    <row r="17" spans="1:2" x14ac:dyDescent="0.25">
      <c r="A17" s="8" t="s">
        <v>79</v>
      </c>
      <c r="B17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Component Selection</vt:lpstr>
      <vt:lpstr>Power drawn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T'Jampens</dc:creator>
  <cp:lastModifiedBy>Dieter Vansteenwegen</cp:lastModifiedBy>
  <dcterms:created xsi:type="dcterms:W3CDTF">2018-01-16T10:42:40Z</dcterms:created>
  <dcterms:modified xsi:type="dcterms:W3CDTF">2019-12-23T15:16:45Z</dcterms:modified>
</cp:coreProperties>
</file>