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esktop\Portfolio\"/>
    </mc:Choice>
  </mc:AlternateContent>
  <bookViews>
    <workbookView xWindow="0" yWindow="0" windowWidth="20490" windowHeight="7905" activeTab="3"/>
  </bookViews>
  <sheets>
    <sheet name="Two" sheetId="1" r:id="rId1"/>
    <sheet name="Six" sheetId="2" r:id="rId2"/>
    <sheet name="Matrix Method" sheetId="4" r:id="rId3"/>
    <sheet name="Calculus Method" sheetId="5" r:id="rId4"/>
    <sheet name="Frontier" sheetId="3" r:id="rId5"/>
  </sheets>
  <definedNames>
    <definedName name="_3M">Six!$D:$D</definedName>
    <definedName name="A" localSheetId="3">'Calculus Method'!$S$21</definedName>
    <definedName name="A" localSheetId="2">'Calculus Method'!$S$21</definedName>
    <definedName name="AAPL">Six!$B:$B</definedName>
    <definedName name="ap" localSheetId="3">'Calculus Method'!$I:$I</definedName>
    <definedName name="ap" comment="r_APPL" localSheetId="2">'Matrix Method'!$I:$I</definedName>
    <definedName name="ap" localSheetId="1">Six!$I:$I</definedName>
    <definedName name="app">Six!$I:$I</definedName>
    <definedName name="B" localSheetId="3">'Calculus Method'!$S$22</definedName>
    <definedName name="B" localSheetId="2">'Calculus Method'!$S$22</definedName>
    <definedName name="C." localSheetId="3">'Calculus Method'!$S$23</definedName>
    <definedName name="C." localSheetId="2">'Calculus Method'!$S$23</definedName>
    <definedName name="D" localSheetId="3">'Calculus Method'!$S$24</definedName>
    <definedName name="D" localSheetId="2">'Calculus Method'!$S$24</definedName>
    <definedName name="dfa">Six!$I:$I</definedName>
    <definedName name="GM">Six!$F:$F</definedName>
    <definedName name="i" localSheetId="3">'Calculus Method'!$AD$12:$AD$17</definedName>
    <definedName name="i" localSheetId="2">'Matrix Method'!$AD$12:$AD$17</definedName>
    <definedName name="idf">Six!$M:$M</definedName>
    <definedName name="j" localSheetId="3">'Calculus Method'!$M:$M</definedName>
    <definedName name="j" comment="r_JPM" localSheetId="2">'Matrix Method'!$M:$M</definedName>
    <definedName name="j" localSheetId="1">Six!$M:$M</definedName>
    <definedName name="jadsfi">Six!$K:$K</definedName>
    <definedName name="jdfi">Six!$L:$L</definedName>
    <definedName name="jiafods">Six!$N:$N</definedName>
    <definedName name="jio">Six!$J:$J</definedName>
    <definedName name="jioasdf">Six!$M:$M</definedName>
    <definedName name="jiof">Six!$N:$N</definedName>
    <definedName name="JP">Two!$B:$B</definedName>
    <definedName name="JPM" localSheetId="1">Six!$F:$F</definedName>
    <definedName name="JPM">Two!$B$1:$B$86</definedName>
    <definedName name="m" localSheetId="3">'Calculus Method'!$K:$K</definedName>
    <definedName name="m" comment="r_3M" localSheetId="2">'Matrix Method'!$K:$K</definedName>
    <definedName name="m" localSheetId="1">Six!$K:$K</definedName>
    <definedName name="mm">Six!$K:$K</definedName>
    <definedName name="mu" localSheetId="3">'Calculus Method'!$AA$12:$AA$17</definedName>
    <definedName name="mu" localSheetId="2">'Matrix Method'!$AA$12:$AA$17</definedName>
    <definedName name="ofj">Six!$L:$L</definedName>
    <definedName name="ORCL">Two!$C$1:$C$86</definedName>
    <definedName name="s" localSheetId="3">'Calculus Method'!$AE$12:$AE$17</definedName>
    <definedName name="s" localSheetId="2">'Matrix Method'!$AE$12:$AE$17</definedName>
    <definedName name="Sigma" localSheetId="3">'Calculus Method'!$R$12:$W$17</definedName>
    <definedName name="Sigma" localSheetId="2">'Matrix Method'!$R$12:$W$17</definedName>
    <definedName name="solver_adj" localSheetId="2" hidden="1">'Matrix Method'!$AE$12:$AE$17</definedName>
    <definedName name="solver_adj" localSheetId="1" hidden="1">Six!$R$27:$W$27</definedName>
    <definedName name="solver_adj" localSheetId="0" hidden="1">Two!$J$19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0" localSheetId="2" hidden="1">'Matrix Method'!$AD$21</definedName>
    <definedName name="solver_lhs1" localSheetId="2" hidden="1">'Matrix Method'!$AD$20</definedName>
    <definedName name="solver_lhs1" localSheetId="1" hidden="1">Six!$X$27</definedName>
    <definedName name="solver_lhs1" localSheetId="0" hidden="1">Two!$J$19</definedName>
    <definedName name="solver_lhs2" localSheetId="2" hidden="1">'Matrix Method'!$AD$21</definedName>
    <definedName name="solver_lhs2" localSheetId="1" hidden="1">Six!$X$27</definedName>
    <definedName name="solver_lhs2" localSheetId="0" hidden="1">Two!$J$19</definedName>
    <definedName name="solver_lhs3" localSheetId="1" hidden="1">Six!$X$27</definedName>
    <definedName name="solver_lhs3" localSheetId="0" hidden="1">Two!$K$19</definedName>
    <definedName name="solver_lhs4" localSheetId="1" hidden="1">Six!$X$27</definedName>
    <definedName name="solver_lhs4" localSheetId="0" hidden="1">Two!$K$19</definedName>
    <definedName name="solver_lhs5" localSheetId="0" hidden="1">Two!$M$19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1" hidden="1">2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3" hidden="1">0</definedName>
    <definedName name="solver_num" localSheetId="2" hidden="1">2</definedName>
    <definedName name="solver_num" localSheetId="1" hidden="1">1</definedName>
    <definedName name="solver_num" localSheetId="0" hidden="1">5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3" hidden="1">'Calculus Method'!$X$21</definedName>
    <definedName name="solver_opt" localSheetId="2" hidden="1">'Matrix Method'!$Z$20</definedName>
    <definedName name="solver_opt" localSheetId="1" hidden="1">Six!$AB$30</definedName>
    <definedName name="solver_opt" localSheetId="0" hidden="1">Two!$J$22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0" localSheetId="2" hidden="1">2</definedName>
    <definedName name="solver_rel1" localSheetId="2" hidden="1">2</definedName>
    <definedName name="solver_rel1" localSheetId="1" hidden="1">2</definedName>
    <definedName name="solver_rel1" localSheetId="0" hidden="1">1</definedName>
    <definedName name="solver_rel2" localSheetId="2" hidden="1">2</definedName>
    <definedName name="solver_rel2" localSheetId="1" hidden="1">2</definedName>
    <definedName name="solver_rel2" localSheetId="0" hidden="1">3</definedName>
    <definedName name="solver_rel3" localSheetId="1" hidden="1">2</definedName>
    <definedName name="solver_rel3" localSheetId="0" hidden="1">1</definedName>
    <definedName name="solver_rel4" localSheetId="1" hidden="1">2</definedName>
    <definedName name="solver_rel4" localSheetId="0" hidden="1">3</definedName>
    <definedName name="solver_rel5" localSheetId="0" hidden="1">2</definedName>
    <definedName name="solver_rhs0" localSheetId="2" hidden="1">0.009474238</definedName>
    <definedName name="solver_rhs1" localSheetId="2" hidden="1">1</definedName>
    <definedName name="solver_rhs1" localSheetId="1" hidden="1">1</definedName>
    <definedName name="solver_rhs1" localSheetId="0" hidden="1">1</definedName>
    <definedName name="solver_rhs2" localSheetId="2" hidden="1">0.00947407979280114</definedName>
    <definedName name="solver_rhs2" localSheetId="1" hidden="1">1</definedName>
    <definedName name="solver_rhs2" localSheetId="0" hidden="1">0</definedName>
    <definedName name="solver_rhs3" localSheetId="1" hidden="1">1</definedName>
    <definedName name="solver_rhs3" localSheetId="0" hidden="1">1</definedName>
    <definedName name="solver_rhs4" localSheetId="1" hidden="1">1</definedName>
    <definedName name="solver_rhs4" localSheetId="0" hidden="1">0</definedName>
    <definedName name="solver_rhs5" localSheetId="0" hidden="1">1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3" hidden="1">1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0" hidden="1">0.0049927</definedName>
    <definedName name="solver_ver" localSheetId="3" hidden="1">3</definedName>
    <definedName name="solver_ver" localSheetId="2" hidden="1">3</definedName>
    <definedName name="solver_ver" localSheetId="1" hidden="1">3</definedName>
    <definedName name="solver_ver" localSheetId="0" hidden="1">3</definedName>
    <definedName name="w" localSheetId="3">'Calculus Method'!$J:$J</definedName>
    <definedName name="w" comment="r_WMT" localSheetId="2">'Matrix Method'!$J:$J</definedName>
    <definedName name="w" localSheetId="1">Six!$J:$J</definedName>
    <definedName name="WMT">Six!$C:$C</definedName>
    <definedName name="ww">Six!$J:$J</definedName>
    <definedName name="y" localSheetId="3">'Calculus Method'!$L:$L</definedName>
    <definedName name="y" comment="r_YUM" localSheetId="2">'Matrix Method'!$L:$L</definedName>
    <definedName name="y" localSheetId="1">Six!$L:$L</definedName>
    <definedName name="ym" localSheetId="3">'Calculus Method'!$N:$N</definedName>
    <definedName name="ym" comment="r_YMZN" localSheetId="2">'Matrix Method'!$N:$N</definedName>
    <definedName name="ym" localSheetId="1">Six!$N:$N</definedName>
    <definedName name="YMZN">Six!$G:$G</definedName>
    <definedName name="YUM">Six!$E:$E</definedName>
  </definedNames>
  <calcPr calcId="152511"/>
</workbook>
</file>

<file path=xl/calcChain.xml><?xml version="1.0" encoding="utf-8"?>
<calcChain xmlns="http://schemas.openxmlformats.org/spreadsheetml/2006/main">
  <c r="S21" i="5" l="1" a="1"/>
  <c r="S21" i="5" s="1"/>
  <c r="S22" i="5" a="1"/>
  <c r="S22" i="5" s="1"/>
  <c r="S23" i="5" a="1"/>
  <c r="S23" i="5" s="1"/>
  <c r="AB13" i="5"/>
  <c r="J2" i="4"/>
  <c r="W31" i="2" l="1"/>
  <c r="V31" i="2"/>
  <c r="U31" i="2"/>
  <c r="T31" i="2"/>
  <c r="S31" i="2"/>
  <c r="R31" i="2"/>
  <c r="AB29" i="2" l="1"/>
  <c r="R12" i="2"/>
  <c r="R13" i="2"/>
  <c r="R14" i="2"/>
  <c r="R15" i="2"/>
  <c r="R16" i="2"/>
  <c r="R17" i="2"/>
  <c r="R21" i="2"/>
  <c r="R22" i="2"/>
  <c r="R23" i="2"/>
  <c r="T29" i="5" l="1"/>
  <c r="T30" i="5"/>
  <c r="N120" i="5"/>
  <c r="M120" i="5"/>
  <c r="L120" i="5"/>
  <c r="K120" i="5"/>
  <c r="J120" i="5"/>
  <c r="I120" i="5"/>
  <c r="N119" i="5"/>
  <c r="M119" i="5"/>
  <c r="L119" i="5"/>
  <c r="K119" i="5"/>
  <c r="J119" i="5"/>
  <c r="I119" i="5"/>
  <c r="N118" i="5"/>
  <c r="M118" i="5"/>
  <c r="L118" i="5"/>
  <c r="K118" i="5"/>
  <c r="J118" i="5"/>
  <c r="I118" i="5"/>
  <c r="N117" i="5"/>
  <c r="M117" i="5"/>
  <c r="L117" i="5"/>
  <c r="K117" i="5"/>
  <c r="J117" i="5"/>
  <c r="I117" i="5"/>
  <c r="N116" i="5"/>
  <c r="M116" i="5"/>
  <c r="L116" i="5"/>
  <c r="K116" i="5"/>
  <c r="J116" i="5"/>
  <c r="I116" i="5"/>
  <c r="N115" i="5"/>
  <c r="M115" i="5"/>
  <c r="L115" i="5"/>
  <c r="K115" i="5"/>
  <c r="J115" i="5"/>
  <c r="I115" i="5"/>
  <c r="N114" i="5"/>
  <c r="M114" i="5"/>
  <c r="L114" i="5"/>
  <c r="K114" i="5"/>
  <c r="J114" i="5"/>
  <c r="I114" i="5"/>
  <c r="N113" i="5"/>
  <c r="M113" i="5"/>
  <c r="L113" i="5"/>
  <c r="K113" i="5"/>
  <c r="J113" i="5"/>
  <c r="I113" i="5"/>
  <c r="N112" i="5"/>
  <c r="M112" i="5"/>
  <c r="L112" i="5"/>
  <c r="K112" i="5"/>
  <c r="J112" i="5"/>
  <c r="I112" i="5"/>
  <c r="N111" i="5"/>
  <c r="M111" i="5"/>
  <c r="L111" i="5"/>
  <c r="K111" i="5"/>
  <c r="J111" i="5"/>
  <c r="I111" i="5"/>
  <c r="N110" i="5"/>
  <c r="M110" i="5"/>
  <c r="L110" i="5"/>
  <c r="K110" i="5"/>
  <c r="J110" i="5"/>
  <c r="I110" i="5"/>
  <c r="N109" i="5"/>
  <c r="M109" i="5"/>
  <c r="L109" i="5"/>
  <c r="K109" i="5"/>
  <c r="J109" i="5"/>
  <c r="I109" i="5"/>
  <c r="N108" i="5"/>
  <c r="M108" i="5"/>
  <c r="L108" i="5"/>
  <c r="K108" i="5"/>
  <c r="J108" i="5"/>
  <c r="I108" i="5"/>
  <c r="N107" i="5"/>
  <c r="M107" i="5"/>
  <c r="L107" i="5"/>
  <c r="K107" i="5"/>
  <c r="J107" i="5"/>
  <c r="I107" i="5"/>
  <c r="N106" i="5"/>
  <c r="M106" i="5"/>
  <c r="L106" i="5"/>
  <c r="K106" i="5"/>
  <c r="J106" i="5"/>
  <c r="I106" i="5"/>
  <c r="N105" i="5"/>
  <c r="M105" i="5"/>
  <c r="L105" i="5"/>
  <c r="K105" i="5"/>
  <c r="J105" i="5"/>
  <c r="I105" i="5"/>
  <c r="N104" i="5"/>
  <c r="M104" i="5"/>
  <c r="L104" i="5"/>
  <c r="K104" i="5"/>
  <c r="J104" i="5"/>
  <c r="I104" i="5"/>
  <c r="N103" i="5"/>
  <c r="M103" i="5"/>
  <c r="L103" i="5"/>
  <c r="K103" i="5"/>
  <c r="J103" i="5"/>
  <c r="I103" i="5"/>
  <c r="N102" i="5"/>
  <c r="M102" i="5"/>
  <c r="L102" i="5"/>
  <c r="K102" i="5"/>
  <c r="J102" i="5"/>
  <c r="I102" i="5"/>
  <c r="N101" i="5"/>
  <c r="M101" i="5"/>
  <c r="L101" i="5"/>
  <c r="K101" i="5"/>
  <c r="J101" i="5"/>
  <c r="I101" i="5"/>
  <c r="N100" i="5"/>
  <c r="M100" i="5"/>
  <c r="L100" i="5"/>
  <c r="K100" i="5"/>
  <c r="J100" i="5"/>
  <c r="I100" i="5"/>
  <c r="N99" i="5"/>
  <c r="M99" i="5"/>
  <c r="L99" i="5"/>
  <c r="K99" i="5"/>
  <c r="J99" i="5"/>
  <c r="I99" i="5"/>
  <c r="N98" i="5"/>
  <c r="M98" i="5"/>
  <c r="L98" i="5"/>
  <c r="K98" i="5"/>
  <c r="J98" i="5"/>
  <c r="I98" i="5"/>
  <c r="N97" i="5"/>
  <c r="M97" i="5"/>
  <c r="L97" i="5"/>
  <c r="K97" i="5"/>
  <c r="J97" i="5"/>
  <c r="I97" i="5"/>
  <c r="N96" i="5"/>
  <c r="M96" i="5"/>
  <c r="L96" i="5"/>
  <c r="K96" i="5"/>
  <c r="J96" i="5"/>
  <c r="I96" i="5"/>
  <c r="N95" i="5"/>
  <c r="M95" i="5"/>
  <c r="L95" i="5"/>
  <c r="K95" i="5"/>
  <c r="J95" i="5"/>
  <c r="I95" i="5"/>
  <c r="N94" i="5"/>
  <c r="M94" i="5"/>
  <c r="L94" i="5"/>
  <c r="K94" i="5"/>
  <c r="J94" i="5"/>
  <c r="I94" i="5"/>
  <c r="N93" i="5"/>
  <c r="M93" i="5"/>
  <c r="L93" i="5"/>
  <c r="K93" i="5"/>
  <c r="J93" i="5"/>
  <c r="I93" i="5"/>
  <c r="N92" i="5"/>
  <c r="M92" i="5"/>
  <c r="L92" i="5"/>
  <c r="K92" i="5"/>
  <c r="J92" i="5"/>
  <c r="I92" i="5"/>
  <c r="N91" i="5"/>
  <c r="M91" i="5"/>
  <c r="L91" i="5"/>
  <c r="K91" i="5"/>
  <c r="J91" i="5"/>
  <c r="I91" i="5"/>
  <c r="N90" i="5"/>
  <c r="M90" i="5"/>
  <c r="L90" i="5"/>
  <c r="K90" i="5"/>
  <c r="J90" i="5"/>
  <c r="I90" i="5"/>
  <c r="N89" i="5"/>
  <c r="M89" i="5"/>
  <c r="L89" i="5"/>
  <c r="K89" i="5"/>
  <c r="J89" i="5"/>
  <c r="I89" i="5"/>
  <c r="N88" i="5"/>
  <c r="M88" i="5"/>
  <c r="L88" i="5"/>
  <c r="K88" i="5"/>
  <c r="J88" i="5"/>
  <c r="I88" i="5"/>
  <c r="N87" i="5"/>
  <c r="M87" i="5"/>
  <c r="L87" i="5"/>
  <c r="K87" i="5"/>
  <c r="J87" i="5"/>
  <c r="I87" i="5"/>
  <c r="N86" i="5"/>
  <c r="M86" i="5"/>
  <c r="L86" i="5"/>
  <c r="K86" i="5"/>
  <c r="J86" i="5"/>
  <c r="I86" i="5"/>
  <c r="N85" i="5"/>
  <c r="M85" i="5"/>
  <c r="L85" i="5"/>
  <c r="K85" i="5"/>
  <c r="J85" i="5"/>
  <c r="I85" i="5"/>
  <c r="N84" i="5"/>
  <c r="M84" i="5"/>
  <c r="L84" i="5"/>
  <c r="K84" i="5"/>
  <c r="J84" i="5"/>
  <c r="I84" i="5"/>
  <c r="N83" i="5"/>
  <c r="M83" i="5"/>
  <c r="L83" i="5"/>
  <c r="K83" i="5"/>
  <c r="J83" i="5"/>
  <c r="I83" i="5"/>
  <c r="N82" i="5"/>
  <c r="M82" i="5"/>
  <c r="L82" i="5"/>
  <c r="K82" i="5"/>
  <c r="J82" i="5"/>
  <c r="I82" i="5"/>
  <c r="N81" i="5"/>
  <c r="M81" i="5"/>
  <c r="L81" i="5"/>
  <c r="K81" i="5"/>
  <c r="J81" i="5"/>
  <c r="I81" i="5"/>
  <c r="N80" i="5"/>
  <c r="M80" i="5"/>
  <c r="L80" i="5"/>
  <c r="K80" i="5"/>
  <c r="J80" i="5"/>
  <c r="I80" i="5"/>
  <c r="N79" i="5"/>
  <c r="M79" i="5"/>
  <c r="L79" i="5"/>
  <c r="K79" i="5"/>
  <c r="J79" i="5"/>
  <c r="I79" i="5"/>
  <c r="N78" i="5"/>
  <c r="M78" i="5"/>
  <c r="L78" i="5"/>
  <c r="K78" i="5"/>
  <c r="J78" i="5"/>
  <c r="I78" i="5"/>
  <c r="N77" i="5"/>
  <c r="M77" i="5"/>
  <c r="L77" i="5"/>
  <c r="K77" i="5"/>
  <c r="J77" i="5"/>
  <c r="I77" i="5"/>
  <c r="N76" i="5"/>
  <c r="M76" i="5"/>
  <c r="L76" i="5"/>
  <c r="K76" i="5"/>
  <c r="J76" i="5"/>
  <c r="I76" i="5"/>
  <c r="N75" i="5"/>
  <c r="M75" i="5"/>
  <c r="L75" i="5"/>
  <c r="K75" i="5"/>
  <c r="J75" i="5"/>
  <c r="I75" i="5"/>
  <c r="N74" i="5"/>
  <c r="M74" i="5"/>
  <c r="L74" i="5"/>
  <c r="K74" i="5"/>
  <c r="J74" i="5"/>
  <c r="I74" i="5"/>
  <c r="N73" i="5"/>
  <c r="M73" i="5"/>
  <c r="L73" i="5"/>
  <c r="K73" i="5"/>
  <c r="J73" i="5"/>
  <c r="I73" i="5"/>
  <c r="N72" i="5"/>
  <c r="M72" i="5"/>
  <c r="L72" i="5"/>
  <c r="K72" i="5"/>
  <c r="J72" i="5"/>
  <c r="I72" i="5"/>
  <c r="N71" i="5"/>
  <c r="M71" i="5"/>
  <c r="L71" i="5"/>
  <c r="K71" i="5"/>
  <c r="J71" i="5"/>
  <c r="I71" i="5"/>
  <c r="N70" i="5"/>
  <c r="M70" i="5"/>
  <c r="L70" i="5"/>
  <c r="K70" i="5"/>
  <c r="J70" i="5"/>
  <c r="I70" i="5"/>
  <c r="N69" i="5"/>
  <c r="M69" i="5"/>
  <c r="L69" i="5"/>
  <c r="K69" i="5"/>
  <c r="J69" i="5"/>
  <c r="I69" i="5"/>
  <c r="N68" i="5"/>
  <c r="M68" i="5"/>
  <c r="L68" i="5"/>
  <c r="K68" i="5"/>
  <c r="J68" i="5"/>
  <c r="I68" i="5"/>
  <c r="N67" i="5"/>
  <c r="M67" i="5"/>
  <c r="L67" i="5"/>
  <c r="K67" i="5"/>
  <c r="J67" i="5"/>
  <c r="I67" i="5"/>
  <c r="N66" i="5"/>
  <c r="M66" i="5"/>
  <c r="L66" i="5"/>
  <c r="K66" i="5"/>
  <c r="J66" i="5"/>
  <c r="I66" i="5"/>
  <c r="N65" i="5"/>
  <c r="M65" i="5"/>
  <c r="L65" i="5"/>
  <c r="K65" i="5"/>
  <c r="J65" i="5"/>
  <c r="I65" i="5"/>
  <c r="N64" i="5"/>
  <c r="M64" i="5"/>
  <c r="L64" i="5"/>
  <c r="K64" i="5"/>
  <c r="J64" i="5"/>
  <c r="I64" i="5"/>
  <c r="N63" i="5"/>
  <c r="M63" i="5"/>
  <c r="L63" i="5"/>
  <c r="K63" i="5"/>
  <c r="J63" i="5"/>
  <c r="I63" i="5"/>
  <c r="N62" i="5"/>
  <c r="M62" i="5"/>
  <c r="L62" i="5"/>
  <c r="K62" i="5"/>
  <c r="J62" i="5"/>
  <c r="I62" i="5"/>
  <c r="N61" i="5"/>
  <c r="M61" i="5"/>
  <c r="L61" i="5"/>
  <c r="K61" i="5"/>
  <c r="J61" i="5"/>
  <c r="I61" i="5"/>
  <c r="N60" i="5"/>
  <c r="M60" i="5"/>
  <c r="L60" i="5"/>
  <c r="K60" i="5"/>
  <c r="J60" i="5"/>
  <c r="I60" i="5"/>
  <c r="N59" i="5"/>
  <c r="M59" i="5"/>
  <c r="L59" i="5"/>
  <c r="K59" i="5"/>
  <c r="J59" i="5"/>
  <c r="I59" i="5"/>
  <c r="N58" i="5"/>
  <c r="M58" i="5"/>
  <c r="L58" i="5"/>
  <c r="K58" i="5"/>
  <c r="J58" i="5"/>
  <c r="I58" i="5"/>
  <c r="N57" i="5"/>
  <c r="M57" i="5"/>
  <c r="L57" i="5"/>
  <c r="K57" i="5"/>
  <c r="J57" i="5"/>
  <c r="I57" i="5"/>
  <c r="N56" i="5"/>
  <c r="M56" i="5"/>
  <c r="L56" i="5"/>
  <c r="K56" i="5"/>
  <c r="J56" i="5"/>
  <c r="I56" i="5"/>
  <c r="N55" i="5"/>
  <c r="M55" i="5"/>
  <c r="L55" i="5"/>
  <c r="K55" i="5"/>
  <c r="J55" i="5"/>
  <c r="I55" i="5"/>
  <c r="N54" i="5"/>
  <c r="M54" i="5"/>
  <c r="L54" i="5"/>
  <c r="K54" i="5"/>
  <c r="J54" i="5"/>
  <c r="I54" i="5"/>
  <c r="N53" i="5"/>
  <c r="M53" i="5"/>
  <c r="L53" i="5"/>
  <c r="K53" i="5"/>
  <c r="J53" i="5"/>
  <c r="I53" i="5"/>
  <c r="N52" i="5"/>
  <c r="M52" i="5"/>
  <c r="L52" i="5"/>
  <c r="K52" i="5"/>
  <c r="J52" i="5"/>
  <c r="I52" i="5"/>
  <c r="N51" i="5"/>
  <c r="M51" i="5"/>
  <c r="L51" i="5"/>
  <c r="K51" i="5"/>
  <c r="J51" i="5"/>
  <c r="I51" i="5"/>
  <c r="N50" i="5"/>
  <c r="M50" i="5"/>
  <c r="L50" i="5"/>
  <c r="K50" i="5"/>
  <c r="J50" i="5"/>
  <c r="I50" i="5"/>
  <c r="N49" i="5"/>
  <c r="M49" i="5"/>
  <c r="L49" i="5"/>
  <c r="K49" i="5"/>
  <c r="J49" i="5"/>
  <c r="I49" i="5"/>
  <c r="N48" i="5"/>
  <c r="M48" i="5"/>
  <c r="L48" i="5"/>
  <c r="K48" i="5"/>
  <c r="J48" i="5"/>
  <c r="I48" i="5"/>
  <c r="N47" i="5"/>
  <c r="M47" i="5"/>
  <c r="L47" i="5"/>
  <c r="K47" i="5"/>
  <c r="J47" i="5"/>
  <c r="I47" i="5"/>
  <c r="N46" i="5"/>
  <c r="M46" i="5"/>
  <c r="L46" i="5"/>
  <c r="K46" i="5"/>
  <c r="J46" i="5"/>
  <c r="I46" i="5"/>
  <c r="N45" i="5"/>
  <c r="M45" i="5"/>
  <c r="L45" i="5"/>
  <c r="K45" i="5"/>
  <c r="J45" i="5"/>
  <c r="I45" i="5"/>
  <c r="N44" i="5"/>
  <c r="M44" i="5"/>
  <c r="L44" i="5"/>
  <c r="K44" i="5"/>
  <c r="J44" i="5"/>
  <c r="I44" i="5"/>
  <c r="N43" i="5"/>
  <c r="M43" i="5"/>
  <c r="L43" i="5"/>
  <c r="K43" i="5"/>
  <c r="J43" i="5"/>
  <c r="I43" i="5"/>
  <c r="N42" i="5"/>
  <c r="M42" i="5"/>
  <c r="L42" i="5"/>
  <c r="K42" i="5"/>
  <c r="J42" i="5"/>
  <c r="I42" i="5"/>
  <c r="N41" i="5"/>
  <c r="M41" i="5"/>
  <c r="L41" i="5"/>
  <c r="K41" i="5"/>
  <c r="J41" i="5"/>
  <c r="I41" i="5"/>
  <c r="N40" i="5"/>
  <c r="M40" i="5"/>
  <c r="L40" i="5"/>
  <c r="K40" i="5"/>
  <c r="J40" i="5"/>
  <c r="I40" i="5"/>
  <c r="N39" i="5"/>
  <c r="M39" i="5"/>
  <c r="L39" i="5"/>
  <c r="K39" i="5"/>
  <c r="J39" i="5"/>
  <c r="I39" i="5"/>
  <c r="N38" i="5"/>
  <c r="M38" i="5"/>
  <c r="L38" i="5"/>
  <c r="K38" i="5"/>
  <c r="J38" i="5"/>
  <c r="I38" i="5"/>
  <c r="N37" i="5"/>
  <c r="M37" i="5"/>
  <c r="L37" i="5"/>
  <c r="K37" i="5"/>
  <c r="J37" i="5"/>
  <c r="I37" i="5"/>
  <c r="N36" i="5"/>
  <c r="M36" i="5"/>
  <c r="L36" i="5"/>
  <c r="K36" i="5"/>
  <c r="J36" i="5"/>
  <c r="I36" i="5"/>
  <c r="N35" i="5"/>
  <c r="M35" i="5"/>
  <c r="L35" i="5"/>
  <c r="K35" i="5"/>
  <c r="J35" i="5"/>
  <c r="I35" i="5"/>
  <c r="N34" i="5"/>
  <c r="M34" i="5"/>
  <c r="L34" i="5"/>
  <c r="K34" i="5"/>
  <c r="J34" i="5"/>
  <c r="I34" i="5"/>
  <c r="N33" i="5"/>
  <c r="M33" i="5"/>
  <c r="L33" i="5"/>
  <c r="K33" i="5"/>
  <c r="J33" i="5"/>
  <c r="I33" i="5"/>
  <c r="N32" i="5"/>
  <c r="M32" i="5"/>
  <c r="L32" i="5"/>
  <c r="K32" i="5"/>
  <c r="J32" i="5"/>
  <c r="I32" i="5"/>
  <c r="N31" i="5"/>
  <c r="M31" i="5"/>
  <c r="L31" i="5"/>
  <c r="K31" i="5"/>
  <c r="J31" i="5"/>
  <c r="I31" i="5"/>
  <c r="N30" i="5"/>
  <c r="M30" i="5"/>
  <c r="L30" i="5"/>
  <c r="K30" i="5"/>
  <c r="J30" i="5"/>
  <c r="I30" i="5"/>
  <c r="N29" i="5"/>
  <c r="M29" i="5"/>
  <c r="L29" i="5"/>
  <c r="K29" i="5"/>
  <c r="J29" i="5"/>
  <c r="I29" i="5"/>
  <c r="N28" i="5"/>
  <c r="M28" i="5"/>
  <c r="L28" i="5"/>
  <c r="K28" i="5"/>
  <c r="J28" i="5"/>
  <c r="I28" i="5"/>
  <c r="N27" i="5"/>
  <c r="M27" i="5"/>
  <c r="L27" i="5"/>
  <c r="K27" i="5"/>
  <c r="J27" i="5"/>
  <c r="I27" i="5"/>
  <c r="N26" i="5"/>
  <c r="M26" i="5"/>
  <c r="L26" i="5"/>
  <c r="K26" i="5"/>
  <c r="J26" i="5"/>
  <c r="I26" i="5"/>
  <c r="N25" i="5"/>
  <c r="M25" i="5"/>
  <c r="L25" i="5"/>
  <c r="K25" i="5"/>
  <c r="J25" i="5"/>
  <c r="I25" i="5"/>
  <c r="N24" i="5"/>
  <c r="M24" i="5"/>
  <c r="L24" i="5"/>
  <c r="K24" i="5"/>
  <c r="J24" i="5"/>
  <c r="I24" i="5"/>
  <c r="N23" i="5"/>
  <c r="M23" i="5"/>
  <c r="L23" i="5"/>
  <c r="K23" i="5"/>
  <c r="J23" i="5"/>
  <c r="I23" i="5"/>
  <c r="N22" i="5"/>
  <c r="M22" i="5"/>
  <c r="L22" i="5"/>
  <c r="K22" i="5"/>
  <c r="J22" i="5"/>
  <c r="I22" i="5"/>
  <c r="N21" i="5"/>
  <c r="M21" i="5"/>
  <c r="L21" i="5"/>
  <c r="K21" i="5"/>
  <c r="J21" i="5"/>
  <c r="I21" i="5"/>
  <c r="N20" i="5"/>
  <c r="M20" i="5"/>
  <c r="L20" i="5"/>
  <c r="K20" i="5"/>
  <c r="J20" i="5"/>
  <c r="I20" i="5"/>
  <c r="N19" i="5"/>
  <c r="M19" i="5"/>
  <c r="L19" i="5"/>
  <c r="K19" i="5"/>
  <c r="J19" i="5"/>
  <c r="I19" i="5"/>
  <c r="N18" i="5"/>
  <c r="M18" i="5"/>
  <c r="L18" i="5"/>
  <c r="K18" i="5"/>
  <c r="J18" i="5"/>
  <c r="I18" i="5"/>
  <c r="AD17" i="5"/>
  <c r="N17" i="5"/>
  <c r="M17" i="5"/>
  <c r="L17" i="5"/>
  <c r="K17" i="5"/>
  <c r="J17" i="5"/>
  <c r="I17" i="5"/>
  <c r="AD16" i="5"/>
  <c r="N16" i="5"/>
  <c r="M16" i="5"/>
  <c r="L16" i="5"/>
  <c r="K16" i="5"/>
  <c r="J16" i="5"/>
  <c r="I16" i="5"/>
  <c r="AD15" i="5"/>
  <c r="N15" i="5"/>
  <c r="M15" i="5"/>
  <c r="L15" i="5"/>
  <c r="U17" i="5" s="1"/>
  <c r="K15" i="5"/>
  <c r="J15" i="5"/>
  <c r="I15" i="5"/>
  <c r="AD14" i="5"/>
  <c r="N14" i="5"/>
  <c r="M14" i="5"/>
  <c r="L14" i="5"/>
  <c r="K14" i="5"/>
  <c r="J14" i="5"/>
  <c r="I14" i="5"/>
  <c r="AD13" i="5"/>
  <c r="U13" i="5"/>
  <c r="N13" i="5"/>
  <c r="AB17" i="5" s="1"/>
  <c r="M13" i="5"/>
  <c r="L13" i="5"/>
  <c r="K13" i="5"/>
  <c r="J13" i="5"/>
  <c r="I13" i="5"/>
  <c r="AD12" i="5"/>
  <c r="N12" i="5"/>
  <c r="M12" i="5"/>
  <c r="L12" i="5"/>
  <c r="K12" i="5"/>
  <c r="J12" i="5"/>
  <c r="I12" i="5"/>
  <c r="N11" i="5"/>
  <c r="M11" i="5"/>
  <c r="L11" i="5"/>
  <c r="K11" i="5"/>
  <c r="J11" i="5"/>
  <c r="I11" i="5"/>
  <c r="N10" i="5"/>
  <c r="M10" i="5"/>
  <c r="L10" i="5"/>
  <c r="K10" i="5"/>
  <c r="J10" i="5"/>
  <c r="I10" i="5"/>
  <c r="N9" i="5"/>
  <c r="M9" i="5"/>
  <c r="L9" i="5"/>
  <c r="K9" i="5"/>
  <c r="J9" i="5"/>
  <c r="I9" i="5"/>
  <c r="N8" i="5"/>
  <c r="M8" i="5"/>
  <c r="L8" i="5"/>
  <c r="K8" i="5"/>
  <c r="J8" i="5"/>
  <c r="I8" i="5"/>
  <c r="N7" i="5"/>
  <c r="M7" i="5"/>
  <c r="L7" i="5"/>
  <c r="K7" i="5"/>
  <c r="J7" i="5"/>
  <c r="I7" i="5"/>
  <c r="N6" i="5"/>
  <c r="M6" i="5"/>
  <c r="L6" i="5"/>
  <c r="K6" i="5"/>
  <c r="J6" i="5"/>
  <c r="I6" i="5"/>
  <c r="N5" i="5"/>
  <c r="M5" i="5"/>
  <c r="L5" i="5"/>
  <c r="K5" i="5"/>
  <c r="J5" i="5"/>
  <c r="I5" i="5"/>
  <c r="N4" i="5"/>
  <c r="M4" i="5"/>
  <c r="L4" i="5"/>
  <c r="K4" i="5"/>
  <c r="J4" i="5"/>
  <c r="I4" i="5"/>
  <c r="N3" i="5"/>
  <c r="M3" i="5"/>
  <c r="L3" i="5"/>
  <c r="U16" i="5" s="1"/>
  <c r="K3" i="5"/>
  <c r="T15" i="5" s="1"/>
  <c r="J3" i="5"/>
  <c r="I3" i="5"/>
  <c r="N2" i="5"/>
  <c r="W17" i="5" s="1"/>
  <c r="M2" i="5"/>
  <c r="V16" i="5" s="1"/>
  <c r="L2" i="5"/>
  <c r="U14" i="5" s="1"/>
  <c r="K2" i="5"/>
  <c r="T17" i="5" s="1"/>
  <c r="J2" i="5"/>
  <c r="I2" i="5"/>
  <c r="R16" i="5" s="1"/>
  <c r="AA17" i="4"/>
  <c r="AA16" i="4"/>
  <c r="AA15" i="4"/>
  <c r="AA14" i="4"/>
  <c r="AA12" i="4"/>
  <c r="AB12" i="4"/>
  <c r="AB14" i="4"/>
  <c r="AB15" i="4"/>
  <c r="AB16" i="4"/>
  <c r="AB17" i="4"/>
  <c r="AD20" i="4" a="1"/>
  <c r="AD20" i="4" s="1"/>
  <c r="AD17" i="4"/>
  <c r="AD16" i="4"/>
  <c r="AD15" i="4"/>
  <c r="AD14" i="4"/>
  <c r="AD13" i="4"/>
  <c r="AD12" i="4"/>
  <c r="W17" i="4"/>
  <c r="V17" i="4"/>
  <c r="U17" i="4"/>
  <c r="T17" i="4"/>
  <c r="R17" i="4"/>
  <c r="W16" i="4"/>
  <c r="V16" i="4"/>
  <c r="U16" i="4"/>
  <c r="T16" i="4"/>
  <c r="R16" i="4"/>
  <c r="W15" i="4"/>
  <c r="V15" i="4"/>
  <c r="U15" i="4"/>
  <c r="T15" i="4"/>
  <c r="R15" i="4"/>
  <c r="W14" i="4"/>
  <c r="V14" i="4"/>
  <c r="U14" i="4"/>
  <c r="T14" i="4"/>
  <c r="R14" i="4"/>
  <c r="W13" i="4"/>
  <c r="V13" i="4"/>
  <c r="U13" i="4"/>
  <c r="T13" i="4"/>
  <c r="R13" i="4"/>
  <c r="W12" i="4"/>
  <c r="V12" i="4"/>
  <c r="U12" i="4"/>
  <c r="T12" i="4"/>
  <c r="R12" i="4"/>
  <c r="S15" i="5" l="1"/>
  <c r="S17" i="5"/>
  <c r="T31" i="5"/>
  <c r="T12" i="5"/>
  <c r="AA12" i="5"/>
  <c r="V14" i="5"/>
  <c r="T16" i="5"/>
  <c r="AA16" i="5"/>
  <c r="U12" i="5"/>
  <c r="AB12" i="5"/>
  <c r="R13" i="5"/>
  <c r="V13" i="5"/>
  <c r="W14" i="5"/>
  <c r="AA15" i="5"/>
  <c r="AB16" i="5"/>
  <c r="V17" i="5"/>
  <c r="V12" i="5"/>
  <c r="S13" i="5"/>
  <c r="W13" i="5"/>
  <c r="T14" i="5"/>
  <c r="AA14" i="5"/>
  <c r="U15" i="5"/>
  <c r="AB15" i="5"/>
  <c r="S12" i="5"/>
  <c r="W12" i="5"/>
  <c r="T13" i="5"/>
  <c r="AA13" i="5"/>
  <c r="AB14" i="5"/>
  <c r="R15" i="5"/>
  <c r="V15" i="5"/>
  <c r="S16" i="5"/>
  <c r="W16" i="5"/>
  <c r="AA17" i="5"/>
  <c r="R14" i="5"/>
  <c r="W15" i="5"/>
  <c r="S14" i="5"/>
  <c r="R17" i="5"/>
  <c r="R12" i="5"/>
  <c r="C58" i="3"/>
  <c r="C22" i="3"/>
  <c r="C14" i="3"/>
  <c r="L64" i="3"/>
  <c r="K64" i="3"/>
  <c r="L63" i="3"/>
  <c r="K63" i="3"/>
  <c r="L62" i="3"/>
  <c r="K62" i="3"/>
  <c r="L61" i="3"/>
  <c r="K61" i="3"/>
  <c r="L60" i="3"/>
  <c r="K60" i="3"/>
  <c r="L59" i="3"/>
  <c r="K59" i="3"/>
  <c r="L58" i="3"/>
  <c r="K58" i="3"/>
  <c r="L57" i="3"/>
  <c r="K57" i="3"/>
  <c r="L56" i="3"/>
  <c r="K56" i="3"/>
  <c r="L55" i="3"/>
  <c r="K55" i="3"/>
  <c r="L54" i="3"/>
  <c r="K54" i="3"/>
  <c r="L53" i="3"/>
  <c r="K53" i="3"/>
  <c r="L52" i="3"/>
  <c r="K52" i="3"/>
  <c r="L51" i="3"/>
  <c r="K51" i="3"/>
  <c r="L50" i="3"/>
  <c r="K50" i="3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40" i="3"/>
  <c r="K40" i="3"/>
  <c r="L39" i="3"/>
  <c r="K39" i="3"/>
  <c r="L38" i="3"/>
  <c r="K38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17" i="3"/>
  <c r="K17" i="3"/>
  <c r="L16" i="3"/>
  <c r="K16" i="3"/>
  <c r="L15" i="3"/>
  <c r="K1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C64" i="3"/>
  <c r="C63" i="3"/>
  <c r="C62" i="3"/>
  <c r="C61" i="3"/>
  <c r="C60" i="3"/>
  <c r="C59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1" i="3"/>
  <c r="C20" i="3"/>
  <c r="C19" i="3"/>
  <c r="C18" i="3"/>
  <c r="C17" i="3"/>
  <c r="C16" i="3"/>
  <c r="C15" i="3"/>
  <c r="B61" i="3"/>
  <c r="B62" i="3" s="1"/>
  <c r="B63" i="3" s="1"/>
  <c r="B64" i="3" s="1"/>
  <c r="B17" i="3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16" i="3"/>
  <c r="B15" i="3"/>
  <c r="N120" i="4"/>
  <c r="M120" i="4"/>
  <c r="L120" i="4"/>
  <c r="K120" i="4"/>
  <c r="J120" i="4"/>
  <c r="I120" i="4"/>
  <c r="N119" i="4"/>
  <c r="M119" i="4"/>
  <c r="L119" i="4"/>
  <c r="K119" i="4"/>
  <c r="J119" i="4"/>
  <c r="I119" i="4"/>
  <c r="N118" i="4"/>
  <c r="M118" i="4"/>
  <c r="L118" i="4"/>
  <c r="K118" i="4"/>
  <c r="J118" i="4"/>
  <c r="I118" i="4"/>
  <c r="N117" i="4"/>
  <c r="M117" i="4"/>
  <c r="L117" i="4"/>
  <c r="K117" i="4"/>
  <c r="J117" i="4"/>
  <c r="I117" i="4"/>
  <c r="N116" i="4"/>
  <c r="M116" i="4"/>
  <c r="L116" i="4"/>
  <c r="K116" i="4"/>
  <c r="J116" i="4"/>
  <c r="I116" i="4"/>
  <c r="N115" i="4"/>
  <c r="M115" i="4"/>
  <c r="L115" i="4"/>
  <c r="K115" i="4"/>
  <c r="J115" i="4"/>
  <c r="I115" i="4"/>
  <c r="N114" i="4"/>
  <c r="M114" i="4"/>
  <c r="L114" i="4"/>
  <c r="K114" i="4"/>
  <c r="J114" i="4"/>
  <c r="I114" i="4"/>
  <c r="N113" i="4"/>
  <c r="M113" i="4"/>
  <c r="L113" i="4"/>
  <c r="K113" i="4"/>
  <c r="J113" i="4"/>
  <c r="I113" i="4"/>
  <c r="N112" i="4"/>
  <c r="M112" i="4"/>
  <c r="L112" i="4"/>
  <c r="K112" i="4"/>
  <c r="J112" i="4"/>
  <c r="I112" i="4"/>
  <c r="N111" i="4"/>
  <c r="M111" i="4"/>
  <c r="L111" i="4"/>
  <c r="K111" i="4"/>
  <c r="J111" i="4"/>
  <c r="I111" i="4"/>
  <c r="N110" i="4"/>
  <c r="M110" i="4"/>
  <c r="L110" i="4"/>
  <c r="K110" i="4"/>
  <c r="J110" i="4"/>
  <c r="I110" i="4"/>
  <c r="N109" i="4"/>
  <c r="M109" i="4"/>
  <c r="L109" i="4"/>
  <c r="K109" i="4"/>
  <c r="J109" i="4"/>
  <c r="I109" i="4"/>
  <c r="N108" i="4"/>
  <c r="M108" i="4"/>
  <c r="L108" i="4"/>
  <c r="K108" i="4"/>
  <c r="J108" i="4"/>
  <c r="I108" i="4"/>
  <c r="N107" i="4"/>
  <c r="M107" i="4"/>
  <c r="L107" i="4"/>
  <c r="K107" i="4"/>
  <c r="J107" i="4"/>
  <c r="I107" i="4"/>
  <c r="N106" i="4"/>
  <c r="M106" i="4"/>
  <c r="L106" i="4"/>
  <c r="K106" i="4"/>
  <c r="J106" i="4"/>
  <c r="I106" i="4"/>
  <c r="N105" i="4"/>
  <c r="M105" i="4"/>
  <c r="L105" i="4"/>
  <c r="K105" i="4"/>
  <c r="J105" i="4"/>
  <c r="I105" i="4"/>
  <c r="N104" i="4"/>
  <c r="M104" i="4"/>
  <c r="L104" i="4"/>
  <c r="K104" i="4"/>
  <c r="J104" i="4"/>
  <c r="I104" i="4"/>
  <c r="N103" i="4"/>
  <c r="M103" i="4"/>
  <c r="L103" i="4"/>
  <c r="K103" i="4"/>
  <c r="J103" i="4"/>
  <c r="I103" i="4"/>
  <c r="N102" i="4"/>
  <c r="M102" i="4"/>
  <c r="L102" i="4"/>
  <c r="K102" i="4"/>
  <c r="J102" i="4"/>
  <c r="I102" i="4"/>
  <c r="N101" i="4"/>
  <c r="M101" i="4"/>
  <c r="L101" i="4"/>
  <c r="K101" i="4"/>
  <c r="J101" i="4"/>
  <c r="I101" i="4"/>
  <c r="N100" i="4"/>
  <c r="M100" i="4"/>
  <c r="L100" i="4"/>
  <c r="K100" i="4"/>
  <c r="J100" i="4"/>
  <c r="I100" i="4"/>
  <c r="N99" i="4"/>
  <c r="M99" i="4"/>
  <c r="L99" i="4"/>
  <c r="K99" i="4"/>
  <c r="J99" i="4"/>
  <c r="I99" i="4"/>
  <c r="N98" i="4"/>
  <c r="M98" i="4"/>
  <c r="L98" i="4"/>
  <c r="K98" i="4"/>
  <c r="J98" i="4"/>
  <c r="I98" i="4"/>
  <c r="N97" i="4"/>
  <c r="M97" i="4"/>
  <c r="L97" i="4"/>
  <c r="K97" i="4"/>
  <c r="J97" i="4"/>
  <c r="I97" i="4"/>
  <c r="N96" i="4"/>
  <c r="M96" i="4"/>
  <c r="L96" i="4"/>
  <c r="K96" i="4"/>
  <c r="J96" i="4"/>
  <c r="I96" i="4"/>
  <c r="N95" i="4"/>
  <c r="M95" i="4"/>
  <c r="L95" i="4"/>
  <c r="K95" i="4"/>
  <c r="J95" i="4"/>
  <c r="I95" i="4"/>
  <c r="N94" i="4"/>
  <c r="M94" i="4"/>
  <c r="L94" i="4"/>
  <c r="K94" i="4"/>
  <c r="J94" i="4"/>
  <c r="I94" i="4"/>
  <c r="N93" i="4"/>
  <c r="M93" i="4"/>
  <c r="L93" i="4"/>
  <c r="K93" i="4"/>
  <c r="J93" i="4"/>
  <c r="I93" i="4"/>
  <c r="N92" i="4"/>
  <c r="M92" i="4"/>
  <c r="L92" i="4"/>
  <c r="K92" i="4"/>
  <c r="J92" i="4"/>
  <c r="I92" i="4"/>
  <c r="N91" i="4"/>
  <c r="M91" i="4"/>
  <c r="L91" i="4"/>
  <c r="K91" i="4"/>
  <c r="J91" i="4"/>
  <c r="I91" i="4"/>
  <c r="N90" i="4"/>
  <c r="M90" i="4"/>
  <c r="L90" i="4"/>
  <c r="K90" i="4"/>
  <c r="J90" i="4"/>
  <c r="I90" i="4"/>
  <c r="N89" i="4"/>
  <c r="M89" i="4"/>
  <c r="L89" i="4"/>
  <c r="K89" i="4"/>
  <c r="J89" i="4"/>
  <c r="I89" i="4"/>
  <c r="N88" i="4"/>
  <c r="M88" i="4"/>
  <c r="L88" i="4"/>
  <c r="K88" i="4"/>
  <c r="J88" i="4"/>
  <c r="I88" i="4"/>
  <c r="N87" i="4"/>
  <c r="M87" i="4"/>
  <c r="L87" i="4"/>
  <c r="K87" i="4"/>
  <c r="J87" i="4"/>
  <c r="I87" i="4"/>
  <c r="N86" i="4"/>
  <c r="M86" i="4"/>
  <c r="L86" i="4"/>
  <c r="K86" i="4"/>
  <c r="J86" i="4"/>
  <c r="I86" i="4"/>
  <c r="N85" i="4"/>
  <c r="M85" i="4"/>
  <c r="L85" i="4"/>
  <c r="K85" i="4"/>
  <c r="J85" i="4"/>
  <c r="I85" i="4"/>
  <c r="N84" i="4"/>
  <c r="M84" i="4"/>
  <c r="L84" i="4"/>
  <c r="K84" i="4"/>
  <c r="J84" i="4"/>
  <c r="I84" i="4"/>
  <c r="N83" i="4"/>
  <c r="M83" i="4"/>
  <c r="L83" i="4"/>
  <c r="K83" i="4"/>
  <c r="J83" i="4"/>
  <c r="I83" i="4"/>
  <c r="N82" i="4"/>
  <c r="M82" i="4"/>
  <c r="L82" i="4"/>
  <c r="K82" i="4"/>
  <c r="J82" i="4"/>
  <c r="I82" i="4"/>
  <c r="N81" i="4"/>
  <c r="M81" i="4"/>
  <c r="L81" i="4"/>
  <c r="K81" i="4"/>
  <c r="J81" i="4"/>
  <c r="I81" i="4"/>
  <c r="N80" i="4"/>
  <c r="M80" i="4"/>
  <c r="L80" i="4"/>
  <c r="K80" i="4"/>
  <c r="J80" i="4"/>
  <c r="I80" i="4"/>
  <c r="N79" i="4"/>
  <c r="M79" i="4"/>
  <c r="L79" i="4"/>
  <c r="K79" i="4"/>
  <c r="J79" i="4"/>
  <c r="I79" i="4"/>
  <c r="N78" i="4"/>
  <c r="M78" i="4"/>
  <c r="L78" i="4"/>
  <c r="K78" i="4"/>
  <c r="J78" i="4"/>
  <c r="I78" i="4"/>
  <c r="N77" i="4"/>
  <c r="M77" i="4"/>
  <c r="L77" i="4"/>
  <c r="K77" i="4"/>
  <c r="J77" i="4"/>
  <c r="I77" i="4"/>
  <c r="N76" i="4"/>
  <c r="M76" i="4"/>
  <c r="L76" i="4"/>
  <c r="K76" i="4"/>
  <c r="J76" i="4"/>
  <c r="I76" i="4"/>
  <c r="N75" i="4"/>
  <c r="M75" i="4"/>
  <c r="L75" i="4"/>
  <c r="K75" i="4"/>
  <c r="J75" i="4"/>
  <c r="I75" i="4"/>
  <c r="N74" i="4"/>
  <c r="M74" i="4"/>
  <c r="L74" i="4"/>
  <c r="K74" i="4"/>
  <c r="J74" i="4"/>
  <c r="I74" i="4"/>
  <c r="N73" i="4"/>
  <c r="M73" i="4"/>
  <c r="L73" i="4"/>
  <c r="K73" i="4"/>
  <c r="J73" i="4"/>
  <c r="I73" i="4"/>
  <c r="N72" i="4"/>
  <c r="M72" i="4"/>
  <c r="L72" i="4"/>
  <c r="K72" i="4"/>
  <c r="J72" i="4"/>
  <c r="I72" i="4"/>
  <c r="N71" i="4"/>
  <c r="M71" i="4"/>
  <c r="L71" i="4"/>
  <c r="K71" i="4"/>
  <c r="J71" i="4"/>
  <c r="I71" i="4"/>
  <c r="N70" i="4"/>
  <c r="M70" i="4"/>
  <c r="L70" i="4"/>
  <c r="K70" i="4"/>
  <c r="J70" i="4"/>
  <c r="I70" i="4"/>
  <c r="N69" i="4"/>
  <c r="M69" i="4"/>
  <c r="L69" i="4"/>
  <c r="K69" i="4"/>
  <c r="J69" i="4"/>
  <c r="I69" i="4"/>
  <c r="N68" i="4"/>
  <c r="M68" i="4"/>
  <c r="L68" i="4"/>
  <c r="K68" i="4"/>
  <c r="J68" i="4"/>
  <c r="I68" i="4"/>
  <c r="N67" i="4"/>
  <c r="M67" i="4"/>
  <c r="L67" i="4"/>
  <c r="K67" i="4"/>
  <c r="J67" i="4"/>
  <c r="I67" i="4"/>
  <c r="N66" i="4"/>
  <c r="M66" i="4"/>
  <c r="L66" i="4"/>
  <c r="K66" i="4"/>
  <c r="J66" i="4"/>
  <c r="I66" i="4"/>
  <c r="N65" i="4"/>
  <c r="M65" i="4"/>
  <c r="L65" i="4"/>
  <c r="K65" i="4"/>
  <c r="J65" i="4"/>
  <c r="I65" i="4"/>
  <c r="N64" i="4"/>
  <c r="M64" i="4"/>
  <c r="L64" i="4"/>
  <c r="K64" i="4"/>
  <c r="J64" i="4"/>
  <c r="I64" i="4"/>
  <c r="N63" i="4"/>
  <c r="M63" i="4"/>
  <c r="L63" i="4"/>
  <c r="K63" i="4"/>
  <c r="J63" i="4"/>
  <c r="I63" i="4"/>
  <c r="N62" i="4"/>
  <c r="M62" i="4"/>
  <c r="L62" i="4"/>
  <c r="K62" i="4"/>
  <c r="J62" i="4"/>
  <c r="I62" i="4"/>
  <c r="N61" i="4"/>
  <c r="M61" i="4"/>
  <c r="L61" i="4"/>
  <c r="K61" i="4"/>
  <c r="J61" i="4"/>
  <c r="I61" i="4"/>
  <c r="N60" i="4"/>
  <c r="M60" i="4"/>
  <c r="L60" i="4"/>
  <c r="K60" i="4"/>
  <c r="J60" i="4"/>
  <c r="I60" i="4"/>
  <c r="N59" i="4"/>
  <c r="M59" i="4"/>
  <c r="L59" i="4"/>
  <c r="K59" i="4"/>
  <c r="J59" i="4"/>
  <c r="I59" i="4"/>
  <c r="N58" i="4"/>
  <c r="M58" i="4"/>
  <c r="L58" i="4"/>
  <c r="K58" i="4"/>
  <c r="J58" i="4"/>
  <c r="I58" i="4"/>
  <c r="N57" i="4"/>
  <c r="M57" i="4"/>
  <c r="L57" i="4"/>
  <c r="K57" i="4"/>
  <c r="J57" i="4"/>
  <c r="I57" i="4"/>
  <c r="N56" i="4"/>
  <c r="M56" i="4"/>
  <c r="L56" i="4"/>
  <c r="K56" i="4"/>
  <c r="J56" i="4"/>
  <c r="I56" i="4"/>
  <c r="N55" i="4"/>
  <c r="M55" i="4"/>
  <c r="L55" i="4"/>
  <c r="K55" i="4"/>
  <c r="J55" i="4"/>
  <c r="I55" i="4"/>
  <c r="N54" i="4"/>
  <c r="M54" i="4"/>
  <c r="L54" i="4"/>
  <c r="K54" i="4"/>
  <c r="J54" i="4"/>
  <c r="I54" i="4"/>
  <c r="N53" i="4"/>
  <c r="M53" i="4"/>
  <c r="L53" i="4"/>
  <c r="K53" i="4"/>
  <c r="J53" i="4"/>
  <c r="I53" i="4"/>
  <c r="N52" i="4"/>
  <c r="M52" i="4"/>
  <c r="L52" i="4"/>
  <c r="K52" i="4"/>
  <c r="J52" i="4"/>
  <c r="I52" i="4"/>
  <c r="N51" i="4"/>
  <c r="M51" i="4"/>
  <c r="L51" i="4"/>
  <c r="K51" i="4"/>
  <c r="J51" i="4"/>
  <c r="I51" i="4"/>
  <c r="N50" i="4"/>
  <c r="M50" i="4"/>
  <c r="L50" i="4"/>
  <c r="K50" i="4"/>
  <c r="J50" i="4"/>
  <c r="I50" i="4"/>
  <c r="N49" i="4"/>
  <c r="M49" i="4"/>
  <c r="L49" i="4"/>
  <c r="K49" i="4"/>
  <c r="J49" i="4"/>
  <c r="I49" i="4"/>
  <c r="N48" i="4"/>
  <c r="M48" i="4"/>
  <c r="L48" i="4"/>
  <c r="K48" i="4"/>
  <c r="J48" i="4"/>
  <c r="I48" i="4"/>
  <c r="N47" i="4"/>
  <c r="M47" i="4"/>
  <c r="L47" i="4"/>
  <c r="K47" i="4"/>
  <c r="J47" i="4"/>
  <c r="I47" i="4"/>
  <c r="N46" i="4"/>
  <c r="M46" i="4"/>
  <c r="L46" i="4"/>
  <c r="K46" i="4"/>
  <c r="J46" i="4"/>
  <c r="I46" i="4"/>
  <c r="N45" i="4"/>
  <c r="M45" i="4"/>
  <c r="L45" i="4"/>
  <c r="K45" i="4"/>
  <c r="J45" i="4"/>
  <c r="I45" i="4"/>
  <c r="N44" i="4"/>
  <c r="M44" i="4"/>
  <c r="L44" i="4"/>
  <c r="K44" i="4"/>
  <c r="J44" i="4"/>
  <c r="I44" i="4"/>
  <c r="N43" i="4"/>
  <c r="M43" i="4"/>
  <c r="L43" i="4"/>
  <c r="K43" i="4"/>
  <c r="J43" i="4"/>
  <c r="I43" i="4"/>
  <c r="N42" i="4"/>
  <c r="M42" i="4"/>
  <c r="L42" i="4"/>
  <c r="K42" i="4"/>
  <c r="J42" i="4"/>
  <c r="I42" i="4"/>
  <c r="N41" i="4"/>
  <c r="M41" i="4"/>
  <c r="L41" i="4"/>
  <c r="K41" i="4"/>
  <c r="J41" i="4"/>
  <c r="I41" i="4"/>
  <c r="N40" i="4"/>
  <c r="M40" i="4"/>
  <c r="L40" i="4"/>
  <c r="K40" i="4"/>
  <c r="J40" i="4"/>
  <c r="I40" i="4"/>
  <c r="N39" i="4"/>
  <c r="M39" i="4"/>
  <c r="L39" i="4"/>
  <c r="K39" i="4"/>
  <c r="J39" i="4"/>
  <c r="I39" i="4"/>
  <c r="N38" i="4"/>
  <c r="M38" i="4"/>
  <c r="L38" i="4"/>
  <c r="K38" i="4"/>
  <c r="J38" i="4"/>
  <c r="I38" i="4"/>
  <c r="N37" i="4"/>
  <c r="M37" i="4"/>
  <c r="L37" i="4"/>
  <c r="K37" i="4"/>
  <c r="J37" i="4"/>
  <c r="I37" i="4"/>
  <c r="N36" i="4"/>
  <c r="M36" i="4"/>
  <c r="L36" i="4"/>
  <c r="K36" i="4"/>
  <c r="J36" i="4"/>
  <c r="I36" i="4"/>
  <c r="N35" i="4"/>
  <c r="M35" i="4"/>
  <c r="L35" i="4"/>
  <c r="K35" i="4"/>
  <c r="J35" i="4"/>
  <c r="I35" i="4"/>
  <c r="N34" i="4"/>
  <c r="M34" i="4"/>
  <c r="L34" i="4"/>
  <c r="K34" i="4"/>
  <c r="J34" i="4"/>
  <c r="I34" i="4"/>
  <c r="N33" i="4"/>
  <c r="M33" i="4"/>
  <c r="L33" i="4"/>
  <c r="K33" i="4"/>
  <c r="J33" i="4"/>
  <c r="I33" i="4"/>
  <c r="N32" i="4"/>
  <c r="M32" i="4"/>
  <c r="L32" i="4"/>
  <c r="K32" i="4"/>
  <c r="J32" i="4"/>
  <c r="I32" i="4"/>
  <c r="N31" i="4"/>
  <c r="M31" i="4"/>
  <c r="L31" i="4"/>
  <c r="K31" i="4"/>
  <c r="J31" i="4"/>
  <c r="I31" i="4"/>
  <c r="N30" i="4"/>
  <c r="M30" i="4"/>
  <c r="L30" i="4"/>
  <c r="K30" i="4"/>
  <c r="J30" i="4"/>
  <c r="I30" i="4"/>
  <c r="N29" i="4"/>
  <c r="M29" i="4"/>
  <c r="L29" i="4"/>
  <c r="K29" i="4"/>
  <c r="J29" i="4"/>
  <c r="I29" i="4"/>
  <c r="N28" i="4"/>
  <c r="M28" i="4"/>
  <c r="L28" i="4"/>
  <c r="K28" i="4"/>
  <c r="J28" i="4"/>
  <c r="I28" i="4"/>
  <c r="N27" i="4"/>
  <c r="M27" i="4"/>
  <c r="L27" i="4"/>
  <c r="K27" i="4"/>
  <c r="J27" i="4"/>
  <c r="I27" i="4"/>
  <c r="N26" i="4"/>
  <c r="M26" i="4"/>
  <c r="L26" i="4"/>
  <c r="K26" i="4"/>
  <c r="J26" i="4"/>
  <c r="I26" i="4"/>
  <c r="N25" i="4"/>
  <c r="M25" i="4"/>
  <c r="L25" i="4"/>
  <c r="K25" i="4"/>
  <c r="J25" i="4"/>
  <c r="I25" i="4"/>
  <c r="N24" i="4"/>
  <c r="M24" i="4"/>
  <c r="L24" i="4"/>
  <c r="K24" i="4"/>
  <c r="J24" i="4"/>
  <c r="I24" i="4"/>
  <c r="N23" i="4"/>
  <c r="M23" i="4"/>
  <c r="L23" i="4"/>
  <c r="K23" i="4"/>
  <c r="J23" i="4"/>
  <c r="I23" i="4"/>
  <c r="N22" i="4"/>
  <c r="M22" i="4"/>
  <c r="L22" i="4"/>
  <c r="K22" i="4"/>
  <c r="J22" i="4"/>
  <c r="I22" i="4"/>
  <c r="N21" i="4"/>
  <c r="M21" i="4"/>
  <c r="L21" i="4"/>
  <c r="K21" i="4"/>
  <c r="J21" i="4"/>
  <c r="I21" i="4"/>
  <c r="N20" i="4"/>
  <c r="M20" i="4"/>
  <c r="L20" i="4"/>
  <c r="K20" i="4"/>
  <c r="J20" i="4"/>
  <c r="I20" i="4"/>
  <c r="N19" i="4"/>
  <c r="M19" i="4"/>
  <c r="L19" i="4"/>
  <c r="K19" i="4"/>
  <c r="J19" i="4"/>
  <c r="I19" i="4"/>
  <c r="N18" i="4"/>
  <c r="M18" i="4"/>
  <c r="L18" i="4"/>
  <c r="K18" i="4"/>
  <c r="J18" i="4"/>
  <c r="I18" i="4"/>
  <c r="N17" i="4"/>
  <c r="M17" i="4"/>
  <c r="L17" i="4"/>
  <c r="K17" i="4"/>
  <c r="J17" i="4"/>
  <c r="I17" i="4"/>
  <c r="N16" i="4"/>
  <c r="M16" i="4"/>
  <c r="L16" i="4"/>
  <c r="K16" i="4"/>
  <c r="J16" i="4"/>
  <c r="I16" i="4"/>
  <c r="N15" i="4"/>
  <c r="M15" i="4"/>
  <c r="L15" i="4"/>
  <c r="K15" i="4"/>
  <c r="J15" i="4"/>
  <c r="I15" i="4"/>
  <c r="N14" i="4"/>
  <c r="M14" i="4"/>
  <c r="L14" i="4"/>
  <c r="K14" i="4"/>
  <c r="J14" i="4"/>
  <c r="I14" i="4"/>
  <c r="N13" i="4"/>
  <c r="M13" i="4"/>
  <c r="L13" i="4"/>
  <c r="K13" i="4"/>
  <c r="J13" i="4"/>
  <c r="I13" i="4"/>
  <c r="N12" i="4"/>
  <c r="M12" i="4"/>
  <c r="L12" i="4"/>
  <c r="K12" i="4"/>
  <c r="J12" i="4"/>
  <c r="I12" i="4"/>
  <c r="N11" i="4"/>
  <c r="M11" i="4"/>
  <c r="L11" i="4"/>
  <c r="K11" i="4"/>
  <c r="J11" i="4"/>
  <c r="I11" i="4"/>
  <c r="N10" i="4"/>
  <c r="M10" i="4"/>
  <c r="L10" i="4"/>
  <c r="K10" i="4"/>
  <c r="J10" i="4"/>
  <c r="I10" i="4"/>
  <c r="N9" i="4"/>
  <c r="M9" i="4"/>
  <c r="L9" i="4"/>
  <c r="K9" i="4"/>
  <c r="J9" i="4"/>
  <c r="I9" i="4"/>
  <c r="N8" i="4"/>
  <c r="M8" i="4"/>
  <c r="L8" i="4"/>
  <c r="K8" i="4"/>
  <c r="J8" i="4"/>
  <c r="I8" i="4"/>
  <c r="N7" i="4"/>
  <c r="M7" i="4"/>
  <c r="L7" i="4"/>
  <c r="K7" i="4"/>
  <c r="J7" i="4"/>
  <c r="I7" i="4"/>
  <c r="N6" i="4"/>
  <c r="M6" i="4"/>
  <c r="L6" i="4"/>
  <c r="K6" i="4"/>
  <c r="J6" i="4"/>
  <c r="I6" i="4"/>
  <c r="N5" i="4"/>
  <c r="M5" i="4"/>
  <c r="L5" i="4"/>
  <c r="K5" i="4"/>
  <c r="J5" i="4"/>
  <c r="I5" i="4"/>
  <c r="N4" i="4"/>
  <c r="M4" i="4"/>
  <c r="L4" i="4"/>
  <c r="K4" i="4"/>
  <c r="J4" i="4"/>
  <c r="I4" i="4"/>
  <c r="N3" i="4"/>
  <c r="M3" i="4"/>
  <c r="L3" i="4"/>
  <c r="K3" i="4"/>
  <c r="J3" i="4"/>
  <c r="I3" i="4"/>
  <c r="N2" i="4"/>
  <c r="M2" i="4"/>
  <c r="L2" i="4"/>
  <c r="K2" i="4"/>
  <c r="I2" i="4"/>
  <c r="S15" i="4" l="1"/>
  <c r="S13" i="4"/>
  <c r="S17" i="4"/>
  <c r="AA13" i="4"/>
  <c r="S16" i="4"/>
  <c r="S14" i="4"/>
  <c r="S12" i="4"/>
  <c r="AB13" i="4"/>
  <c r="W21" i="5"/>
  <c r="S24" i="5"/>
  <c r="T32" i="5"/>
  <c r="X15" i="2"/>
  <c r="AD24" i="2" s="1"/>
  <c r="X14" i="2"/>
  <c r="AC23" i="2" s="1"/>
  <c r="X13" i="2"/>
  <c r="X17" i="2"/>
  <c r="AF26" i="2" s="1"/>
  <c r="X16" i="2"/>
  <c r="X12" i="2"/>
  <c r="AA21" i="2" s="1"/>
  <c r="AA12" i="2"/>
  <c r="AC12" i="2"/>
  <c r="AD12" i="2"/>
  <c r="W23" i="2"/>
  <c r="T23" i="2"/>
  <c r="N120" i="2"/>
  <c r="M120" i="2"/>
  <c r="L120" i="2"/>
  <c r="K120" i="2"/>
  <c r="J120" i="2"/>
  <c r="I120" i="2"/>
  <c r="N119" i="2"/>
  <c r="M119" i="2"/>
  <c r="L119" i="2"/>
  <c r="K119" i="2"/>
  <c r="J119" i="2"/>
  <c r="I119" i="2"/>
  <c r="N118" i="2"/>
  <c r="M118" i="2"/>
  <c r="L118" i="2"/>
  <c r="K118" i="2"/>
  <c r="J118" i="2"/>
  <c r="I118" i="2"/>
  <c r="N117" i="2"/>
  <c r="M117" i="2"/>
  <c r="L117" i="2"/>
  <c r="K117" i="2"/>
  <c r="J117" i="2"/>
  <c r="I117" i="2"/>
  <c r="N116" i="2"/>
  <c r="M116" i="2"/>
  <c r="L116" i="2"/>
  <c r="K116" i="2"/>
  <c r="J116" i="2"/>
  <c r="I116" i="2"/>
  <c r="N115" i="2"/>
  <c r="M115" i="2"/>
  <c r="L115" i="2"/>
  <c r="K115" i="2"/>
  <c r="J115" i="2"/>
  <c r="I115" i="2"/>
  <c r="N114" i="2"/>
  <c r="M114" i="2"/>
  <c r="L114" i="2"/>
  <c r="K114" i="2"/>
  <c r="J114" i="2"/>
  <c r="I114" i="2"/>
  <c r="N113" i="2"/>
  <c r="M113" i="2"/>
  <c r="L113" i="2"/>
  <c r="K113" i="2"/>
  <c r="J113" i="2"/>
  <c r="I113" i="2"/>
  <c r="N112" i="2"/>
  <c r="M112" i="2"/>
  <c r="L112" i="2"/>
  <c r="K112" i="2"/>
  <c r="J112" i="2"/>
  <c r="I112" i="2"/>
  <c r="N111" i="2"/>
  <c r="M111" i="2"/>
  <c r="L111" i="2"/>
  <c r="K111" i="2"/>
  <c r="J111" i="2"/>
  <c r="I111" i="2"/>
  <c r="N110" i="2"/>
  <c r="M110" i="2"/>
  <c r="L110" i="2"/>
  <c r="K110" i="2"/>
  <c r="J110" i="2"/>
  <c r="I110" i="2"/>
  <c r="N109" i="2"/>
  <c r="M109" i="2"/>
  <c r="L109" i="2"/>
  <c r="K109" i="2"/>
  <c r="J109" i="2"/>
  <c r="I109" i="2"/>
  <c r="N108" i="2"/>
  <c r="M108" i="2"/>
  <c r="L108" i="2"/>
  <c r="K108" i="2"/>
  <c r="J108" i="2"/>
  <c r="I108" i="2"/>
  <c r="N107" i="2"/>
  <c r="M107" i="2"/>
  <c r="L107" i="2"/>
  <c r="K107" i="2"/>
  <c r="J107" i="2"/>
  <c r="I107" i="2"/>
  <c r="N106" i="2"/>
  <c r="M106" i="2"/>
  <c r="L106" i="2"/>
  <c r="K106" i="2"/>
  <c r="J106" i="2"/>
  <c r="I106" i="2"/>
  <c r="N105" i="2"/>
  <c r="M105" i="2"/>
  <c r="L105" i="2"/>
  <c r="K105" i="2"/>
  <c r="J105" i="2"/>
  <c r="I105" i="2"/>
  <c r="N104" i="2"/>
  <c r="M104" i="2"/>
  <c r="L104" i="2"/>
  <c r="K104" i="2"/>
  <c r="J104" i="2"/>
  <c r="I104" i="2"/>
  <c r="N103" i="2"/>
  <c r="M103" i="2"/>
  <c r="L103" i="2"/>
  <c r="K103" i="2"/>
  <c r="J103" i="2"/>
  <c r="I103" i="2"/>
  <c r="N102" i="2"/>
  <c r="M102" i="2"/>
  <c r="L102" i="2"/>
  <c r="K102" i="2"/>
  <c r="J102" i="2"/>
  <c r="I102" i="2"/>
  <c r="N101" i="2"/>
  <c r="M101" i="2"/>
  <c r="L101" i="2"/>
  <c r="K101" i="2"/>
  <c r="J101" i="2"/>
  <c r="I101" i="2"/>
  <c r="N100" i="2"/>
  <c r="M100" i="2"/>
  <c r="L100" i="2"/>
  <c r="K100" i="2"/>
  <c r="J100" i="2"/>
  <c r="I100" i="2"/>
  <c r="N99" i="2"/>
  <c r="M99" i="2"/>
  <c r="L99" i="2"/>
  <c r="K99" i="2"/>
  <c r="J99" i="2"/>
  <c r="I99" i="2"/>
  <c r="N98" i="2"/>
  <c r="M98" i="2"/>
  <c r="L98" i="2"/>
  <c r="K98" i="2"/>
  <c r="J98" i="2"/>
  <c r="I98" i="2"/>
  <c r="N97" i="2"/>
  <c r="M97" i="2"/>
  <c r="L97" i="2"/>
  <c r="K97" i="2"/>
  <c r="J97" i="2"/>
  <c r="I97" i="2"/>
  <c r="N96" i="2"/>
  <c r="M96" i="2"/>
  <c r="L96" i="2"/>
  <c r="K96" i="2"/>
  <c r="J96" i="2"/>
  <c r="I96" i="2"/>
  <c r="N95" i="2"/>
  <c r="M95" i="2"/>
  <c r="L95" i="2"/>
  <c r="K95" i="2"/>
  <c r="J95" i="2"/>
  <c r="I95" i="2"/>
  <c r="N94" i="2"/>
  <c r="M94" i="2"/>
  <c r="L94" i="2"/>
  <c r="K94" i="2"/>
  <c r="J94" i="2"/>
  <c r="I94" i="2"/>
  <c r="N93" i="2"/>
  <c r="M93" i="2"/>
  <c r="L93" i="2"/>
  <c r="K93" i="2"/>
  <c r="J93" i="2"/>
  <c r="I93" i="2"/>
  <c r="N92" i="2"/>
  <c r="M92" i="2"/>
  <c r="L92" i="2"/>
  <c r="K92" i="2"/>
  <c r="J92" i="2"/>
  <c r="I92" i="2"/>
  <c r="N91" i="2"/>
  <c r="M91" i="2"/>
  <c r="L91" i="2"/>
  <c r="K91" i="2"/>
  <c r="J91" i="2"/>
  <c r="I91" i="2"/>
  <c r="N90" i="2"/>
  <c r="M90" i="2"/>
  <c r="L90" i="2"/>
  <c r="K90" i="2"/>
  <c r="J90" i="2"/>
  <c r="I90" i="2"/>
  <c r="N89" i="2"/>
  <c r="M89" i="2"/>
  <c r="L89" i="2"/>
  <c r="K89" i="2"/>
  <c r="J89" i="2"/>
  <c r="I89" i="2"/>
  <c r="N88" i="2"/>
  <c r="M88" i="2"/>
  <c r="L88" i="2"/>
  <c r="K88" i="2"/>
  <c r="J88" i="2"/>
  <c r="I88" i="2"/>
  <c r="N87" i="2"/>
  <c r="M87" i="2"/>
  <c r="L87" i="2"/>
  <c r="K87" i="2"/>
  <c r="J87" i="2"/>
  <c r="I87" i="2"/>
  <c r="N86" i="2"/>
  <c r="M86" i="2"/>
  <c r="L86" i="2"/>
  <c r="K86" i="2"/>
  <c r="J86" i="2"/>
  <c r="I86" i="2"/>
  <c r="N85" i="2"/>
  <c r="M85" i="2"/>
  <c r="L85" i="2"/>
  <c r="K85" i="2"/>
  <c r="J85" i="2"/>
  <c r="I85" i="2"/>
  <c r="N84" i="2"/>
  <c r="M84" i="2"/>
  <c r="L84" i="2"/>
  <c r="K84" i="2"/>
  <c r="J84" i="2"/>
  <c r="I84" i="2"/>
  <c r="N83" i="2"/>
  <c r="M83" i="2"/>
  <c r="L83" i="2"/>
  <c r="K83" i="2"/>
  <c r="J83" i="2"/>
  <c r="I83" i="2"/>
  <c r="N82" i="2"/>
  <c r="M82" i="2"/>
  <c r="L82" i="2"/>
  <c r="K82" i="2"/>
  <c r="J82" i="2"/>
  <c r="I82" i="2"/>
  <c r="N81" i="2"/>
  <c r="M81" i="2"/>
  <c r="L81" i="2"/>
  <c r="K81" i="2"/>
  <c r="J81" i="2"/>
  <c r="I81" i="2"/>
  <c r="N80" i="2"/>
  <c r="M80" i="2"/>
  <c r="L80" i="2"/>
  <c r="K80" i="2"/>
  <c r="J80" i="2"/>
  <c r="I80" i="2"/>
  <c r="N79" i="2"/>
  <c r="M79" i="2"/>
  <c r="L79" i="2"/>
  <c r="K79" i="2"/>
  <c r="J79" i="2"/>
  <c r="I79" i="2"/>
  <c r="N78" i="2"/>
  <c r="M78" i="2"/>
  <c r="L78" i="2"/>
  <c r="K78" i="2"/>
  <c r="J78" i="2"/>
  <c r="I78" i="2"/>
  <c r="N77" i="2"/>
  <c r="M77" i="2"/>
  <c r="L77" i="2"/>
  <c r="K77" i="2"/>
  <c r="J77" i="2"/>
  <c r="I77" i="2"/>
  <c r="N76" i="2"/>
  <c r="M76" i="2"/>
  <c r="L76" i="2"/>
  <c r="K76" i="2"/>
  <c r="J76" i="2"/>
  <c r="I76" i="2"/>
  <c r="N75" i="2"/>
  <c r="M75" i="2"/>
  <c r="L75" i="2"/>
  <c r="K75" i="2"/>
  <c r="J75" i="2"/>
  <c r="I75" i="2"/>
  <c r="N74" i="2"/>
  <c r="M74" i="2"/>
  <c r="L74" i="2"/>
  <c r="K74" i="2"/>
  <c r="J74" i="2"/>
  <c r="I74" i="2"/>
  <c r="N73" i="2"/>
  <c r="M73" i="2"/>
  <c r="L73" i="2"/>
  <c r="K73" i="2"/>
  <c r="J73" i="2"/>
  <c r="I73" i="2"/>
  <c r="N72" i="2"/>
  <c r="M72" i="2"/>
  <c r="L72" i="2"/>
  <c r="K72" i="2"/>
  <c r="J72" i="2"/>
  <c r="I72" i="2"/>
  <c r="N71" i="2"/>
  <c r="M71" i="2"/>
  <c r="L71" i="2"/>
  <c r="K71" i="2"/>
  <c r="J71" i="2"/>
  <c r="I71" i="2"/>
  <c r="N70" i="2"/>
  <c r="M70" i="2"/>
  <c r="L70" i="2"/>
  <c r="K70" i="2"/>
  <c r="J70" i="2"/>
  <c r="I70" i="2"/>
  <c r="N69" i="2"/>
  <c r="M69" i="2"/>
  <c r="L69" i="2"/>
  <c r="K69" i="2"/>
  <c r="J69" i="2"/>
  <c r="I69" i="2"/>
  <c r="N68" i="2"/>
  <c r="M68" i="2"/>
  <c r="L68" i="2"/>
  <c r="K68" i="2"/>
  <c r="J68" i="2"/>
  <c r="I68" i="2"/>
  <c r="N67" i="2"/>
  <c r="M67" i="2"/>
  <c r="L67" i="2"/>
  <c r="K67" i="2"/>
  <c r="J67" i="2"/>
  <c r="I67" i="2"/>
  <c r="N66" i="2"/>
  <c r="M66" i="2"/>
  <c r="L66" i="2"/>
  <c r="K66" i="2"/>
  <c r="J66" i="2"/>
  <c r="I66" i="2"/>
  <c r="N65" i="2"/>
  <c r="M65" i="2"/>
  <c r="L65" i="2"/>
  <c r="K65" i="2"/>
  <c r="J65" i="2"/>
  <c r="I65" i="2"/>
  <c r="N64" i="2"/>
  <c r="M64" i="2"/>
  <c r="L64" i="2"/>
  <c r="K64" i="2"/>
  <c r="J64" i="2"/>
  <c r="I64" i="2"/>
  <c r="N63" i="2"/>
  <c r="M63" i="2"/>
  <c r="L63" i="2"/>
  <c r="K63" i="2"/>
  <c r="J63" i="2"/>
  <c r="I63" i="2"/>
  <c r="N62" i="2"/>
  <c r="M62" i="2"/>
  <c r="L62" i="2"/>
  <c r="K62" i="2"/>
  <c r="J62" i="2"/>
  <c r="I62" i="2"/>
  <c r="N61" i="2"/>
  <c r="M61" i="2"/>
  <c r="L61" i="2"/>
  <c r="K61" i="2"/>
  <c r="J61" i="2"/>
  <c r="I61" i="2"/>
  <c r="N60" i="2"/>
  <c r="M60" i="2"/>
  <c r="L60" i="2"/>
  <c r="K60" i="2"/>
  <c r="J60" i="2"/>
  <c r="I60" i="2"/>
  <c r="N59" i="2"/>
  <c r="M59" i="2"/>
  <c r="L59" i="2"/>
  <c r="K59" i="2"/>
  <c r="J59" i="2"/>
  <c r="I59" i="2"/>
  <c r="N58" i="2"/>
  <c r="M58" i="2"/>
  <c r="L58" i="2"/>
  <c r="K58" i="2"/>
  <c r="J58" i="2"/>
  <c r="I58" i="2"/>
  <c r="N57" i="2"/>
  <c r="M57" i="2"/>
  <c r="L57" i="2"/>
  <c r="K57" i="2"/>
  <c r="J57" i="2"/>
  <c r="I57" i="2"/>
  <c r="N56" i="2"/>
  <c r="M56" i="2"/>
  <c r="L56" i="2"/>
  <c r="K56" i="2"/>
  <c r="J56" i="2"/>
  <c r="I56" i="2"/>
  <c r="N55" i="2"/>
  <c r="M55" i="2"/>
  <c r="L55" i="2"/>
  <c r="K55" i="2"/>
  <c r="J55" i="2"/>
  <c r="I55" i="2"/>
  <c r="N54" i="2"/>
  <c r="M54" i="2"/>
  <c r="L54" i="2"/>
  <c r="K54" i="2"/>
  <c r="J54" i="2"/>
  <c r="I54" i="2"/>
  <c r="N53" i="2"/>
  <c r="M53" i="2"/>
  <c r="L53" i="2"/>
  <c r="K53" i="2"/>
  <c r="J53" i="2"/>
  <c r="I53" i="2"/>
  <c r="N52" i="2"/>
  <c r="M52" i="2"/>
  <c r="L52" i="2"/>
  <c r="K52" i="2"/>
  <c r="J52" i="2"/>
  <c r="I52" i="2"/>
  <c r="N51" i="2"/>
  <c r="M51" i="2"/>
  <c r="L51" i="2"/>
  <c r="K51" i="2"/>
  <c r="J51" i="2"/>
  <c r="I51" i="2"/>
  <c r="N50" i="2"/>
  <c r="M50" i="2"/>
  <c r="L50" i="2"/>
  <c r="K50" i="2"/>
  <c r="J50" i="2"/>
  <c r="I50" i="2"/>
  <c r="N49" i="2"/>
  <c r="M49" i="2"/>
  <c r="L49" i="2"/>
  <c r="K49" i="2"/>
  <c r="J49" i="2"/>
  <c r="I49" i="2"/>
  <c r="N48" i="2"/>
  <c r="M48" i="2"/>
  <c r="L48" i="2"/>
  <c r="K48" i="2"/>
  <c r="J48" i="2"/>
  <c r="I48" i="2"/>
  <c r="N47" i="2"/>
  <c r="M47" i="2"/>
  <c r="L47" i="2"/>
  <c r="K47" i="2"/>
  <c r="J47" i="2"/>
  <c r="I47" i="2"/>
  <c r="N46" i="2"/>
  <c r="M46" i="2"/>
  <c r="L46" i="2"/>
  <c r="K46" i="2"/>
  <c r="J46" i="2"/>
  <c r="I46" i="2"/>
  <c r="N45" i="2"/>
  <c r="M45" i="2"/>
  <c r="L45" i="2"/>
  <c r="K45" i="2"/>
  <c r="J45" i="2"/>
  <c r="I45" i="2"/>
  <c r="N44" i="2"/>
  <c r="M44" i="2"/>
  <c r="L44" i="2"/>
  <c r="K44" i="2"/>
  <c r="J44" i="2"/>
  <c r="I44" i="2"/>
  <c r="N43" i="2"/>
  <c r="M43" i="2"/>
  <c r="L43" i="2"/>
  <c r="K43" i="2"/>
  <c r="J43" i="2"/>
  <c r="I43" i="2"/>
  <c r="N42" i="2"/>
  <c r="M42" i="2"/>
  <c r="L42" i="2"/>
  <c r="K42" i="2"/>
  <c r="J42" i="2"/>
  <c r="I42" i="2"/>
  <c r="N41" i="2"/>
  <c r="M41" i="2"/>
  <c r="L41" i="2"/>
  <c r="K41" i="2"/>
  <c r="J41" i="2"/>
  <c r="I41" i="2"/>
  <c r="N40" i="2"/>
  <c r="M40" i="2"/>
  <c r="L40" i="2"/>
  <c r="K40" i="2"/>
  <c r="J40" i="2"/>
  <c r="I40" i="2"/>
  <c r="N39" i="2"/>
  <c r="M39" i="2"/>
  <c r="L39" i="2"/>
  <c r="K39" i="2"/>
  <c r="J39" i="2"/>
  <c r="I39" i="2"/>
  <c r="N38" i="2"/>
  <c r="M38" i="2"/>
  <c r="L38" i="2"/>
  <c r="K38" i="2"/>
  <c r="J38" i="2"/>
  <c r="I38" i="2"/>
  <c r="N37" i="2"/>
  <c r="M37" i="2"/>
  <c r="L37" i="2"/>
  <c r="K37" i="2"/>
  <c r="J37" i="2"/>
  <c r="I37" i="2"/>
  <c r="N36" i="2"/>
  <c r="M36" i="2"/>
  <c r="L36" i="2"/>
  <c r="K36" i="2"/>
  <c r="J36" i="2"/>
  <c r="I36" i="2"/>
  <c r="N35" i="2"/>
  <c r="M35" i="2"/>
  <c r="L35" i="2"/>
  <c r="K35" i="2"/>
  <c r="J35" i="2"/>
  <c r="I35" i="2"/>
  <c r="N34" i="2"/>
  <c r="M34" i="2"/>
  <c r="L34" i="2"/>
  <c r="K34" i="2"/>
  <c r="J34" i="2"/>
  <c r="I34" i="2"/>
  <c r="N33" i="2"/>
  <c r="M33" i="2"/>
  <c r="L33" i="2"/>
  <c r="K33" i="2"/>
  <c r="J33" i="2"/>
  <c r="I33" i="2"/>
  <c r="N32" i="2"/>
  <c r="M32" i="2"/>
  <c r="L32" i="2"/>
  <c r="K32" i="2"/>
  <c r="J32" i="2"/>
  <c r="I32" i="2"/>
  <c r="N31" i="2"/>
  <c r="M31" i="2"/>
  <c r="L31" i="2"/>
  <c r="K31" i="2"/>
  <c r="J31" i="2"/>
  <c r="I31" i="2"/>
  <c r="N30" i="2"/>
  <c r="M30" i="2"/>
  <c r="L30" i="2"/>
  <c r="K30" i="2"/>
  <c r="J30" i="2"/>
  <c r="I30" i="2"/>
  <c r="N29" i="2"/>
  <c r="M29" i="2"/>
  <c r="L29" i="2"/>
  <c r="K29" i="2"/>
  <c r="J29" i="2"/>
  <c r="I29" i="2"/>
  <c r="N28" i="2"/>
  <c r="M28" i="2"/>
  <c r="L28" i="2"/>
  <c r="K28" i="2"/>
  <c r="J28" i="2"/>
  <c r="I28" i="2"/>
  <c r="N27" i="2"/>
  <c r="M27" i="2"/>
  <c r="L27" i="2"/>
  <c r="K27" i="2"/>
  <c r="J27" i="2"/>
  <c r="I27" i="2"/>
  <c r="N26" i="2"/>
  <c r="M26" i="2"/>
  <c r="L26" i="2"/>
  <c r="K26" i="2"/>
  <c r="J26" i="2"/>
  <c r="I26" i="2"/>
  <c r="N25" i="2"/>
  <c r="M25" i="2"/>
  <c r="L25" i="2"/>
  <c r="K25" i="2"/>
  <c r="J25" i="2"/>
  <c r="I25" i="2"/>
  <c r="N24" i="2"/>
  <c r="M24" i="2"/>
  <c r="L24" i="2"/>
  <c r="K24" i="2"/>
  <c r="J24" i="2"/>
  <c r="I24" i="2"/>
  <c r="N23" i="2"/>
  <c r="M23" i="2"/>
  <c r="L23" i="2"/>
  <c r="K23" i="2"/>
  <c r="J23" i="2"/>
  <c r="I23" i="2"/>
  <c r="N22" i="2"/>
  <c r="M22" i="2"/>
  <c r="L22" i="2"/>
  <c r="K22" i="2"/>
  <c r="J22" i="2"/>
  <c r="I22" i="2"/>
  <c r="N21" i="2"/>
  <c r="M21" i="2"/>
  <c r="L21" i="2"/>
  <c r="K21" i="2"/>
  <c r="J21" i="2"/>
  <c r="I21" i="2"/>
  <c r="N20" i="2"/>
  <c r="M20" i="2"/>
  <c r="L20" i="2"/>
  <c r="K20" i="2"/>
  <c r="J20" i="2"/>
  <c r="I20" i="2"/>
  <c r="N19" i="2"/>
  <c r="M19" i="2"/>
  <c r="L19" i="2"/>
  <c r="K19" i="2"/>
  <c r="J19" i="2"/>
  <c r="I19" i="2"/>
  <c r="N18" i="2"/>
  <c r="M18" i="2"/>
  <c r="L18" i="2"/>
  <c r="K18" i="2"/>
  <c r="J18" i="2"/>
  <c r="I18" i="2"/>
  <c r="N17" i="2"/>
  <c r="M17" i="2"/>
  <c r="L17" i="2"/>
  <c r="K17" i="2"/>
  <c r="J17" i="2"/>
  <c r="I17" i="2"/>
  <c r="N16" i="2"/>
  <c r="M16" i="2"/>
  <c r="L16" i="2"/>
  <c r="K16" i="2"/>
  <c r="J16" i="2"/>
  <c r="I16" i="2"/>
  <c r="N15" i="2"/>
  <c r="M15" i="2"/>
  <c r="L15" i="2"/>
  <c r="K15" i="2"/>
  <c r="J15" i="2"/>
  <c r="I15" i="2"/>
  <c r="N14" i="2"/>
  <c r="M14" i="2"/>
  <c r="L14" i="2"/>
  <c r="K14" i="2"/>
  <c r="J14" i="2"/>
  <c r="I14" i="2"/>
  <c r="N13" i="2"/>
  <c r="M13" i="2"/>
  <c r="L13" i="2"/>
  <c r="K13" i="2"/>
  <c r="J13" i="2"/>
  <c r="I13" i="2"/>
  <c r="N12" i="2"/>
  <c r="M12" i="2"/>
  <c r="L12" i="2"/>
  <c r="K12" i="2"/>
  <c r="J12" i="2"/>
  <c r="I12" i="2"/>
  <c r="N11" i="2"/>
  <c r="M11" i="2"/>
  <c r="L11" i="2"/>
  <c r="K11" i="2"/>
  <c r="J11" i="2"/>
  <c r="I11" i="2"/>
  <c r="N10" i="2"/>
  <c r="M10" i="2"/>
  <c r="L10" i="2"/>
  <c r="K10" i="2"/>
  <c r="J10" i="2"/>
  <c r="I10" i="2"/>
  <c r="N9" i="2"/>
  <c r="M9" i="2"/>
  <c r="L9" i="2"/>
  <c r="K9" i="2"/>
  <c r="J9" i="2"/>
  <c r="I9" i="2"/>
  <c r="N8" i="2"/>
  <c r="M8" i="2"/>
  <c r="L8" i="2"/>
  <c r="K8" i="2"/>
  <c r="J8" i="2"/>
  <c r="I8" i="2"/>
  <c r="N7" i="2"/>
  <c r="M7" i="2"/>
  <c r="L7" i="2"/>
  <c r="K7" i="2"/>
  <c r="J7" i="2"/>
  <c r="I7" i="2"/>
  <c r="N6" i="2"/>
  <c r="M6" i="2"/>
  <c r="L6" i="2"/>
  <c r="K6" i="2"/>
  <c r="J6" i="2"/>
  <c r="I6" i="2"/>
  <c r="N5" i="2"/>
  <c r="M5" i="2"/>
  <c r="L5" i="2"/>
  <c r="K5" i="2"/>
  <c r="J5" i="2"/>
  <c r="I5" i="2"/>
  <c r="N4" i="2"/>
  <c r="M4" i="2"/>
  <c r="L4" i="2"/>
  <c r="K4" i="2"/>
  <c r="J4" i="2"/>
  <c r="I4" i="2"/>
  <c r="N3" i="2"/>
  <c r="AF12" i="2" s="1"/>
  <c r="M3" i="2"/>
  <c r="AE17" i="2" s="1"/>
  <c r="L3" i="2"/>
  <c r="K3" i="2"/>
  <c r="J3" i="2"/>
  <c r="I3" i="2"/>
  <c r="AA17" i="2" s="1"/>
  <c r="N2" i="2"/>
  <c r="AF16" i="2" s="1"/>
  <c r="M2" i="2"/>
  <c r="V23" i="2" s="1"/>
  <c r="L2" i="2"/>
  <c r="AD17" i="2" s="1"/>
  <c r="K2" i="2"/>
  <c r="T22" i="2" s="1"/>
  <c r="J2" i="2"/>
  <c r="I2" i="2"/>
  <c r="C4" i="3"/>
  <c r="B4" i="3"/>
  <c r="D14" i="3"/>
  <c r="G14" i="3"/>
  <c r="H14" i="3"/>
  <c r="L14" i="3"/>
  <c r="K14" i="3"/>
  <c r="K5" i="3"/>
  <c r="G5" i="3"/>
  <c r="B10" i="3"/>
  <c r="B14" i="3"/>
  <c r="C8" i="3"/>
  <c r="B8" i="3"/>
  <c r="K55" i="1"/>
  <c r="J55" i="1"/>
  <c r="S29" i="5" l="1"/>
  <c r="Z20" i="4" a="1"/>
  <c r="Z20" i="4" s="1"/>
  <c r="Z21" i="4" s="1"/>
  <c r="Z22" i="4" a="1"/>
  <c r="Z22" i="4" s="1"/>
  <c r="AD21" i="4" a="1"/>
  <c r="AD21" i="4" s="1"/>
  <c r="W22" i="5"/>
  <c r="W23" i="5"/>
  <c r="S31" i="5"/>
  <c r="AB16" i="2"/>
  <c r="AB14" i="2"/>
  <c r="AB23" i="2" s="1"/>
  <c r="AB12" i="2"/>
  <c r="AB21" i="2" s="1"/>
  <c r="S32" i="5"/>
  <c r="T33" i="5"/>
  <c r="AC25" i="2"/>
  <c r="AC21" i="2"/>
  <c r="AE21" i="2"/>
  <c r="AF25" i="2"/>
  <c r="AC26" i="2"/>
  <c r="AC24" i="2"/>
  <c r="AD25" i="2"/>
  <c r="AE24" i="2"/>
  <c r="AF24" i="2"/>
  <c r="AA26" i="2"/>
  <c r="AE25" i="2"/>
  <c r="AA25" i="2"/>
  <c r="AD23" i="2"/>
  <c r="AE23" i="2"/>
  <c r="AD26" i="2"/>
  <c r="AA23" i="2"/>
  <c r="AF23" i="2"/>
  <c r="AE26" i="2"/>
  <c r="AF21" i="2"/>
  <c r="AD21" i="2"/>
  <c r="AB25" i="2"/>
  <c r="AA24" i="2"/>
  <c r="T12" i="2"/>
  <c r="V13" i="2"/>
  <c r="T14" i="2"/>
  <c r="V15" i="2"/>
  <c r="T16" i="2"/>
  <c r="V17" i="2"/>
  <c r="AA13" i="2"/>
  <c r="AA22" i="2" s="1"/>
  <c r="AE13" i="2"/>
  <c r="AE22" i="2" s="1"/>
  <c r="AC14" i="2"/>
  <c r="AA15" i="2"/>
  <c r="AE15" i="2"/>
  <c r="AC16" i="2"/>
  <c r="S21" i="2"/>
  <c r="W21" i="2"/>
  <c r="U22" i="2"/>
  <c r="S23" i="2"/>
  <c r="U12" i="2"/>
  <c r="S13" i="2"/>
  <c r="W13" i="2"/>
  <c r="U14" i="2"/>
  <c r="S15" i="2"/>
  <c r="W15" i="2"/>
  <c r="U16" i="2"/>
  <c r="S17" i="2"/>
  <c r="W17" i="2"/>
  <c r="AB13" i="2"/>
  <c r="AB22" i="2" s="1"/>
  <c r="AF13" i="2"/>
  <c r="AF22" i="2" s="1"/>
  <c r="AD14" i="2"/>
  <c r="AB15" i="2"/>
  <c r="AB24" i="2" s="1"/>
  <c r="AF15" i="2"/>
  <c r="AD16" i="2"/>
  <c r="AB17" i="2"/>
  <c r="AB26" i="2" s="1"/>
  <c r="AF17" i="2"/>
  <c r="T21" i="2"/>
  <c r="V22" i="2"/>
  <c r="V12" i="2"/>
  <c r="T13" i="2"/>
  <c r="V14" i="2"/>
  <c r="T15" i="2"/>
  <c r="V16" i="2"/>
  <c r="T17" i="2"/>
  <c r="AE12" i="2"/>
  <c r="AC13" i="2"/>
  <c r="AC22" i="2" s="1"/>
  <c r="AA14" i="2"/>
  <c r="AE14" i="2"/>
  <c r="AC15" i="2"/>
  <c r="AA16" i="2"/>
  <c r="AE16" i="2"/>
  <c r="AC17" i="2"/>
  <c r="U21" i="2"/>
  <c r="S22" i="2"/>
  <c r="W22" i="2"/>
  <c r="U23" i="2"/>
  <c r="S12" i="2"/>
  <c r="W12" i="2"/>
  <c r="U13" i="2"/>
  <c r="S14" i="2"/>
  <c r="W14" i="2"/>
  <c r="U15" i="2"/>
  <c r="S16" i="2"/>
  <c r="W16" i="2"/>
  <c r="U17" i="2"/>
  <c r="AD13" i="2"/>
  <c r="AD22" i="2" s="1"/>
  <c r="AF14" i="2"/>
  <c r="AD15" i="2"/>
  <c r="V21" i="2"/>
  <c r="X27" i="2"/>
  <c r="B11" i="3"/>
  <c r="K52" i="1"/>
  <c r="K19" i="1"/>
  <c r="M19" i="1" s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S30" i="5" l="1"/>
  <c r="T34" i="5"/>
  <c r="S33" i="5"/>
  <c r="AB30" i="2"/>
  <c r="AB31" i="2" s="1"/>
  <c r="J22" i="1"/>
  <c r="J28" i="1"/>
  <c r="J29" i="1" s="1"/>
  <c r="J2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K14" i="1" s="1"/>
  <c r="F3" i="1"/>
  <c r="J9" i="1" s="1"/>
  <c r="G2" i="1"/>
  <c r="K13" i="1" s="1"/>
  <c r="F2" i="1"/>
  <c r="J16" i="1" s="1"/>
  <c r="S34" i="5" l="1"/>
  <c r="T35" i="5"/>
  <c r="J30" i="1"/>
  <c r="J8" i="1"/>
  <c r="J12" i="1"/>
  <c r="J14" i="1"/>
  <c r="L27" i="1" s="1"/>
  <c r="J23" i="1"/>
  <c r="J13" i="1"/>
  <c r="J15" i="1"/>
  <c r="K8" i="1"/>
  <c r="K12" i="1"/>
  <c r="K9" i="1"/>
  <c r="S35" i="5" l="1"/>
  <c r="T36" i="5"/>
  <c r="J31" i="1"/>
  <c r="L30" i="1"/>
  <c r="L28" i="1"/>
  <c r="L29" i="1"/>
  <c r="M28" i="1"/>
  <c r="M30" i="1"/>
  <c r="M31" i="1"/>
  <c r="M27" i="1"/>
  <c r="M29" i="1"/>
  <c r="J21" i="1"/>
  <c r="T37" i="5" l="1"/>
  <c r="S36" i="5"/>
  <c r="J32" i="1"/>
  <c r="L31" i="1"/>
  <c r="T38" i="5" l="1"/>
  <c r="S37" i="5"/>
  <c r="J33" i="1"/>
  <c r="L32" i="1"/>
  <c r="M32" i="1"/>
  <c r="S38" i="5" l="1"/>
  <c r="J34" i="1"/>
  <c r="L33" i="1"/>
  <c r="M33" i="1"/>
  <c r="T40" i="5" l="1"/>
  <c r="S39" i="5"/>
  <c r="J35" i="1"/>
  <c r="L34" i="1"/>
  <c r="M34" i="1"/>
  <c r="T41" i="5" l="1"/>
  <c r="S40" i="5"/>
  <c r="J36" i="1"/>
  <c r="L35" i="1"/>
  <c r="M35" i="1"/>
  <c r="T42" i="5" l="1"/>
  <c r="S41" i="5"/>
  <c r="J37" i="1"/>
  <c r="L36" i="1"/>
  <c r="M36" i="1"/>
  <c r="T43" i="5" l="1"/>
  <c r="S42" i="5"/>
  <c r="J38" i="1"/>
  <c r="L37" i="1"/>
  <c r="M37" i="1"/>
  <c r="T44" i="5" l="1"/>
  <c r="S43" i="5"/>
  <c r="J39" i="1"/>
  <c r="L38" i="1"/>
  <c r="M38" i="1"/>
  <c r="T45" i="5" l="1"/>
  <c r="S44" i="5"/>
  <c r="J40" i="1"/>
  <c r="L39" i="1"/>
  <c r="M39" i="1"/>
  <c r="T46" i="5" l="1"/>
  <c r="S45" i="5"/>
  <c r="J41" i="1"/>
  <c r="L40" i="1"/>
  <c r="M40" i="1"/>
  <c r="T47" i="5" l="1"/>
  <c r="S46" i="5"/>
  <c r="J42" i="1"/>
  <c r="L41" i="1"/>
  <c r="M41" i="1"/>
  <c r="S47" i="5" l="1"/>
  <c r="T48" i="5"/>
  <c r="J43" i="1"/>
  <c r="L42" i="1"/>
  <c r="M42" i="1"/>
  <c r="T49" i="5" l="1"/>
  <c r="S48" i="5"/>
  <c r="J44" i="1"/>
  <c r="L43" i="1"/>
  <c r="M43" i="1"/>
  <c r="T50" i="5" l="1"/>
  <c r="S49" i="5"/>
  <c r="J45" i="1"/>
  <c r="L44" i="1"/>
  <c r="M44" i="1"/>
  <c r="T51" i="5" l="1"/>
  <c r="S50" i="5"/>
  <c r="J46" i="1"/>
  <c r="L45" i="1"/>
  <c r="M45" i="1"/>
  <c r="T52" i="5" l="1"/>
  <c r="S51" i="5"/>
  <c r="J47" i="1"/>
  <c r="L46" i="1"/>
  <c r="M46" i="1"/>
  <c r="T53" i="5" l="1"/>
  <c r="S52" i="5"/>
  <c r="L47" i="1"/>
  <c r="M47" i="1"/>
  <c r="T54" i="5" l="1"/>
  <c r="S54" i="5" s="1"/>
  <c r="S53" i="5"/>
</calcChain>
</file>

<file path=xl/sharedStrings.xml><?xml version="1.0" encoding="utf-8"?>
<sst xmlns="http://schemas.openxmlformats.org/spreadsheetml/2006/main" count="218" uniqueCount="55">
  <si>
    <t>Date</t>
  </si>
  <si>
    <t>JPM</t>
  </si>
  <si>
    <t>ORCL</t>
  </si>
  <si>
    <t>r_JPM</t>
  </si>
  <si>
    <t>r_ORCL</t>
  </si>
  <si>
    <t>Correlation Matrix</t>
  </si>
  <si>
    <t>Mean</t>
  </si>
  <si>
    <t>Weights</t>
  </si>
  <si>
    <t>Std.Devation</t>
  </si>
  <si>
    <t>Variance</t>
  </si>
  <si>
    <t>Correlation</t>
  </si>
  <si>
    <t>Covariance</t>
  </si>
  <si>
    <t>Expected Return</t>
  </si>
  <si>
    <t>Portfolio Variance</t>
  </si>
  <si>
    <t>Portfolio Std. Devation</t>
  </si>
  <si>
    <t>Risk</t>
  </si>
  <si>
    <t>Return</t>
  </si>
  <si>
    <t>Point A</t>
  </si>
  <si>
    <t>Point B</t>
  </si>
  <si>
    <t>Point C</t>
  </si>
  <si>
    <t>Solver Solution</t>
  </si>
  <si>
    <t>Calculus Solution</t>
  </si>
  <si>
    <t>Std.Dev</t>
  </si>
  <si>
    <t>A</t>
  </si>
  <si>
    <t>B</t>
  </si>
  <si>
    <t>Weight</t>
  </si>
  <si>
    <t xml:space="preserve"> </t>
  </si>
  <si>
    <t>AAPL</t>
  </si>
  <si>
    <t>WMT</t>
  </si>
  <si>
    <t>3M</t>
  </si>
  <si>
    <t>YUM</t>
  </si>
  <si>
    <t>YMZN</t>
  </si>
  <si>
    <t>r_APPL</t>
  </si>
  <si>
    <t>r_WMT</t>
  </si>
  <si>
    <t>r_3M</t>
  </si>
  <si>
    <t>r_YUM</t>
  </si>
  <si>
    <t>r_YMZN</t>
  </si>
  <si>
    <t>Covariance Matrix</t>
  </si>
  <si>
    <t>Sum</t>
  </si>
  <si>
    <t>Return componets</t>
  </si>
  <si>
    <t>Variance Components</t>
  </si>
  <si>
    <t>Exp. Return</t>
  </si>
  <si>
    <t>Std. Dev</t>
  </si>
  <si>
    <t>i</t>
  </si>
  <si>
    <t>s</t>
  </si>
  <si>
    <t>Constraint</t>
  </si>
  <si>
    <t>Return Constriant</t>
  </si>
  <si>
    <t>Portfolio Std. Dev</t>
  </si>
  <si>
    <t>D</t>
  </si>
  <si>
    <t>C.</t>
  </si>
  <si>
    <t>Portfolio Return</t>
  </si>
  <si>
    <t>AMZN</t>
  </si>
  <si>
    <t>No short</t>
  </si>
  <si>
    <t>Allow short</t>
  </si>
  <si>
    <t>r_AMZN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</si>
</sst>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%"/>
    <numFmt numFmtId="166" formatCode="0.0000%"/>
    <numFmt numFmtId="170" formatCode="0.000000%"/>
  </numFmts>
  <fonts count="3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rgb="FFA1D947"/>
      <name val="MV Boli"/>
    </font>
    <font>
      <b/>
      <sz val="11"/>
      <color rgb="FFFFC000"/>
      <name val="MV Boli"/>
    </font>
    <font>
      <b/>
      <sz val="11"/>
      <color rgb="FFFF0000"/>
      <name val="MV Boli"/>
    </font>
    <font>
      <b/>
      <sz val="18"/>
      <color rgb="FF7030A0"/>
      <name val="Brush Script MT"/>
      <family val="4"/>
    </font>
    <font>
      <b/>
      <sz val="12"/>
      <color theme="5"/>
      <name val="MV Boli"/>
    </font>
    <font>
      <sz val="16"/>
      <color theme="1"/>
      <name val="MV Boli"/>
    </font>
    <font>
      <b/>
      <sz val="12"/>
      <color rgb="FF7030A0"/>
      <name val="MV Boli"/>
    </font>
    <font>
      <b/>
      <sz val="15"/>
      <color rgb="FF7030A0"/>
      <name val="MV Boli"/>
    </font>
    <font>
      <b/>
      <sz val="16"/>
      <color rgb="FF0070C0"/>
      <name val="MV Boli"/>
    </font>
    <font>
      <b/>
      <sz val="14"/>
      <color rgb="FF0070C0"/>
      <name val="MV Boli"/>
    </font>
    <font>
      <sz val="16"/>
      <color rgb="FF7030A0"/>
      <name val="Georgia"/>
      <family val="1"/>
    </font>
    <font>
      <b/>
      <sz val="14"/>
      <color theme="5"/>
      <name val="MV Boli"/>
    </font>
    <font>
      <b/>
      <sz val="11"/>
      <color theme="1"/>
      <name val="Calibri"/>
      <family val="2"/>
      <scheme val="minor"/>
    </font>
    <font>
      <b/>
      <sz val="18"/>
      <color theme="4"/>
      <name val="MV Boli"/>
    </font>
    <font>
      <b/>
      <sz val="15"/>
      <color theme="7"/>
      <name val="MV Boli"/>
    </font>
    <font>
      <sz val="11"/>
      <color theme="1"/>
      <name val="Calibri"/>
      <family val="2"/>
      <scheme val="minor"/>
    </font>
    <font>
      <b/>
      <sz val="16"/>
      <color rgb="FF7030A0"/>
      <name val="MV Boli"/>
    </font>
    <font>
      <b/>
      <sz val="18"/>
      <color theme="5" tint="-0.249977111117893"/>
      <name val="MV Bol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NumberFormat="1"/>
    <xf numFmtId="164" fontId="0" fillId="0" borderId="0" xfId="0" applyNumberFormat="1"/>
    <xf numFmtId="10" fontId="7" fillId="3" borderId="0" xfId="8" applyNumberFormat="1"/>
    <xf numFmtId="10" fontId="6" fillId="2" borderId="0" xfId="7" applyNumberFormat="1"/>
    <xf numFmtId="9" fontId="6" fillId="2" borderId="0" xfId="7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9" fontId="1" fillId="23" borderId="0" xfId="33" applyNumberFormat="1"/>
    <xf numFmtId="10" fontId="1" fillId="23" borderId="0" xfId="33" applyNumberFormat="1"/>
    <xf numFmtId="9" fontId="7" fillId="3" borderId="0" xfId="8" applyNumberFormat="1"/>
    <xf numFmtId="10" fontId="0" fillId="0" borderId="0" xfId="0" applyNumberFormat="1"/>
    <xf numFmtId="165" fontId="0" fillId="0" borderId="0" xfId="1" applyNumberFormat="1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/>
    <xf numFmtId="9" fontId="0" fillId="0" borderId="0" xfId="0" applyNumberFormat="1"/>
    <xf numFmtId="2" fontId="23" fillId="0" borderId="0" xfId="0" applyNumberFormat="1" applyFont="1"/>
    <xf numFmtId="1" fontId="23" fillId="0" borderId="0" xfId="0" applyNumberFormat="1" applyFont="1"/>
    <xf numFmtId="0" fontId="25" fillId="0" borderId="0" xfId="0" applyFont="1" applyAlignment="1"/>
    <xf numFmtId="0" fontId="0" fillId="0" borderId="0" xfId="0" applyAlignment="1">
      <alignment horizontal="right"/>
    </xf>
    <xf numFmtId="0" fontId="29" fillId="0" borderId="0" xfId="0" applyFont="1" applyAlignment="1"/>
    <xf numFmtId="0" fontId="0" fillId="0" borderId="0" xfId="0" applyAlignment="1"/>
    <xf numFmtId="1" fontId="0" fillId="0" borderId="0" xfId="0" applyNumberFormat="1"/>
    <xf numFmtId="0" fontId="30" fillId="0" borderId="0" xfId="0" applyFont="1" applyAlignme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0" fontId="34" fillId="23" borderId="0" xfId="33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2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35" fillId="11" borderId="0" xfId="21" applyFon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66" fontId="0" fillId="0" borderId="0" xfId="1" applyNumberFormat="1" applyFont="1"/>
    <xf numFmtId="0" fontId="0" fillId="0" borderId="0" xfId="0" applyNumberFormat="1" applyAlignment="1"/>
    <xf numFmtId="0" fontId="30" fillId="0" borderId="0" xfId="0" applyNumberFormat="1" applyFont="1" applyAlignment="1"/>
    <xf numFmtId="0" fontId="29" fillId="0" borderId="0" xfId="0" applyNumberFormat="1" applyFont="1" applyAlignment="1"/>
    <xf numFmtId="170" fontId="0" fillId="0" borderId="0" xfId="1" applyNumberFormat="1" applyFont="1" applyAlignment="1"/>
    <xf numFmtId="17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1D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Two!$L$27:$L$47</c:f>
              <c:numCache>
                <c:formatCode>0.00%</c:formatCode>
                <c:ptCount val="21"/>
                <c:pt idx="0">
                  <c:v>7.5089754555458674E-2</c:v>
                </c:pt>
                <c:pt idx="1">
                  <c:v>7.3639348432539789E-2</c:v>
                </c:pt>
                <c:pt idx="2">
                  <c:v>7.2459101098628159E-2</c:v>
                </c:pt>
                <c:pt idx="3">
                  <c:v>7.1562380637844009E-2</c:v>
                </c:pt>
                <c:pt idx="4">
                  <c:v>7.095993664859325E-2</c:v>
                </c:pt>
                <c:pt idx="5">
                  <c:v>7.0659296570736566E-2</c:v>
                </c:pt>
                <c:pt idx="6">
                  <c:v>7.0664312567607149E-2</c:v>
                </c:pt>
                <c:pt idx="7">
                  <c:v>7.0974919834515496E-2</c:v>
                </c:pt>
                <c:pt idx="8">
                  <c:v>7.1587140719975406E-2</c:v>
                </c:pt>
                <c:pt idx="9">
                  <c:v>7.2493334062446457E-2</c:v>
                </c:pt>
                <c:pt idx="10">
                  <c:v>7.368265431293583E-2</c:v>
                </c:pt>
                <c:pt idx="11">
                  <c:v>7.5141658923608981E-2</c:v>
                </c:pt>
                <c:pt idx="12">
                  <c:v>7.685499047600361E-2</c:v>
                </c:pt>
                <c:pt idx="13">
                  <c:v>7.8806062662865412E-2</c:v>
                </c:pt>
                <c:pt idx="14">
                  <c:v>8.0977692976909238E-2</c:v>
                </c:pt>
                <c:pt idx="15">
                  <c:v>8.3352644249501298E-2</c:v>
                </c:pt>
                <c:pt idx="16">
                  <c:v>8.5914056725238552E-2</c:v>
                </c:pt>
                <c:pt idx="17">
                  <c:v>8.8645768532250521E-2</c:v>
                </c:pt>
                <c:pt idx="18">
                  <c:v>9.15325336175144E-2</c:v>
                </c:pt>
                <c:pt idx="19">
                  <c:v>9.4560152486614119E-2</c:v>
                </c:pt>
                <c:pt idx="20">
                  <c:v>9.7715533372254901E-2</c:v>
                </c:pt>
              </c:numCache>
            </c:numRef>
          </c:xVal>
          <c:yVal>
            <c:numRef>
              <c:f>Two!$M$27:$M$47</c:f>
              <c:numCache>
                <c:formatCode>0.00%</c:formatCode>
                <c:ptCount val="21"/>
                <c:pt idx="0">
                  <c:v>1.2512287040630747E-2</c:v>
                </c:pt>
                <c:pt idx="1">
                  <c:v>1.227688502310542E-2</c:v>
                </c:pt>
                <c:pt idx="2">
                  <c:v>1.2041483005580094E-2</c:v>
                </c:pt>
                <c:pt idx="3">
                  <c:v>1.1806080988054767E-2</c:v>
                </c:pt>
                <c:pt idx="4">
                  <c:v>1.1570678970529441E-2</c:v>
                </c:pt>
                <c:pt idx="5">
                  <c:v>1.1335276953004113E-2</c:v>
                </c:pt>
                <c:pt idx="6">
                  <c:v>1.1099874935478787E-2</c:v>
                </c:pt>
                <c:pt idx="7">
                  <c:v>1.086447291795346E-2</c:v>
                </c:pt>
                <c:pt idx="8">
                  <c:v>1.0629070900428134E-2</c:v>
                </c:pt>
                <c:pt idx="9">
                  <c:v>1.0393668882902805E-2</c:v>
                </c:pt>
                <c:pt idx="10">
                  <c:v>1.0158266865377479E-2</c:v>
                </c:pt>
                <c:pt idx="11">
                  <c:v>9.9228648478521531E-3</c:v>
                </c:pt>
                <c:pt idx="12">
                  <c:v>9.6874628303268255E-3</c:v>
                </c:pt>
                <c:pt idx="13">
                  <c:v>9.452060812801498E-3</c:v>
                </c:pt>
                <c:pt idx="14">
                  <c:v>9.2166587952761704E-3</c:v>
                </c:pt>
                <c:pt idx="15">
                  <c:v>8.9812567777508429E-3</c:v>
                </c:pt>
                <c:pt idx="16">
                  <c:v>8.745854760225517E-3</c:v>
                </c:pt>
                <c:pt idx="17">
                  <c:v>8.5104527427001895E-3</c:v>
                </c:pt>
                <c:pt idx="18">
                  <c:v>8.2750507251748637E-3</c:v>
                </c:pt>
                <c:pt idx="19">
                  <c:v>8.0396487076495361E-3</c:v>
                </c:pt>
                <c:pt idx="20">
                  <c:v>7.8042466901242094E-3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70928"/>
        <c:axId val="869271488"/>
      </c:scatterChart>
      <c:valAx>
        <c:axId val="86927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(Standard Deviation)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71488"/>
        <c:crosses val="autoZero"/>
        <c:crossBetween val="midCat"/>
      </c:valAx>
      <c:valAx>
        <c:axId val="8692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7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 of six Risky Assets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'Calculus Method'!$S$29:$S$54</c:f>
              <c:numCache>
                <c:formatCode>General</c:formatCode>
                <c:ptCount val="26"/>
                <c:pt idx="0">
                  <c:v>3.8321016766257564E-2</c:v>
                </c:pt>
                <c:pt idx="1">
                  <c:v>3.8101547789597144E-2</c:v>
                </c:pt>
                <c:pt idx="2">
                  <c:v>3.790431595760025E-2</c:v>
                </c:pt>
                <c:pt idx="3">
                  <c:v>3.7729670005867987E-2</c:v>
                </c:pt>
                <c:pt idx="4">
                  <c:v>3.7577924843946231E-2</c:v>
                </c:pt>
                <c:pt idx="5">
                  <c:v>3.7449358855530752E-2</c:v>
                </c:pt>
                <c:pt idx="6">
                  <c:v>3.734421144020636E-2</c:v>
                </c:pt>
                <c:pt idx="7">
                  <c:v>3.7262680845301932E-2</c:v>
                </c:pt>
                <c:pt idx="8">
                  <c:v>3.7204922332324447E-2</c:v>
                </c:pt>
                <c:pt idx="9">
                  <c:v>3.7171046716728724E-2</c:v>
                </c:pt>
                <c:pt idx="10">
                  <c:v>3.7161031064078739E-2</c:v>
                </c:pt>
                <c:pt idx="11">
                  <c:v>3.717300066674166E-2</c:v>
                </c:pt>
                <c:pt idx="12">
                  <c:v>3.7208914707112843E-2</c:v>
                </c:pt>
                <c:pt idx="13">
                  <c:v>3.7268703962980688E-2</c:v>
                </c:pt>
                <c:pt idx="14">
                  <c:v>3.7352253784301397E-2</c:v>
                </c:pt>
                <c:pt idx="15">
                  <c:v>3.7459405184024144E-2</c:v>
                </c:pt>
                <c:pt idx="16">
                  <c:v>3.7589956331477749E-2</c:v>
                </c:pt>
                <c:pt idx="17">
                  <c:v>3.7743664416049802E-2</c:v>
                </c:pt>
                <c:pt idx="18">
                  <c:v>3.7920247841856672E-2</c:v>
                </c:pt>
                <c:pt idx="19">
                  <c:v>3.8119388708526783E-2</c:v>
                </c:pt>
                <c:pt idx="20">
                  <c:v>3.8340735529240361E-2</c:v>
                </c:pt>
                <c:pt idx="21">
                  <c:v>3.8583906134838405E-2</c:v>
                </c:pt>
                <c:pt idx="22">
                  <c:v>3.884849071210307E-2</c:v>
                </c:pt>
                <c:pt idx="23">
                  <c:v>3.9134054925118192E-2</c:v>
                </c:pt>
                <c:pt idx="24">
                  <c:v>3.9440143070778144E-2</c:v>
                </c:pt>
                <c:pt idx="25">
                  <c:v>3.9766281222817425E-2</c:v>
                </c:pt>
              </c:numCache>
            </c:numRef>
          </c:xVal>
          <c:yVal>
            <c:numRef>
              <c:f>'Calculus Method'!$T$29:$T$54</c:f>
              <c:numCache>
                <c:formatCode>0.00%</c:formatCode>
                <c:ptCount val="26"/>
                <c:pt idx="0">
                  <c:v>6.5000000000000006E-3</c:v>
                </c:pt>
                <c:pt idx="1">
                  <c:v>6.8000000000000005E-3</c:v>
                </c:pt>
                <c:pt idx="2">
                  <c:v>7.1000000000000004E-3</c:v>
                </c:pt>
                <c:pt idx="3">
                  <c:v>7.4000000000000003E-3</c:v>
                </c:pt>
                <c:pt idx="4">
                  <c:v>7.7000000000000002E-3</c:v>
                </c:pt>
                <c:pt idx="5">
                  <c:v>8.0000000000000002E-3</c:v>
                </c:pt>
                <c:pt idx="6">
                  <c:v>8.3000000000000001E-3</c:v>
                </c:pt>
                <c:pt idx="7">
                  <c:v>8.6E-3</c:v>
                </c:pt>
                <c:pt idx="8">
                  <c:v>8.8999999999999999E-3</c:v>
                </c:pt>
                <c:pt idx="9">
                  <c:v>9.1999999999999998E-3</c:v>
                </c:pt>
                <c:pt idx="10" formatCode="0.0000%">
                  <c:v>9.4740797928011405E-3</c:v>
                </c:pt>
                <c:pt idx="11">
                  <c:v>9.7740797928011405E-3</c:v>
                </c:pt>
                <c:pt idx="12">
                  <c:v>1.007407979280114E-2</c:v>
                </c:pt>
                <c:pt idx="13">
                  <c:v>1.037407979280114E-2</c:v>
                </c:pt>
                <c:pt idx="14">
                  <c:v>1.067407979280114E-2</c:v>
                </c:pt>
                <c:pt idx="15">
                  <c:v>1.097407979280114E-2</c:v>
                </c:pt>
                <c:pt idx="16">
                  <c:v>1.127407979280114E-2</c:v>
                </c:pt>
                <c:pt idx="17">
                  <c:v>1.157407979280114E-2</c:v>
                </c:pt>
                <c:pt idx="18">
                  <c:v>1.187407979280114E-2</c:v>
                </c:pt>
                <c:pt idx="19">
                  <c:v>1.217407979280114E-2</c:v>
                </c:pt>
                <c:pt idx="20">
                  <c:v>1.247407979280114E-2</c:v>
                </c:pt>
                <c:pt idx="21">
                  <c:v>1.277407979280114E-2</c:v>
                </c:pt>
                <c:pt idx="22">
                  <c:v>1.307407979280114E-2</c:v>
                </c:pt>
                <c:pt idx="23">
                  <c:v>1.3374079792801139E-2</c:v>
                </c:pt>
                <c:pt idx="24">
                  <c:v>1.3674079792801139E-2</c:v>
                </c:pt>
                <c:pt idx="25">
                  <c:v>1.3974079792801139E-2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73728"/>
        <c:axId val="869274288"/>
      </c:scatterChart>
      <c:valAx>
        <c:axId val="86927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296414819805276"/>
              <c:y val="0.90748332972741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74288"/>
        <c:crosses val="autoZero"/>
        <c:crossBetween val="midCat"/>
      </c:valAx>
      <c:valAx>
        <c:axId val="8692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layout>
            <c:manualLayout>
              <c:xMode val="edge"/>
              <c:yMode val="edge"/>
              <c:x val="1.9013666072489603E-2"/>
              <c:y val="0.3450974326686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7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Effect of Correlation on 2-Assets Portfolio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Frontier!$G$14:$G$64</c:f>
              <c:numCache>
                <c:formatCode>0.00%</c:formatCode>
                <c:ptCount val="51"/>
                <c:pt idx="0">
                  <c:v>0.15</c:v>
                </c:pt>
                <c:pt idx="1">
                  <c:v>0.14199999999999999</c:v>
                </c:pt>
                <c:pt idx="2">
                  <c:v>0.13399999999999998</c:v>
                </c:pt>
                <c:pt idx="3">
                  <c:v>0.126</c:v>
                </c:pt>
                <c:pt idx="4">
                  <c:v>0.11800000000000001</c:v>
                </c:pt>
                <c:pt idx="5">
                  <c:v>0.11000000000000001</c:v>
                </c:pt>
                <c:pt idx="6">
                  <c:v>0.10200000000000001</c:v>
                </c:pt>
                <c:pt idx="7">
                  <c:v>9.4E-2</c:v>
                </c:pt>
                <c:pt idx="8">
                  <c:v>8.5999999999999993E-2</c:v>
                </c:pt>
                <c:pt idx="9">
                  <c:v>7.8E-2</c:v>
                </c:pt>
                <c:pt idx="10">
                  <c:v>7.0000000000000007E-2</c:v>
                </c:pt>
                <c:pt idx="11">
                  <c:v>6.2E-2</c:v>
                </c:pt>
                <c:pt idx="12">
                  <c:v>5.3999999999999999E-2</c:v>
                </c:pt>
                <c:pt idx="13">
                  <c:v>4.6000000000000013E-2</c:v>
                </c:pt>
                <c:pt idx="14">
                  <c:v>3.8000000000000006E-2</c:v>
                </c:pt>
                <c:pt idx="15">
                  <c:v>0.03</c:v>
                </c:pt>
                <c:pt idx="16">
                  <c:v>2.1999999999999992E-2</c:v>
                </c:pt>
                <c:pt idx="17">
                  <c:v>1.3999999999999985E-2</c:v>
                </c:pt>
                <c:pt idx="18">
                  <c:v>5.9999999999999776E-3</c:v>
                </c:pt>
                <c:pt idx="19">
                  <c:v>2.0000000000000295E-3</c:v>
                </c:pt>
                <c:pt idx="20">
                  <c:v>1.0000000000000037E-2</c:v>
                </c:pt>
                <c:pt idx="21">
                  <c:v>1.8000000000000044E-2</c:v>
                </c:pt>
                <c:pt idx="22">
                  <c:v>2.6000000000000051E-2</c:v>
                </c:pt>
                <c:pt idx="23">
                  <c:v>3.4000000000000058E-2</c:v>
                </c:pt>
                <c:pt idx="24">
                  <c:v>4.2000000000000065E-2</c:v>
                </c:pt>
                <c:pt idx="25">
                  <c:v>5.0000000000000044E-2</c:v>
                </c:pt>
                <c:pt idx="26">
                  <c:v>5.8000000000000052E-2</c:v>
                </c:pt>
                <c:pt idx="27">
                  <c:v>6.6000000000000059E-2</c:v>
                </c:pt>
                <c:pt idx="28">
                  <c:v>7.4000000000000066E-2</c:v>
                </c:pt>
                <c:pt idx="29">
                  <c:v>8.2000000000000073E-2</c:v>
                </c:pt>
                <c:pt idx="30">
                  <c:v>9.000000000000008E-2</c:v>
                </c:pt>
                <c:pt idx="31">
                  <c:v>9.8000000000000087E-2</c:v>
                </c:pt>
                <c:pt idx="32">
                  <c:v>0.10600000000000009</c:v>
                </c:pt>
                <c:pt idx="33">
                  <c:v>0.1140000000000001</c:v>
                </c:pt>
                <c:pt idx="34">
                  <c:v>0.12200000000000011</c:v>
                </c:pt>
                <c:pt idx="35">
                  <c:v>0.13000000000000012</c:v>
                </c:pt>
                <c:pt idx="36">
                  <c:v>0.13800000000000012</c:v>
                </c:pt>
                <c:pt idx="37">
                  <c:v>0.14600000000000013</c:v>
                </c:pt>
                <c:pt idx="38">
                  <c:v>0.15400000000000014</c:v>
                </c:pt>
                <c:pt idx="39">
                  <c:v>0.16200000000000014</c:v>
                </c:pt>
                <c:pt idx="40">
                  <c:v>0.17000000000000015</c:v>
                </c:pt>
                <c:pt idx="41">
                  <c:v>0.17800000000000016</c:v>
                </c:pt>
                <c:pt idx="42">
                  <c:v>0.18600000000000017</c:v>
                </c:pt>
                <c:pt idx="43">
                  <c:v>0.19400000000000017</c:v>
                </c:pt>
                <c:pt idx="44">
                  <c:v>0.20200000000000018</c:v>
                </c:pt>
                <c:pt idx="45">
                  <c:v>0.21000000000000019</c:v>
                </c:pt>
                <c:pt idx="46">
                  <c:v>0.21800000000000019</c:v>
                </c:pt>
                <c:pt idx="47">
                  <c:v>0.2260000000000002</c:v>
                </c:pt>
                <c:pt idx="48">
                  <c:v>0.23400000000000021</c:v>
                </c:pt>
                <c:pt idx="49">
                  <c:v>0.24200000000000021</c:v>
                </c:pt>
                <c:pt idx="50">
                  <c:v>0.25000000000000017</c:v>
                </c:pt>
              </c:numCache>
            </c:numRef>
          </c:xVal>
          <c:yVal>
            <c:numRef>
              <c:f>Frontier!$H$14:$H$64</c:f>
              <c:numCache>
                <c:formatCode>0.00%</c:formatCode>
                <c:ptCount val="51"/>
                <c:pt idx="0">
                  <c:v>0.02</c:v>
                </c:pt>
                <c:pt idx="1">
                  <c:v>2.0199999999999999E-2</c:v>
                </c:pt>
                <c:pt idx="2">
                  <c:v>2.0399999999999998E-2</c:v>
                </c:pt>
                <c:pt idx="3">
                  <c:v>2.06E-2</c:v>
                </c:pt>
                <c:pt idx="4">
                  <c:v>2.0799999999999999E-2</c:v>
                </c:pt>
                <c:pt idx="5">
                  <c:v>2.1000000000000001E-2</c:v>
                </c:pt>
                <c:pt idx="6">
                  <c:v>2.12E-2</c:v>
                </c:pt>
                <c:pt idx="7">
                  <c:v>2.1400000000000002E-2</c:v>
                </c:pt>
                <c:pt idx="8">
                  <c:v>2.1599999999999998E-2</c:v>
                </c:pt>
                <c:pt idx="9">
                  <c:v>2.18E-2</c:v>
                </c:pt>
                <c:pt idx="10">
                  <c:v>2.1999999999999999E-2</c:v>
                </c:pt>
                <c:pt idx="11">
                  <c:v>2.2200000000000001E-2</c:v>
                </c:pt>
                <c:pt idx="12">
                  <c:v>2.24E-2</c:v>
                </c:pt>
                <c:pt idx="13">
                  <c:v>2.2599999999999999E-2</c:v>
                </c:pt>
                <c:pt idx="14">
                  <c:v>2.2800000000000001E-2</c:v>
                </c:pt>
                <c:pt idx="15">
                  <c:v>2.3E-2</c:v>
                </c:pt>
                <c:pt idx="16">
                  <c:v>2.3199999999999998E-2</c:v>
                </c:pt>
                <c:pt idx="17">
                  <c:v>2.3399999999999997E-2</c:v>
                </c:pt>
                <c:pt idx="18">
                  <c:v>2.3599999999999999E-2</c:v>
                </c:pt>
                <c:pt idx="19">
                  <c:v>2.3800000000000002E-2</c:v>
                </c:pt>
                <c:pt idx="20">
                  <c:v>2.4E-2</c:v>
                </c:pt>
                <c:pt idx="21">
                  <c:v>2.4199999999999999E-2</c:v>
                </c:pt>
                <c:pt idx="22">
                  <c:v>2.4399999999999998E-2</c:v>
                </c:pt>
                <c:pt idx="23">
                  <c:v>2.46E-2</c:v>
                </c:pt>
                <c:pt idx="24">
                  <c:v>2.4799999999999999E-2</c:v>
                </c:pt>
                <c:pt idx="25">
                  <c:v>2.5000000000000001E-2</c:v>
                </c:pt>
                <c:pt idx="26">
                  <c:v>2.52E-2</c:v>
                </c:pt>
                <c:pt idx="27">
                  <c:v>2.5399999999999999E-2</c:v>
                </c:pt>
                <c:pt idx="28">
                  <c:v>2.5600000000000005E-2</c:v>
                </c:pt>
                <c:pt idx="29">
                  <c:v>2.5800000000000003E-2</c:v>
                </c:pt>
                <c:pt idx="30">
                  <c:v>2.6000000000000002E-2</c:v>
                </c:pt>
                <c:pt idx="31">
                  <c:v>2.6200000000000001E-2</c:v>
                </c:pt>
                <c:pt idx="32">
                  <c:v>2.64E-2</c:v>
                </c:pt>
                <c:pt idx="33">
                  <c:v>2.6600000000000006E-2</c:v>
                </c:pt>
                <c:pt idx="34">
                  <c:v>2.6800000000000004E-2</c:v>
                </c:pt>
                <c:pt idx="35">
                  <c:v>2.7000000000000003E-2</c:v>
                </c:pt>
                <c:pt idx="36">
                  <c:v>2.7200000000000002E-2</c:v>
                </c:pt>
                <c:pt idx="37">
                  <c:v>2.7400000000000001E-2</c:v>
                </c:pt>
                <c:pt idx="38">
                  <c:v>2.76E-2</c:v>
                </c:pt>
                <c:pt idx="39">
                  <c:v>2.7800000000000005E-2</c:v>
                </c:pt>
                <c:pt idx="40">
                  <c:v>2.8000000000000004E-2</c:v>
                </c:pt>
                <c:pt idx="41">
                  <c:v>2.8200000000000003E-2</c:v>
                </c:pt>
                <c:pt idx="42">
                  <c:v>2.8400000000000002E-2</c:v>
                </c:pt>
                <c:pt idx="43">
                  <c:v>2.86E-2</c:v>
                </c:pt>
                <c:pt idx="44">
                  <c:v>2.8800000000000006E-2</c:v>
                </c:pt>
                <c:pt idx="45">
                  <c:v>2.9000000000000005E-2</c:v>
                </c:pt>
                <c:pt idx="46">
                  <c:v>2.9200000000000004E-2</c:v>
                </c:pt>
                <c:pt idx="47">
                  <c:v>2.9400000000000003E-2</c:v>
                </c:pt>
                <c:pt idx="48">
                  <c:v>2.9600000000000001E-2</c:v>
                </c:pt>
                <c:pt idx="49">
                  <c:v>2.9800000000000007E-2</c:v>
                </c:pt>
                <c:pt idx="50">
                  <c:v>3.0000000000000002E-2</c:v>
                </c:pt>
              </c:numCache>
            </c:numRef>
          </c:yVal>
          <c:smooth val="1"/>
        </c:ser>
        <c:ser>
          <c:idx val="2"/>
          <c:order val="1"/>
          <c:spPr>
            <a:ln w="95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7030A0"/>
              </a:solidFill>
              <a:ln w="9525" cap="rnd">
                <a:solidFill>
                  <a:srgbClr val="7030A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Frontier!$C$14:$C$64</c:f>
              <c:numCache>
                <c:formatCode>General</c:formatCode>
                <c:ptCount val="51"/>
                <c:pt idx="0">
                  <c:v>0.15</c:v>
                </c:pt>
                <c:pt idx="1">
                  <c:v>0.14975913995479539</c:v>
                </c:pt>
                <c:pt idx="2">
                  <c:v>0.14963689384640405</c:v>
                </c:pt>
                <c:pt idx="3">
                  <c:v>0.14963355238715681</c:v>
                </c:pt>
                <c:pt idx="4">
                  <c:v>0.14974912353666717</c:v>
                </c:pt>
                <c:pt idx="5">
                  <c:v>0.14998333240730452</c:v>
                </c:pt>
                <c:pt idx="6">
                  <c:v>0.15033562452060389</c:v>
                </c:pt>
                <c:pt idx="7">
                  <c:v>0.15080517232508969</c:v>
                </c:pt>
                <c:pt idx="8">
                  <c:v>0.15139088479825988</c:v>
                </c:pt>
                <c:pt idx="9">
                  <c:v>0.15209141987633623</c:v>
                </c:pt>
                <c:pt idx="10">
                  <c:v>0.15290519938837921</c:v>
                </c:pt>
                <c:pt idx="11">
                  <c:v>0.15383042611915237</c:v>
                </c:pt>
                <c:pt idx="12">
                  <c:v>0.15486510258931804</c:v>
                </c:pt>
                <c:pt idx="13">
                  <c:v>0.15600705112269764</c:v>
                </c:pt>
                <c:pt idx="14">
                  <c:v>0.1572539347679415</c:v>
                </c:pt>
                <c:pt idx="15">
                  <c:v>0.15860327865463564</c:v>
                </c:pt>
                <c:pt idx="16">
                  <c:v>0.16005249138954383</c:v>
                </c:pt>
                <c:pt idx="17">
                  <c:v>0.16159888613477508</c:v>
                </c:pt>
                <c:pt idx="18">
                  <c:v>0.16323970105338959</c:v>
                </c:pt>
                <c:pt idx="19">
                  <c:v>0.16497211885649041</c:v>
                </c:pt>
                <c:pt idx="20">
                  <c:v>0.1667932852365466</c:v>
                </c:pt>
                <c:pt idx="21">
                  <c:v>0.16870032602221016</c:v>
                </c:pt>
                <c:pt idx="22">
                  <c:v>0.17069036293827486</c:v>
                </c:pt>
                <c:pt idx="23">
                  <c:v>0.17276052789917032</c:v>
                </c:pt>
                <c:pt idx="24">
                  <c:v>0.17490797580442125</c:v>
                </c:pt>
                <c:pt idx="25">
                  <c:v>0.17712989583918354</c:v>
                </c:pt>
                <c:pt idx="26">
                  <c:v>0.17942352131200637</c:v>
                </c:pt>
                <c:pt idx="27">
                  <c:v>0.18178613808538868</c:v>
                </c:pt>
                <c:pt idx="28">
                  <c:v>0.18421509167275088</c:v>
                </c:pt>
                <c:pt idx="29">
                  <c:v>0.18670779308855859</c:v>
                </c:pt>
                <c:pt idx="30">
                  <c:v>0.18926172354705009</c:v>
                </c:pt>
                <c:pt idx="31">
                  <c:v>0.19187443810992649</c:v>
                </c:pt>
                <c:pt idx="32">
                  <c:v>0.19454356838507927</c:v>
                </c:pt>
                <c:pt idx="33">
                  <c:v>0.19726682437754203</c:v>
                </c:pt>
                <c:pt idx="34">
                  <c:v>0.20004199559092589</c:v>
                </c:pt>
                <c:pt idx="35">
                  <c:v>0.20286695147312686</c:v>
                </c:pt>
                <c:pt idx="36">
                  <c:v>0.20573964129452549</c:v>
                </c:pt>
                <c:pt idx="37">
                  <c:v>0.20865809354060535</c:v>
                </c:pt>
                <c:pt idx="38">
                  <c:v>0.21162041489421579</c:v>
                </c:pt>
                <c:pt idx="39">
                  <c:v>0.21462478887584266</c:v>
                </c:pt>
                <c:pt idx="40">
                  <c:v>0.21766947420343538</c:v>
                </c:pt>
                <c:pt idx="41">
                  <c:v>0.22075280292671262</c:v>
                </c:pt>
                <c:pt idx="42">
                  <c:v>0.22387317838454884</c:v>
                </c:pt>
                <c:pt idx="43">
                  <c:v>0.22702907302810366</c:v>
                </c:pt>
                <c:pt idx="44">
                  <c:v>0.23021902614684137</c:v>
                </c:pt>
                <c:pt idx="45">
                  <c:v>0.23344164152952668</c:v>
                </c:pt>
                <c:pt idx="46">
                  <c:v>0.23669558508768185</c:v>
                </c:pt>
                <c:pt idx="47">
                  <c:v>0.23997958246484227</c:v>
                </c:pt>
                <c:pt idx="48">
                  <c:v>0.24329241665123894</c:v>
                </c:pt>
                <c:pt idx="49">
                  <c:v>0.24663292562024244</c:v>
                </c:pt>
                <c:pt idx="50">
                  <c:v>0.25000000000000011</c:v>
                </c:pt>
              </c:numCache>
            </c:numRef>
          </c:xVal>
          <c:yVal>
            <c:numRef>
              <c:f>Frontier!$D$14:$D$64</c:f>
              <c:numCache>
                <c:formatCode>0.00%</c:formatCode>
                <c:ptCount val="51"/>
                <c:pt idx="0">
                  <c:v>0.02</c:v>
                </c:pt>
                <c:pt idx="1">
                  <c:v>2.0199999999999999E-2</c:v>
                </c:pt>
                <c:pt idx="2">
                  <c:v>2.0399999999999998E-2</c:v>
                </c:pt>
                <c:pt idx="3">
                  <c:v>2.06E-2</c:v>
                </c:pt>
                <c:pt idx="4">
                  <c:v>2.0799999999999999E-2</c:v>
                </c:pt>
                <c:pt idx="5">
                  <c:v>2.1000000000000001E-2</c:v>
                </c:pt>
                <c:pt idx="6">
                  <c:v>2.12E-2</c:v>
                </c:pt>
                <c:pt idx="7">
                  <c:v>2.1400000000000002E-2</c:v>
                </c:pt>
                <c:pt idx="8">
                  <c:v>2.1599999999999998E-2</c:v>
                </c:pt>
                <c:pt idx="9">
                  <c:v>2.18E-2</c:v>
                </c:pt>
                <c:pt idx="10">
                  <c:v>2.1999999999999999E-2</c:v>
                </c:pt>
                <c:pt idx="11">
                  <c:v>2.2200000000000001E-2</c:v>
                </c:pt>
                <c:pt idx="12">
                  <c:v>2.24E-2</c:v>
                </c:pt>
                <c:pt idx="13">
                  <c:v>2.2599999999999999E-2</c:v>
                </c:pt>
                <c:pt idx="14">
                  <c:v>2.2800000000000001E-2</c:v>
                </c:pt>
                <c:pt idx="15">
                  <c:v>2.3E-2</c:v>
                </c:pt>
                <c:pt idx="16">
                  <c:v>2.3199999999999998E-2</c:v>
                </c:pt>
                <c:pt idx="17">
                  <c:v>2.3399999999999997E-2</c:v>
                </c:pt>
                <c:pt idx="18">
                  <c:v>2.3599999999999999E-2</c:v>
                </c:pt>
                <c:pt idx="19">
                  <c:v>2.3800000000000002E-2</c:v>
                </c:pt>
                <c:pt idx="20">
                  <c:v>2.4E-2</c:v>
                </c:pt>
                <c:pt idx="21">
                  <c:v>2.4199999999999999E-2</c:v>
                </c:pt>
                <c:pt idx="22">
                  <c:v>2.4399999999999998E-2</c:v>
                </c:pt>
                <c:pt idx="23">
                  <c:v>2.46E-2</c:v>
                </c:pt>
                <c:pt idx="24">
                  <c:v>2.4799999999999999E-2</c:v>
                </c:pt>
                <c:pt idx="25">
                  <c:v>2.5000000000000001E-2</c:v>
                </c:pt>
                <c:pt idx="26">
                  <c:v>2.52E-2</c:v>
                </c:pt>
                <c:pt idx="27">
                  <c:v>2.5399999999999999E-2</c:v>
                </c:pt>
                <c:pt idx="28">
                  <c:v>2.5600000000000005E-2</c:v>
                </c:pt>
                <c:pt idx="29">
                  <c:v>2.5800000000000003E-2</c:v>
                </c:pt>
                <c:pt idx="30">
                  <c:v>2.6000000000000002E-2</c:v>
                </c:pt>
                <c:pt idx="31">
                  <c:v>2.6200000000000001E-2</c:v>
                </c:pt>
                <c:pt idx="32">
                  <c:v>2.64E-2</c:v>
                </c:pt>
                <c:pt idx="33">
                  <c:v>2.6600000000000006E-2</c:v>
                </c:pt>
                <c:pt idx="34">
                  <c:v>2.6800000000000004E-2</c:v>
                </c:pt>
                <c:pt idx="35">
                  <c:v>2.7000000000000003E-2</c:v>
                </c:pt>
                <c:pt idx="36">
                  <c:v>2.7200000000000002E-2</c:v>
                </c:pt>
                <c:pt idx="37">
                  <c:v>2.7400000000000001E-2</c:v>
                </c:pt>
                <c:pt idx="38">
                  <c:v>2.76E-2</c:v>
                </c:pt>
                <c:pt idx="39">
                  <c:v>2.7800000000000005E-2</c:v>
                </c:pt>
                <c:pt idx="40">
                  <c:v>2.8000000000000004E-2</c:v>
                </c:pt>
                <c:pt idx="41">
                  <c:v>2.8200000000000003E-2</c:v>
                </c:pt>
                <c:pt idx="42">
                  <c:v>2.8400000000000002E-2</c:v>
                </c:pt>
                <c:pt idx="43">
                  <c:v>2.86E-2</c:v>
                </c:pt>
                <c:pt idx="44">
                  <c:v>2.8800000000000006E-2</c:v>
                </c:pt>
                <c:pt idx="45">
                  <c:v>2.9000000000000005E-2</c:v>
                </c:pt>
                <c:pt idx="46">
                  <c:v>2.9200000000000004E-2</c:v>
                </c:pt>
                <c:pt idx="47">
                  <c:v>2.9400000000000003E-2</c:v>
                </c:pt>
                <c:pt idx="48">
                  <c:v>2.9600000000000001E-2</c:v>
                </c:pt>
                <c:pt idx="49">
                  <c:v>2.9800000000000007E-2</c:v>
                </c:pt>
                <c:pt idx="50">
                  <c:v>3.0000000000000002E-2</c:v>
                </c:pt>
              </c:numCache>
            </c:numRef>
          </c:yVal>
          <c:smooth val="1"/>
        </c:ser>
        <c:ser>
          <c:idx val="0"/>
          <c:order val="2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Frontier!$K$14:$K$64</c:f>
              <c:numCache>
                <c:formatCode>0.00%</c:formatCode>
                <c:ptCount val="51"/>
                <c:pt idx="0">
                  <c:v>0.15</c:v>
                </c:pt>
                <c:pt idx="1">
                  <c:v>0.152</c:v>
                </c:pt>
                <c:pt idx="2">
                  <c:v>0.154</c:v>
                </c:pt>
                <c:pt idx="3">
                  <c:v>0.15599999999999997</c:v>
                </c:pt>
                <c:pt idx="4">
                  <c:v>0.158</c:v>
                </c:pt>
                <c:pt idx="5">
                  <c:v>0.16</c:v>
                </c:pt>
                <c:pt idx="6">
                  <c:v>0.16200000000000001</c:v>
                </c:pt>
                <c:pt idx="7">
                  <c:v>0.16400000000000001</c:v>
                </c:pt>
                <c:pt idx="8">
                  <c:v>0.16600000000000001</c:v>
                </c:pt>
                <c:pt idx="9">
                  <c:v>0.16799999999999998</c:v>
                </c:pt>
                <c:pt idx="10">
                  <c:v>0.16999999999999998</c:v>
                </c:pt>
                <c:pt idx="11">
                  <c:v>0.17199999999999999</c:v>
                </c:pt>
                <c:pt idx="12">
                  <c:v>0.17399999999999999</c:v>
                </c:pt>
                <c:pt idx="13">
                  <c:v>0.17599999999999999</c:v>
                </c:pt>
                <c:pt idx="14">
                  <c:v>0.17799999999999999</c:v>
                </c:pt>
                <c:pt idx="15">
                  <c:v>0.18</c:v>
                </c:pt>
                <c:pt idx="16">
                  <c:v>0.182</c:v>
                </c:pt>
                <c:pt idx="17">
                  <c:v>0.184</c:v>
                </c:pt>
                <c:pt idx="18">
                  <c:v>0.186</c:v>
                </c:pt>
                <c:pt idx="19">
                  <c:v>0.188</c:v>
                </c:pt>
                <c:pt idx="20">
                  <c:v>0.19</c:v>
                </c:pt>
                <c:pt idx="21">
                  <c:v>0.192</c:v>
                </c:pt>
                <c:pt idx="22">
                  <c:v>0.19400000000000001</c:v>
                </c:pt>
                <c:pt idx="23">
                  <c:v>0.19600000000000001</c:v>
                </c:pt>
                <c:pt idx="24">
                  <c:v>0.19800000000000001</c:v>
                </c:pt>
                <c:pt idx="25">
                  <c:v>0.2</c:v>
                </c:pt>
                <c:pt idx="26">
                  <c:v>0.20200000000000001</c:v>
                </c:pt>
                <c:pt idx="27">
                  <c:v>0.20400000000000001</c:v>
                </c:pt>
                <c:pt idx="28">
                  <c:v>0.20600000000000002</c:v>
                </c:pt>
                <c:pt idx="29">
                  <c:v>0.20800000000000002</c:v>
                </c:pt>
                <c:pt idx="30">
                  <c:v>0.21000000000000002</c:v>
                </c:pt>
                <c:pt idx="31">
                  <c:v>0.21200000000000002</c:v>
                </c:pt>
                <c:pt idx="32">
                  <c:v>0.21400000000000002</c:v>
                </c:pt>
                <c:pt idx="33">
                  <c:v>0.21600000000000003</c:v>
                </c:pt>
                <c:pt idx="34">
                  <c:v>0.21800000000000003</c:v>
                </c:pt>
                <c:pt idx="35">
                  <c:v>0.22000000000000003</c:v>
                </c:pt>
                <c:pt idx="36">
                  <c:v>0.22200000000000003</c:v>
                </c:pt>
                <c:pt idx="37">
                  <c:v>0.22400000000000003</c:v>
                </c:pt>
                <c:pt idx="38">
                  <c:v>0.22600000000000003</c:v>
                </c:pt>
                <c:pt idx="39">
                  <c:v>0.22800000000000004</c:v>
                </c:pt>
                <c:pt idx="40">
                  <c:v>0.23000000000000004</c:v>
                </c:pt>
                <c:pt idx="41">
                  <c:v>0.23200000000000004</c:v>
                </c:pt>
                <c:pt idx="42">
                  <c:v>0.23400000000000004</c:v>
                </c:pt>
                <c:pt idx="43">
                  <c:v>0.23600000000000004</c:v>
                </c:pt>
                <c:pt idx="44">
                  <c:v>0.23800000000000004</c:v>
                </c:pt>
                <c:pt idx="45">
                  <c:v>0.24000000000000005</c:v>
                </c:pt>
                <c:pt idx="46">
                  <c:v>0.24200000000000005</c:v>
                </c:pt>
                <c:pt idx="47">
                  <c:v>0.24400000000000005</c:v>
                </c:pt>
                <c:pt idx="48">
                  <c:v>0.24600000000000005</c:v>
                </c:pt>
                <c:pt idx="49">
                  <c:v>0.24800000000000005</c:v>
                </c:pt>
                <c:pt idx="50">
                  <c:v>0.25000000000000006</c:v>
                </c:pt>
              </c:numCache>
            </c:numRef>
          </c:xVal>
          <c:yVal>
            <c:numRef>
              <c:f>Frontier!$L$14:$L$64</c:f>
              <c:numCache>
                <c:formatCode>0.00%</c:formatCode>
                <c:ptCount val="51"/>
                <c:pt idx="0">
                  <c:v>0.02</c:v>
                </c:pt>
                <c:pt idx="1">
                  <c:v>2.0199999999999999E-2</c:v>
                </c:pt>
                <c:pt idx="2">
                  <c:v>2.0399999999999998E-2</c:v>
                </c:pt>
                <c:pt idx="3">
                  <c:v>2.06E-2</c:v>
                </c:pt>
                <c:pt idx="4">
                  <c:v>2.0799999999999999E-2</c:v>
                </c:pt>
                <c:pt idx="5">
                  <c:v>2.1000000000000001E-2</c:v>
                </c:pt>
                <c:pt idx="6">
                  <c:v>2.12E-2</c:v>
                </c:pt>
                <c:pt idx="7">
                  <c:v>2.1400000000000002E-2</c:v>
                </c:pt>
                <c:pt idx="8">
                  <c:v>2.1599999999999998E-2</c:v>
                </c:pt>
                <c:pt idx="9">
                  <c:v>2.18E-2</c:v>
                </c:pt>
                <c:pt idx="10">
                  <c:v>2.1999999999999999E-2</c:v>
                </c:pt>
                <c:pt idx="11">
                  <c:v>2.2200000000000001E-2</c:v>
                </c:pt>
                <c:pt idx="12">
                  <c:v>2.24E-2</c:v>
                </c:pt>
                <c:pt idx="13">
                  <c:v>2.2599999999999999E-2</c:v>
                </c:pt>
                <c:pt idx="14">
                  <c:v>2.2800000000000001E-2</c:v>
                </c:pt>
                <c:pt idx="15">
                  <c:v>2.3E-2</c:v>
                </c:pt>
                <c:pt idx="16">
                  <c:v>2.3199999999999998E-2</c:v>
                </c:pt>
                <c:pt idx="17">
                  <c:v>2.3399999999999997E-2</c:v>
                </c:pt>
                <c:pt idx="18">
                  <c:v>2.3599999999999999E-2</c:v>
                </c:pt>
                <c:pt idx="19">
                  <c:v>2.3800000000000002E-2</c:v>
                </c:pt>
                <c:pt idx="20">
                  <c:v>2.4E-2</c:v>
                </c:pt>
                <c:pt idx="21">
                  <c:v>2.4199999999999999E-2</c:v>
                </c:pt>
                <c:pt idx="22">
                  <c:v>2.4399999999999998E-2</c:v>
                </c:pt>
                <c:pt idx="23">
                  <c:v>2.46E-2</c:v>
                </c:pt>
                <c:pt idx="24">
                  <c:v>2.4799999999999999E-2</c:v>
                </c:pt>
                <c:pt idx="25">
                  <c:v>2.5000000000000001E-2</c:v>
                </c:pt>
                <c:pt idx="26">
                  <c:v>2.52E-2</c:v>
                </c:pt>
                <c:pt idx="27">
                  <c:v>2.5399999999999999E-2</c:v>
                </c:pt>
                <c:pt idx="28">
                  <c:v>2.5600000000000005E-2</c:v>
                </c:pt>
                <c:pt idx="29">
                  <c:v>2.5800000000000003E-2</c:v>
                </c:pt>
                <c:pt idx="30">
                  <c:v>2.6000000000000002E-2</c:v>
                </c:pt>
                <c:pt idx="31">
                  <c:v>2.6200000000000001E-2</c:v>
                </c:pt>
                <c:pt idx="32">
                  <c:v>2.64E-2</c:v>
                </c:pt>
                <c:pt idx="33">
                  <c:v>2.6600000000000006E-2</c:v>
                </c:pt>
                <c:pt idx="34">
                  <c:v>2.6800000000000004E-2</c:v>
                </c:pt>
                <c:pt idx="35">
                  <c:v>2.7000000000000003E-2</c:v>
                </c:pt>
                <c:pt idx="36">
                  <c:v>2.7200000000000002E-2</c:v>
                </c:pt>
                <c:pt idx="37">
                  <c:v>2.7400000000000001E-2</c:v>
                </c:pt>
                <c:pt idx="38">
                  <c:v>2.76E-2</c:v>
                </c:pt>
                <c:pt idx="39">
                  <c:v>2.7800000000000005E-2</c:v>
                </c:pt>
                <c:pt idx="40">
                  <c:v>2.8000000000000004E-2</c:v>
                </c:pt>
                <c:pt idx="41">
                  <c:v>2.8200000000000003E-2</c:v>
                </c:pt>
                <c:pt idx="42">
                  <c:v>2.8400000000000002E-2</c:v>
                </c:pt>
                <c:pt idx="43">
                  <c:v>2.86E-2</c:v>
                </c:pt>
                <c:pt idx="44">
                  <c:v>2.8800000000000006E-2</c:v>
                </c:pt>
                <c:pt idx="45">
                  <c:v>2.9000000000000005E-2</c:v>
                </c:pt>
                <c:pt idx="46">
                  <c:v>2.9200000000000004E-2</c:v>
                </c:pt>
                <c:pt idx="47">
                  <c:v>2.9400000000000003E-2</c:v>
                </c:pt>
                <c:pt idx="48">
                  <c:v>2.9600000000000001E-2</c:v>
                </c:pt>
                <c:pt idx="49">
                  <c:v>2.9800000000000007E-2</c:v>
                </c:pt>
                <c:pt idx="50">
                  <c:v>3.0000000000000002E-2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728736"/>
        <c:axId val="873729296"/>
      </c:scatterChart>
      <c:valAx>
        <c:axId val="87372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729296"/>
        <c:crosses val="autoZero"/>
        <c:crossBetween val="midCat"/>
      </c:valAx>
      <c:valAx>
        <c:axId val="8737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72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27</xdr:row>
      <xdr:rowOff>0</xdr:rowOff>
    </xdr:from>
    <xdr:to>
      <xdr:col>22</xdr:col>
      <xdr:colOff>390525</xdr:colOff>
      <xdr:row>44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0.53623</cdr:x>
      <cdr:y>0.15208</cdr:y>
    </cdr:from>
    <cdr:to>
      <cdr:x>0.61775</cdr:x>
      <cdr:y>0.32138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19400" y="504824"/>
          <a:ext cx="428625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000">
              <a:solidFill>
                <a:srgbClr val="A1D947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0.63647</cdr:x>
      <cdr:y>0.02104</cdr:y>
    </cdr:from>
    <cdr:to>
      <cdr:x>0.718</cdr:x>
      <cdr:y>0.19034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346450" y="69850"/>
          <a:ext cx="428625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rgbClr val="FFC000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0.77234</cdr:x>
      <cdr:y>0.38259</cdr:y>
    </cdr:from>
    <cdr:to>
      <cdr:x>0.85386</cdr:x>
      <cdr:y>0.55189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060825" y="1270000"/>
          <a:ext cx="428625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rgbClr val="FF0000"/>
              </a:solidFill>
            </a:rPr>
            <a:t>C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133349</xdr:colOff>
      <xdr:row>28</xdr:row>
      <xdr:rowOff>4762</xdr:rowOff>
    </xdr:from>
    <xdr:to>
      <xdr:col>27</xdr:col>
      <xdr:colOff>200024</xdr:colOff>
      <xdr:row>45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12</xdr:row>
      <xdr:rowOff>52386</xdr:rowOff>
    </xdr:from>
    <xdr:to>
      <xdr:col>30</xdr:col>
      <xdr:colOff>180975</xdr:colOff>
      <xdr:row>56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86"/>
  <sheetViews>
    <sheetView topLeftCell="H31" workbookViewId="0">
      <selection activeCell="H35" sqref="H35"/>
    </sheetView>
  </sheetViews>
  <sheetFormatPr defaultRowHeight="15"/>
  <cols>
    <col min="1" max="1" width="13.85546875" customWidth="1"/>
    <col min="9" max="9" width="23.85546875" customWidth="1"/>
    <col min="10" max="10" width="9.7109375" customWidth="1"/>
    <col min="11" max="11" width="14.28515625" customWidth="1"/>
    <col min="12" max="12" width="9.5703125" bestFit="1" customWidth="1"/>
    <col min="13" max="13" width="10.140625" customWidth="1"/>
  </cols>
  <sheetData>
    <row r="1" spans="1:94">
      <c r="A1" t="s">
        <v>0</v>
      </c>
      <c r="B1" t="s">
        <v>1</v>
      </c>
      <c r="C1" t="s">
        <v>2</v>
      </c>
      <c r="F1" t="s">
        <v>3</v>
      </c>
      <c r="G1" t="s">
        <v>4</v>
      </c>
      <c r="I1" t="s">
        <v>3</v>
      </c>
      <c r="J1">
        <v>-4.7058823529411757E-2</v>
      </c>
      <c r="K1">
        <v>2.2074659009332448E-2</v>
      </c>
      <c r="L1">
        <v>0.11018131101813113</v>
      </c>
      <c r="M1">
        <v>4.4026415849509476E-3</v>
      </c>
      <c r="N1">
        <v>2.2927328556806497E-2</v>
      </c>
      <c r="O1">
        <v>-9.3355605048255394E-2</v>
      </c>
      <c r="P1">
        <v>6.3560994867745885E-2</v>
      </c>
      <c r="Q1">
        <v>-3.302156900171796E-2</v>
      </c>
      <c r="R1">
        <v>0.11373299319727895</v>
      </c>
      <c r="S1">
        <v>3.9098740888005211E-2</v>
      </c>
      <c r="T1">
        <v>-2.9789969995713535E-2</v>
      </c>
      <c r="U1">
        <v>3.9661319073083644E-2</v>
      </c>
      <c r="V1">
        <v>7.7551020408163363E-2</v>
      </c>
      <c r="W1">
        <v>7.0418915445900856E-2</v>
      </c>
      <c r="X1">
        <v>-1.4437689969604872E-2</v>
      </c>
      <c r="Y1">
        <v>3.730951129795046E-2</v>
      </c>
      <c r="Z1">
        <v>8.9919816723940449E-2</v>
      </c>
      <c r="AA1">
        <v>3.1610044313146242E-2</v>
      </c>
      <c r="AB1">
        <v>1.5906362545018041E-2</v>
      </c>
      <c r="AC1">
        <v>7.7968295050145589E-2</v>
      </c>
      <c r="AD1">
        <v>-0.22879241516966065</v>
      </c>
      <c r="AE1">
        <v>-5.9154929577464863E-2</v>
      </c>
      <c r="AF1">
        <v>0.17161716171617167</v>
      </c>
      <c r="AG1">
        <v>5.2083333333333245E-2</v>
      </c>
      <c r="AH1">
        <v>0.12978097417456694</v>
      </c>
      <c r="AI1">
        <v>7.3710073710073765E-2</v>
      </c>
      <c r="AJ1">
        <v>-0.10885204879574603</v>
      </c>
      <c r="AK1">
        <v>0.16423889293517838</v>
      </c>
      <c r="AL1">
        <v>-0.19824817518248172</v>
      </c>
      <c r="AM1">
        <v>-7.1312364425162755E-2</v>
      </c>
      <c r="AN1">
        <v>-5.9299191374662767E-3</v>
      </c>
      <c r="AO1">
        <v>-5.33299311048736E-2</v>
      </c>
      <c r="AP1">
        <v>-5.2237001209189927E-2</v>
      </c>
      <c r="AQ1">
        <v>-4.8134777376653611E-3</v>
      </c>
      <c r="AR1">
        <v>-1.2829650748396442E-2</v>
      </c>
      <c r="AS1">
        <v>3.9002715378918917E-2</v>
      </c>
      <c r="AT1">
        <v>6.074888714323122E-2</v>
      </c>
      <c r="AU1">
        <v>0.13424413424413412</v>
      </c>
      <c r="AV1">
        <v>-6.198347107438041E-3</v>
      </c>
      <c r="AW1">
        <v>-9.9357101110460633E-3</v>
      </c>
      <c r="AX1">
        <v>4.6803303762618577E-2</v>
      </c>
      <c r="AY1">
        <v>-9.7459966869133108E-2</v>
      </c>
      <c r="AZ1">
        <v>0.10191664131426838</v>
      </c>
      <c r="BA1">
        <v>-7.5126617895329262E-2</v>
      </c>
      <c r="BB1">
        <v>-7.0606694560669522E-2</v>
      </c>
      <c r="BC1">
        <v>-4.7334329845540569E-2</v>
      </c>
      <c r="BD1">
        <v>6.6135458167330727E-2</v>
      </c>
      <c r="BE1">
        <v>7.7870025765817322E-2</v>
      </c>
      <c r="BF1">
        <v>-6.4291454594160163E-2</v>
      </c>
      <c r="BG1">
        <v>-1.9437877593906014E-2</v>
      </c>
      <c r="BH1">
        <v>1.7370390165686759E-2</v>
      </c>
      <c r="BI1">
        <v>-4.5651619484825275E-2</v>
      </c>
      <c r="BJ1">
        <v>8.2283363332476284E-3</v>
      </c>
      <c r="BK1">
        <v>0.12463851937536155</v>
      </c>
      <c r="BL1">
        <v>0.13451443569553798</v>
      </c>
      <c r="BM1">
        <v>-7.5523202911737905E-2</v>
      </c>
      <c r="BN1">
        <v>0.11800610376398782</v>
      </c>
      <c r="BO1">
        <v>0.24377899620413315</v>
      </c>
      <c r="BP1">
        <v>0.1633954857703632</v>
      </c>
      <c r="BQ1">
        <v>-0.10417582417582422</v>
      </c>
      <c r="BR1">
        <v>-0.18106551475881932</v>
      </c>
      <c r="BS1">
        <v>-4.3010752688171132E-3</v>
      </c>
      <c r="BT1">
        <v>-0.23246217331499319</v>
      </c>
      <c r="BU1">
        <v>-0.10972324271369084</v>
      </c>
      <c r="BV1">
        <v>0.21301247771836015</v>
      </c>
      <c r="BW1">
        <v>-5.263157894736855E-2</v>
      </c>
      <c r="BX1">
        <v>0.19750589821368383</v>
      </c>
      <c r="BY1">
        <v>-0.2019903173749327</v>
      </c>
      <c r="BZ1">
        <v>-9.7572815533980659E-2</v>
      </c>
      <c r="CA1">
        <v>0.11834961997828444</v>
      </c>
      <c r="CB1">
        <v>5.6495554918268027E-2</v>
      </c>
      <c r="CC1">
        <v>-0.14240039350713229</v>
      </c>
      <c r="CD1">
        <v>9.5661546752896717E-2</v>
      </c>
      <c r="CE1">
        <v>-4.3310131477184835E-2</v>
      </c>
      <c r="CF1">
        <v>-2.927927927927932E-2</v>
      </c>
      <c r="CG1">
        <v>3.3893919793014288E-2</v>
      </c>
      <c r="CH1">
        <v>2.9294274300932132E-2</v>
      </c>
      <c r="CI1">
        <v>1.1584051724137925E-2</v>
      </c>
      <c r="CJ1">
        <v>-8.45869297163995E-2</v>
      </c>
      <c r="CK1">
        <v>-6.5237436606731328E-2</v>
      </c>
      <c r="CL1">
        <v>-5.0458715596330009E-3</v>
      </c>
      <c r="CM1">
        <v>8.4577114427860658E-2</v>
      </c>
      <c r="CN1">
        <v>-2.0467836257309854E-2</v>
      </c>
      <c r="CO1">
        <v>-3.0245746691871481E-2</v>
      </c>
      <c r="CP1" t="e">
        <v>#DIV/0!</v>
      </c>
    </row>
    <row r="2" spans="1:94">
      <c r="A2" s="1">
        <v>41641</v>
      </c>
      <c r="B2">
        <v>54.27</v>
      </c>
      <c r="C2">
        <v>36.57</v>
      </c>
      <c r="F2">
        <f>(B2-B3)/B3</f>
        <v>-4.7058823529411757E-2</v>
      </c>
      <c r="G2">
        <f t="shared" ref="G2:G65" si="0">(C2-C3)/C3</f>
        <v>-3.2539682539682459E-2</v>
      </c>
      <c r="I2" t="s">
        <v>4</v>
      </c>
      <c r="J2">
        <v>-3.2539682539682459E-2</v>
      </c>
      <c r="K2">
        <v>8.43373493975903E-2</v>
      </c>
      <c r="L2">
        <v>5.3172205438066403E-2</v>
      </c>
      <c r="M2">
        <v>1.3782542113323212E-2</v>
      </c>
      <c r="N2">
        <v>4.1135204081632626E-2</v>
      </c>
      <c r="O2">
        <v>-1.5075376884422124E-2</v>
      </c>
      <c r="P2">
        <v>5.7455994686150792E-2</v>
      </c>
      <c r="Q2">
        <v>-9.088164251207724E-2</v>
      </c>
      <c r="R2">
        <v>3.049159925326686E-2</v>
      </c>
      <c r="S2">
        <v>1.388012618296534E-2</v>
      </c>
      <c r="T2">
        <v>-5.5985705777248339E-2</v>
      </c>
      <c r="U2">
        <v>-3.5611717403790981E-2</v>
      </c>
      <c r="V2">
        <v>6.5809611264156673E-2</v>
      </c>
      <c r="W2">
        <v>4.1108986615678862E-2</v>
      </c>
      <c r="X2">
        <v>3.5301880567469496E-2</v>
      </c>
      <c r="Y2">
        <v>-1.0124101894186881E-2</v>
      </c>
      <c r="Z2">
        <v>-5.8441558441558348E-3</v>
      </c>
      <c r="AA2">
        <v>4.7975501871384829E-2</v>
      </c>
      <c r="AB2">
        <v>1.8717504332755604E-2</v>
      </c>
      <c r="AC2">
        <v>0.12213146635550372</v>
      </c>
      <c r="AD2">
        <v>-9.9474605954465847E-2</v>
      </c>
      <c r="AE2">
        <v>1.0261854210898766E-2</v>
      </c>
      <c r="AF2">
        <v>-3.1746031746031694E-3</v>
      </c>
      <c r="AG2">
        <v>3.6942209217264141E-2</v>
      </c>
      <c r="AH2">
        <v>0.10197501007658208</v>
      </c>
      <c r="AI2">
        <v>-0.18172823218997367</v>
      </c>
      <c r="AJ2">
        <v>-4.3231303250236698E-2</v>
      </c>
      <c r="AK2">
        <v>0.14239365537130508</v>
      </c>
      <c r="AL2">
        <v>2.3994093761535568E-2</v>
      </c>
      <c r="AM2">
        <v>-8.200609962724506E-2</v>
      </c>
      <c r="AN2">
        <v>-6.9378744875433593E-2</v>
      </c>
      <c r="AO2">
        <v>-3.8216560509554083E-2</v>
      </c>
      <c r="AP2">
        <v>-4.8484848484848478E-2</v>
      </c>
      <c r="AQ2">
        <v>7.7760497667185069E-2</v>
      </c>
      <c r="AR2">
        <v>1.611883691529703E-2</v>
      </c>
      <c r="AS2">
        <v>2.7272727272727268E-2</v>
      </c>
      <c r="AT2">
        <v>2.4958402662229616E-2</v>
      </c>
      <c r="AU2">
        <v>0.15710435117443211</v>
      </c>
      <c r="AV2">
        <v>-7.9404466501240764E-2</v>
      </c>
      <c r="AW2">
        <v>9.6385542168674718E-2</v>
      </c>
      <c r="AX2">
        <v>0.22933588150979459</v>
      </c>
      <c r="AY2">
        <v>-7.6345984112974427E-2</v>
      </c>
      <c r="AZ2">
        <v>0.10428849902534117</v>
      </c>
      <c r="BA2">
        <v>-4.9559981472904135E-2</v>
      </c>
      <c r="BB2">
        <v>-0.12732417138237667</v>
      </c>
      <c r="BC2">
        <v>8.1499592502037206E-3</v>
      </c>
      <c r="BD2">
        <v>4.2923926901827371E-2</v>
      </c>
      <c r="BE2">
        <v>6.9059518400726924E-2</v>
      </c>
      <c r="BF2">
        <v>-5.8194266153187818E-2</v>
      </c>
      <c r="BG2">
        <v>0.11126961483594863</v>
      </c>
      <c r="BH2">
        <v>4.6268656716417896E-2</v>
      </c>
      <c r="BI2">
        <v>1.4639071176173787E-2</v>
      </c>
      <c r="BJ2">
        <v>-4.7138047138047159E-2</v>
      </c>
      <c r="BK2">
        <v>-1.1412268188302519E-2</v>
      </c>
      <c r="BL2">
        <v>3.5450516986706176E-2</v>
      </c>
      <c r="BM2">
        <v>9.3699515347334325E-2</v>
      </c>
      <c r="BN2">
        <v>1.309328968903448E-2</v>
      </c>
      <c r="BO2">
        <v>7.2557050906963044E-2</v>
      </c>
      <c r="BP2">
        <v>0.16337644656228731</v>
      </c>
      <c r="BQ2">
        <v>-7.6681332495286025E-2</v>
      </c>
      <c r="BR2">
        <v>-5.0715990453460702E-2</v>
      </c>
      <c r="BS2">
        <v>0.10190664036817887</v>
      </c>
      <c r="BT2">
        <v>-0.12030075187969916</v>
      </c>
      <c r="BU2">
        <v>-9.9479166666666674E-2</v>
      </c>
      <c r="BV2">
        <v>-7.4252651880424264E-2</v>
      </c>
      <c r="BW2">
        <v>1.8664047151276966E-2</v>
      </c>
      <c r="BX2">
        <v>2.5176233635448138E-2</v>
      </c>
      <c r="BY2">
        <v>-8.0555555555555644E-2</v>
      </c>
      <c r="BZ2">
        <v>9.5334685598377419E-2</v>
      </c>
      <c r="CA2">
        <v>6.5945945945945883E-2</v>
      </c>
      <c r="CB2">
        <v>4.0494938132733339E-2</v>
      </c>
      <c r="CC2">
        <v>-8.4920226453937139E-2</v>
      </c>
      <c r="CD2">
        <v>-8.9929742388758852E-2</v>
      </c>
      <c r="CE2">
        <v>0.11897274633123707</v>
      </c>
      <c r="CF2">
        <v>-8.969465648854974E-2</v>
      </c>
      <c r="CG2">
        <v>2.3937469467513534E-2</v>
      </c>
      <c r="CH2">
        <v>6.7257559958289845E-2</v>
      </c>
      <c r="CI2">
        <v>6.0840707964601858E-2</v>
      </c>
      <c r="CJ2">
        <v>-3.0042918454935744E-2</v>
      </c>
      <c r="CK2">
        <v>1.6912165848336186E-2</v>
      </c>
      <c r="CL2">
        <v>3.093363329583786E-2</v>
      </c>
      <c r="CM2">
        <v>3.7339556592765492E-2</v>
      </c>
      <c r="CN2">
        <v>0.10296010296010305</v>
      </c>
      <c r="CO2">
        <v>-4.2513863216266254E-2</v>
      </c>
      <c r="CP2" t="e">
        <v>#DIV/0!</v>
      </c>
    </row>
    <row r="3" spans="1:94">
      <c r="A3" s="1">
        <v>41610</v>
      </c>
      <c r="B3">
        <v>56.95</v>
      </c>
      <c r="C3">
        <v>37.799999999999997</v>
      </c>
      <c r="F3">
        <f t="shared" ref="F3:F66" si="1">(B3-B4)/B4</f>
        <v>2.2074659009332448E-2</v>
      </c>
      <c r="G3">
        <f t="shared" si="0"/>
        <v>8.43373493975903E-2</v>
      </c>
    </row>
    <row r="4" spans="1:94">
      <c r="A4" s="1">
        <v>41579</v>
      </c>
      <c r="B4">
        <v>55.72</v>
      </c>
      <c r="C4">
        <v>34.86</v>
      </c>
      <c r="F4">
        <f t="shared" si="1"/>
        <v>0.11018131101813113</v>
      </c>
      <c r="G4">
        <f t="shared" si="0"/>
        <v>5.3172205438066403E-2</v>
      </c>
    </row>
    <row r="5" spans="1:94">
      <c r="A5" s="1">
        <v>41548</v>
      </c>
      <c r="B5">
        <v>50.19</v>
      </c>
      <c r="C5">
        <v>33.1</v>
      </c>
      <c r="F5">
        <f t="shared" si="1"/>
        <v>4.4026415849509476E-3</v>
      </c>
      <c r="G5">
        <f t="shared" si="0"/>
        <v>1.3782542113323212E-2</v>
      </c>
      <c r="I5" s="31" t="s">
        <v>5</v>
      </c>
      <c r="J5" s="31"/>
    </row>
    <row r="6" spans="1:94">
      <c r="A6" s="1">
        <v>41520</v>
      </c>
      <c r="B6">
        <v>49.97</v>
      </c>
      <c r="C6">
        <v>32.65</v>
      </c>
      <c r="F6">
        <f t="shared" si="1"/>
        <v>2.2927328556806497E-2</v>
      </c>
      <c r="G6">
        <f t="shared" si="0"/>
        <v>4.1135204081632626E-2</v>
      </c>
    </row>
    <row r="7" spans="1:94">
      <c r="A7" s="1">
        <v>41487</v>
      </c>
      <c r="B7">
        <v>48.85</v>
      </c>
      <c r="C7">
        <v>31.36</v>
      </c>
      <c r="F7">
        <f t="shared" si="1"/>
        <v>-9.3355605048255394E-2</v>
      </c>
      <c r="G7">
        <f t="shared" si="0"/>
        <v>-1.5075376884422124E-2</v>
      </c>
      <c r="J7" t="s">
        <v>1</v>
      </c>
      <c r="K7" t="s">
        <v>2</v>
      </c>
    </row>
    <row r="8" spans="1:94">
      <c r="A8" s="1">
        <v>41456</v>
      </c>
      <c r="B8">
        <v>53.88</v>
      </c>
      <c r="C8">
        <v>31.84</v>
      </c>
      <c r="F8">
        <f t="shared" si="1"/>
        <v>6.3560994867745885E-2</v>
      </c>
      <c r="G8">
        <f t="shared" si="0"/>
        <v>5.7455994686150792E-2</v>
      </c>
      <c r="I8" t="s">
        <v>1</v>
      </c>
      <c r="J8">
        <f>CORREL(F$2:F$85, $J1:$CO1)</f>
        <v>0.99999999999999978</v>
      </c>
      <c r="K8">
        <f t="shared" ref="K8:K9" si="2">CORREL(G$2:G$85, $J1:$CO1)</f>
        <v>0.44496047417928469</v>
      </c>
    </row>
    <row r="9" spans="1:94">
      <c r="A9" s="1">
        <v>41428</v>
      </c>
      <c r="B9">
        <v>50.66</v>
      </c>
      <c r="C9">
        <v>30.11</v>
      </c>
      <c r="F9">
        <f t="shared" si="1"/>
        <v>-3.302156900171796E-2</v>
      </c>
      <c r="G9">
        <f t="shared" si="0"/>
        <v>-9.088164251207724E-2</v>
      </c>
      <c r="I9" t="s">
        <v>2</v>
      </c>
      <c r="J9">
        <f t="shared" ref="J9" si="3">CORREL(F$2:F$85, $J2:$CO2)</f>
        <v>0.44496047417928469</v>
      </c>
      <c r="K9">
        <f t="shared" si="2"/>
        <v>0.99999999999999989</v>
      </c>
    </row>
    <row r="10" spans="1:94">
      <c r="A10" s="1">
        <v>41395</v>
      </c>
      <c r="B10">
        <v>52.39</v>
      </c>
      <c r="C10">
        <v>33.119999999999997</v>
      </c>
      <c r="F10">
        <f t="shared" si="1"/>
        <v>0.11373299319727895</v>
      </c>
      <c r="G10">
        <f t="shared" si="0"/>
        <v>3.049159925326686E-2</v>
      </c>
    </row>
    <row r="11" spans="1:94">
      <c r="A11" s="1">
        <v>41365</v>
      </c>
      <c r="B11">
        <v>47.04</v>
      </c>
      <c r="C11">
        <v>32.14</v>
      </c>
      <c r="F11">
        <f t="shared" si="1"/>
        <v>3.9098740888005211E-2</v>
      </c>
      <c r="G11">
        <f t="shared" si="0"/>
        <v>1.388012618296534E-2</v>
      </c>
    </row>
    <row r="12" spans="1:94">
      <c r="A12" s="1">
        <v>41334</v>
      </c>
      <c r="B12">
        <v>45.27</v>
      </c>
      <c r="C12">
        <v>31.7</v>
      </c>
      <c r="F12">
        <f t="shared" si="1"/>
        <v>-2.9789969995713535E-2</v>
      </c>
      <c r="G12">
        <f t="shared" si="0"/>
        <v>-5.5985705777248339E-2</v>
      </c>
      <c r="I12" t="s">
        <v>6</v>
      </c>
      <c r="J12" s="3">
        <f>AVERAGE(F$2:F$85)</f>
        <v>7.8042466901242103E-3</v>
      </c>
      <c r="K12" s="3">
        <f>AVERAGE(G$2:G$85)</f>
        <v>1.2512287040630747E-2</v>
      </c>
    </row>
    <row r="13" spans="1:94">
      <c r="A13" s="1">
        <v>41306</v>
      </c>
      <c r="B13">
        <v>46.66</v>
      </c>
      <c r="C13">
        <v>33.58</v>
      </c>
      <c r="F13">
        <f t="shared" si="1"/>
        <v>3.9661319073083644E-2</v>
      </c>
      <c r="G13">
        <f t="shared" si="0"/>
        <v>-3.5611717403790981E-2</v>
      </c>
      <c r="I13" t="s">
        <v>8</v>
      </c>
      <c r="J13" s="16">
        <f>STDEVP(F$2:F$85)</f>
        <v>9.7715533372254901E-2</v>
      </c>
      <c r="K13" s="3">
        <f>STDEVP(G$2:G$85)</f>
        <v>7.5089754555458674E-2</v>
      </c>
    </row>
    <row r="14" spans="1:94">
      <c r="A14" s="1">
        <v>41276</v>
      </c>
      <c r="B14">
        <v>44.88</v>
      </c>
      <c r="C14">
        <v>34.82</v>
      </c>
      <c r="F14">
        <f t="shared" si="1"/>
        <v>7.7551020408163363E-2</v>
      </c>
      <c r="G14">
        <f t="shared" si="0"/>
        <v>6.5809611264156673E-2</v>
      </c>
      <c r="I14" t="s">
        <v>9</v>
      </c>
      <c r="J14">
        <f>VARP(F$2:F$85)</f>
        <v>9.5483254622242605E-3</v>
      </c>
      <c r="K14">
        <f>VARP(G$2:G$85)</f>
        <v>5.6384712391990268E-3</v>
      </c>
      <c r="L14" s="3"/>
    </row>
    <row r="15" spans="1:94">
      <c r="A15" s="1">
        <v>41246</v>
      </c>
      <c r="B15">
        <v>41.65</v>
      </c>
      <c r="C15">
        <v>32.67</v>
      </c>
      <c r="F15">
        <f t="shared" si="1"/>
        <v>7.0418915445900856E-2</v>
      </c>
      <c r="G15">
        <f t="shared" si="0"/>
        <v>4.1108986615678862E-2</v>
      </c>
      <c r="I15" t="s">
        <v>10</v>
      </c>
      <c r="J15">
        <f>CORREL(F2:F85, G2:G85)</f>
        <v>0.44496047417928469</v>
      </c>
    </row>
    <row r="16" spans="1:94">
      <c r="A16" s="1">
        <v>41214</v>
      </c>
      <c r="B16">
        <v>38.909999999999997</v>
      </c>
      <c r="C16">
        <v>31.38</v>
      </c>
      <c r="F16">
        <f t="shared" si="1"/>
        <v>-1.4437689969604872E-2</v>
      </c>
      <c r="G16">
        <f t="shared" si="0"/>
        <v>3.5301880567469496E-2</v>
      </c>
      <c r="I16" t="s">
        <v>11</v>
      </c>
      <c r="J16">
        <f>COVAR(F2:F85, G2:G85)</f>
        <v>3.2648687424875595E-3</v>
      </c>
      <c r="L16" s="5"/>
    </row>
    <row r="17" spans="1:13">
      <c r="A17" s="1">
        <v>41183</v>
      </c>
      <c r="B17">
        <v>39.479999999999997</v>
      </c>
      <c r="C17">
        <v>30.31</v>
      </c>
      <c r="F17">
        <f t="shared" si="1"/>
        <v>3.730951129795046E-2</v>
      </c>
      <c r="G17">
        <f t="shared" si="0"/>
        <v>-1.0124101894186881E-2</v>
      </c>
    </row>
    <row r="18" spans="1:13">
      <c r="A18" s="1">
        <v>41156</v>
      </c>
      <c r="B18">
        <v>38.06</v>
      </c>
      <c r="C18">
        <v>30.62</v>
      </c>
      <c r="F18">
        <f t="shared" si="1"/>
        <v>8.9919816723940449E-2</v>
      </c>
      <c r="G18">
        <f t="shared" si="0"/>
        <v>-5.8441558441558348E-3</v>
      </c>
    </row>
    <row r="19" spans="1:13">
      <c r="A19" s="1">
        <v>41122</v>
      </c>
      <c r="B19">
        <v>34.92</v>
      </c>
      <c r="C19">
        <v>30.8</v>
      </c>
      <c r="F19">
        <f t="shared" si="1"/>
        <v>3.1610044313146242E-2</v>
      </c>
      <c r="G19">
        <f t="shared" si="0"/>
        <v>4.7975501871384829E-2</v>
      </c>
      <c r="I19" t="s">
        <v>7</v>
      </c>
      <c r="J19" s="3">
        <v>0.27418115521281072</v>
      </c>
      <c r="K19" s="3">
        <f>1-J19</f>
        <v>0.72581884478718928</v>
      </c>
      <c r="L19" s="15"/>
      <c r="M19" s="4">
        <f>$J$19+$K$19</f>
        <v>1</v>
      </c>
    </row>
    <row r="20" spans="1:13">
      <c r="A20" s="1">
        <v>41092</v>
      </c>
      <c r="B20">
        <v>33.85</v>
      </c>
      <c r="C20">
        <v>29.39</v>
      </c>
      <c r="F20">
        <f t="shared" si="1"/>
        <v>1.5906362545018041E-2</v>
      </c>
      <c r="G20">
        <f t="shared" si="0"/>
        <v>1.8717504332755604E-2</v>
      </c>
    </row>
    <row r="21" spans="1:13">
      <c r="A21" s="1">
        <v>41061</v>
      </c>
      <c r="B21">
        <v>33.32</v>
      </c>
      <c r="C21">
        <v>28.85</v>
      </c>
      <c r="F21">
        <f t="shared" si="1"/>
        <v>7.7968295050145589E-2</v>
      </c>
      <c r="G21">
        <f t="shared" si="0"/>
        <v>0.12213146635550372</v>
      </c>
      <c r="I21" t="s">
        <v>12</v>
      </c>
      <c r="J21" s="3">
        <f>$J$19*J12+$K$19*K12</f>
        <v>1.122143109854034E-2</v>
      </c>
    </row>
    <row r="22" spans="1:13">
      <c r="A22" s="1">
        <v>41030</v>
      </c>
      <c r="B22">
        <v>30.91</v>
      </c>
      <c r="C22">
        <v>25.71</v>
      </c>
      <c r="F22">
        <f t="shared" si="1"/>
        <v>-0.22879241516966065</v>
      </c>
      <c r="G22">
        <f t="shared" si="0"/>
        <v>-9.9474605954465847E-2</v>
      </c>
      <c r="I22" t="s">
        <v>13</v>
      </c>
      <c r="J22" s="4">
        <f>$J$19^2*J14+$K$19^2*K14+2*$J$19*$K$19*$J$16</f>
        <v>4.9876741646346645E-3</v>
      </c>
      <c r="K22" s="3"/>
    </row>
    <row r="23" spans="1:13">
      <c r="A23" s="1">
        <v>41001</v>
      </c>
      <c r="B23">
        <v>40.08</v>
      </c>
      <c r="C23">
        <v>28.55</v>
      </c>
      <c r="F23">
        <f t="shared" si="1"/>
        <v>-5.9154929577464863E-2</v>
      </c>
      <c r="G23">
        <f t="shared" si="0"/>
        <v>1.0261854210898766E-2</v>
      </c>
      <c r="I23" t="s">
        <v>14</v>
      </c>
      <c r="J23" s="3">
        <f>SQRT(J22)</f>
        <v>7.0623467520610064E-2</v>
      </c>
    </row>
    <row r="24" spans="1:13">
      <c r="A24" s="1">
        <v>40969</v>
      </c>
      <c r="B24">
        <v>42.6</v>
      </c>
      <c r="C24">
        <v>28.26</v>
      </c>
      <c r="F24">
        <f t="shared" si="1"/>
        <v>0.17161716171617167</v>
      </c>
      <c r="G24">
        <f t="shared" si="0"/>
        <v>-3.1746031746031694E-3</v>
      </c>
    </row>
    <row r="25" spans="1:13">
      <c r="A25" s="1">
        <v>40940</v>
      </c>
      <c r="B25">
        <v>36.36</v>
      </c>
      <c r="C25">
        <v>28.35</v>
      </c>
      <c r="F25">
        <f t="shared" si="1"/>
        <v>5.2083333333333245E-2</v>
      </c>
      <c r="G25">
        <f t="shared" si="0"/>
        <v>3.6942209217264141E-2</v>
      </c>
    </row>
    <row r="26" spans="1:13">
      <c r="A26" s="1">
        <v>40911</v>
      </c>
      <c r="B26">
        <v>34.56</v>
      </c>
      <c r="C26">
        <v>27.34</v>
      </c>
      <c r="F26">
        <f t="shared" si="1"/>
        <v>0.12978097417456694</v>
      </c>
      <c r="G26">
        <f t="shared" si="0"/>
        <v>0.10197501007658208</v>
      </c>
      <c r="J26" t="s">
        <v>1</v>
      </c>
      <c r="K26" t="s">
        <v>9</v>
      </c>
      <c r="L26" t="s">
        <v>15</v>
      </c>
      <c r="M26" t="s">
        <v>16</v>
      </c>
    </row>
    <row r="27" spans="1:13" ht="16.5">
      <c r="A27" s="1">
        <v>40878</v>
      </c>
      <c r="B27">
        <v>30.59</v>
      </c>
      <c r="C27">
        <v>24.81</v>
      </c>
      <c r="F27">
        <f t="shared" si="1"/>
        <v>7.3710073710073765E-2</v>
      </c>
      <c r="G27">
        <f t="shared" si="0"/>
        <v>-0.18172823218997367</v>
      </c>
      <c r="I27" s="10" t="s">
        <v>18</v>
      </c>
      <c r="J27" s="12">
        <f>0%</f>
        <v>0</v>
      </c>
      <c r="K27" s="5">
        <f>J27^2*$J$14+(1-J27)^2*$K$14+2*J27*(1-J27)*$J$16</f>
        <v>5.6384712391990268E-3</v>
      </c>
      <c r="L27" s="13">
        <f>SQRT(K27)</f>
        <v>7.5089754555458674E-2</v>
      </c>
      <c r="M27" s="13">
        <f>$J$12*J27+$K$12*(1-J27)</f>
        <v>1.2512287040630747E-2</v>
      </c>
    </row>
    <row r="28" spans="1:13">
      <c r="A28" s="1">
        <v>40848</v>
      </c>
      <c r="B28">
        <v>28.49</v>
      </c>
      <c r="C28">
        <v>30.32</v>
      </c>
      <c r="F28">
        <f t="shared" si="1"/>
        <v>-0.10885204879574603</v>
      </c>
      <c r="G28">
        <f t="shared" si="0"/>
        <v>-4.3231303250236698E-2</v>
      </c>
      <c r="J28" s="2">
        <f>J27+5%</f>
        <v>0.05</v>
      </c>
      <c r="K28" s="5">
        <f t="shared" ref="K28:K47" si="4">J28^2*$J$14+(1-J28)^2*$K$14+2*J28*(1-J28)*$J$16</f>
        <v>5.4227536375690008E-3</v>
      </c>
      <c r="L28" s="3">
        <f t="shared" ref="L28:L47" si="5">SQRT(K28)</f>
        <v>7.3639348432539789E-2</v>
      </c>
      <c r="M28" s="3">
        <f t="shared" ref="M28:M47" si="6">$J$12*J28+$K$12*(1-J28)</f>
        <v>1.227688502310542E-2</v>
      </c>
    </row>
    <row r="29" spans="1:13">
      <c r="A29" s="1">
        <v>40819</v>
      </c>
      <c r="B29">
        <v>31.97</v>
      </c>
      <c r="C29">
        <v>31.69</v>
      </c>
      <c r="F29">
        <f t="shared" si="1"/>
        <v>0.16423889293517838</v>
      </c>
      <c r="G29">
        <f t="shared" si="0"/>
        <v>0.14239365537130508</v>
      </c>
      <c r="J29" s="2">
        <f t="shared" ref="J29:J47" si="7">J28+5%</f>
        <v>0.1</v>
      </c>
      <c r="K29" s="5">
        <f t="shared" si="4"/>
        <v>5.2503213320212157E-3</v>
      </c>
      <c r="L29" s="3">
        <f t="shared" si="5"/>
        <v>7.2459101098628159E-2</v>
      </c>
      <c r="M29" s="3">
        <f t="shared" si="6"/>
        <v>1.2041483005580094E-2</v>
      </c>
    </row>
    <row r="30" spans="1:13">
      <c r="A30" s="1">
        <v>40787</v>
      </c>
      <c r="B30">
        <v>27.46</v>
      </c>
      <c r="C30">
        <v>27.74</v>
      </c>
      <c r="F30">
        <f t="shared" si="1"/>
        <v>-0.19824817518248172</v>
      </c>
      <c r="G30">
        <f t="shared" si="0"/>
        <v>2.3994093761535568E-2</v>
      </c>
      <c r="J30" s="2">
        <f t="shared" si="7"/>
        <v>0.15000000000000002</v>
      </c>
      <c r="K30" s="5">
        <f t="shared" si="4"/>
        <v>5.1211743225556706E-3</v>
      </c>
      <c r="L30" s="3">
        <f t="shared" si="5"/>
        <v>7.1562380637844009E-2</v>
      </c>
      <c r="M30" s="3">
        <f t="shared" si="6"/>
        <v>1.1806080988054767E-2</v>
      </c>
    </row>
    <row r="31" spans="1:13">
      <c r="A31" s="1">
        <v>40756</v>
      </c>
      <c r="B31">
        <v>34.25</v>
      </c>
      <c r="C31">
        <v>27.09</v>
      </c>
      <c r="F31">
        <f t="shared" si="1"/>
        <v>-7.1312364425162755E-2</v>
      </c>
      <c r="G31">
        <f t="shared" si="0"/>
        <v>-8.200609962724506E-2</v>
      </c>
      <c r="J31" s="2">
        <f t="shared" si="7"/>
        <v>0.2</v>
      </c>
      <c r="K31" s="5">
        <f t="shared" si="4"/>
        <v>5.0353126091723681E-3</v>
      </c>
      <c r="L31" s="3">
        <f t="shared" si="5"/>
        <v>7.095993664859325E-2</v>
      </c>
      <c r="M31" s="3">
        <f t="shared" si="6"/>
        <v>1.1570678970529441E-2</v>
      </c>
    </row>
    <row r="32" spans="1:13" ht="16.5">
      <c r="A32" s="1">
        <v>40725</v>
      </c>
      <c r="B32">
        <v>36.880000000000003</v>
      </c>
      <c r="C32">
        <v>29.51</v>
      </c>
      <c r="F32">
        <f t="shared" si="1"/>
        <v>-5.9299191374662767E-3</v>
      </c>
      <c r="G32">
        <f t="shared" si="0"/>
        <v>-6.9378744875433593E-2</v>
      </c>
      <c r="I32" s="9" t="s">
        <v>17</v>
      </c>
      <c r="J32" s="8">
        <f t="shared" si="7"/>
        <v>0.25</v>
      </c>
      <c r="K32" s="5">
        <f t="shared" si="4"/>
        <v>4.9927361918713038E-3</v>
      </c>
      <c r="L32" s="7">
        <f t="shared" si="5"/>
        <v>7.0659296570736566E-2</v>
      </c>
      <c r="M32" s="7">
        <f t="shared" si="6"/>
        <v>1.1335276953004113E-2</v>
      </c>
    </row>
    <row r="33" spans="1:13" ht="16.5">
      <c r="A33" s="1">
        <v>40695</v>
      </c>
      <c r="B33">
        <v>37.1</v>
      </c>
      <c r="C33">
        <v>31.71</v>
      </c>
      <c r="F33">
        <f t="shared" si="1"/>
        <v>-5.33299311048736E-2</v>
      </c>
      <c r="G33">
        <f t="shared" si="0"/>
        <v>-3.8216560509554083E-2</v>
      </c>
      <c r="I33" s="9"/>
      <c r="J33" s="2">
        <f t="shared" si="7"/>
        <v>0.3</v>
      </c>
      <c r="K33" s="5">
        <f t="shared" si="4"/>
        <v>4.9934450706524813E-3</v>
      </c>
      <c r="L33" s="3">
        <f t="shared" si="5"/>
        <v>7.0664312567607149E-2</v>
      </c>
      <c r="M33" s="3">
        <f t="shared" si="6"/>
        <v>1.1099874935478787E-2</v>
      </c>
    </row>
    <row r="34" spans="1:13">
      <c r="A34" s="1">
        <v>40665</v>
      </c>
      <c r="B34">
        <v>39.19</v>
      </c>
      <c r="C34">
        <v>32.97</v>
      </c>
      <c r="F34">
        <f t="shared" si="1"/>
        <v>-5.2237001209189927E-2</v>
      </c>
      <c r="G34">
        <f t="shared" si="0"/>
        <v>-4.8484848484848478E-2</v>
      </c>
      <c r="J34" s="2">
        <f t="shared" si="7"/>
        <v>0.35</v>
      </c>
      <c r="K34" s="5">
        <f t="shared" si="4"/>
        <v>5.0374392455159005E-3</v>
      </c>
      <c r="L34" s="3">
        <f t="shared" si="5"/>
        <v>7.0974919834515496E-2</v>
      </c>
      <c r="M34" s="3">
        <f t="shared" si="6"/>
        <v>1.086447291795346E-2</v>
      </c>
    </row>
    <row r="35" spans="1:13">
      <c r="A35" s="1">
        <v>40634</v>
      </c>
      <c r="B35">
        <v>41.35</v>
      </c>
      <c r="C35">
        <v>34.65</v>
      </c>
      <c r="F35">
        <f t="shared" si="1"/>
        <v>-4.8134777376653611E-3</v>
      </c>
      <c r="G35">
        <f t="shared" si="0"/>
        <v>7.7760497667185069E-2</v>
      </c>
      <c r="J35" s="2">
        <f t="shared" si="7"/>
        <v>0.39999999999999997</v>
      </c>
      <c r="K35" s="5">
        <f t="shared" si="4"/>
        <v>5.1247187164615605E-3</v>
      </c>
      <c r="L35" s="3">
        <f t="shared" si="5"/>
        <v>7.1587140719975406E-2</v>
      </c>
      <c r="M35" s="3">
        <f t="shared" si="6"/>
        <v>1.0629070900428134E-2</v>
      </c>
    </row>
    <row r="36" spans="1:13">
      <c r="A36" s="1">
        <v>40603</v>
      </c>
      <c r="B36">
        <v>41.55</v>
      </c>
      <c r="C36">
        <v>32.15</v>
      </c>
      <c r="F36">
        <f t="shared" si="1"/>
        <v>-1.2829650748396442E-2</v>
      </c>
      <c r="G36">
        <f t="shared" si="0"/>
        <v>1.611883691529703E-2</v>
      </c>
      <c r="J36" s="2">
        <f t="shared" si="7"/>
        <v>0.44999999999999996</v>
      </c>
      <c r="K36" s="5">
        <f t="shared" si="4"/>
        <v>5.2552834834894606E-3</v>
      </c>
      <c r="L36" s="3">
        <f t="shared" si="5"/>
        <v>7.2493334062446457E-2</v>
      </c>
      <c r="M36" s="3">
        <f t="shared" si="6"/>
        <v>1.0393668882902805E-2</v>
      </c>
    </row>
    <row r="37" spans="1:13">
      <c r="A37" s="1">
        <v>40575</v>
      </c>
      <c r="B37">
        <v>42.09</v>
      </c>
      <c r="C37">
        <v>31.64</v>
      </c>
      <c r="F37">
        <f t="shared" si="1"/>
        <v>3.9002715378918917E-2</v>
      </c>
      <c r="G37">
        <f t="shared" si="0"/>
        <v>2.7272727272727268E-2</v>
      </c>
      <c r="J37" s="2">
        <f t="shared" si="7"/>
        <v>0.49999999999999994</v>
      </c>
      <c r="K37" s="5">
        <f t="shared" si="4"/>
        <v>5.4291335465996016E-3</v>
      </c>
      <c r="L37" s="3">
        <f t="shared" si="5"/>
        <v>7.368265431293583E-2</v>
      </c>
      <c r="M37" s="3">
        <f t="shared" si="6"/>
        <v>1.0158266865377479E-2</v>
      </c>
    </row>
    <row r="38" spans="1:13">
      <c r="A38" s="1">
        <v>40546</v>
      </c>
      <c r="B38">
        <v>40.51</v>
      </c>
      <c r="C38">
        <v>30.8</v>
      </c>
      <c r="F38">
        <f t="shared" si="1"/>
        <v>6.074888714323122E-2</v>
      </c>
      <c r="G38">
        <f t="shared" si="0"/>
        <v>2.4958402662229616E-2</v>
      </c>
      <c r="J38" s="2">
        <f t="shared" si="7"/>
        <v>0.54999999999999993</v>
      </c>
      <c r="K38" s="5">
        <f t="shared" si="4"/>
        <v>5.6462689057919842E-3</v>
      </c>
      <c r="L38" s="3">
        <f t="shared" si="5"/>
        <v>7.5141658923608981E-2</v>
      </c>
      <c r="M38" s="3">
        <f t="shared" si="6"/>
        <v>9.9228648478521531E-3</v>
      </c>
    </row>
    <row r="39" spans="1:13">
      <c r="A39" s="1">
        <v>40513</v>
      </c>
      <c r="B39">
        <v>38.19</v>
      </c>
      <c r="C39">
        <v>30.05</v>
      </c>
      <c r="F39">
        <f t="shared" si="1"/>
        <v>0.13424413424413412</v>
      </c>
      <c r="G39">
        <f t="shared" si="0"/>
        <v>0.15710435117443211</v>
      </c>
      <c r="J39" s="2">
        <f t="shared" si="7"/>
        <v>0.6</v>
      </c>
      <c r="K39" s="5">
        <f t="shared" si="4"/>
        <v>5.9066895610666061E-3</v>
      </c>
      <c r="L39" s="3">
        <f t="shared" si="5"/>
        <v>7.685499047600361E-2</v>
      </c>
      <c r="M39" s="3">
        <f t="shared" si="6"/>
        <v>9.6874628303268255E-3</v>
      </c>
    </row>
    <row r="40" spans="1:13">
      <c r="A40" s="1">
        <v>40483</v>
      </c>
      <c r="B40">
        <v>33.67</v>
      </c>
      <c r="C40">
        <v>25.97</v>
      </c>
      <c r="F40">
        <f t="shared" si="1"/>
        <v>-6.198347107438041E-3</v>
      </c>
      <c r="G40">
        <f t="shared" si="0"/>
        <v>-7.9404466501240764E-2</v>
      </c>
      <c r="J40" s="2">
        <f t="shared" si="7"/>
        <v>0.65</v>
      </c>
      <c r="K40" s="5">
        <f t="shared" si="4"/>
        <v>6.2103955124234705E-3</v>
      </c>
      <c r="L40" s="3">
        <f t="shared" si="5"/>
        <v>7.8806062662865412E-2</v>
      </c>
      <c r="M40" s="3">
        <f t="shared" si="6"/>
        <v>9.452060812801498E-3</v>
      </c>
    </row>
    <row r="41" spans="1:13">
      <c r="A41" s="1">
        <v>40452</v>
      </c>
      <c r="B41">
        <v>33.880000000000003</v>
      </c>
      <c r="C41">
        <v>28.21</v>
      </c>
      <c r="F41">
        <f t="shared" si="1"/>
        <v>-9.9357101110460633E-3</v>
      </c>
      <c r="G41">
        <f t="shared" si="0"/>
        <v>9.6385542168674718E-2</v>
      </c>
      <c r="J41" s="2">
        <f t="shared" si="7"/>
        <v>0.70000000000000007</v>
      </c>
      <c r="K41" s="5">
        <f t="shared" si="4"/>
        <v>6.5573867598625766E-3</v>
      </c>
      <c r="L41" s="3">
        <f t="shared" si="5"/>
        <v>8.0977692976909238E-2</v>
      </c>
      <c r="M41" s="3">
        <f t="shared" si="6"/>
        <v>9.2166587952761704E-3</v>
      </c>
    </row>
    <row r="42" spans="1:13">
      <c r="A42" s="1">
        <v>40422</v>
      </c>
      <c r="B42">
        <v>34.22</v>
      </c>
      <c r="C42">
        <v>25.73</v>
      </c>
      <c r="F42">
        <f t="shared" si="1"/>
        <v>4.6803303762618577E-2</v>
      </c>
      <c r="G42">
        <f t="shared" si="0"/>
        <v>0.22933588150979459</v>
      </c>
      <c r="J42" s="2">
        <f t="shared" si="7"/>
        <v>0.75000000000000011</v>
      </c>
      <c r="K42" s="5">
        <f t="shared" si="4"/>
        <v>6.9476633033839228E-3</v>
      </c>
      <c r="L42" s="3">
        <f t="shared" si="5"/>
        <v>8.3352644249501298E-2</v>
      </c>
      <c r="M42" s="3">
        <f t="shared" si="6"/>
        <v>8.9812567777508429E-3</v>
      </c>
    </row>
    <row r="43" spans="1:13">
      <c r="A43" s="1">
        <v>40392</v>
      </c>
      <c r="B43">
        <v>32.69</v>
      </c>
      <c r="C43">
        <v>20.93</v>
      </c>
      <c r="F43">
        <f t="shared" si="1"/>
        <v>-9.7459966869133108E-2</v>
      </c>
      <c r="G43">
        <f t="shared" si="0"/>
        <v>-7.6345984112974427E-2</v>
      </c>
      <c r="J43" s="2">
        <f t="shared" si="7"/>
        <v>0.80000000000000016</v>
      </c>
      <c r="K43" s="5">
        <f t="shared" si="4"/>
        <v>7.3812251429875081E-3</v>
      </c>
      <c r="L43" s="3">
        <f t="shared" si="5"/>
        <v>8.5914056725238552E-2</v>
      </c>
      <c r="M43" s="3">
        <f t="shared" si="6"/>
        <v>8.745854760225517E-3</v>
      </c>
    </row>
    <row r="44" spans="1:13">
      <c r="A44" s="1">
        <v>40360</v>
      </c>
      <c r="B44">
        <v>36.22</v>
      </c>
      <c r="C44">
        <v>22.66</v>
      </c>
      <c r="F44">
        <f t="shared" si="1"/>
        <v>0.10191664131426838</v>
      </c>
      <c r="G44">
        <f t="shared" si="0"/>
        <v>0.10428849902534117</v>
      </c>
      <c r="J44" s="2">
        <f t="shared" si="7"/>
        <v>0.8500000000000002</v>
      </c>
      <c r="K44" s="5">
        <f t="shared" si="4"/>
        <v>7.8580722786733368E-3</v>
      </c>
      <c r="L44" s="3">
        <f t="shared" si="5"/>
        <v>8.8645768532250521E-2</v>
      </c>
      <c r="M44" s="3">
        <f t="shared" si="6"/>
        <v>8.5104527427001895E-3</v>
      </c>
    </row>
    <row r="45" spans="1:13">
      <c r="A45" s="1">
        <v>40330</v>
      </c>
      <c r="B45">
        <v>32.869999999999997</v>
      </c>
      <c r="C45">
        <v>20.52</v>
      </c>
      <c r="F45">
        <f t="shared" si="1"/>
        <v>-7.5126617895329262E-2</v>
      </c>
      <c r="G45">
        <f t="shared" si="0"/>
        <v>-4.9559981472904135E-2</v>
      </c>
      <c r="J45" s="2">
        <f t="shared" si="7"/>
        <v>0.90000000000000024</v>
      </c>
      <c r="K45" s="5">
        <f t="shared" si="4"/>
        <v>8.3782047104414038E-3</v>
      </c>
      <c r="L45" s="3">
        <f t="shared" si="5"/>
        <v>9.15325336175144E-2</v>
      </c>
      <c r="M45" s="3">
        <f t="shared" si="6"/>
        <v>8.2750507251748637E-3</v>
      </c>
    </row>
    <row r="46" spans="1:13">
      <c r="A46" s="1">
        <v>40301</v>
      </c>
      <c r="B46">
        <v>35.54</v>
      </c>
      <c r="C46">
        <v>21.59</v>
      </c>
      <c r="F46">
        <f t="shared" si="1"/>
        <v>-7.0606694560669522E-2</v>
      </c>
      <c r="G46">
        <f t="shared" si="0"/>
        <v>-0.12732417138237667</v>
      </c>
      <c r="J46" s="2">
        <f t="shared" si="7"/>
        <v>0.95000000000000029</v>
      </c>
      <c r="K46" s="5">
        <f t="shared" si="4"/>
        <v>8.9416224382917152E-3</v>
      </c>
      <c r="L46" s="3">
        <f t="shared" si="5"/>
        <v>9.4560152486614119E-2</v>
      </c>
      <c r="M46" s="3">
        <f t="shared" si="6"/>
        <v>8.0396487076495361E-3</v>
      </c>
    </row>
    <row r="47" spans="1:13" ht="16.5">
      <c r="A47" s="1">
        <v>40269</v>
      </c>
      <c r="B47">
        <v>38.24</v>
      </c>
      <c r="C47">
        <v>24.74</v>
      </c>
      <c r="F47">
        <f t="shared" si="1"/>
        <v>-4.7334329845540569E-2</v>
      </c>
      <c r="G47">
        <f t="shared" si="0"/>
        <v>8.1499592502037206E-3</v>
      </c>
      <c r="I47" s="11" t="s">
        <v>19</v>
      </c>
      <c r="J47" s="14">
        <f t="shared" si="7"/>
        <v>1.0000000000000002</v>
      </c>
      <c r="K47" s="5">
        <f t="shared" si="4"/>
        <v>9.5483254622242622E-3</v>
      </c>
      <c r="L47" s="6">
        <f t="shared" si="5"/>
        <v>9.7715533372254901E-2</v>
      </c>
      <c r="M47" s="6">
        <f t="shared" si="6"/>
        <v>7.8042466901242094E-3</v>
      </c>
    </row>
    <row r="48" spans="1:13">
      <c r="A48" s="1">
        <v>40238</v>
      </c>
      <c r="B48">
        <v>40.14</v>
      </c>
      <c r="C48">
        <v>24.54</v>
      </c>
      <c r="F48">
        <f t="shared" si="1"/>
        <v>6.6135458167330727E-2</v>
      </c>
      <c r="G48">
        <f t="shared" si="0"/>
        <v>4.2923926901827371E-2</v>
      </c>
    </row>
    <row r="49" spans="1:11">
      <c r="A49" s="1">
        <v>40210</v>
      </c>
      <c r="B49">
        <v>37.65</v>
      </c>
      <c r="C49">
        <v>23.53</v>
      </c>
      <c r="F49">
        <f t="shared" si="1"/>
        <v>7.7870025765817322E-2</v>
      </c>
      <c r="G49">
        <f t="shared" si="0"/>
        <v>6.9059518400726924E-2</v>
      </c>
    </row>
    <row r="50" spans="1:11">
      <c r="A50" s="1">
        <v>40182</v>
      </c>
      <c r="B50">
        <v>34.93</v>
      </c>
      <c r="C50">
        <v>22.01</v>
      </c>
      <c r="F50">
        <f t="shared" si="1"/>
        <v>-6.4291454594160163E-2</v>
      </c>
      <c r="G50">
        <f t="shared" si="0"/>
        <v>-5.8194266153187818E-2</v>
      </c>
    </row>
    <row r="51" spans="1:11" ht="24.75">
      <c r="A51" s="1">
        <v>40148</v>
      </c>
      <c r="B51">
        <v>37.33</v>
      </c>
      <c r="C51">
        <v>23.37</v>
      </c>
      <c r="F51">
        <f t="shared" si="1"/>
        <v>-1.9437877593906014E-2</v>
      </c>
      <c r="G51">
        <f t="shared" si="0"/>
        <v>0.11126961483594863</v>
      </c>
      <c r="I51" s="17" t="s">
        <v>20</v>
      </c>
      <c r="J51" t="s">
        <v>1</v>
      </c>
      <c r="K51" t="s">
        <v>2</v>
      </c>
    </row>
    <row r="52" spans="1:11">
      <c r="A52" s="1">
        <v>40119</v>
      </c>
      <c r="B52">
        <v>38.07</v>
      </c>
      <c r="C52">
        <v>21.03</v>
      </c>
      <c r="F52">
        <f t="shared" si="1"/>
        <v>1.7370390165686759E-2</v>
      </c>
      <c r="G52">
        <f t="shared" si="0"/>
        <v>4.6268656716417896E-2</v>
      </c>
      <c r="J52" s="3">
        <v>0.27418115521281072</v>
      </c>
      <c r="K52" s="3">
        <f>1-J52</f>
        <v>0.72581884478718928</v>
      </c>
    </row>
    <row r="53" spans="1:11">
      <c r="A53" s="1">
        <v>40087</v>
      </c>
      <c r="B53">
        <v>37.42</v>
      </c>
      <c r="C53">
        <v>20.100000000000001</v>
      </c>
      <c r="F53">
        <f t="shared" si="1"/>
        <v>-4.5651619484825275E-2</v>
      </c>
      <c r="G53">
        <f t="shared" si="0"/>
        <v>1.4639071176173787E-2</v>
      </c>
    </row>
    <row r="54" spans="1:11" ht="17.25">
      <c r="A54" s="1">
        <v>40057</v>
      </c>
      <c r="B54">
        <v>39.21</v>
      </c>
      <c r="C54">
        <v>19.809999999999999</v>
      </c>
      <c r="F54">
        <f t="shared" si="1"/>
        <v>8.2283363332476284E-3</v>
      </c>
      <c r="G54">
        <f t="shared" si="0"/>
        <v>-4.7138047138047159E-2</v>
      </c>
      <c r="I54" s="18" t="s">
        <v>21</v>
      </c>
    </row>
    <row r="55" spans="1:11">
      <c r="A55" s="1">
        <v>40028</v>
      </c>
      <c r="B55">
        <v>38.89</v>
      </c>
      <c r="C55">
        <v>20.79</v>
      </c>
      <c r="F55">
        <f t="shared" si="1"/>
        <v>0.12463851937536155</v>
      </c>
      <c r="G55">
        <f t="shared" si="0"/>
        <v>-1.1412268188302519E-2</v>
      </c>
      <c r="J55" s="3">
        <f>($K$14-$J$16)/($K$14+$J$14-2*$J$16)</f>
        <v>0.27418115521281061</v>
      </c>
      <c r="K55" s="15">
        <f>1-J55</f>
        <v>0.72581884478718939</v>
      </c>
    </row>
    <row r="56" spans="1:11">
      <c r="A56" s="1">
        <v>39995</v>
      </c>
      <c r="B56">
        <v>34.58</v>
      </c>
      <c r="C56">
        <v>21.03</v>
      </c>
      <c r="F56">
        <f t="shared" si="1"/>
        <v>0.13451443569553798</v>
      </c>
      <c r="G56">
        <f t="shared" si="0"/>
        <v>3.5450516986706176E-2</v>
      </c>
    </row>
    <row r="57" spans="1:11">
      <c r="A57" s="1">
        <v>39965</v>
      </c>
      <c r="B57">
        <v>30.48</v>
      </c>
      <c r="C57">
        <v>20.309999999999999</v>
      </c>
      <c r="F57">
        <f t="shared" si="1"/>
        <v>-7.5523202911737905E-2</v>
      </c>
      <c r="G57">
        <f t="shared" si="0"/>
        <v>9.3699515347334325E-2</v>
      </c>
    </row>
    <row r="58" spans="1:11">
      <c r="A58" s="1">
        <v>39934</v>
      </c>
      <c r="B58">
        <v>32.97</v>
      </c>
      <c r="C58">
        <v>18.57</v>
      </c>
      <c r="F58">
        <f t="shared" si="1"/>
        <v>0.11800610376398782</v>
      </c>
      <c r="G58">
        <f t="shared" si="0"/>
        <v>1.309328968903448E-2</v>
      </c>
    </row>
    <row r="59" spans="1:11">
      <c r="A59" s="1">
        <v>39904</v>
      </c>
      <c r="B59">
        <v>29.49</v>
      </c>
      <c r="C59">
        <v>18.329999999999998</v>
      </c>
      <c r="F59">
        <f t="shared" si="1"/>
        <v>0.24377899620413315</v>
      </c>
      <c r="G59">
        <f t="shared" si="0"/>
        <v>7.2557050906963044E-2</v>
      </c>
    </row>
    <row r="60" spans="1:11">
      <c r="A60" s="1">
        <v>39874</v>
      </c>
      <c r="B60">
        <v>23.71</v>
      </c>
      <c r="C60">
        <v>17.09</v>
      </c>
      <c r="F60">
        <f t="shared" si="1"/>
        <v>0.1633954857703632</v>
      </c>
      <c r="G60">
        <f t="shared" si="0"/>
        <v>0.16337644656228731</v>
      </c>
    </row>
    <row r="61" spans="1:11">
      <c r="A61" s="1">
        <v>39846</v>
      </c>
      <c r="B61">
        <v>20.38</v>
      </c>
      <c r="C61">
        <v>14.69</v>
      </c>
      <c r="F61">
        <f t="shared" si="1"/>
        <v>-0.10417582417582422</v>
      </c>
      <c r="G61">
        <f t="shared" si="0"/>
        <v>-7.6681332495286025E-2</v>
      </c>
    </row>
    <row r="62" spans="1:11">
      <c r="A62" s="1">
        <v>39815</v>
      </c>
      <c r="B62">
        <v>22.75</v>
      </c>
      <c r="C62">
        <v>15.91</v>
      </c>
      <c r="F62">
        <f t="shared" si="1"/>
        <v>-0.18106551475881932</v>
      </c>
      <c r="G62">
        <f t="shared" si="0"/>
        <v>-5.0715990453460702E-2</v>
      </c>
    </row>
    <row r="63" spans="1:11">
      <c r="A63" s="1">
        <v>39783</v>
      </c>
      <c r="B63">
        <v>27.78</v>
      </c>
      <c r="C63">
        <v>16.760000000000002</v>
      </c>
      <c r="F63">
        <f t="shared" si="1"/>
        <v>-4.3010752688171132E-3</v>
      </c>
      <c r="G63">
        <f t="shared" si="0"/>
        <v>0.10190664036817887</v>
      </c>
    </row>
    <row r="64" spans="1:11">
      <c r="A64" s="1">
        <v>39755</v>
      </c>
      <c r="B64">
        <v>27.9</v>
      </c>
      <c r="C64">
        <v>15.21</v>
      </c>
      <c r="F64">
        <f t="shared" si="1"/>
        <v>-0.23246217331499319</v>
      </c>
      <c r="G64">
        <f t="shared" si="0"/>
        <v>-0.12030075187969916</v>
      </c>
    </row>
    <row r="65" spans="1:7">
      <c r="A65" s="1">
        <v>39722</v>
      </c>
      <c r="B65">
        <v>36.35</v>
      </c>
      <c r="C65">
        <v>17.29</v>
      </c>
      <c r="F65">
        <f t="shared" si="1"/>
        <v>-0.10972324271369084</v>
      </c>
      <c r="G65">
        <f t="shared" si="0"/>
        <v>-9.9479166666666674E-2</v>
      </c>
    </row>
    <row r="66" spans="1:7">
      <c r="A66" s="1">
        <v>39693</v>
      </c>
      <c r="B66">
        <v>40.83</v>
      </c>
      <c r="C66">
        <v>19.2</v>
      </c>
      <c r="F66">
        <f t="shared" si="1"/>
        <v>0.21301247771836015</v>
      </c>
      <c r="G66">
        <f t="shared" ref="G66:G86" si="8">(C66-C67)/C67</f>
        <v>-7.4252651880424264E-2</v>
      </c>
    </row>
    <row r="67" spans="1:7">
      <c r="A67" s="1">
        <v>39661</v>
      </c>
      <c r="B67">
        <v>33.659999999999997</v>
      </c>
      <c r="C67">
        <v>20.74</v>
      </c>
      <c r="F67">
        <f t="shared" ref="F67:F86" si="9">(B67-B68)/B68</f>
        <v>-5.263157894736855E-2</v>
      </c>
      <c r="G67">
        <f t="shared" si="8"/>
        <v>1.8664047151276966E-2</v>
      </c>
    </row>
    <row r="68" spans="1:7">
      <c r="A68" s="1">
        <v>39630</v>
      </c>
      <c r="B68">
        <v>35.53</v>
      </c>
      <c r="C68">
        <v>20.36</v>
      </c>
      <c r="F68">
        <f t="shared" si="9"/>
        <v>0.19750589821368383</v>
      </c>
      <c r="G68">
        <f t="shared" si="8"/>
        <v>2.5176233635448138E-2</v>
      </c>
    </row>
    <row r="69" spans="1:7">
      <c r="A69" s="1">
        <v>39601</v>
      </c>
      <c r="B69">
        <v>29.67</v>
      </c>
      <c r="C69">
        <v>19.86</v>
      </c>
      <c r="F69">
        <f t="shared" si="9"/>
        <v>-0.2019903173749327</v>
      </c>
      <c r="G69">
        <f t="shared" si="8"/>
        <v>-8.0555555555555644E-2</v>
      </c>
    </row>
    <row r="70" spans="1:7">
      <c r="A70" s="1">
        <v>39569</v>
      </c>
      <c r="B70">
        <v>37.18</v>
      </c>
      <c r="C70">
        <v>21.6</v>
      </c>
      <c r="F70">
        <f t="shared" si="9"/>
        <v>-9.7572815533980659E-2</v>
      </c>
      <c r="G70">
        <f t="shared" si="8"/>
        <v>9.5334685598377419E-2</v>
      </c>
    </row>
    <row r="71" spans="1:7">
      <c r="A71" s="1">
        <v>39539</v>
      </c>
      <c r="B71">
        <v>41.2</v>
      </c>
      <c r="C71">
        <v>19.72</v>
      </c>
      <c r="F71">
        <f t="shared" si="9"/>
        <v>0.11834961997828444</v>
      </c>
      <c r="G71">
        <f t="shared" si="8"/>
        <v>6.5945945945945883E-2</v>
      </c>
    </row>
    <row r="72" spans="1:7">
      <c r="A72" s="1">
        <v>39510</v>
      </c>
      <c r="B72">
        <v>36.840000000000003</v>
      </c>
      <c r="C72">
        <v>18.5</v>
      </c>
      <c r="F72">
        <f t="shared" si="9"/>
        <v>5.6495554918268027E-2</v>
      </c>
      <c r="G72">
        <f t="shared" si="8"/>
        <v>4.0494938132733339E-2</v>
      </c>
    </row>
    <row r="73" spans="1:7">
      <c r="A73" s="1">
        <v>39479</v>
      </c>
      <c r="B73">
        <v>34.869999999999997</v>
      </c>
      <c r="C73">
        <v>17.78</v>
      </c>
      <c r="F73">
        <f t="shared" si="9"/>
        <v>-0.14240039350713229</v>
      </c>
      <c r="G73">
        <f t="shared" si="8"/>
        <v>-8.4920226453937139E-2</v>
      </c>
    </row>
    <row r="74" spans="1:7">
      <c r="A74" s="1">
        <v>39449</v>
      </c>
      <c r="B74">
        <v>40.659999999999997</v>
      </c>
      <c r="C74">
        <v>19.43</v>
      </c>
      <c r="F74">
        <f t="shared" si="9"/>
        <v>9.5661546752896717E-2</v>
      </c>
      <c r="G74">
        <f t="shared" si="8"/>
        <v>-8.9929742388758852E-2</v>
      </c>
    </row>
    <row r="75" spans="1:7">
      <c r="A75" s="1">
        <v>39419</v>
      </c>
      <c r="B75">
        <v>37.11</v>
      </c>
      <c r="C75">
        <v>21.35</v>
      </c>
      <c r="F75">
        <f t="shared" si="9"/>
        <v>-4.3310131477184835E-2</v>
      </c>
      <c r="G75">
        <f t="shared" si="8"/>
        <v>0.11897274633123707</v>
      </c>
    </row>
    <row r="76" spans="1:7">
      <c r="A76" s="1">
        <v>39387</v>
      </c>
      <c r="B76">
        <v>38.79</v>
      </c>
      <c r="C76">
        <v>19.079999999999998</v>
      </c>
      <c r="F76">
        <f t="shared" si="9"/>
        <v>-2.927927927927932E-2</v>
      </c>
      <c r="G76">
        <f t="shared" si="8"/>
        <v>-8.969465648854974E-2</v>
      </c>
    </row>
    <row r="77" spans="1:7">
      <c r="A77" s="1">
        <v>39356</v>
      </c>
      <c r="B77">
        <v>39.96</v>
      </c>
      <c r="C77">
        <v>20.96</v>
      </c>
      <c r="F77">
        <f t="shared" si="9"/>
        <v>3.3893919793014288E-2</v>
      </c>
      <c r="G77">
        <f t="shared" si="8"/>
        <v>2.3937469467513534E-2</v>
      </c>
    </row>
    <row r="78" spans="1:7">
      <c r="A78" s="1">
        <v>39329</v>
      </c>
      <c r="B78">
        <v>38.65</v>
      </c>
      <c r="C78">
        <v>20.47</v>
      </c>
      <c r="F78">
        <f t="shared" si="9"/>
        <v>2.9294274300932132E-2</v>
      </c>
      <c r="G78">
        <f t="shared" si="8"/>
        <v>6.7257559958289845E-2</v>
      </c>
    </row>
    <row r="79" spans="1:7">
      <c r="A79" s="1">
        <v>39295</v>
      </c>
      <c r="B79">
        <v>37.549999999999997</v>
      </c>
      <c r="C79">
        <v>19.18</v>
      </c>
      <c r="F79">
        <f t="shared" si="9"/>
        <v>1.1584051724137925E-2</v>
      </c>
      <c r="G79">
        <f t="shared" si="8"/>
        <v>6.0840707964601858E-2</v>
      </c>
    </row>
    <row r="80" spans="1:7">
      <c r="A80" s="1">
        <v>39265</v>
      </c>
      <c r="B80">
        <v>37.119999999999997</v>
      </c>
      <c r="C80">
        <v>18.079999999999998</v>
      </c>
      <c r="F80">
        <f t="shared" si="9"/>
        <v>-8.45869297163995E-2</v>
      </c>
      <c r="G80">
        <f t="shared" si="8"/>
        <v>-3.0042918454935744E-2</v>
      </c>
    </row>
    <row r="81" spans="1:7">
      <c r="A81" s="1">
        <v>39234</v>
      </c>
      <c r="B81">
        <v>40.549999999999997</v>
      </c>
      <c r="C81">
        <v>18.64</v>
      </c>
      <c r="F81">
        <f t="shared" si="9"/>
        <v>-6.5237436606731328E-2</v>
      </c>
      <c r="G81">
        <f t="shared" si="8"/>
        <v>1.6912165848336186E-2</v>
      </c>
    </row>
    <row r="82" spans="1:7">
      <c r="A82" s="1">
        <v>39203</v>
      </c>
      <c r="B82">
        <v>43.38</v>
      </c>
      <c r="C82">
        <v>18.329999999999998</v>
      </c>
      <c r="F82">
        <f t="shared" si="9"/>
        <v>-5.0458715596330009E-3</v>
      </c>
      <c r="G82">
        <f t="shared" si="8"/>
        <v>3.093363329583786E-2</v>
      </c>
    </row>
    <row r="83" spans="1:7">
      <c r="A83" s="1">
        <v>39174</v>
      </c>
      <c r="B83">
        <v>43.6</v>
      </c>
      <c r="C83">
        <v>17.78</v>
      </c>
      <c r="F83">
        <f t="shared" si="9"/>
        <v>8.4577114427860658E-2</v>
      </c>
      <c r="G83">
        <f t="shared" si="8"/>
        <v>3.7339556592765492E-2</v>
      </c>
    </row>
    <row r="84" spans="1:7">
      <c r="A84" s="1">
        <v>39142</v>
      </c>
      <c r="B84">
        <v>40.200000000000003</v>
      </c>
      <c r="C84">
        <v>17.14</v>
      </c>
      <c r="F84">
        <f t="shared" si="9"/>
        <v>-2.0467836257309854E-2</v>
      </c>
      <c r="G84">
        <f t="shared" si="8"/>
        <v>0.10296010296010305</v>
      </c>
    </row>
    <row r="85" spans="1:7">
      <c r="A85" s="1">
        <v>39114</v>
      </c>
      <c r="B85">
        <v>41.04</v>
      </c>
      <c r="C85">
        <v>15.54</v>
      </c>
      <c r="F85">
        <f t="shared" si="9"/>
        <v>-3.0245746691871481E-2</v>
      </c>
      <c r="G85">
        <f t="shared" si="8"/>
        <v>-4.2513863216266254E-2</v>
      </c>
    </row>
    <row r="86" spans="1:7">
      <c r="A86" s="1">
        <v>39085</v>
      </c>
      <c r="B86">
        <v>42.32</v>
      </c>
      <c r="C86">
        <v>16.23</v>
      </c>
      <c r="F86" t="e">
        <f t="shared" si="9"/>
        <v>#DIV/0!</v>
      </c>
      <c r="G86" t="e">
        <f t="shared" si="8"/>
        <v>#DIV/0!</v>
      </c>
    </row>
  </sheetData>
  <mergeCells count="1"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1"/>
  <sheetViews>
    <sheetView topLeftCell="O25" workbookViewId="0">
      <selection activeCell="AB34" sqref="AB34"/>
    </sheetView>
  </sheetViews>
  <sheetFormatPr defaultRowHeight="15"/>
  <cols>
    <col min="1" max="1" width="12.5703125" customWidth="1"/>
    <col min="17" max="17" width="12.42578125" customWidth="1"/>
    <col min="18" max="18" width="10.5703125" customWidth="1"/>
    <col min="19" max="19" width="9.85546875" customWidth="1"/>
    <col min="21" max="21" width="13.140625" customWidth="1"/>
    <col min="23" max="23" width="10.42578125" customWidth="1"/>
    <col min="27" max="27" width="14.140625" customWidth="1"/>
    <col min="28" max="29" width="13.140625" customWidth="1"/>
    <col min="30" max="30" width="12.85546875" customWidth="1"/>
    <col min="31" max="31" width="11.7109375" customWidth="1"/>
    <col min="32" max="32" width="12.85546875" customWidth="1"/>
  </cols>
  <sheetData>
    <row r="1" spans="1:136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1</v>
      </c>
      <c r="G1" t="s">
        <v>51</v>
      </c>
      <c r="I1" t="s">
        <v>32</v>
      </c>
      <c r="J1" t="s">
        <v>33</v>
      </c>
      <c r="K1" t="s">
        <v>34</v>
      </c>
      <c r="L1" t="s">
        <v>35</v>
      </c>
      <c r="M1" t="s">
        <v>3</v>
      </c>
      <c r="N1" t="s">
        <v>54</v>
      </c>
      <c r="Q1" t="s">
        <v>32</v>
      </c>
      <c r="R1">
        <v>8.8688946015423875E-3</v>
      </c>
      <c r="S1">
        <v>7.0004125979920284E-2</v>
      </c>
      <c r="T1">
        <v>9.6351025331724988E-2</v>
      </c>
      <c r="U1">
        <v>-2.1395897889921838E-2</v>
      </c>
      <c r="V1">
        <v>8.3799776107468332E-2</v>
      </c>
      <c r="W1">
        <v>0.14105839416058402</v>
      </c>
      <c r="X1">
        <v>-0.11826226870474661</v>
      </c>
      <c r="Y1">
        <v>2.2540309312273733E-2</v>
      </c>
      <c r="Z1">
        <v>1.6455487905213116E-4</v>
      </c>
      <c r="AA1">
        <v>2.8052805280528335E-3</v>
      </c>
      <c r="AB1">
        <v>-2.5253337622647583E-2</v>
      </c>
      <c r="AC1">
        <v>-0.14401762357152684</v>
      </c>
      <c r="AD1">
        <v>-9.0761141712568855E-2</v>
      </c>
      <c r="AE1">
        <v>-1.2363996043521267E-2</v>
      </c>
      <c r="AF1">
        <v>-0.10758027143330023</v>
      </c>
      <c r="AG1">
        <v>2.7660986944014164E-3</v>
      </c>
      <c r="AH1">
        <v>9.3791601113397072E-2</v>
      </c>
      <c r="AI1">
        <v>4.5816985191747754E-2</v>
      </c>
      <c r="AJ1">
        <v>1.0875127942681789E-2</v>
      </c>
      <c r="AK1">
        <v>-1.0632911392405107E-2</v>
      </c>
      <c r="AL1">
        <v>-2.601405498705461E-2</v>
      </c>
      <c r="AM1">
        <v>0.1053420550558736</v>
      </c>
      <c r="AN1">
        <v>0.18834008097165986</v>
      </c>
      <c r="AO1">
        <v>0.12703048001460121</v>
      </c>
      <c r="AP1">
        <v>5.956294720556949E-2</v>
      </c>
      <c r="AQ1">
        <v>-5.5697589481373218E-2</v>
      </c>
      <c r="AR1">
        <v>6.1446016669897158E-2</v>
      </c>
      <c r="AS1">
        <v>-9.0280445639646344E-3</v>
      </c>
      <c r="AT1">
        <v>-1.4575052053757261E-2</v>
      </c>
      <c r="AU1">
        <v>0.16340013212948695</v>
      </c>
      <c r="AV1">
        <v>-3.5061623459413632E-2</v>
      </c>
      <c r="AW1">
        <v>-6.5442263035675576E-3</v>
      </c>
      <c r="AX1">
        <v>4.665959703075268E-3</v>
      </c>
      <c r="AY1">
        <v>-1.3185433235663511E-2</v>
      </c>
      <c r="AZ1">
        <v>4.0958605664488078E-2</v>
      </c>
      <c r="BA1">
        <v>5.1787351054078778E-2</v>
      </c>
      <c r="BB1">
        <v>3.68258493703967E-2</v>
      </c>
      <c r="BC1">
        <v>3.3644400785854726E-2</v>
      </c>
      <c r="BD1">
        <v>6.0692888773117952E-2</v>
      </c>
      <c r="BE1">
        <v>0.16722408026755853</v>
      </c>
      <c r="BF1">
        <v>-5.4885057471264272E-2</v>
      </c>
      <c r="BG1">
        <v>2.2627093740816808E-2</v>
      </c>
      <c r="BH1">
        <v>-2.0719424460431624E-2</v>
      </c>
      <c r="BI1">
        <v>-1.6138165345413371E-2</v>
      </c>
      <c r="BJ1">
        <v>0.11104120792702112</v>
      </c>
      <c r="BK1">
        <v>0.14848265895953755</v>
      </c>
      <c r="BL1">
        <v>6.5434949961508823E-2</v>
      </c>
      <c r="BM1">
        <v>-8.8740792704314314E-2</v>
      </c>
      <c r="BN1">
        <v>5.4363905325443877E-2</v>
      </c>
      <c r="BO1">
        <v>6.0392156862745065E-2</v>
      </c>
      <c r="BP1">
        <v>1.7151974471479845E-2</v>
      </c>
      <c r="BQ1">
        <v>0.10149384885764492</v>
      </c>
      <c r="BR1">
        <v>2.9864253393665163E-2</v>
      </c>
      <c r="BS1">
        <v>0.1468604047742606</v>
      </c>
      <c r="BT1">
        <v>4.8992923244420172E-2</v>
      </c>
      <c r="BU1">
        <v>7.9318448883666362E-2</v>
      </c>
      <c r="BV1">
        <v>0.1969057665260196</v>
      </c>
      <c r="BW1">
        <v>0.17715231788079475</v>
      </c>
      <c r="BX1">
        <v>-9.0237899917965086E-3</v>
      </c>
      <c r="BY1">
        <v>5.54112554112553E-2</v>
      </c>
      <c r="BZ1">
        <v>-7.8947368421052516E-2</v>
      </c>
      <c r="CA1">
        <v>-0.13873626373626383</v>
      </c>
      <c r="CB1">
        <v>-5.3315994798439549E-2</v>
      </c>
      <c r="CC1">
        <v>-0.3292629742695159</v>
      </c>
      <c r="CD1">
        <v>6.6511627906976734E-2</v>
      </c>
      <c r="CE1">
        <v>-5.0772626931567269E-2</v>
      </c>
      <c r="CF1">
        <v>-0.11280846063454769</v>
      </c>
      <c r="CG1">
        <v>8.4997875053123673E-2</v>
      </c>
      <c r="CH1">
        <v>0.21226172076249361</v>
      </c>
      <c r="CI1">
        <v>0.14784151389710232</v>
      </c>
      <c r="CJ1">
        <v>-7.6460950300382233E-2</v>
      </c>
      <c r="CK1">
        <v>-0.31679104477611947</v>
      </c>
      <c r="CL1">
        <v>8.7221095334685694E-2</v>
      </c>
      <c r="CM1">
        <v>-4.0856031128404698E-2</v>
      </c>
      <c r="CN1">
        <v>0.23795761078998059</v>
      </c>
      <c r="CO1">
        <v>0.10838227442605451</v>
      </c>
      <c r="CP1">
        <v>5.106621773288441E-2</v>
      </c>
      <c r="CQ1">
        <v>7.9345850999394216E-2</v>
      </c>
      <c r="CR1">
        <v>7.3215375228798656E-3</v>
      </c>
      <c r="CS1">
        <v>0.21407407407407411</v>
      </c>
      <c r="CT1">
        <v>7.3985680190930769E-2</v>
      </c>
      <c r="CU1">
        <v>9.781659388646298E-2</v>
      </c>
      <c r="CV1">
        <v>-1.2931034482758652E-2</v>
      </c>
      <c r="CW1">
        <v>1.0452961672473799E-2</v>
      </c>
      <c r="CX1">
        <v>-7.4193548387096769E-2</v>
      </c>
      <c r="CY1">
        <v>0.13035551504102094</v>
      </c>
      <c r="CZ1">
        <v>5.3794428434197933E-2</v>
      </c>
      <c r="DA1">
        <v>0.13398692810457521</v>
      </c>
      <c r="DB1">
        <v>-1.0881392818280508E-3</v>
      </c>
      <c r="DC1">
        <v>0.18580645161290316</v>
      </c>
      <c r="DD1">
        <v>-4.2027194066749055E-2</v>
      </c>
      <c r="DE1">
        <v>-0.15021008403361341</v>
      </c>
      <c r="DF1">
        <v>0.12264150943396215</v>
      </c>
      <c r="DG1">
        <v>-8.5221143473570571E-2</v>
      </c>
      <c r="DH1">
        <v>-9.295499021526428E-2</v>
      </c>
      <c r="DI1">
        <v>5.0359712230215847E-2</v>
      </c>
      <c r="DJ1">
        <v>6.1068702290076389E-2</v>
      </c>
      <c r="DK1">
        <v>0.17715019255455711</v>
      </c>
      <c r="DL1">
        <v>7.4482758620689662E-2</v>
      </c>
      <c r="DM1">
        <v>0.14353312302839119</v>
      </c>
      <c r="DN1">
        <v>9.8786828422877004E-2</v>
      </c>
      <c r="DO1">
        <v>0.15863453815261025</v>
      </c>
      <c r="DP1">
        <v>-7.4349442379182062E-2</v>
      </c>
      <c r="DQ1">
        <v>0.10245901639344263</v>
      </c>
      <c r="DR1">
        <v>-0.13475177304964536</v>
      </c>
      <c r="DS1">
        <v>-7.0840197693575052E-2</v>
      </c>
      <c r="DT1">
        <v>0.16730769230769232</v>
      </c>
      <c r="DU1">
        <v>0.19266055045871555</v>
      </c>
      <c r="DV1">
        <v>-3.9647577092510954E-2</v>
      </c>
      <c r="DW1">
        <v>0.2824858757062147</v>
      </c>
      <c r="DX1">
        <v>0.35114503816793891</v>
      </c>
      <c r="DY1">
        <v>0.12446351931330474</v>
      </c>
      <c r="DZ1">
        <v>6.3926940639269458E-2</v>
      </c>
      <c r="EA1">
        <v>-4.5454545454546502E-3</v>
      </c>
      <c r="EB1">
        <v>0.15789473684210542</v>
      </c>
      <c r="EC1">
        <v>9.1954022988505704E-2</v>
      </c>
      <c r="ED1">
        <v>-4.91803278688525E-2</v>
      </c>
      <c r="EE1">
        <v>0.12962962962962959</v>
      </c>
      <c r="EF1">
        <v>5.8823529411764754E-2</v>
      </c>
    </row>
    <row r="2" spans="1:136">
      <c r="A2" s="1">
        <v>41610</v>
      </c>
      <c r="B2">
        <v>78.489999999999995</v>
      </c>
      <c r="C2">
        <v>76.77</v>
      </c>
      <c r="D2">
        <v>136.93</v>
      </c>
      <c r="E2">
        <v>74.08</v>
      </c>
      <c r="F2">
        <v>56.95</v>
      </c>
      <c r="G2">
        <v>398.79</v>
      </c>
      <c r="I2">
        <f>(B2-B3)/B3</f>
        <v>8.8688946015423875E-3</v>
      </c>
      <c r="J2">
        <f t="shared" ref="J2:J65" si="0">(C2-C3)/C3</f>
        <v>-2.2909507445589887E-2</v>
      </c>
      <c r="K2">
        <f t="shared" ref="K2:K65" si="1">(D2-D3)/D3</f>
        <v>5.0479478327579694E-2</v>
      </c>
      <c r="L2">
        <f t="shared" ref="L2:L65" si="2">(E2-E3)/E3</f>
        <v>-2.6544021024967099E-2</v>
      </c>
      <c r="M2">
        <f t="shared" ref="M2:M65" si="3">(F2-F3)/F3</f>
        <v>2.2074659009332448E-2</v>
      </c>
      <c r="N2">
        <f t="shared" ref="N2:N65" si="4">(G2-G3)/G3</f>
        <v>1.3134495198414755E-2</v>
      </c>
      <c r="Q2" t="s">
        <v>33</v>
      </c>
      <c r="R2">
        <v>-2.2909507445589887E-2</v>
      </c>
      <c r="S2">
        <v>5.5480924234282587E-2</v>
      </c>
      <c r="T2">
        <v>3.7635907443546182E-2</v>
      </c>
      <c r="U2">
        <v>1.3563153433173124E-2</v>
      </c>
      <c r="V2">
        <v>-5.8025019962736214E-2</v>
      </c>
      <c r="W2">
        <v>4.6372371535997749E-2</v>
      </c>
      <c r="X2">
        <v>-4.7124047124047592E-3</v>
      </c>
      <c r="Y2">
        <v>-3.1283566058002123E-2</v>
      </c>
      <c r="Z2">
        <v>3.8627806442616236E-2</v>
      </c>
      <c r="AA2">
        <v>6.4104466538061927E-2</v>
      </c>
      <c r="AB2">
        <v>1.1861861861861956E-2</v>
      </c>
      <c r="AC2">
        <v>2.5088502385716416E-2</v>
      </c>
      <c r="AD2">
        <v>-4.7360703812316773E-2</v>
      </c>
      <c r="AE2">
        <v>-3.997747747747752E-2</v>
      </c>
      <c r="AF2">
        <v>1.6599885518031064E-2</v>
      </c>
      <c r="AG2">
        <v>1.6436363636363572E-2</v>
      </c>
      <c r="AH2">
        <v>-1.9258202567760264E-2</v>
      </c>
      <c r="AI2">
        <v>6.7621078282059058E-2</v>
      </c>
      <c r="AJ2">
        <v>5.9203097273753745E-2</v>
      </c>
      <c r="AK2">
        <v>0.12484122663763388</v>
      </c>
      <c r="AL2">
        <v>-3.7379912663755469E-2</v>
      </c>
      <c r="AM2">
        <v>4.2805100182149391E-2</v>
      </c>
      <c r="AN2">
        <v>-3.7179936864258231E-2</v>
      </c>
      <c r="AO2">
        <v>2.6832342877723788E-2</v>
      </c>
      <c r="AP2">
        <v>2.0959735245449543E-2</v>
      </c>
      <c r="AQ2">
        <v>3.8373424971363077E-2</v>
      </c>
      <c r="AR2">
        <v>9.2843730440225383E-2</v>
      </c>
      <c r="AS2">
        <v>-2.4226384364820802E-2</v>
      </c>
      <c r="AT2">
        <v>1.6345954893440911E-2</v>
      </c>
      <c r="AU2">
        <v>-8.0049261083743953E-3</v>
      </c>
      <c r="AV2">
        <v>-3.7724669168477255E-2</v>
      </c>
      <c r="AW2">
        <v>1.098242811501606E-2</v>
      </c>
      <c r="AX2">
        <v>5.6317232651339422E-2</v>
      </c>
      <c r="AY2">
        <v>8.2943428328369519E-3</v>
      </c>
      <c r="AZ2">
        <v>-7.2766712679944737E-2</v>
      </c>
      <c r="BA2">
        <v>3.9565395653956531E-2</v>
      </c>
      <c r="BB2">
        <v>2.6721479958890558E-3</v>
      </c>
      <c r="BC2">
        <v>-1.6416991586291462E-3</v>
      </c>
      <c r="BD2">
        <v>1.225592023265468E-2</v>
      </c>
      <c r="BE2">
        <v>6.7405764966740556E-2</v>
      </c>
      <c r="BF2">
        <v>-1.4853647881170811E-2</v>
      </c>
      <c r="BG2">
        <v>6.4898813677599421E-2</v>
      </c>
      <c r="BH2">
        <v>-4.931446262715606E-2</v>
      </c>
      <c r="BI2">
        <v>-5.1792828685258946E-2</v>
      </c>
      <c r="BJ2">
        <v>-3.5396440129449841E-2</v>
      </c>
      <c r="BK2">
        <v>3.4093285923446882E-2</v>
      </c>
      <c r="BL2">
        <v>1.2066045723962748E-2</v>
      </c>
      <c r="BM2">
        <v>-4.2319085907735975E-4</v>
      </c>
      <c r="BN2">
        <v>-1.5211502396332651E-2</v>
      </c>
      <c r="BO2">
        <v>9.8169336384439337E-2</v>
      </c>
      <c r="BP2">
        <v>1.2042612320518831E-2</v>
      </c>
      <c r="BQ2">
        <v>-3.5083798882681573E-2</v>
      </c>
      <c r="BR2">
        <v>2.5435380384967905E-2</v>
      </c>
      <c r="BS2">
        <v>2.9731005191127841E-2</v>
      </c>
      <c r="BT2">
        <v>-2.6194852941176482E-2</v>
      </c>
      <c r="BU2">
        <v>-7.7519379844960398E-3</v>
      </c>
      <c r="BV2">
        <v>-3.2642258491398408E-2</v>
      </c>
      <c r="BW2">
        <v>6.4069467261206381E-2</v>
      </c>
      <c r="BX2">
        <v>4.5131223939170864E-2</v>
      </c>
      <c r="BY2">
        <v>-0.15955473098330231</v>
      </c>
      <c r="BZ2">
        <v>7.4766355140186798E-3</v>
      </c>
      <c r="CA2">
        <v>1.2476606363068239E-3</v>
      </c>
      <c r="CB2">
        <v>-6.8023255813953451E-2</v>
      </c>
      <c r="CC2">
        <v>1.3752455795677855E-2</v>
      </c>
      <c r="CD2">
        <v>1.1928429423459274E-2</v>
      </c>
      <c r="CE2">
        <v>4.2919344806137266E-2</v>
      </c>
      <c r="CF2">
        <v>-2.6639757820383459E-2</v>
      </c>
      <c r="CG2">
        <v>0</v>
      </c>
      <c r="CH2">
        <v>0.1006219458018657</v>
      </c>
      <c r="CI2">
        <v>6.7330488383120043E-2</v>
      </c>
      <c r="CJ2">
        <v>-2.24797219003476E-2</v>
      </c>
      <c r="CK2">
        <v>6.7540821375556573E-2</v>
      </c>
      <c r="CL2">
        <v>-3.4516765285996192E-3</v>
      </c>
      <c r="CM2">
        <v>5.9561128526645794E-2</v>
      </c>
      <c r="CN2">
        <v>3.5714285714285719E-2</v>
      </c>
      <c r="CO2">
        <v>5.4141851651334945E-4</v>
      </c>
      <c r="CP2">
        <v>-4.5724618961508735E-2</v>
      </c>
      <c r="CQ2">
        <v>-4.4905008635578593E-2</v>
      </c>
      <c r="CR2">
        <v>1.0723192019950117E-2</v>
      </c>
      <c r="CS2">
        <v>-1.9910403185664084E-3</v>
      </c>
      <c r="CT2">
        <v>2.0574041148082357E-2</v>
      </c>
      <c r="CU2">
        <v>-2.3561507936508005E-2</v>
      </c>
      <c r="CV2">
        <v>1.3065326633165909E-2</v>
      </c>
      <c r="CW2">
        <v>3.2693305656460767E-2</v>
      </c>
      <c r="CX2">
        <v>5.4787372815027621E-3</v>
      </c>
      <c r="CY2">
        <v>-6.4437393214547251E-2</v>
      </c>
      <c r="CZ2">
        <v>-9.7537186052180317E-4</v>
      </c>
      <c r="DA2">
        <v>0.10301237224314143</v>
      </c>
      <c r="DB2">
        <v>8.6814975583288188E-3</v>
      </c>
      <c r="DC2">
        <v>-7.619047619047617E-2</v>
      </c>
      <c r="DD2">
        <v>-5.7313730376278085E-3</v>
      </c>
      <c r="DE2">
        <v>7.9634113532418643E-2</v>
      </c>
      <c r="DF2">
        <v>-4.6678635547576307E-2</v>
      </c>
      <c r="DG2">
        <v>4.5308310991957236E-2</v>
      </c>
      <c r="DH2">
        <v>-1.6350210970464255E-2</v>
      </c>
      <c r="DI2">
        <v>-1.4809041309431028E-2</v>
      </c>
      <c r="DJ2">
        <v>-3.3157498116051246E-2</v>
      </c>
      <c r="DK2">
        <v>2.6295436968290876E-2</v>
      </c>
      <c r="DL2">
        <v>7.9599220706930124E-2</v>
      </c>
      <c r="DM2">
        <v>-2.5230602278893101E-2</v>
      </c>
      <c r="DN2">
        <v>-8.6040168608975925E-2</v>
      </c>
      <c r="DO2">
        <v>2.3863924854023805E-2</v>
      </c>
      <c r="DP2">
        <v>2.0466321243523294E-2</v>
      </c>
      <c r="DQ2">
        <v>4.9466284821662286E-3</v>
      </c>
      <c r="DR2">
        <v>-5.9039686428221549E-2</v>
      </c>
      <c r="DS2">
        <v>-2.6240458015267209E-2</v>
      </c>
      <c r="DT2">
        <v>-1.5268968757340818E-2</v>
      </c>
      <c r="DU2">
        <v>-7.9235609415053906E-3</v>
      </c>
      <c r="DV2">
        <v>1.7065655368570725E-2</v>
      </c>
      <c r="DW2">
        <v>-3.4332799267566952E-2</v>
      </c>
      <c r="DX2">
        <v>1.3453954998840136E-2</v>
      </c>
      <c r="DY2">
        <v>1.0074976569821923E-2</v>
      </c>
      <c r="DZ2">
        <v>-3.9673278879813695E-3</v>
      </c>
      <c r="EA2">
        <v>9.6606974552310015E-3</v>
      </c>
      <c r="EB2">
        <v>-5.7935627081021082E-2</v>
      </c>
      <c r="EC2">
        <v>-2.0013051990428576E-2</v>
      </c>
      <c r="ED2">
        <v>-4.5076859160781087E-2</v>
      </c>
      <c r="EE2">
        <v>4.3813895263926737E-3</v>
      </c>
      <c r="EF2">
        <v>0.10616201246249715</v>
      </c>
    </row>
    <row r="3" spans="1:136">
      <c r="A3" s="1">
        <v>41579</v>
      </c>
      <c r="B3">
        <v>77.8</v>
      </c>
      <c r="C3">
        <v>78.569999999999993</v>
      </c>
      <c r="D3">
        <v>130.35</v>
      </c>
      <c r="E3">
        <v>76.099999999999994</v>
      </c>
      <c r="F3">
        <v>55.72</v>
      </c>
      <c r="G3">
        <v>393.62</v>
      </c>
      <c r="I3">
        <f t="shared" ref="I3:I66" si="5">(B3-B4)/B4</f>
        <v>7.0004125979920284E-2</v>
      </c>
      <c r="J3">
        <f t="shared" si="0"/>
        <v>5.5480924234282587E-2</v>
      </c>
      <c r="K3">
        <f t="shared" si="1"/>
        <v>6.6083258362640049E-2</v>
      </c>
      <c r="L3">
        <f t="shared" si="2"/>
        <v>0.14867924528301879</v>
      </c>
      <c r="M3">
        <f t="shared" si="3"/>
        <v>0.11018131101813113</v>
      </c>
      <c r="N3">
        <f t="shared" si="4"/>
        <v>8.1284509518446374E-2</v>
      </c>
      <c r="Q3" t="s">
        <v>34</v>
      </c>
      <c r="R3">
        <v>5.0479478327579694E-2</v>
      </c>
      <c r="S3">
        <v>6.6083258362640049E-2</v>
      </c>
      <c r="T3">
        <v>5.3960865442634176E-2</v>
      </c>
      <c r="U3">
        <v>5.1291345718169561E-2</v>
      </c>
      <c r="V3">
        <v>-2.741054115988013E-2</v>
      </c>
      <c r="W3">
        <v>7.3821692220329332E-2</v>
      </c>
      <c r="X3">
        <v>-8.2598085226207024E-3</v>
      </c>
      <c r="Y3">
        <v>5.9045725646123384E-2</v>
      </c>
      <c r="Z3">
        <v>-1.5077344820834211E-2</v>
      </c>
      <c r="AA3">
        <v>2.2217774219375489E-2</v>
      </c>
      <c r="AB3">
        <v>4.0724924487032563E-2</v>
      </c>
      <c r="AC3">
        <v>8.2900969997744295E-2</v>
      </c>
      <c r="AD3">
        <v>2.0958083832335252E-2</v>
      </c>
      <c r="AE3">
        <v>4.5131784811650019E-2</v>
      </c>
      <c r="AF3">
        <v>-5.213324207164035E-2</v>
      </c>
      <c r="AG3">
        <v>-2.0491803278689302E-3</v>
      </c>
      <c r="AH3">
        <v>2.1514129549947768E-2</v>
      </c>
      <c r="AI3">
        <v>1.8235642391947804E-2</v>
      </c>
      <c r="AJ3">
        <v>6.1463046757164408E-2</v>
      </c>
      <c r="AK3">
        <v>-4.8894202032277387E-2</v>
      </c>
      <c r="AL3">
        <v>1.6764459346186153E-3</v>
      </c>
      <c r="AM3">
        <v>1.8414634146341525E-2</v>
      </c>
      <c r="AN3">
        <v>1.7117340610270346E-2</v>
      </c>
      <c r="AO3">
        <v>6.0929069614423084E-2</v>
      </c>
      <c r="AP3">
        <v>8.4936960849369691E-3</v>
      </c>
      <c r="AQ3">
        <v>3.2757675438596499E-2</v>
      </c>
      <c r="AR3">
        <v>0.10078455039227509</v>
      </c>
      <c r="AS3">
        <v>-0.1348387938911369</v>
      </c>
      <c r="AT3">
        <v>-4.1296458515830275E-2</v>
      </c>
      <c r="AU3">
        <v>-8.1283053575534683E-2</v>
      </c>
      <c r="AV3">
        <v>4.9682264586944757E-3</v>
      </c>
      <c r="AW3">
        <v>-2.3468351573959139E-2</v>
      </c>
      <c r="AX3">
        <v>3.9770061004223381E-2</v>
      </c>
      <c r="AY3">
        <v>1.3675823522416357E-2</v>
      </c>
      <c r="AZ3">
        <v>5.5346385542168627E-2</v>
      </c>
      <c r="BA3">
        <v>1.8795550441120232E-2</v>
      </c>
      <c r="BB3">
        <v>2.7591643673630196E-2</v>
      </c>
      <c r="BC3">
        <v>3.4278180619644713E-3</v>
      </c>
      <c r="BD3">
        <v>-2.8684850813164412E-2</v>
      </c>
      <c r="BE3">
        <v>0.10390161153519945</v>
      </c>
      <c r="BF3">
        <v>-7.6018808777429558E-2</v>
      </c>
      <c r="BG3">
        <v>8.3038619323808238E-2</v>
      </c>
      <c r="BH3">
        <v>-4.0856579318118659E-3</v>
      </c>
      <c r="BI3">
        <v>-9.9923915800152113E-2</v>
      </c>
      <c r="BJ3">
        <v>6.0944436970267739E-2</v>
      </c>
      <c r="BK3">
        <v>4.2789001122334414E-2</v>
      </c>
      <c r="BL3">
        <v>2.2497187851518081E-3</v>
      </c>
      <c r="BM3">
        <v>-2.6420260095824679E-2</v>
      </c>
      <c r="BN3">
        <v>6.7670271850336097E-2</v>
      </c>
      <c r="BO3">
        <v>5.9461133477856976E-2</v>
      </c>
      <c r="BP3">
        <v>-3.2412409322427524E-3</v>
      </c>
      <c r="BQ3">
        <v>2.370042660767905E-2</v>
      </c>
      <c r="BR3">
        <v>2.9775463716238175E-2</v>
      </c>
      <c r="BS3">
        <v>0.17334860633829702</v>
      </c>
      <c r="BT3">
        <v>5.2652733118971153E-2</v>
      </c>
      <c r="BU3">
        <v>0</v>
      </c>
      <c r="BV3">
        <v>0.15828677839851019</v>
      </c>
      <c r="BW3">
        <v>9.3686354378818726E-2</v>
      </c>
      <c r="BX3">
        <v>-0.14552969327822488</v>
      </c>
      <c r="BY3">
        <v>-6.5270435136234262E-2</v>
      </c>
      <c r="BZ3">
        <v>-0.14020979020979027</v>
      </c>
      <c r="CA3">
        <v>4.9348743349844154E-2</v>
      </c>
      <c r="CB3">
        <v>-5.8711794163356909E-2</v>
      </c>
      <c r="CC3">
        <v>-4.5963756177924316E-2</v>
      </c>
      <c r="CD3">
        <v>2.429969625379691E-2</v>
      </c>
      <c r="CE3">
        <v>1.1608057357459879E-2</v>
      </c>
      <c r="CF3">
        <v>-0.10277224689845317</v>
      </c>
      <c r="CG3">
        <v>1.5080845771144484E-2</v>
      </c>
      <c r="CH3">
        <v>-2.8398791540785642E-2</v>
      </c>
      <c r="CI3">
        <v>9.4541018603233381E-3</v>
      </c>
      <c r="CJ3">
        <v>-9.365558912386775E-3</v>
      </c>
      <c r="CK3">
        <v>-5.550007133685262E-2</v>
      </c>
      <c r="CL3">
        <v>1.2714925588787888E-2</v>
      </c>
      <c r="CM3">
        <v>-3.0128923766816224E-2</v>
      </c>
      <c r="CN3">
        <v>-7.7201603517392983E-2</v>
      </c>
      <c r="CO3">
        <v>2.8461231546748247E-2</v>
      </c>
      <c r="CP3">
        <v>2.8872468527640933E-2</v>
      </c>
      <c r="CQ3">
        <v>2.4533856722276742E-2</v>
      </c>
      <c r="CR3">
        <v>-1.327984506847431E-2</v>
      </c>
      <c r="CS3">
        <v>6.8746303962152658E-2</v>
      </c>
      <c r="CT3">
        <v>8.29330771693884E-2</v>
      </c>
      <c r="CU3">
        <v>3.1714568880079314E-2</v>
      </c>
      <c r="CV3">
        <v>3.3145508783559118E-3</v>
      </c>
      <c r="CW3">
        <v>-4.6610838995101843E-2</v>
      </c>
      <c r="CX3">
        <v>-4.3379685610640831E-2</v>
      </c>
      <c r="CY3">
        <v>3.9107900109941807E-2</v>
      </c>
      <c r="CZ3">
        <v>5.9400998336106493E-2</v>
      </c>
      <c r="DA3">
        <v>3.7996545768566543E-2</v>
      </c>
      <c r="DB3">
        <v>2.5141643059490116E-2</v>
      </c>
      <c r="DC3">
        <v>-0.12839506172839507</v>
      </c>
      <c r="DD3">
        <v>-3.4564958283671142E-2</v>
      </c>
      <c r="DE3">
        <v>-1.5547081255500179E-2</v>
      </c>
      <c r="DF3">
        <v>0.12862108922363866</v>
      </c>
      <c r="DG3">
        <v>2.8605482717520853E-2</v>
      </c>
      <c r="DH3">
        <v>1.802738776217714E-2</v>
      </c>
      <c r="DI3">
        <v>-6.1340709404490774E-2</v>
      </c>
      <c r="DJ3">
        <v>-1.2532133676092563E-2</v>
      </c>
      <c r="DK3">
        <v>3.8371705038371777E-2</v>
      </c>
      <c r="DL3">
        <v>3.5769828926905139E-2</v>
      </c>
      <c r="DM3">
        <v>3.0999465526456348E-2</v>
      </c>
      <c r="DN3">
        <v>-4.5732743964637841E-2</v>
      </c>
      <c r="DO3">
        <v>3.738977072310401E-2</v>
      </c>
      <c r="DP3">
        <v>-5.6729329562468754E-2</v>
      </c>
      <c r="DQ3">
        <v>7.8806170355465947E-3</v>
      </c>
      <c r="DR3">
        <v>-0.10758641328744573</v>
      </c>
      <c r="DS3">
        <v>2.0772873071635854E-2</v>
      </c>
      <c r="DT3">
        <v>0</v>
      </c>
      <c r="DU3">
        <v>2.7947872507458019E-2</v>
      </c>
      <c r="DV3">
        <v>3.1083050024283545E-2</v>
      </c>
      <c r="DW3">
        <v>3.0702486233939653E-2</v>
      </c>
      <c r="DX3">
        <v>-3.0101958245670812E-2</v>
      </c>
      <c r="DY3">
        <v>-2.891717743202897E-2</v>
      </c>
      <c r="DZ3">
        <v>4.5784654246921238E-3</v>
      </c>
      <c r="EA3">
        <v>-8.5078723096923298E-2</v>
      </c>
      <c r="EB3">
        <v>6.442189421894215E-2</v>
      </c>
      <c r="EC3">
        <v>-1.7819389912413056E-2</v>
      </c>
      <c r="ED3">
        <v>5.6308821183601872E-2</v>
      </c>
      <c r="EE3">
        <v>4.9205020920502052E-2</v>
      </c>
      <c r="EF3">
        <v>-8.9567092386797012E-3</v>
      </c>
    </row>
    <row r="4" spans="1:136">
      <c r="A4" s="1">
        <v>41548</v>
      </c>
      <c r="B4">
        <v>72.709999999999994</v>
      </c>
      <c r="C4">
        <v>74.44</v>
      </c>
      <c r="D4">
        <v>122.27</v>
      </c>
      <c r="E4">
        <v>66.25</v>
      </c>
      <c r="F4">
        <v>50.19</v>
      </c>
      <c r="G4">
        <v>364.03</v>
      </c>
      <c r="I4">
        <f t="shared" si="5"/>
        <v>9.6351025331724988E-2</v>
      </c>
      <c r="J4">
        <f t="shared" si="0"/>
        <v>3.7635907443546182E-2</v>
      </c>
      <c r="K4">
        <f t="shared" si="1"/>
        <v>5.3960865442634176E-2</v>
      </c>
      <c r="L4">
        <f t="shared" si="2"/>
        <v>-4.7858580051738979E-2</v>
      </c>
      <c r="M4">
        <f t="shared" si="3"/>
        <v>4.4026415849509476E-3</v>
      </c>
      <c r="N4">
        <f t="shared" si="4"/>
        <v>0.16437436028659158</v>
      </c>
      <c r="Q4" t="s">
        <v>35</v>
      </c>
      <c r="R4">
        <v>-2.6544021024967099E-2</v>
      </c>
      <c r="S4">
        <v>0.14867924528301879</v>
      </c>
      <c r="T4">
        <v>-4.7858580051738979E-2</v>
      </c>
      <c r="U4">
        <v>1.9487179487179464E-2</v>
      </c>
      <c r="V4">
        <v>-3.9679189531447778E-2</v>
      </c>
      <c r="W4">
        <v>5.6488776572023149E-2</v>
      </c>
      <c r="X4">
        <v>2.3429179978700622E-2</v>
      </c>
      <c r="Y4">
        <v>-5.4471175669541447E-3</v>
      </c>
      <c r="Z4">
        <v>-4.8243087557603606E-2</v>
      </c>
      <c r="AA4">
        <v>9.856035437430781E-2</v>
      </c>
      <c r="AB4">
        <v>8.2947838570745433E-3</v>
      </c>
      <c r="AC4">
        <v>-1.6935863258585624E-2</v>
      </c>
      <c r="AD4">
        <v>-1.0090034150884795E-2</v>
      </c>
      <c r="AE4">
        <v>-4.3219961384226895E-2</v>
      </c>
      <c r="AF4">
        <v>6.2154914024294017E-2</v>
      </c>
      <c r="AG4">
        <v>4.1228646517739782E-2</v>
      </c>
      <c r="AH4">
        <v>-1.7271993543179986E-2</v>
      </c>
      <c r="AI4">
        <v>1.1098416843479675E-2</v>
      </c>
      <c r="AJ4">
        <v>-8.442916915720261E-2</v>
      </c>
      <c r="AK4">
        <v>-3.2668401272044012E-2</v>
      </c>
      <c r="AL4">
        <v>2.6105013349154629E-2</v>
      </c>
      <c r="AM4">
        <v>7.4593560726809047E-2</v>
      </c>
      <c r="AN4">
        <v>4.5840973495582596E-2</v>
      </c>
      <c r="AO4">
        <v>7.8374977530109635E-2</v>
      </c>
      <c r="AP4">
        <v>5.3000189286390394E-2</v>
      </c>
      <c r="AQ4">
        <v>4.6138613861386103E-2</v>
      </c>
      <c r="AR4">
        <v>9.0712742980561617E-2</v>
      </c>
      <c r="AS4">
        <v>-9.1622523052776184E-2</v>
      </c>
      <c r="AT4">
        <v>2.9281098546041915E-2</v>
      </c>
      <c r="AU4">
        <v>-3.9379243452958179E-2</v>
      </c>
      <c r="AV4">
        <v>-1.5494867325199573E-3</v>
      </c>
      <c r="AW4">
        <v>3.1362365161805836E-2</v>
      </c>
      <c r="AX4">
        <v>4.9255921190526124E-2</v>
      </c>
      <c r="AY4">
        <v>2.0753102267864757E-2</v>
      </c>
      <c r="AZ4">
        <v>7.6462459695992635E-2</v>
      </c>
      <c r="BA4">
        <v>-4.1924095322153541E-2</v>
      </c>
      <c r="BB4">
        <v>-2.0531661984006976E-2</v>
      </c>
      <c r="BC4">
        <v>1.0482638130596288E-2</v>
      </c>
      <c r="BD4">
        <v>8.1738719584219258E-2</v>
      </c>
      <c r="BE4">
        <v>0.10464509394572019</v>
      </c>
      <c r="BF4">
        <v>9.4836670179135781E-3</v>
      </c>
      <c r="BG4">
        <v>6.3305322128851482E-2</v>
      </c>
      <c r="BH4">
        <v>-4.6728971962616821E-2</v>
      </c>
      <c r="BI4">
        <v>-3.4544985821087816E-2</v>
      </c>
      <c r="BJ4">
        <v>0.11241755090335538</v>
      </c>
      <c r="BK4">
        <v>0.13657105606258141</v>
      </c>
      <c r="BL4">
        <v>-1.4138817480719835E-2</v>
      </c>
      <c r="BM4">
        <v>-1.6123932975023649E-2</v>
      </c>
      <c r="BN4">
        <v>-8.4639498432601754E-3</v>
      </c>
      <c r="BO4">
        <v>7.0469798657718047E-2</v>
      </c>
      <c r="BP4">
        <v>-1.8121911037891292E-2</v>
      </c>
      <c r="BQ4">
        <v>-1.4290354011042472E-2</v>
      </c>
      <c r="BR4">
        <v>-3.4190715181932244E-2</v>
      </c>
      <c r="BS4">
        <v>6.9081153588195804E-2</v>
      </c>
      <c r="BT4">
        <v>-3.7132709073296695E-2</v>
      </c>
      <c r="BU4">
        <v>3.8216560509554159E-2</v>
      </c>
      <c r="BV4">
        <v>0.22153972153972137</v>
      </c>
      <c r="BW4">
        <v>4.5824411134903646E-2</v>
      </c>
      <c r="BX4">
        <v>-8.179315768777029E-2</v>
      </c>
      <c r="BY4">
        <v>-8.5580726357425349E-2</v>
      </c>
      <c r="BZ4">
        <v>0.16897856242118536</v>
      </c>
      <c r="CA4">
        <v>-7.1065989847715755E-2</v>
      </c>
      <c r="CB4">
        <v>-0.10454545454545461</v>
      </c>
      <c r="CC4">
        <v>-8.6261980830670895E-2</v>
      </c>
      <c r="CD4">
        <v>-3.8192234245703689E-3</v>
      </c>
      <c r="CE4">
        <v>2.6126714565643392E-2</v>
      </c>
      <c r="CF4">
        <v>-0.11605080831408775</v>
      </c>
      <c r="CG4">
        <v>-2.3950408565793221E-2</v>
      </c>
      <c r="CH4">
        <v>9.7402597402597352E-2</v>
      </c>
      <c r="CI4">
        <v>8.0160320641282631E-2</v>
      </c>
      <c r="CJ4">
        <v>8.4203435500168396E-3</v>
      </c>
      <c r="CK4">
        <v>-0.10383338364020528</v>
      </c>
      <c r="CL4">
        <v>3.0161691542288746E-2</v>
      </c>
      <c r="CM4">
        <v>-7.7452667814113682E-2</v>
      </c>
      <c r="CN4">
        <v>0.19506342132327725</v>
      </c>
      <c r="CO4">
        <v>3.4030485643388897E-2</v>
      </c>
      <c r="CP4">
        <v>2.136133236784938E-2</v>
      </c>
      <c r="CQ4">
        <v>-1.6381766381766288E-2</v>
      </c>
      <c r="CR4">
        <v>-3.3723331039229199E-2</v>
      </c>
      <c r="CS4">
        <v>9.4538606403013106E-2</v>
      </c>
      <c r="CT4">
        <v>7.0996369503832257E-2</v>
      </c>
      <c r="CU4">
        <v>2.4262029923169722E-3</v>
      </c>
      <c r="CV4">
        <v>-3.4738485558157707E-2</v>
      </c>
      <c r="CW4">
        <v>2.3162939297124676E-2</v>
      </c>
      <c r="CX4">
        <v>-3.8771593090211193E-2</v>
      </c>
      <c r="CY4">
        <v>2.8830963665086903E-2</v>
      </c>
      <c r="CZ4">
        <v>0.14570135746606327</v>
      </c>
      <c r="DA4">
        <v>6.5060240963855487E-2</v>
      </c>
      <c r="DB4">
        <v>8.5818942961800135E-2</v>
      </c>
      <c r="DC4">
        <v>-0.1019736842105264</v>
      </c>
      <c r="DD4">
        <v>-2.8116213683223395E-3</v>
      </c>
      <c r="DE4">
        <v>-2.4680073126142558E-2</v>
      </c>
      <c r="DF4">
        <v>6.0591371788657297E-2</v>
      </c>
      <c r="DG4">
        <v>2.4329692154915511E-2</v>
      </c>
      <c r="DH4">
        <v>-3.5902345619913831E-2</v>
      </c>
      <c r="DI4">
        <v>5.7721518987341798E-2</v>
      </c>
      <c r="DJ4">
        <v>-3.9396887159533017E-2</v>
      </c>
      <c r="DK4">
        <v>-4.0597293513765793E-2</v>
      </c>
      <c r="DL4">
        <v>5.3071253071252981E-2</v>
      </c>
      <c r="DM4">
        <v>2.1586345381526088E-2</v>
      </c>
      <c r="DN4">
        <v>-9.4956837800999533E-2</v>
      </c>
      <c r="DO4">
        <v>7.783882783882862E-3</v>
      </c>
      <c r="DP4">
        <v>1.5341701534170074E-2</v>
      </c>
      <c r="DQ4">
        <v>9.1878172588832602E-2</v>
      </c>
      <c r="DR4">
        <v>-9.1747349008759888E-2</v>
      </c>
      <c r="DS4">
        <v>6.2193927522037194E-2</v>
      </c>
      <c r="DT4">
        <v>5.2577319587629033E-2</v>
      </c>
      <c r="DU4">
        <v>-1.5728056823947349E-2</v>
      </c>
      <c r="DV4">
        <v>3.9556962025316451E-2</v>
      </c>
      <c r="DW4">
        <v>4.3478260869565168E-2</v>
      </c>
      <c r="DX4">
        <v>7.2609208972845354E-2</v>
      </c>
      <c r="DY4">
        <v>2.3564954682779488E-2</v>
      </c>
      <c r="DZ4">
        <v>3.4375000000000044E-2</v>
      </c>
      <c r="EA4">
        <v>3.4259857789269509E-2</v>
      </c>
      <c r="EB4">
        <v>-7.0603337612323127E-3</v>
      </c>
      <c r="EC4">
        <v>-3.3498759305210971E-2</v>
      </c>
      <c r="ED4">
        <v>2.0899303356554901E-2</v>
      </c>
      <c r="EE4">
        <v>2.5990903183885548E-2</v>
      </c>
      <c r="EF4">
        <v>9.2264017033357043E-2</v>
      </c>
    </row>
    <row r="5" spans="1:136">
      <c r="A5" s="1">
        <v>41520</v>
      </c>
      <c r="B5">
        <v>66.319999999999993</v>
      </c>
      <c r="C5">
        <v>71.739999999999995</v>
      </c>
      <c r="D5">
        <v>116.01</v>
      </c>
      <c r="E5">
        <v>69.58</v>
      </c>
      <c r="F5">
        <v>49.97</v>
      </c>
      <c r="G5">
        <v>312.64</v>
      </c>
      <c r="I5">
        <f t="shared" si="5"/>
        <v>-2.1395897889921838E-2</v>
      </c>
      <c r="J5">
        <f t="shared" si="0"/>
        <v>1.3563153433173124E-2</v>
      </c>
      <c r="K5">
        <f t="shared" si="1"/>
        <v>5.1291345718169561E-2</v>
      </c>
      <c r="L5">
        <f t="shared" si="2"/>
        <v>1.9487179487179464E-2</v>
      </c>
      <c r="M5">
        <f t="shared" si="3"/>
        <v>2.2927328556806497E-2</v>
      </c>
      <c r="N5">
        <f t="shared" si="4"/>
        <v>0.11267705886539955</v>
      </c>
      <c r="Q5" t="s">
        <v>3</v>
      </c>
      <c r="R5">
        <v>2.2074659009332448E-2</v>
      </c>
      <c r="S5">
        <v>0.11018131101813113</v>
      </c>
      <c r="T5">
        <v>4.4026415849509476E-3</v>
      </c>
      <c r="U5">
        <v>2.2927328556806497E-2</v>
      </c>
      <c r="V5">
        <v>-9.3355605048255394E-2</v>
      </c>
      <c r="W5">
        <v>6.3560994867745885E-2</v>
      </c>
      <c r="X5">
        <v>-3.302156900171796E-2</v>
      </c>
      <c r="Y5">
        <v>0.11373299319727895</v>
      </c>
      <c r="Z5">
        <v>3.9098740888005211E-2</v>
      </c>
      <c r="AA5">
        <v>-2.9789969995713535E-2</v>
      </c>
      <c r="AB5">
        <v>3.9661319073083644E-2</v>
      </c>
      <c r="AC5">
        <v>7.7551020408163363E-2</v>
      </c>
      <c r="AD5">
        <v>7.0418915445900856E-2</v>
      </c>
      <c r="AE5">
        <v>-1.4437689969604872E-2</v>
      </c>
      <c r="AF5">
        <v>3.730951129795046E-2</v>
      </c>
      <c r="AG5">
        <v>8.9919816723940449E-2</v>
      </c>
      <c r="AH5">
        <v>3.1610044313146242E-2</v>
      </c>
      <c r="AI5">
        <v>1.5906362545018041E-2</v>
      </c>
      <c r="AJ5">
        <v>7.7968295050145589E-2</v>
      </c>
      <c r="AK5">
        <v>-0.22879241516966065</v>
      </c>
      <c r="AL5">
        <v>-5.9154929577464863E-2</v>
      </c>
      <c r="AM5">
        <v>0.17161716171617167</v>
      </c>
      <c r="AN5">
        <v>5.2083333333333245E-2</v>
      </c>
      <c r="AO5">
        <v>0.12978097417456694</v>
      </c>
      <c r="AP5">
        <v>7.3710073710073765E-2</v>
      </c>
      <c r="AQ5">
        <v>-0.10885204879574603</v>
      </c>
      <c r="AR5">
        <v>0.16423889293517838</v>
      </c>
      <c r="AS5">
        <v>-0.19824817518248172</v>
      </c>
      <c r="AT5">
        <v>-7.1312364425162755E-2</v>
      </c>
      <c r="AU5">
        <v>-5.9299191374662767E-3</v>
      </c>
      <c r="AV5">
        <v>-5.33299311048736E-2</v>
      </c>
      <c r="AW5">
        <v>-5.2237001209189927E-2</v>
      </c>
      <c r="AX5">
        <v>-4.8134777376653611E-3</v>
      </c>
      <c r="AY5">
        <v>-1.2829650748396442E-2</v>
      </c>
      <c r="AZ5">
        <v>3.9002715378918917E-2</v>
      </c>
      <c r="BA5">
        <v>6.074888714323122E-2</v>
      </c>
      <c r="BB5">
        <v>0.13424413424413412</v>
      </c>
      <c r="BC5">
        <v>-6.198347107438041E-3</v>
      </c>
      <c r="BD5">
        <v>-9.9357101110460633E-3</v>
      </c>
      <c r="BE5">
        <v>4.6803303762618577E-2</v>
      </c>
      <c r="BF5">
        <v>-9.7459966869133108E-2</v>
      </c>
      <c r="BG5">
        <v>0.10191664131426838</v>
      </c>
      <c r="BH5">
        <v>-7.5126617895329262E-2</v>
      </c>
      <c r="BI5">
        <v>-7.0606694560669522E-2</v>
      </c>
      <c r="BJ5">
        <v>-4.7334329845540569E-2</v>
      </c>
      <c r="BK5">
        <v>6.6135458167330727E-2</v>
      </c>
      <c r="BL5">
        <v>7.7870025765817322E-2</v>
      </c>
      <c r="BM5">
        <v>-6.4291454594160163E-2</v>
      </c>
      <c r="BN5">
        <v>-1.9437877593906014E-2</v>
      </c>
      <c r="BO5">
        <v>1.7370390165686759E-2</v>
      </c>
      <c r="BP5">
        <v>-4.5651619484825275E-2</v>
      </c>
      <c r="BQ5">
        <v>8.2283363332476284E-3</v>
      </c>
      <c r="BR5">
        <v>0.12463851937536155</v>
      </c>
      <c r="BS5">
        <v>0.13451443569553798</v>
      </c>
      <c r="BT5">
        <v>-7.5523202911737905E-2</v>
      </c>
      <c r="BU5">
        <v>0.11800610376398782</v>
      </c>
      <c r="BV5">
        <v>0.24377899620413315</v>
      </c>
      <c r="BW5">
        <v>0.1633954857703632</v>
      </c>
      <c r="BX5">
        <v>-0.10417582417582422</v>
      </c>
      <c r="BY5">
        <v>-0.18106551475881932</v>
      </c>
      <c r="BZ5">
        <v>-4.3010752688171132E-3</v>
      </c>
      <c r="CA5">
        <v>-0.23246217331499319</v>
      </c>
      <c r="CB5">
        <v>-0.10972324271369084</v>
      </c>
      <c r="CC5">
        <v>0.21301247771836015</v>
      </c>
      <c r="CD5">
        <v>-5.263157894736855E-2</v>
      </c>
      <c r="CE5">
        <v>0.19750589821368383</v>
      </c>
      <c r="CF5">
        <v>-0.2019903173749327</v>
      </c>
      <c r="CG5">
        <v>-9.7572815533980659E-2</v>
      </c>
      <c r="CH5">
        <v>0.11834961997828444</v>
      </c>
      <c r="CI5">
        <v>5.6495554918268027E-2</v>
      </c>
      <c r="CJ5">
        <v>-0.14240039350713229</v>
      </c>
      <c r="CK5">
        <v>9.5661546752896717E-2</v>
      </c>
      <c r="CL5">
        <v>-4.3310131477184835E-2</v>
      </c>
      <c r="CM5">
        <v>-2.927927927927932E-2</v>
      </c>
      <c r="CN5">
        <v>3.3893919793014288E-2</v>
      </c>
      <c r="CO5">
        <v>2.9294274300932132E-2</v>
      </c>
      <c r="CP5">
        <v>1.1584051724137925E-2</v>
      </c>
      <c r="CQ5">
        <v>-8.45869297163995E-2</v>
      </c>
      <c r="CR5">
        <v>-6.5237436606731328E-2</v>
      </c>
      <c r="CS5">
        <v>-5.0458715596330009E-3</v>
      </c>
      <c r="CT5">
        <v>8.4577114427860658E-2</v>
      </c>
      <c r="CU5">
        <v>-2.0467836257309854E-2</v>
      </c>
      <c r="CV5">
        <v>-3.0245746691871481E-2</v>
      </c>
      <c r="CW5">
        <v>6.1982434127979893E-2</v>
      </c>
      <c r="CX5">
        <v>4.3466876145587953E-2</v>
      </c>
      <c r="CY5">
        <v>-2.4271844660194247E-2</v>
      </c>
      <c r="CZ5">
        <v>1.7416168442942598E-2</v>
      </c>
      <c r="DA5">
        <v>2.8334669874365205E-2</v>
      </c>
      <c r="DB5">
        <v>1.0703773080010476E-3</v>
      </c>
      <c r="DC5">
        <v>9.4931145619689267E-2</v>
      </c>
      <c r="DD5">
        <v>-1.5007215007214893E-2</v>
      </c>
      <c r="DE5">
        <v>-6.0466377440347177E-2</v>
      </c>
      <c r="DF5">
        <v>9.8927294398092974E-2</v>
      </c>
      <c r="DG5">
        <v>1.2062726176115975E-2</v>
      </c>
      <c r="DH5">
        <v>3.4956304619225886E-2</v>
      </c>
      <c r="DI5">
        <v>1.0088272383354359E-2</v>
      </c>
      <c r="DJ5">
        <v>3.7618580307490955E-2</v>
      </c>
      <c r="DK5">
        <v>4.4414075845575697E-2</v>
      </c>
      <c r="DL5">
        <v>9.0130353817504588E-2</v>
      </c>
      <c r="DM5">
        <v>1.1185682326622349E-3</v>
      </c>
      <c r="DN5">
        <v>-3.5251798561151092E-2</v>
      </c>
      <c r="DO5">
        <v>4.3352601156069724E-3</v>
      </c>
      <c r="DP5">
        <v>-1.2134189864382579E-2</v>
      </c>
      <c r="DQ5">
        <v>7.5512405609493303E-3</v>
      </c>
      <c r="DR5">
        <v>3.6140089418777901E-2</v>
      </c>
      <c r="DS5">
        <v>-5.3596614950634683E-2</v>
      </c>
      <c r="DT5">
        <v>-2.0718232044198943E-2</v>
      </c>
      <c r="DU5">
        <v>-3.4666666666666637E-2</v>
      </c>
      <c r="DV5">
        <v>3.5911602209944722E-2</v>
      </c>
      <c r="DW5">
        <v>-2.4587403166049189E-2</v>
      </c>
      <c r="DX5">
        <v>-2.0132013201320114E-2</v>
      </c>
      <c r="DY5">
        <v>3.643590592911541E-3</v>
      </c>
      <c r="DZ5">
        <v>6.0414471373375571E-2</v>
      </c>
      <c r="EA5">
        <v>-2.8659160696008185E-2</v>
      </c>
      <c r="EB5">
        <v>5.2423698384200974E-2</v>
      </c>
      <c r="EC5">
        <v>-2.0056298381421544E-2</v>
      </c>
      <c r="ED5">
        <v>-9.6630642085187513E-2</v>
      </c>
      <c r="EE5">
        <v>2.2756827048114409E-2</v>
      </c>
      <c r="EF5">
        <v>5.4869684499314175E-2</v>
      </c>
    </row>
    <row r="6" spans="1:136">
      <c r="A6" s="1">
        <v>41487</v>
      </c>
      <c r="B6">
        <v>67.77</v>
      </c>
      <c r="C6">
        <v>70.78</v>
      </c>
      <c r="D6">
        <v>110.35</v>
      </c>
      <c r="E6">
        <v>68.25</v>
      </c>
      <c r="F6">
        <v>48.85</v>
      </c>
      <c r="G6">
        <v>280.98</v>
      </c>
      <c r="I6">
        <f t="shared" si="5"/>
        <v>8.3799776107468332E-2</v>
      </c>
      <c r="J6">
        <f t="shared" si="0"/>
        <v>-5.8025019962736214E-2</v>
      </c>
      <c r="K6">
        <f t="shared" si="1"/>
        <v>-2.741054115988013E-2</v>
      </c>
      <c r="L6">
        <f t="shared" si="2"/>
        <v>-3.9679189531447778E-2</v>
      </c>
      <c r="M6">
        <f t="shared" si="3"/>
        <v>-9.3355605048255394E-2</v>
      </c>
      <c r="N6">
        <f t="shared" si="4"/>
        <v>-6.7193413451962045E-2</v>
      </c>
      <c r="Q6" t="s">
        <v>54</v>
      </c>
      <c r="R6">
        <v>1.3134495198414755E-2</v>
      </c>
      <c r="S6">
        <v>8.1284509518446374E-2</v>
      </c>
      <c r="T6">
        <v>0.16437436028659158</v>
      </c>
      <c r="U6">
        <v>0.11267705886539955</v>
      </c>
      <c r="V6">
        <v>-6.7193413451962045E-2</v>
      </c>
      <c r="W6">
        <v>8.4734776189275912E-2</v>
      </c>
      <c r="X6">
        <v>3.1537890044576557E-2</v>
      </c>
      <c r="Y6">
        <v>6.0635908750640191E-2</v>
      </c>
      <c r="Z6">
        <v>-4.7581522758827745E-2</v>
      </c>
      <c r="AA6">
        <v>8.4004994891589187E-3</v>
      </c>
      <c r="AB6">
        <v>-4.6327683615819898E-3</v>
      </c>
      <c r="AC6">
        <v>5.8317056642882746E-2</v>
      </c>
      <c r="AD6">
        <v>-4.6816107915096479E-3</v>
      </c>
      <c r="AE6">
        <v>8.2270599854008447E-2</v>
      </c>
      <c r="AF6">
        <v>-8.4263919471531959E-2</v>
      </c>
      <c r="AG6">
        <v>2.4368630926007905E-2</v>
      </c>
      <c r="AH6">
        <v>6.4166309472781818E-2</v>
      </c>
      <c r="AI6">
        <v>2.1677249835778487E-2</v>
      </c>
      <c r="AJ6">
        <v>7.2518904701517062E-2</v>
      </c>
      <c r="AK6">
        <v>-8.1888745148771064E-2</v>
      </c>
      <c r="AL6">
        <v>0.14512863562293227</v>
      </c>
      <c r="AM6">
        <v>0.12699649396182311</v>
      </c>
      <c r="AN6">
        <v>-7.5858876774326275E-2</v>
      </c>
      <c r="AO6">
        <v>0.12328134026574238</v>
      </c>
      <c r="AP6">
        <v>-9.9797181340683341E-2</v>
      </c>
      <c r="AQ6">
        <v>-9.9386445599737722E-2</v>
      </c>
      <c r="AR6">
        <v>-1.2579198076122643E-2</v>
      </c>
      <c r="AS6">
        <v>4.6461924452910839E-3</v>
      </c>
      <c r="AT6">
        <v>-3.2761100125831479E-2</v>
      </c>
      <c r="AU6">
        <v>8.8170570688053201E-2</v>
      </c>
      <c r="AV6">
        <v>3.9656311962987502E-2</v>
      </c>
      <c r="AW6">
        <v>4.4941524947653107E-3</v>
      </c>
      <c r="AX6">
        <v>8.7048242935657619E-2</v>
      </c>
      <c r="AY6">
        <v>3.9471406313116762E-2</v>
      </c>
      <c r="AZ6">
        <v>2.1516151850978577E-2</v>
      </c>
      <c r="BA6">
        <v>-5.7555555555555631E-2</v>
      </c>
      <c r="BB6">
        <v>2.6225769669327218E-2</v>
      </c>
      <c r="BC6">
        <v>6.1550565877867315E-2</v>
      </c>
      <c r="BD6">
        <v>5.2018336941296241E-2</v>
      </c>
      <c r="BE6">
        <v>0.25819113995033249</v>
      </c>
      <c r="BF6">
        <v>5.8868436678259375E-2</v>
      </c>
      <c r="BG6">
        <v>7.8985905180303823E-2</v>
      </c>
      <c r="BH6">
        <v>-0.12912482065997122</v>
      </c>
      <c r="BI6">
        <v>-8.4901531728665214E-2</v>
      </c>
      <c r="BJ6">
        <v>9.7959784930395817E-3</v>
      </c>
      <c r="BK6">
        <v>0.1467060810810811</v>
      </c>
      <c r="BL6">
        <v>-5.5896658958615668E-2</v>
      </c>
      <c r="BM6">
        <v>-6.7722271781147883E-2</v>
      </c>
      <c r="BN6">
        <v>-1.0227356338753487E-2</v>
      </c>
      <c r="BO6">
        <v>0.14392727884858172</v>
      </c>
      <c r="BP6">
        <v>0.27260068551842331</v>
      </c>
      <c r="BQ6">
        <v>0.14989530730385517</v>
      </c>
      <c r="BR6">
        <v>-5.3288246268656803E-2</v>
      </c>
      <c r="BS6">
        <v>2.5101601721252791E-2</v>
      </c>
      <c r="BT6">
        <v>7.2701628413899239E-2</v>
      </c>
      <c r="BU6">
        <v>-3.1420765027322418E-2</v>
      </c>
      <c r="BV6">
        <v>9.6405228758169911E-2</v>
      </c>
      <c r="BW6">
        <v>0.13350825744713676</v>
      </c>
      <c r="BX6">
        <v>0.10149608976538603</v>
      </c>
      <c r="BY6">
        <v>0.14703588143525739</v>
      </c>
      <c r="BZ6">
        <v>0.20093676814988284</v>
      </c>
      <c r="CA6">
        <v>-0.25401816911250868</v>
      </c>
      <c r="CB6">
        <v>-0.2133040131940627</v>
      </c>
      <c r="CC6">
        <v>-9.9616384110877323E-2</v>
      </c>
      <c r="CD6">
        <v>5.8553838092742977E-2</v>
      </c>
      <c r="CE6">
        <v>4.1047320332742471E-2</v>
      </c>
      <c r="CF6">
        <v>-0.10156824307767712</v>
      </c>
      <c r="CG6">
        <v>3.8026198651914145E-2</v>
      </c>
      <c r="CH6">
        <v>0.10280504908835902</v>
      </c>
      <c r="CI6">
        <v>0.10594074763455869</v>
      </c>
      <c r="CJ6">
        <v>-0.17027027027027031</v>
      </c>
      <c r="CK6">
        <v>-0.16126943005181343</v>
      </c>
      <c r="CL6">
        <v>2.2968197879858637E-2</v>
      </c>
      <c r="CM6">
        <v>1.5816040381379657E-2</v>
      </c>
      <c r="CN6">
        <v>-4.2941492216854532E-2</v>
      </c>
      <c r="CO6">
        <v>0.16568639719684658</v>
      </c>
      <c r="CP6">
        <v>1.7443340972752613E-2</v>
      </c>
      <c r="CQ6">
        <v>0.14807776640841996</v>
      </c>
      <c r="CR6">
        <v>-1.0558287532542725E-2</v>
      </c>
      <c r="CS6">
        <v>0.12734387738464051</v>
      </c>
      <c r="CT6">
        <v>0.54134204574013567</v>
      </c>
      <c r="CU6">
        <v>1.6607051609606505E-2</v>
      </c>
      <c r="CV6">
        <v>3.9023095301300735E-2</v>
      </c>
      <c r="CW6">
        <v>-4.5362392295995924E-2</v>
      </c>
      <c r="CX6">
        <v>-2.1814576103123512E-2</v>
      </c>
      <c r="CY6">
        <v>5.9070622210553946E-2</v>
      </c>
      <c r="CZ6">
        <v>0.18586550435865523</v>
      </c>
      <c r="DA6">
        <v>4.1842361336360663E-2</v>
      </c>
      <c r="DB6">
        <v>0.14652287095574554</v>
      </c>
      <c r="DC6">
        <v>-0.30480868665977245</v>
      </c>
      <c r="DD6">
        <v>0.11759607049985554</v>
      </c>
      <c r="DE6">
        <v>-1.7040613462084676E-2</v>
      </c>
      <c r="DF6">
        <v>-3.6134683821516571E-2</v>
      </c>
      <c r="DG6">
        <v>-2.4305555555555466E-2</v>
      </c>
      <c r="DH6">
        <v>-0.16465863453815266</v>
      </c>
      <c r="DI6">
        <v>-4.9416755037115553E-2</v>
      </c>
      <c r="DJ6">
        <v>-2.7032604209657494E-2</v>
      </c>
      <c r="DK6">
        <v>0.2157551430005018</v>
      </c>
      <c r="DL6">
        <v>-0.12008830022075051</v>
      </c>
      <c r="DM6">
        <v>6.0889929742388618E-2</v>
      </c>
      <c r="DN6">
        <v>-5.4263565891472777E-2</v>
      </c>
      <c r="DO6">
        <v>0.36446056210335431</v>
      </c>
      <c r="DP6">
        <v>-6.8149816952970843E-2</v>
      </c>
      <c r="DQ6">
        <v>9.7342398022249643E-2</v>
      </c>
      <c r="DR6">
        <v>-5.5733878027429344E-2</v>
      </c>
      <c r="DS6">
        <v>-2.5866969869243792E-2</v>
      </c>
      <c r="DT6">
        <v>-0.18602498843128179</v>
      </c>
      <c r="DU6">
        <v>-2.4158952359449093E-2</v>
      </c>
      <c r="DV6">
        <v>0.11617943548387095</v>
      </c>
      <c r="DW6">
        <v>0.16261353647817159</v>
      </c>
      <c r="DX6">
        <v>-0.16470876162506112</v>
      </c>
      <c r="DY6">
        <v>7.1316203460933369E-2</v>
      </c>
      <c r="DZ6">
        <v>-2.0041109969167553E-2</v>
      </c>
      <c r="EA6">
        <v>-0.2845588235294117</v>
      </c>
      <c r="EB6">
        <v>0.12164948453608244</v>
      </c>
      <c r="EC6">
        <v>0.1123853211009174</v>
      </c>
      <c r="ED6">
        <v>7.3937153419593405E-3</v>
      </c>
      <c r="EE6">
        <v>6.2776098581725911E-3</v>
      </c>
      <c r="EF6">
        <v>-0.14662698412698413</v>
      </c>
    </row>
    <row r="7" spans="1:136">
      <c r="A7" s="1">
        <v>41456</v>
      </c>
      <c r="B7">
        <v>62.53</v>
      </c>
      <c r="C7">
        <v>75.14</v>
      </c>
      <c r="D7">
        <v>113.46</v>
      </c>
      <c r="E7">
        <v>71.069999999999993</v>
      </c>
      <c r="F7">
        <v>53.88</v>
      </c>
      <c r="G7">
        <v>301.22000000000003</v>
      </c>
      <c r="I7">
        <f t="shared" si="5"/>
        <v>0.14105839416058402</v>
      </c>
      <c r="J7">
        <f t="shared" si="0"/>
        <v>4.6372371535997749E-2</v>
      </c>
      <c r="K7">
        <f t="shared" si="1"/>
        <v>7.3821692220329332E-2</v>
      </c>
      <c r="L7">
        <f t="shared" si="2"/>
        <v>5.6488776572023149E-2</v>
      </c>
      <c r="M7">
        <f t="shared" si="3"/>
        <v>6.3560994867745885E-2</v>
      </c>
      <c r="N7">
        <f t="shared" si="4"/>
        <v>8.4734776189275912E-2</v>
      </c>
    </row>
    <row r="8" spans="1:136">
      <c r="A8" s="1">
        <v>41428</v>
      </c>
      <c r="B8">
        <v>54.8</v>
      </c>
      <c r="C8">
        <v>71.81</v>
      </c>
      <c r="D8">
        <v>105.66</v>
      </c>
      <c r="E8">
        <v>67.27</v>
      </c>
      <c r="F8">
        <v>50.66</v>
      </c>
      <c r="G8">
        <v>277.69</v>
      </c>
      <c r="I8">
        <f t="shared" si="5"/>
        <v>-0.11826226870474661</v>
      </c>
      <c r="J8">
        <f t="shared" si="0"/>
        <v>-4.7124047124047592E-3</v>
      </c>
      <c r="K8">
        <f t="shared" si="1"/>
        <v>-8.2598085226207024E-3</v>
      </c>
      <c r="L8">
        <f t="shared" si="2"/>
        <v>2.3429179978700622E-2</v>
      </c>
      <c r="M8">
        <f t="shared" si="3"/>
        <v>-3.302156900171796E-2</v>
      </c>
      <c r="N8">
        <f t="shared" si="4"/>
        <v>3.1537890044576557E-2</v>
      </c>
    </row>
    <row r="9" spans="1:136" ht="21">
      <c r="A9" s="1">
        <v>41395</v>
      </c>
      <c r="B9">
        <v>62.15</v>
      </c>
      <c r="C9">
        <v>72.150000000000006</v>
      </c>
      <c r="D9">
        <v>106.54</v>
      </c>
      <c r="E9">
        <v>65.73</v>
      </c>
      <c r="F9">
        <v>52.39</v>
      </c>
      <c r="G9">
        <v>269.2</v>
      </c>
      <c r="I9">
        <f t="shared" si="5"/>
        <v>2.2540309312273733E-2</v>
      </c>
      <c r="J9">
        <f t="shared" si="0"/>
        <v>-3.1283566058002123E-2</v>
      </c>
      <c r="K9">
        <f t="shared" si="1"/>
        <v>5.9045725646123384E-2</v>
      </c>
      <c r="L9">
        <f t="shared" si="2"/>
        <v>-5.4471175669541447E-3</v>
      </c>
      <c r="M9">
        <f t="shared" si="3"/>
        <v>0.11373299319727895</v>
      </c>
      <c r="N9">
        <f t="shared" si="4"/>
        <v>6.0635908750640191E-2</v>
      </c>
      <c r="Q9" s="23" t="s">
        <v>5</v>
      </c>
      <c r="R9" s="23"/>
      <c r="S9" s="23"/>
      <c r="Z9" s="23" t="s">
        <v>37</v>
      </c>
      <c r="AA9" s="23"/>
      <c r="AB9" s="23"/>
    </row>
    <row r="10" spans="1:136">
      <c r="A10" s="1">
        <v>41365</v>
      </c>
      <c r="B10">
        <v>60.78</v>
      </c>
      <c r="C10">
        <v>74.48</v>
      </c>
      <c r="D10">
        <v>100.6</v>
      </c>
      <c r="E10">
        <v>66.09</v>
      </c>
      <c r="F10">
        <v>47.04</v>
      </c>
      <c r="G10">
        <v>253.81</v>
      </c>
      <c r="I10">
        <f t="shared" si="5"/>
        <v>1.6455487905213116E-4</v>
      </c>
      <c r="J10">
        <f t="shared" si="0"/>
        <v>3.8627806442616236E-2</v>
      </c>
      <c r="K10">
        <f t="shared" si="1"/>
        <v>-1.5077344820834211E-2</v>
      </c>
      <c r="L10">
        <f t="shared" si="2"/>
        <v>-4.8243087557603606E-2</v>
      </c>
      <c r="M10">
        <f t="shared" si="3"/>
        <v>3.9098740888005211E-2</v>
      </c>
      <c r="N10">
        <f t="shared" si="4"/>
        <v>-4.7581522758827745E-2</v>
      </c>
    </row>
    <row r="11" spans="1:136" ht="20.25">
      <c r="A11" s="1">
        <v>41334</v>
      </c>
      <c r="B11">
        <v>60.77</v>
      </c>
      <c r="C11">
        <v>71.709999999999994</v>
      </c>
      <c r="D11">
        <v>102.14</v>
      </c>
      <c r="E11">
        <v>69.44</v>
      </c>
      <c r="F11">
        <v>45.27</v>
      </c>
      <c r="G11">
        <v>266.49</v>
      </c>
      <c r="I11">
        <f t="shared" si="5"/>
        <v>2.8052805280528335E-3</v>
      </c>
      <c r="J11">
        <f t="shared" si="0"/>
        <v>6.4104466538061927E-2</v>
      </c>
      <c r="K11">
        <f t="shared" si="1"/>
        <v>2.2217774219375489E-2</v>
      </c>
      <c r="L11">
        <f t="shared" si="2"/>
        <v>9.856035437430781E-2</v>
      </c>
      <c r="M11">
        <f t="shared" si="3"/>
        <v>-2.9789969995713535E-2</v>
      </c>
      <c r="N11">
        <f t="shared" si="4"/>
        <v>8.4004994891589187E-3</v>
      </c>
      <c r="R11" t="s">
        <v>27</v>
      </c>
      <c r="S11" t="s">
        <v>28</v>
      </c>
      <c r="T11" t="s">
        <v>29</v>
      </c>
      <c r="U11" t="s">
        <v>30</v>
      </c>
      <c r="V11" t="s">
        <v>1</v>
      </c>
      <c r="W11" t="s">
        <v>51</v>
      </c>
      <c r="X11" s="37" t="s">
        <v>7</v>
      </c>
      <c r="Y11" s="37"/>
      <c r="AA11" t="s">
        <v>27</v>
      </c>
      <c r="AB11" t="s">
        <v>28</v>
      </c>
      <c r="AC11" t="s">
        <v>29</v>
      </c>
      <c r="AD11" t="s">
        <v>30</v>
      </c>
      <c r="AE11" t="s">
        <v>1</v>
      </c>
      <c r="AF11" t="s">
        <v>51</v>
      </c>
    </row>
    <row r="12" spans="1:136">
      <c r="A12" s="1">
        <v>41306</v>
      </c>
      <c r="B12">
        <v>60.6</v>
      </c>
      <c r="C12">
        <v>67.39</v>
      </c>
      <c r="D12">
        <v>99.92</v>
      </c>
      <c r="E12">
        <v>63.21</v>
      </c>
      <c r="F12">
        <v>46.66</v>
      </c>
      <c r="G12">
        <v>264.27</v>
      </c>
      <c r="I12">
        <f t="shared" si="5"/>
        <v>-2.5253337622647583E-2</v>
      </c>
      <c r="J12">
        <f t="shared" si="0"/>
        <v>1.1861861861861956E-2</v>
      </c>
      <c r="K12">
        <f t="shared" si="1"/>
        <v>4.0724924487032563E-2</v>
      </c>
      <c r="L12">
        <f t="shared" si="2"/>
        <v>8.2947838570745433E-3</v>
      </c>
      <c r="M12">
        <f t="shared" si="3"/>
        <v>3.9661319073083644E-2</v>
      </c>
      <c r="N12">
        <f t="shared" si="4"/>
        <v>-4.6327683615819898E-3</v>
      </c>
      <c r="Q12" t="s">
        <v>27</v>
      </c>
      <c r="R12">
        <f t="shared" ref="R12:W17" si="6">CORREL(I$2:I$120, $R1:$EF1)</f>
        <v>1</v>
      </c>
      <c r="S12">
        <f t="shared" si="6"/>
        <v>-2.6399400108452546E-2</v>
      </c>
      <c r="T12">
        <f t="shared" si="6"/>
        <v>0.30595101732020519</v>
      </c>
      <c r="U12">
        <f t="shared" si="6"/>
        <v>0.4127974573067823</v>
      </c>
      <c r="V12">
        <f t="shared" si="6"/>
        <v>0.18683316966251773</v>
      </c>
      <c r="W12">
        <f t="shared" si="6"/>
        <v>0.28583507693606441</v>
      </c>
      <c r="X12" s="33">
        <f>$R$27</f>
        <v>6.6439083654079439E-2</v>
      </c>
      <c r="Y12" s="33"/>
      <c r="Z12" t="s">
        <v>27</v>
      </c>
      <c r="AA12">
        <f t="shared" ref="AA12:AF17" si="7">_xlfn.COVARIANCE.S(I$2:I$120, $R1:$EF1)</f>
        <v>1.1347094584357788E-2</v>
      </c>
      <c r="AB12">
        <f t="shared" si="7"/>
        <v>-1.2808626249175979E-4</v>
      </c>
      <c r="AC12">
        <f t="shared" si="7"/>
        <v>1.8643665613472104E-3</v>
      </c>
      <c r="AD12">
        <f t="shared" si="7"/>
        <v>2.8329185036018211E-3</v>
      </c>
      <c r="AE12">
        <f t="shared" si="7"/>
        <v>1.7066857827640811E-3</v>
      </c>
      <c r="AF12">
        <f t="shared" si="7"/>
        <v>3.6854060966199152E-3</v>
      </c>
    </row>
    <row r="13" spans="1:136">
      <c r="A13" s="1">
        <v>41276</v>
      </c>
      <c r="B13">
        <v>62.17</v>
      </c>
      <c r="C13">
        <v>66.599999999999994</v>
      </c>
      <c r="D13">
        <v>96.01</v>
      </c>
      <c r="E13">
        <v>62.69</v>
      </c>
      <c r="F13">
        <v>44.88</v>
      </c>
      <c r="G13">
        <v>265.5</v>
      </c>
      <c r="I13">
        <f t="shared" si="5"/>
        <v>-0.14401762357152684</v>
      </c>
      <c r="J13">
        <f t="shared" si="0"/>
        <v>2.5088502385716416E-2</v>
      </c>
      <c r="K13">
        <f t="shared" si="1"/>
        <v>8.2900969997744295E-2</v>
      </c>
      <c r="L13">
        <f t="shared" si="2"/>
        <v>-1.6935863258585624E-2</v>
      </c>
      <c r="M13">
        <f t="shared" si="3"/>
        <v>7.7551020408163363E-2</v>
      </c>
      <c r="N13">
        <f t="shared" si="4"/>
        <v>5.8317056642882746E-2</v>
      </c>
      <c r="Q13" t="s">
        <v>28</v>
      </c>
      <c r="R13">
        <f t="shared" si="6"/>
        <v>-2.6399400108452546E-2</v>
      </c>
      <c r="S13">
        <f t="shared" si="6"/>
        <v>1</v>
      </c>
      <c r="T13">
        <f t="shared" si="6"/>
        <v>0.15748067053678008</v>
      </c>
      <c r="U13">
        <f t="shared" si="6"/>
        <v>0.30022527406072669</v>
      </c>
      <c r="V13">
        <f t="shared" si="6"/>
        <v>0.28462171470038428</v>
      </c>
      <c r="W13">
        <f t="shared" si="6"/>
        <v>9.5508127031079068E-2</v>
      </c>
      <c r="X13" s="33">
        <f>$S$27</f>
        <v>0.59222383277328494</v>
      </c>
      <c r="Y13" s="33"/>
      <c r="Z13" t="s">
        <v>28</v>
      </c>
      <c r="AA13">
        <f t="shared" si="7"/>
        <v>-1.2808626249175979E-4</v>
      </c>
      <c r="AB13">
        <f t="shared" si="7"/>
        <v>2.0745901673024114E-3</v>
      </c>
      <c r="AC13">
        <f t="shared" si="7"/>
        <v>4.1032736260014987E-4</v>
      </c>
      <c r="AD13">
        <f t="shared" si="7"/>
        <v>8.8098423645722882E-4</v>
      </c>
      <c r="AE13">
        <f t="shared" si="7"/>
        <v>1.1117098145381698E-3</v>
      </c>
      <c r="AF13">
        <f t="shared" si="7"/>
        <v>5.2654315968720452E-4</v>
      </c>
    </row>
    <row r="14" spans="1:136">
      <c r="A14" s="1">
        <v>41246</v>
      </c>
      <c r="B14">
        <v>72.63</v>
      </c>
      <c r="C14">
        <v>64.97</v>
      </c>
      <c r="D14">
        <v>88.66</v>
      </c>
      <c r="E14">
        <v>63.77</v>
      </c>
      <c r="F14">
        <v>41.65</v>
      </c>
      <c r="G14">
        <v>250.87</v>
      </c>
      <c r="I14">
        <f t="shared" si="5"/>
        <v>-9.0761141712568855E-2</v>
      </c>
      <c r="J14">
        <f t="shared" si="0"/>
        <v>-4.7360703812316773E-2</v>
      </c>
      <c r="K14">
        <f t="shared" si="1"/>
        <v>2.0958083832335252E-2</v>
      </c>
      <c r="L14">
        <f t="shared" si="2"/>
        <v>-1.0090034150884795E-2</v>
      </c>
      <c r="M14">
        <f t="shared" si="3"/>
        <v>7.0418915445900856E-2</v>
      </c>
      <c r="N14">
        <f t="shared" si="4"/>
        <v>-4.6816107915096479E-3</v>
      </c>
      <c r="Q14" t="s">
        <v>29</v>
      </c>
      <c r="R14">
        <f t="shared" si="6"/>
        <v>0.30595101732020519</v>
      </c>
      <c r="S14">
        <f t="shared" si="6"/>
        <v>0.15748067053678008</v>
      </c>
      <c r="T14">
        <f t="shared" si="6"/>
        <v>1</v>
      </c>
      <c r="U14">
        <f t="shared" si="6"/>
        <v>0.39561010121961737</v>
      </c>
      <c r="V14">
        <f t="shared" si="6"/>
        <v>0.41384457901057042</v>
      </c>
      <c r="W14">
        <f t="shared" si="6"/>
        <v>0.35461260474675288</v>
      </c>
      <c r="X14" s="33">
        <f>$T$27</f>
        <v>0.29021088843136333</v>
      </c>
      <c r="Y14" s="33"/>
      <c r="Z14" t="s">
        <v>29</v>
      </c>
      <c r="AA14">
        <f t="shared" si="7"/>
        <v>1.8643665613472104E-3</v>
      </c>
      <c r="AB14">
        <f t="shared" si="7"/>
        <v>4.1032736260014987E-4</v>
      </c>
      <c r="AC14">
        <f t="shared" si="7"/>
        <v>3.2724583797686981E-3</v>
      </c>
      <c r="AD14">
        <f t="shared" si="7"/>
        <v>1.4580055191565509E-3</v>
      </c>
      <c r="AE14">
        <f t="shared" si="7"/>
        <v>2.0301661768797694E-3</v>
      </c>
      <c r="AF14">
        <f t="shared" si="7"/>
        <v>2.4553800547578749E-3</v>
      </c>
    </row>
    <row r="15" spans="1:136">
      <c r="A15" s="1">
        <v>41214</v>
      </c>
      <c r="B15">
        <v>79.88</v>
      </c>
      <c r="C15">
        <v>68.2</v>
      </c>
      <c r="D15">
        <v>86.84</v>
      </c>
      <c r="E15">
        <v>64.42</v>
      </c>
      <c r="F15">
        <v>38.909999999999997</v>
      </c>
      <c r="G15">
        <v>252.05</v>
      </c>
      <c r="I15">
        <f t="shared" si="5"/>
        <v>-1.2363996043521267E-2</v>
      </c>
      <c r="J15">
        <f t="shared" si="0"/>
        <v>-3.997747747747752E-2</v>
      </c>
      <c r="K15">
        <f t="shared" si="1"/>
        <v>4.5131784811650019E-2</v>
      </c>
      <c r="L15">
        <f t="shared" si="2"/>
        <v>-4.3219961384226895E-2</v>
      </c>
      <c r="M15">
        <f t="shared" si="3"/>
        <v>-1.4437689969604872E-2</v>
      </c>
      <c r="N15">
        <f t="shared" si="4"/>
        <v>8.2270599854008447E-2</v>
      </c>
      <c r="Q15" t="s">
        <v>30</v>
      </c>
      <c r="R15">
        <f t="shared" si="6"/>
        <v>0.4127974573067823</v>
      </c>
      <c r="S15">
        <f t="shared" si="6"/>
        <v>0.30022527406072669</v>
      </c>
      <c r="T15">
        <f t="shared" si="6"/>
        <v>0.39561010121961737</v>
      </c>
      <c r="U15">
        <f t="shared" si="6"/>
        <v>0.99999999999999978</v>
      </c>
      <c r="V15">
        <f t="shared" si="6"/>
        <v>0.36888975054378004</v>
      </c>
      <c r="W15">
        <f t="shared" si="6"/>
        <v>0.28951252323265353</v>
      </c>
      <c r="X15" s="33">
        <f>$U$27</f>
        <v>6.8114369351484683E-2</v>
      </c>
      <c r="Y15" s="33"/>
      <c r="Z15" t="s">
        <v>30</v>
      </c>
      <c r="AA15">
        <f t="shared" si="7"/>
        <v>2.8329185036018211E-3</v>
      </c>
      <c r="AB15">
        <f t="shared" si="7"/>
        <v>8.8098423645722882E-4</v>
      </c>
      <c r="AC15">
        <f t="shared" si="7"/>
        <v>1.4580055191565509E-3</v>
      </c>
      <c r="AD15">
        <f t="shared" si="7"/>
        <v>4.150586413624451E-3</v>
      </c>
      <c r="AE15">
        <f t="shared" si="7"/>
        <v>2.0380206034626949E-3</v>
      </c>
      <c r="AF15">
        <f t="shared" si="7"/>
        <v>2.2576133978507878E-3</v>
      </c>
    </row>
    <row r="16" spans="1:136">
      <c r="A16" s="1">
        <v>41183</v>
      </c>
      <c r="B16">
        <v>80.88</v>
      </c>
      <c r="C16">
        <v>71.040000000000006</v>
      </c>
      <c r="D16">
        <v>83.09</v>
      </c>
      <c r="E16">
        <v>67.33</v>
      </c>
      <c r="F16">
        <v>39.479999999999997</v>
      </c>
      <c r="G16">
        <v>232.89</v>
      </c>
      <c r="I16">
        <f t="shared" si="5"/>
        <v>-0.10758027143330023</v>
      </c>
      <c r="J16">
        <f t="shared" si="0"/>
        <v>1.6599885518031064E-2</v>
      </c>
      <c r="K16">
        <f t="shared" si="1"/>
        <v>-5.213324207164035E-2</v>
      </c>
      <c r="L16">
        <f t="shared" si="2"/>
        <v>6.2154914024294017E-2</v>
      </c>
      <c r="M16">
        <f t="shared" si="3"/>
        <v>3.730951129795046E-2</v>
      </c>
      <c r="N16">
        <f t="shared" si="4"/>
        <v>-8.4263919471531959E-2</v>
      </c>
      <c r="Q16" t="s">
        <v>1</v>
      </c>
      <c r="R16">
        <f t="shared" si="6"/>
        <v>0.18683316966251773</v>
      </c>
      <c r="S16">
        <f t="shared" si="6"/>
        <v>0.28462171470038428</v>
      </c>
      <c r="T16">
        <f t="shared" si="6"/>
        <v>0.41384457901057042</v>
      </c>
      <c r="U16">
        <f t="shared" si="6"/>
        <v>0.36888975054378004</v>
      </c>
      <c r="V16">
        <f t="shared" si="6"/>
        <v>0.99999999999999989</v>
      </c>
      <c r="W16">
        <f t="shared" si="6"/>
        <v>0.15984275422645919</v>
      </c>
      <c r="X16" s="33">
        <f>$V$27</f>
        <v>-1.591677613778231E-2</v>
      </c>
      <c r="Y16" s="33"/>
      <c r="Z16" t="s">
        <v>1</v>
      </c>
      <c r="AA16">
        <f t="shared" si="7"/>
        <v>1.7066857827640811E-3</v>
      </c>
      <c r="AB16">
        <f t="shared" si="7"/>
        <v>1.1117098145381698E-3</v>
      </c>
      <c r="AC16">
        <f t="shared" si="7"/>
        <v>2.0301661768797694E-3</v>
      </c>
      <c r="AD16">
        <f t="shared" si="7"/>
        <v>2.0380206034626949E-3</v>
      </c>
      <c r="AE16">
        <f t="shared" si="7"/>
        <v>7.3538455261911561E-3</v>
      </c>
      <c r="AF16">
        <f t="shared" si="7"/>
        <v>1.6591196038954687E-3</v>
      </c>
    </row>
    <row r="17" spans="1:32">
      <c r="A17" s="1">
        <v>41156</v>
      </c>
      <c r="B17">
        <v>90.63</v>
      </c>
      <c r="C17">
        <v>69.88</v>
      </c>
      <c r="D17">
        <v>87.66</v>
      </c>
      <c r="E17">
        <v>63.39</v>
      </c>
      <c r="F17">
        <v>38.06</v>
      </c>
      <c r="G17">
        <v>254.32</v>
      </c>
      <c r="I17">
        <f t="shared" si="5"/>
        <v>2.7660986944014164E-3</v>
      </c>
      <c r="J17">
        <f t="shared" si="0"/>
        <v>1.6436363636363572E-2</v>
      </c>
      <c r="K17">
        <f t="shared" si="1"/>
        <v>-2.0491803278689302E-3</v>
      </c>
      <c r="L17">
        <f t="shared" si="2"/>
        <v>4.1228646517739782E-2</v>
      </c>
      <c r="M17">
        <f t="shared" si="3"/>
        <v>8.9919816723940449E-2</v>
      </c>
      <c r="N17">
        <f t="shared" si="4"/>
        <v>2.4368630926007905E-2</v>
      </c>
      <c r="Q17" t="s">
        <v>51</v>
      </c>
      <c r="R17">
        <f t="shared" si="6"/>
        <v>0.28583507693606441</v>
      </c>
      <c r="S17">
        <f t="shared" si="6"/>
        <v>9.5508127031079068E-2</v>
      </c>
      <c r="T17">
        <f t="shared" si="6"/>
        <v>0.35461260474675288</v>
      </c>
      <c r="U17">
        <f t="shared" si="6"/>
        <v>0.28951252323265353</v>
      </c>
      <c r="V17">
        <f t="shared" si="6"/>
        <v>0.15984275422645919</v>
      </c>
      <c r="W17">
        <f t="shared" si="6"/>
        <v>1</v>
      </c>
      <c r="X17" s="33">
        <f>$W$27</f>
        <v>-1.0713977161208757E-3</v>
      </c>
      <c r="Y17" s="33"/>
      <c r="Z17" t="s">
        <v>51</v>
      </c>
      <c r="AA17">
        <f t="shared" si="7"/>
        <v>3.6854060966199152E-3</v>
      </c>
      <c r="AB17">
        <f t="shared" si="7"/>
        <v>5.2654315968720452E-4</v>
      </c>
      <c r="AC17">
        <f t="shared" si="7"/>
        <v>2.4553800547578749E-3</v>
      </c>
      <c r="AD17">
        <f t="shared" si="7"/>
        <v>2.2576133978507878E-3</v>
      </c>
      <c r="AE17">
        <f t="shared" si="7"/>
        <v>1.6591196038954687E-3</v>
      </c>
      <c r="AF17">
        <f t="shared" si="7"/>
        <v>1.4650585405446002E-2</v>
      </c>
    </row>
    <row r="18" spans="1:32">
      <c r="A18" s="1">
        <v>41122</v>
      </c>
      <c r="B18">
        <v>90.38</v>
      </c>
      <c r="C18">
        <v>68.75</v>
      </c>
      <c r="D18">
        <v>87.84</v>
      </c>
      <c r="E18">
        <v>60.88</v>
      </c>
      <c r="F18">
        <v>34.92</v>
      </c>
      <c r="G18">
        <v>248.27</v>
      </c>
      <c r="I18">
        <f t="shared" si="5"/>
        <v>9.3791601113397072E-2</v>
      </c>
      <c r="J18">
        <f t="shared" si="0"/>
        <v>-1.9258202567760264E-2</v>
      </c>
      <c r="K18">
        <f t="shared" si="1"/>
        <v>2.1514129549947768E-2</v>
      </c>
      <c r="L18">
        <f t="shared" si="2"/>
        <v>-1.7271993543179986E-2</v>
      </c>
      <c r="M18">
        <f t="shared" si="3"/>
        <v>3.1610044313146242E-2</v>
      </c>
      <c r="N18">
        <f t="shared" si="4"/>
        <v>6.4166309472781818E-2</v>
      </c>
    </row>
    <row r="19" spans="1:32" ht="20.25">
      <c r="A19" s="1">
        <v>41092</v>
      </c>
      <c r="B19">
        <v>82.63</v>
      </c>
      <c r="C19">
        <v>70.099999999999994</v>
      </c>
      <c r="D19">
        <v>85.99</v>
      </c>
      <c r="E19">
        <v>61.95</v>
      </c>
      <c r="F19">
        <v>33.85</v>
      </c>
      <c r="G19">
        <v>233.3</v>
      </c>
      <c r="I19">
        <f t="shared" si="5"/>
        <v>4.5816985191747754E-2</v>
      </c>
      <c r="J19">
        <f t="shared" si="0"/>
        <v>6.7621078282059058E-2</v>
      </c>
      <c r="K19">
        <f t="shared" si="1"/>
        <v>1.8235642391947804E-2</v>
      </c>
      <c r="L19">
        <f t="shared" si="2"/>
        <v>1.1098416843479675E-2</v>
      </c>
      <c r="M19">
        <f t="shared" si="3"/>
        <v>1.5906362545018041E-2</v>
      </c>
      <c r="N19">
        <f t="shared" si="4"/>
        <v>2.1677249835778487E-2</v>
      </c>
      <c r="Z19" s="25" t="s">
        <v>40</v>
      </c>
      <c r="AA19" s="25"/>
      <c r="AB19" s="25"/>
    </row>
    <row r="20" spans="1:32">
      <c r="A20" s="1">
        <v>41061</v>
      </c>
      <c r="B20">
        <v>79.010000000000005</v>
      </c>
      <c r="C20">
        <v>65.66</v>
      </c>
      <c r="D20">
        <v>84.45</v>
      </c>
      <c r="E20">
        <v>61.27</v>
      </c>
      <c r="F20">
        <v>33.32</v>
      </c>
      <c r="G20">
        <v>228.35</v>
      </c>
      <c r="I20">
        <f t="shared" si="5"/>
        <v>1.0875127942681789E-2</v>
      </c>
      <c r="J20">
        <f t="shared" si="0"/>
        <v>5.9203097273753745E-2</v>
      </c>
      <c r="K20">
        <f t="shared" si="1"/>
        <v>6.1463046757164408E-2</v>
      </c>
      <c r="L20">
        <f t="shared" si="2"/>
        <v>-8.442916915720261E-2</v>
      </c>
      <c r="M20">
        <f t="shared" si="3"/>
        <v>7.7968295050145589E-2</v>
      </c>
      <c r="N20">
        <f t="shared" si="4"/>
        <v>7.2518904701517062E-2</v>
      </c>
      <c r="AA20" t="s">
        <v>27</v>
      </c>
      <c r="AB20" t="s">
        <v>28</v>
      </c>
      <c r="AC20" t="s">
        <v>29</v>
      </c>
      <c r="AD20" t="s">
        <v>30</v>
      </c>
      <c r="AE20" t="s">
        <v>1</v>
      </c>
      <c r="AF20" t="s">
        <v>51</v>
      </c>
    </row>
    <row r="21" spans="1:32">
      <c r="A21" s="1">
        <v>41030</v>
      </c>
      <c r="B21">
        <v>78.16</v>
      </c>
      <c r="C21">
        <v>61.99</v>
      </c>
      <c r="D21">
        <v>79.56</v>
      </c>
      <c r="E21">
        <v>66.92</v>
      </c>
      <c r="F21">
        <v>30.91</v>
      </c>
      <c r="G21">
        <v>212.91</v>
      </c>
      <c r="I21">
        <f t="shared" si="5"/>
        <v>-1.0632911392405107E-2</v>
      </c>
      <c r="J21">
        <f t="shared" si="0"/>
        <v>0.12484122663763388</v>
      </c>
      <c r="K21">
        <f t="shared" si="1"/>
        <v>-4.8894202032277387E-2</v>
      </c>
      <c r="L21">
        <f t="shared" si="2"/>
        <v>-3.2668401272044012E-2</v>
      </c>
      <c r="M21">
        <f t="shared" si="3"/>
        <v>-0.22879241516966065</v>
      </c>
      <c r="N21">
        <f t="shared" si="4"/>
        <v>-8.1888745148771064E-2</v>
      </c>
      <c r="Q21" t="s">
        <v>6</v>
      </c>
      <c r="R21">
        <f>AVERAGE(I$2:I$120)</f>
        <v>3.9311518804772398E-2</v>
      </c>
      <c r="S21">
        <f t="shared" ref="S21:W21" si="8">AVERAGE(J$2:J$120)</f>
        <v>5.8458537293868329E-3</v>
      </c>
      <c r="T21">
        <f t="shared" si="8"/>
        <v>8.5528320121986603E-3</v>
      </c>
      <c r="U21">
        <f t="shared" si="8"/>
        <v>1.6049915622119069E-2</v>
      </c>
      <c r="V21">
        <f t="shared" si="8"/>
        <v>9.3361462208138932E-3</v>
      </c>
      <c r="W21">
        <f t="shared" si="8"/>
        <v>2.4615088186914581E-2</v>
      </c>
      <c r="Z21" t="s">
        <v>27</v>
      </c>
      <c r="AA21">
        <f>$X12*R$27*AA12</f>
        <v>5.0087798401815523E-5</v>
      </c>
      <c r="AB21">
        <f t="shared" ref="AB21:AF21" si="9">$X12*S$27*AB12</f>
        <v>-5.0397856760152565E-6</v>
      </c>
      <c r="AC21">
        <f t="shared" si="9"/>
        <v>3.5947495796453385E-5</v>
      </c>
      <c r="AD21">
        <f t="shared" si="9"/>
        <v>1.2820248842451432E-5</v>
      </c>
      <c r="AE21">
        <f t="shared" si="9"/>
        <v>-1.8048134249187712E-6</v>
      </c>
      <c r="AF21">
        <f t="shared" si="9"/>
        <v>-2.6233709201556745E-7</v>
      </c>
    </row>
    <row r="22" spans="1:32">
      <c r="A22" s="1">
        <v>41001</v>
      </c>
      <c r="B22">
        <v>79</v>
      </c>
      <c r="C22">
        <v>55.11</v>
      </c>
      <c r="D22">
        <v>83.65</v>
      </c>
      <c r="E22">
        <v>69.180000000000007</v>
      </c>
      <c r="F22">
        <v>40.08</v>
      </c>
      <c r="G22">
        <v>231.9</v>
      </c>
      <c r="I22">
        <f t="shared" si="5"/>
        <v>-2.601405498705461E-2</v>
      </c>
      <c r="J22">
        <f t="shared" si="0"/>
        <v>-3.7379912663755469E-2</v>
      </c>
      <c r="K22">
        <f t="shared" si="1"/>
        <v>1.6764459346186153E-3</v>
      </c>
      <c r="L22">
        <f t="shared" si="2"/>
        <v>2.6105013349154629E-2</v>
      </c>
      <c r="M22">
        <f t="shared" si="3"/>
        <v>-5.9154929577464863E-2</v>
      </c>
      <c r="N22">
        <f t="shared" si="4"/>
        <v>0.14512863562293227</v>
      </c>
      <c r="Q22" t="s">
        <v>22</v>
      </c>
      <c r="R22">
        <f>_xlfn.STDEV.S(I$2:I$120)</f>
        <v>0.10652274209931785</v>
      </c>
      <c r="S22">
        <f t="shared" ref="S22:W22" si="10">_xlfn.STDEV.S(J$2:J$120)</f>
        <v>4.5547669175298219E-2</v>
      </c>
      <c r="T22">
        <f t="shared" si="10"/>
        <v>5.7205405162175878E-2</v>
      </c>
      <c r="U22">
        <f t="shared" si="10"/>
        <v>6.4425044925280839E-2</v>
      </c>
      <c r="V22">
        <f t="shared" si="10"/>
        <v>8.5754565628840734E-2</v>
      </c>
      <c r="W22">
        <f t="shared" si="10"/>
        <v>0.12103960263255162</v>
      </c>
      <c r="Z22" t="s">
        <v>28</v>
      </c>
      <c r="AA22">
        <f t="shared" ref="AA22:AF22" si="11">$X13*R$27*AA13</f>
        <v>-5.0397856760152565E-6</v>
      </c>
      <c r="AB22">
        <f t="shared" si="11"/>
        <v>7.2761907607710641E-4</v>
      </c>
      <c r="AC22">
        <f t="shared" si="11"/>
        <v>7.0522883656479031E-5</v>
      </c>
      <c r="AD22">
        <f t="shared" si="11"/>
        <v>3.5537981606233995E-5</v>
      </c>
      <c r="AE22">
        <f t="shared" si="11"/>
        <v>-1.047930374319254E-5</v>
      </c>
      <c r="AF22">
        <f t="shared" si="11"/>
        <v>-3.3409545850721529E-7</v>
      </c>
    </row>
    <row r="23" spans="1:32">
      <c r="A23" s="1">
        <v>40969</v>
      </c>
      <c r="B23">
        <v>81.11</v>
      </c>
      <c r="C23">
        <v>57.25</v>
      </c>
      <c r="D23">
        <v>83.51</v>
      </c>
      <c r="E23">
        <v>67.42</v>
      </c>
      <c r="F23">
        <v>42.6</v>
      </c>
      <c r="G23">
        <v>202.51</v>
      </c>
      <c r="I23">
        <f t="shared" si="5"/>
        <v>0.1053420550558736</v>
      </c>
      <c r="J23">
        <f t="shared" si="0"/>
        <v>4.2805100182149391E-2</v>
      </c>
      <c r="K23">
        <f t="shared" si="1"/>
        <v>1.8414634146341525E-2</v>
      </c>
      <c r="L23">
        <f t="shared" si="2"/>
        <v>7.4593560726809047E-2</v>
      </c>
      <c r="M23">
        <f t="shared" si="3"/>
        <v>0.17161716171617167</v>
      </c>
      <c r="N23">
        <f t="shared" si="4"/>
        <v>0.12699649396182311</v>
      </c>
      <c r="Q23" t="s">
        <v>9</v>
      </c>
      <c r="R23">
        <f>_xlfn.VAR.S(I$2:I$120)</f>
        <v>1.1347094584357785E-2</v>
      </c>
      <c r="S23">
        <f t="shared" ref="S23:W23" si="12">_xlfn.VAR.S(J$2:J$120)</f>
        <v>2.0745901673024118E-3</v>
      </c>
      <c r="T23">
        <f t="shared" si="12"/>
        <v>3.2724583797686989E-3</v>
      </c>
      <c r="U23">
        <f t="shared" si="12"/>
        <v>4.1505864136244536E-3</v>
      </c>
      <c r="V23">
        <f t="shared" si="12"/>
        <v>7.3538455261911535E-3</v>
      </c>
      <c r="W23">
        <f t="shared" si="12"/>
        <v>1.4650585405445995E-2</v>
      </c>
      <c r="Z23" t="s">
        <v>29</v>
      </c>
      <c r="AA23">
        <f t="shared" ref="AA23:AF23" si="13">$X14*R$27*AA14</f>
        <v>3.5947495796453385E-5</v>
      </c>
      <c r="AB23">
        <f t="shared" si="13"/>
        <v>7.0522883656479031E-5</v>
      </c>
      <c r="AC23">
        <f t="shared" si="13"/>
        <v>2.756141669739925E-4</v>
      </c>
      <c r="AD23">
        <f t="shared" si="13"/>
        <v>2.8821170237690034E-5</v>
      </c>
      <c r="AE23">
        <f t="shared" si="13"/>
        <v>-9.3777877479914901E-6</v>
      </c>
      <c r="AF23">
        <f t="shared" si="13"/>
        <v>-7.6345447082278619E-7</v>
      </c>
    </row>
    <row r="24" spans="1:32">
      <c r="A24" s="1">
        <v>40940</v>
      </c>
      <c r="B24">
        <v>73.38</v>
      </c>
      <c r="C24">
        <v>54.9</v>
      </c>
      <c r="D24">
        <v>82</v>
      </c>
      <c r="E24">
        <v>62.74</v>
      </c>
      <c r="F24">
        <v>36.36</v>
      </c>
      <c r="G24">
        <v>179.69</v>
      </c>
      <c r="I24">
        <f t="shared" si="5"/>
        <v>0.18834008097165986</v>
      </c>
      <c r="J24">
        <f t="shared" si="0"/>
        <v>-3.7179936864258231E-2</v>
      </c>
      <c r="K24">
        <f t="shared" si="1"/>
        <v>1.7117340610270346E-2</v>
      </c>
      <c r="L24">
        <f t="shared" si="2"/>
        <v>4.5840973495582596E-2</v>
      </c>
      <c r="M24">
        <f t="shared" si="3"/>
        <v>5.2083333333333245E-2</v>
      </c>
      <c r="N24">
        <f t="shared" si="4"/>
        <v>-7.5858876774326275E-2</v>
      </c>
      <c r="Z24" t="s">
        <v>30</v>
      </c>
      <c r="AA24">
        <f t="shared" ref="AA24:AF24" si="14">$X15*R$27*AA15</f>
        <v>1.2820248842451432E-5</v>
      </c>
      <c r="AB24">
        <f t="shared" si="14"/>
        <v>3.5537981606233995E-5</v>
      </c>
      <c r="AC24">
        <f t="shared" si="14"/>
        <v>2.8821170237690034E-5</v>
      </c>
      <c r="AD24">
        <f t="shared" si="14"/>
        <v>1.925692505090788E-5</v>
      </c>
      <c r="AE24">
        <f t="shared" si="14"/>
        <v>-2.2095427993536838E-6</v>
      </c>
      <c r="AF24">
        <f t="shared" si="14"/>
        <v>-1.6475516180482426E-7</v>
      </c>
    </row>
    <row r="25" spans="1:32">
      <c r="A25" s="1">
        <v>40911</v>
      </c>
      <c r="B25">
        <v>61.75</v>
      </c>
      <c r="C25">
        <v>57.02</v>
      </c>
      <c r="D25">
        <v>80.62</v>
      </c>
      <c r="E25">
        <v>59.99</v>
      </c>
      <c r="F25">
        <v>34.56</v>
      </c>
      <c r="G25">
        <v>194.44</v>
      </c>
      <c r="I25">
        <f t="shared" si="5"/>
        <v>0.12703048001460121</v>
      </c>
      <c r="J25">
        <f t="shared" si="0"/>
        <v>2.6832342877723788E-2</v>
      </c>
      <c r="K25">
        <f t="shared" si="1"/>
        <v>6.0929069614423084E-2</v>
      </c>
      <c r="L25">
        <f t="shared" si="2"/>
        <v>7.8374977530109635E-2</v>
      </c>
      <c r="M25">
        <f t="shared" si="3"/>
        <v>0.12978097417456694</v>
      </c>
      <c r="N25">
        <f t="shared" si="4"/>
        <v>0.12328134026574238</v>
      </c>
      <c r="Z25" t="s">
        <v>1</v>
      </c>
      <c r="AA25">
        <f t="shared" ref="AA25:AF25" si="15">$X16*R$27*AA16</f>
        <v>-1.8048134249187712E-6</v>
      </c>
      <c r="AB25">
        <f t="shared" si="15"/>
        <v>-1.047930374319254E-5</v>
      </c>
      <c r="AC25">
        <f t="shared" si="15"/>
        <v>-9.3777877479914901E-6</v>
      </c>
      <c r="AD25">
        <f t="shared" si="15"/>
        <v>-2.2095427993536838E-6</v>
      </c>
      <c r="AE25">
        <f t="shared" si="15"/>
        <v>1.8630508953335534E-6</v>
      </c>
      <c r="AF25">
        <f t="shared" si="15"/>
        <v>2.8293294450626559E-8</v>
      </c>
    </row>
    <row r="26" spans="1:32" ht="22.5">
      <c r="A26" s="1">
        <v>40878</v>
      </c>
      <c r="B26">
        <v>54.79</v>
      </c>
      <c r="C26">
        <v>55.53</v>
      </c>
      <c r="D26">
        <v>75.989999999999995</v>
      </c>
      <c r="E26">
        <v>55.63</v>
      </c>
      <c r="F26">
        <v>30.59</v>
      </c>
      <c r="G26">
        <v>173.1</v>
      </c>
      <c r="I26">
        <f t="shared" si="5"/>
        <v>5.956294720556949E-2</v>
      </c>
      <c r="J26">
        <f t="shared" si="0"/>
        <v>2.0959735245449543E-2</v>
      </c>
      <c r="K26">
        <f t="shared" si="1"/>
        <v>8.4936960849369691E-3</v>
      </c>
      <c r="L26">
        <f t="shared" si="2"/>
        <v>5.3000189286390394E-2</v>
      </c>
      <c r="M26">
        <f t="shared" si="3"/>
        <v>7.3710073710073765E-2</v>
      </c>
      <c r="N26">
        <f t="shared" si="4"/>
        <v>-9.9797181340683341E-2</v>
      </c>
      <c r="Q26" s="38" t="s">
        <v>7</v>
      </c>
      <c r="R26" s="38"/>
      <c r="X26" s="34" t="s">
        <v>38</v>
      </c>
      <c r="Y26" s="34"/>
      <c r="Z26" t="s">
        <v>51</v>
      </c>
      <c r="AA26">
        <f t="shared" ref="AA26:AF26" si="16">$X17*R$27*AA17</f>
        <v>-2.6233709201556745E-7</v>
      </c>
      <c r="AB26">
        <f t="shared" si="16"/>
        <v>-3.3409545850721529E-7</v>
      </c>
      <c r="AC26">
        <f t="shared" si="16"/>
        <v>-7.6345447082278619E-7</v>
      </c>
      <c r="AD26">
        <f t="shared" si="16"/>
        <v>-1.6475516180482426E-7</v>
      </c>
      <c r="AE26">
        <f t="shared" si="16"/>
        <v>2.8293294450626559E-8</v>
      </c>
      <c r="AF26">
        <f t="shared" si="16"/>
        <v>1.6817305401349597E-8</v>
      </c>
    </row>
    <row r="27" spans="1:32">
      <c r="A27" s="1">
        <v>40848</v>
      </c>
      <c r="B27">
        <v>51.71</v>
      </c>
      <c r="C27">
        <v>54.39</v>
      </c>
      <c r="D27">
        <v>75.349999999999994</v>
      </c>
      <c r="E27">
        <v>52.83</v>
      </c>
      <c r="F27">
        <v>28.49</v>
      </c>
      <c r="G27">
        <v>192.29</v>
      </c>
      <c r="I27">
        <f t="shared" si="5"/>
        <v>-5.5697589481373218E-2</v>
      </c>
      <c r="J27">
        <f t="shared" si="0"/>
        <v>3.8373424971363077E-2</v>
      </c>
      <c r="K27">
        <f t="shared" si="1"/>
        <v>3.2757675438596499E-2</v>
      </c>
      <c r="L27">
        <f t="shared" si="2"/>
        <v>4.6138613861386103E-2</v>
      </c>
      <c r="M27">
        <f t="shared" si="3"/>
        <v>-0.10885204879574603</v>
      </c>
      <c r="N27">
        <f t="shared" si="4"/>
        <v>-9.9386445599737722E-2</v>
      </c>
      <c r="R27" s="3">
        <v>6.6439083654079439E-2</v>
      </c>
      <c r="S27" s="3">
        <v>0.59222383277328494</v>
      </c>
      <c r="T27" s="3">
        <v>0.29021088843136333</v>
      </c>
      <c r="U27" s="3">
        <v>6.8114369351484683E-2</v>
      </c>
      <c r="V27" s="3">
        <v>-1.591677613778231E-2</v>
      </c>
      <c r="W27" s="3">
        <v>-1.0713977161208757E-3</v>
      </c>
      <c r="X27" s="35">
        <f>SUM($R$27:$W$27)</f>
        <v>1.0000000003563092</v>
      </c>
      <c r="Y27" s="35"/>
    </row>
    <row r="28" spans="1:32">
      <c r="A28" s="1">
        <v>40819</v>
      </c>
      <c r="B28">
        <v>54.76</v>
      </c>
      <c r="C28">
        <v>52.38</v>
      </c>
      <c r="D28">
        <v>72.959999999999994</v>
      </c>
      <c r="E28">
        <v>50.5</v>
      </c>
      <c r="F28">
        <v>31.97</v>
      </c>
      <c r="G28">
        <v>213.51</v>
      </c>
      <c r="I28">
        <f t="shared" si="5"/>
        <v>6.1446016669897158E-2</v>
      </c>
      <c r="J28">
        <f t="shared" si="0"/>
        <v>9.2843730440225383E-2</v>
      </c>
      <c r="K28">
        <f t="shared" si="1"/>
        <v>0.10078455039227509</v>
      </c>
      <c r="L28">
        <f t="shared" si="2"/>
        <v>9.0712742980561617E-2</v>
      </c>
      <c r="M28">
        <f t="shared" si="3"/>
        <v>0.16423889293517838</v>
      </c>
      <c r="N28">
        <f t="shared" si="4"/>
        <v>-1.2579198076122643E-2</v>
      </c>
    </row>
    <row r="29" spans="1:32">
      <c r="A29" s="1">
        <v>40787</v>
      </c>
      <c r="B29">
        <v>51.59</v>
      </c>
      <c r="C29">
        <v>47.93</v>
      </c>
      <c r="D29">
        <v>66.28</v>
      </c>
      <c r="E29">
        <v>46.3</v>
      </c>
      <c r="F29">
        <v>27.46</v>
      </c>
      <c r="G29">
        <v>216.23</v>
      </c>
      <c r="I29">
        <f t="shared" si="5"/>
        <v>-9.0280445639646344E-3</v>
      </c>
      <c r="J29">
        <f t="shared" si="0"/>
        <v>-2.4226384364820802E-2</v>
      </c>
      <c r="K29">
        <f t="shared" si="1"/>
        <v>-0.1348387938911369</v>
      </c>
      <c r="L29">
        <f t="shared" si="2"/>
        <v>-9.1622523052776184E-2</v>
      </c>
      <c r="M29">
        <f t="shared" si="3"/>
        <v>-0.19824817518248172</v>
      </c>
      <c r="N29">
        <f t="shared" si="4"/>
        <v>4.6461924452910839E-3</v>
      </c>
      <c r="P29" s="31"/>
      <c r="Q29" s="31"/>
      <c r="R29" s="3"/>
      <c r="S29" s="3"/>
      <c r="T29" s="3"/>
      <c r="U29" s="3"/>
      <c r="V29" s="3"/>
      <c r="W29" s="3"/>
      <c r="Z29" s="31" t="s">
        <v>12</v>
      </c>
      <c r="AA29" s="31"/>
      <c r="AB29">
        <f>SUM(R31:W31)</f>
        <v>9.4742561468463514E-3</v>
      </c>
    </row>
    <row r="30" spans="1:32">
      <c r="A30" s="1">
        <v>40756</v>
      </c>
      <c r="B30">
        <v>52.06</v>
      </c>
      <c r="C30">
        <v>49.12</v>
      </c>
      <c r="D30">
        <v>76.61</v>
      </c>
      <c r="E30">
        <v>50.97</v>
      </c>
      <c r="F30">
        <v>34.25</v>
      </c>
      <c r="G30">
        <v>215.23</v>
      </c>
      <c r="I30">
        <f t="shared" si="5"/>
        <v>-1.4575052053757261E-2</v>
      </c>
      <c r="J30">
        <f t="shared" si="0"/>
        <v>1.6345954893440911E-2</v>
      </c>
      <c r="K30">
        <f t="shared" si="1"/>
        <v>-4.1296458515830275E-2</v>
      </c>
      <c r="L30">
        <f t="shared" si="2"/>
        <v>2.9281098546041915E-2</v>
      </c>
      <c r="M30">
        <f t="shared" si="3"/>
        <v>-7.1312364425162755E-2</v>
      </c>
      <c r="N30">
        <f t="shared" si="4"/>
        <v>-3.2761100125831479E-2</v>
      </c>
      <c r="P30" s="31"/>
      <c r="Q30" s="31"/>
      <c r="R30" s="24"/>
      <c r="Z30" s="31" t="s">
        <v>13</v>
      </c>
      <c r="AA30" s="31"/>
      <c r="AB30">
        <f>SUM(AA21:AF26)</f>
        <v>1.3809422304228301E-3</v>
      </c>
    </row>
    <row r="31" spans="1:32">
      <c r="A31" s="1">
        <v>40725</v>
      </c>
      <c r="B31">
        <v>52.83</v>
      </c>
      <c r="C31">
        <v>48.33</v>
      </c>
      <c r="D31">
        <v>79.91</v>
      </c>
      <c r="E31">
        <v>49.52</v>
      </c>
      <c r="F31">
        <v>36.880000000000003</v>
      </c>
      <c r="G31">
        <v>222.52</v>
      </c>
      <c r="I31">
        <f t="shared" si="5"/>
        <v>0.16340013212948695</v>
      </c>
      <c r="J31">
        <f t="shared" si="0"/>
        <v>-8.0049261083743953E-3</v>
      </c>
      <c r="K31">
        <f t="shared" si="1"/>
        <v>-8.1283053575534683E-2</v>
      </c>
      <c r="L31">
        <f t="shared" si="2"/>
        <v>-3.9379243452958179E-2</v>
      </c>
      <c r="M31">
        <f t="shared" si="3"/>
        <v>-5.9299191374662767E-3</v>
      </c>
      <c r="N31">
        <f t="shared" si="4"/>
        <v>8.8170570688053201E-2</v>
      </c>
      <c r="P31" s="31" t="s">
        <v>39</v>
      </c>
      <c r="Q31" s="31"/>
      <c r="R31" s="24">
        <f>R$27*R$21</f>
        <v>2.6118212864391904E-3</v>
      </c>
      <c r="S31" s="24">
        <f t="shared" ref="S31:W31" si="17">S$27*S$21</f>
        <v>3.462053901449472E-3</v>
      </c>
      <c r="T31" s="24">
        <f t="shared" si="17"/>
        <v>2.4821249768643781E-3</v>
      </c>
      <c r="U31" s="24">
        <f t="shared" si="17"/>
        <v>1.0932298807451823E-3</v>
      </c>
      <c r="V31" s="24">
        <f t="shared" si="17"/>
        <v>-1.4860134938629707E-4</v>
      </c>
      <c r="W31" s="24">
        <f t="shared" si="17"/>
        <v>-2.6372549265574231E-5</v>
      </c>
      <c r="Z31" s="31" t="s">
        <v>14</v>
      </c>
      <c r="AA31" s="31"/>
      <c r="AB31">
        <f>SQRT(AB30)</f>
        <v>3.7161031073193192E-2</v>
      </c>
    </row>
    <row r="32" spans="1:32">
      <c r="A32" s="1">
        <v>40695</v>
      </c>
      <c r="B32">
        <v>45.41</v>
      </c>
      <c r="C32">
        <v>48.72</v>
      </c>
      <c r="D32">
        <v>86.98</v>
      </c>
      <c r="E32">
        <v>51.55</v>
      </c>
      <c r="F32">
        <v>37.1</v>
      </c>
      <c r="G32">
        <v>204.49</v>
      </c>
      <c r="I32">
        <f t="shared" si="5"/>
        <v>-3.5061623459413632E-2</v>
      </c>
      <c r="J32">
        <f t="shared" si="0"/>
        <v>-3.7724669168477255E-2</v>
      </c>
      <c r="K32">
        <f t="shared" si="1"/>
        <v>4.9682264586944757E-3</v>
      </c>
      <c r="L32">
        <f t="shared" si="2"/>
        <v>-1.5494867325199573E-3</v>
      </c>
      <c r="M32">
        <f t="shared" si="3"/>
        <v>-5.33299311048736E-2</v>
      </c>
      <c r="N32">
        <f t="shared" si="4"/>
        <v>3.9656311962987502E-2</v>
      </c>
    </row>
    <row r="33" spans="1:28">
      <c r="A33" s="1">
        <v>40665</v>
      </c>
      <c r="B33">
        <v>47.06</v>
      </c>
      <c r="C33">
        <v>50.63</v>
      </c>
      <c r="D33">
        <v>86.55</v>
      </c>
      <c r="E33">
        <v>51.63</v>
      </c>
      <c r="F33">
        <v>39.19</v>
      </c>
      <c r="G33">
        <v>196.69</v>
      </c>
      <c r="I33">
        <f t="shared" si="5"/>
        <v>-6.5442263035675576E-3</v>
      </c>
      <c r="J33">
        <f t="shared" si="0"/>
        <v>1.098242811501606E-2</v>
      </c>
      <c r="K33">
        <f t="shared" si="1"/>
        <v>-2.3468351573959139E-2</v>
      </c>
      <c r="L33">
        <f t="shared" si="2"/>
        <v>3.1362365161805836E-2</v>
      </c>
      <c r="M33">
        <f t="shared" si="3"/>
        <v>-5.2237001209189927E-2</v>
      </c>
      <c r="N33">
        <f t="shared" si="4"/>
        <v>4.4941524947653107E-3</v>
      </c>
    </row>
    <row r="34" spans="1:28" ht="22.5">
      <c r="A34" s="1">
        <v>40634</v>
      </c>
      <c r="B34">
        <v>47.37</v>
      </c>
      <c r="C34">
        <v>50.08</v>
      </c>
      <c r="D34">
        <v>88.63</v>
      </c>
      <c r="E34">
        <v>50.06</v>
      </c>
      <c r="F34">
        <v>41.35</v>
      </c>
      <c r="G34">
        <v>195.81</v>
      </c>
      <c r="I34">
        <f t="shared" si="5"/>
        <v>4.665959703075268E-3</v>
      </c>
      <c r="J34">
        <f t="shared" si="0"/>
        <v>5.6317232651339422E-2</v>
      </c>
      <c r="K34">
        <f t="shared" si="1"/>
        <v>3.9770061004223381E-2</v>
      </c>
      <c r="L34">
        <f t="shared" si="2"/>
        <v>4.9255921190526124E-2</v>
      </c>
      <c r="M34">
        <f t="shared" si="3"/>
        <v>-4.8134777376653611E-3</v>
      </c>
      <c r="N34">
        <f t="shared" si="4"/>
        <v>8.7048242935657619E-2</v>
      </c>
      <c r="P34" s="32" t="s">
        <v>52</v>
      </c>
      <c r="Q34" s="32"/>
      <c r="R34" s="3">
        <v>6.6027439830018894E-2</v>
      </c>
      <c r="S34" s="3">
        <v>0.58730205294799565</v>
      </c>
      <c r="T34" s="3">
        <v>0.2826263582224674</v>
      </c>
      <c r="U34" s="3">
        <v>6.4044149134151448E-2</v>
      </c>
      <c r="V34" s="3">
        <v>0</v>
      </c>
      <c r="W34" s="3">
        <v>0</v>
      </c>
      <c r="Z34" s="31" t="s">
        <v>12</v>
      </c>
      <c r="AA34" s="31"/>
      <c r="AB34" s="49">
        <v>9.4740797928011405E-3</v>
      </c>
    </row>
    <row r="35" spans="1:28">
      <c r="A35" s="1">
        <v>40603</v>
      </c>
      <c r="B35">
        <v>47.15</v>
      </c>
      <c r="C35">
        <v>47.41</v>
      </c>
      <c r="D35">
        <v>85.24</v>
      </c>
      <c r="E35">
        <v>47.71</v>
      </c>
      <c r="F35">
        <v>41.55</v>
      </c>
      <c r="G35">
        <v>180.13</v>
      </c>
      <c r="I35">
        <f t="shared" si="5"/>
        <v>-1.3185433235663511E-2</v>
      </c>
      <c r="J35">
        <f t="shared" si="0"/>
        <v>8.2943428328369519E-3</v>
      </c>
      <c r="K35">
        <f t="shared" si="1"/>
        <v>1.3675823522416357E-2</v>
      </c>
      <c r="L35">
        <f t="shared" si="2"/>
        <v>2.0753102267864757E-2</v>
      </c>
      <c r="M35">
        <f t="shared" si="3"/>
        <v>-1.2829650748396442E-2</v>
      </c>
      <c r="N35">
        <f t="shared" si="4"/>
        <v>3.9471406313116762E-2</v>
      </c>
      <c r="P35" s="31"/>
      <c r="Q35" s="31"/>
      <c r="Z35" s="31" t="s">
        <v>13</v>
      </c>
      <c r="AA35" s="31"/>
      <c r="AB35">
        <v>1.3823451567472195E-3</v>
      </c>
    </row>
    <row r="36" spans="1:28">
      <c r="A36" s="1">
        <v>40575</v>
      </c>
      <c r="B36">
        <v>47.78</v>
      </c>
      <c r="C36">
        <v>47.02</v>
      </c>
      <c r="D36">
        <v>84.09</v>
      </c>
      <c r="E36">
        <v>46.74</v>
      </c>
      <c r="F36">
        <v>42.09</v>
      </c>
      <c r="G36">
        <v>173.29</v>
      </c>
      <c r="I36">
        <f t="shared" si="5"/>
        <v>4.0958605664488078E-2</v>
      </c>
      <c r="J36">
        <f t="shared" si="0"/>
        <v>-7.2766712679944737E-2</v>
      </c>
      <c r="K36">
        <f t="shared" si="1"/>
        <v>5.5346385542168627E-2</v>
      </c>
      <c r="L36">
        <f t="shared" si="2"/>
        <v>7.6462459695992635E-2</v>
      </c>
      <c r="M36">
        <f t="shared" si="3"/>
        <v>3.9002715378918917E-2</v>
      </c>
      <c r="N36">
        <f t="shared" si="4"/>
        <v>2.1516151850978577E-2</v>
      </c>
      <c r="P36" s="31" t="s">
        <v>39</v>
      </c>
      <c r="Q36" s="31"/>
      <c r="R36" s="24">
        <v>2.5956389425087658E-3</v>
      </c>
      <c r="S36" s="24">
        <v>3.4332818965025834E-3</v>
      </c>
      <c r="T36" s="24">
        <v>2.4172557640962451E-3</v>
      </c>
      <c r="U36" s="24">
        <v>1.0279031896935408E-3</v>
      </c>
      <c r="V36" s="24">
        <v>0</v>
      </c>
      <c r="W36" s="24">
        <v>0</v>
      </c>
      <c r="Z36" s="31" t="s">
        <v>14</v>
      </c>
      <c r="AA36" s="31"/>
      <c r="AB36">
        <v>3.7179902591954424E-2</v>
      </c>
    </row>
    <row r="37" spans="1:28">
      <c r="A37" s="1">
        <v>40546</v>
      </c>
      <c r="B37">
        <v>45.9</v>
      </c>
      <c r="C37">
        <v>50.71</v>
      </c>
      <c r="D37">
        <v>79.680000000000007</v>
      </c>
      <c r="E37">
        <v>43.42</v>
      </c>
      <c r="F37">
        <v>40.51</v>
      </c>
      <c r="G37">
        <v>169.64</v>
      </c>
      <c r="I37">
        <f t="shared" si="5"/>
        <v>5.1787351054078778E-2</v>
      </c>
      <c r="J37">
        <f t="shared" si="0"/>
        <v>3.9565395653956531E-2</v>
      </c>
      <c r="K37">
        <f t="shared" si="1"/>
        <v>1.8795550441120232E-2</v>
      </c>
      <c r="L37">
        <f t="shared" si="2"/>
        <v>-4.1924095322153541E-2</v>
      </c>
      <c r="M37">
        <f t="shared" si="3"/>
        <v>6.074888714323122E-2</v>
      </c>
      <c r="N37">
        <f t="shared" si="4"/>
        <v>-5.7555555555555631E-2</v>
      </c>
    </row>
    <row r="38" spans="1:28">
      <c r="A38" s="1">
        <v>40513</v>
      </c>
      <c r="B38">
        <v>43.64</v>
      </c>
      <c r="C38">
        <v>48.78</v>
      </c>
      <c r="D38">
        <v>78.209999999999994</v>
      </c>
      <c r="E38">
        <v>45.32</v>
      </c>
      <c r="F38">
        <v>38.19</v>
      </c>
      <c r="G38">
        <v>180</v>
      </c>
      <c r="I38">
        <f t="shared" si="5"/>
        <v>3.68258493703967E-2</v>
      </c>
      <c r="J38">
        <f t="shared" si="0"/>
        <v>2.6721479958890558E-3</v>
      </c>
      <c r="K38">
        <f t="shared" si="1"/>
        <v>2.7591643673630196E-2</v>
      </c>
      <c r="L38">
        <f t="shared" si="2"/>
        <v>-2.0531661984006976E-2</v>
      </c>
      <c r="M38">
        <f t="shared" si="3"/>
        <v>0.13424413424413412</v>
      </c>
      <c r="N38">
        <f t="shared" si="4"/>
        <v>2.6225769669327218E-2</v>
      </c>
      <c r="P38" s="31"/>
      <c r="Q38" s="31"/>
    </row>
    <row r="39" spans="1:28" ht="24.75">
      <c r="A39" s="1">
        <v>40483</v>
      </c>
      <c r="B39">
        <v>42.09</v>
      </c>
      <c r="C39">
        <v>48.65</v>
      </c>
      <c r="D39">
        <v>76.11</v>
      </c>
      <c r="E39">
        <v>46.27</v>
      </c>
      <c r="F39">
        <v>33.67</v>
      </c>
      <c r="G39">
        <v>175.4</v>
      </c>
      <c r="I39">
        <f t="shared" si="5"/>
        <v>3.3644400785854726E-2</v>
      </c>
      <c r="J39">
        <f t="shared" si="0"/>
        <v>-1.6416991586291462E-3</v>
      </c>
      <c r="K39">
        <f t="shared" si="1"/>
        <v>3.4278180619644713E-3</v>
      </c>
      <c r="L39">
        <f t="shared" si="2"/>
        <v>1.0482638130596288E-2</v>
      </c>
      <c r="M39">
        <f t="shared" si="3"/>
        <v>-6.198347107438041E-3</v>
      </c>
      <c r="N39">
        <f t="shared" si="4"/>
        <v>6.1550565877867315E-2</v>
      </c>
      <c r="P39" s="36" t="s">
        <v>53</v>
      </c>
      <c r="Q39" s="36"/>
      <c r="R39" s="3">
        <v>6.6439072714400499E-2</v>
      </c>
      <c r="S39" s="3">
        <v>0.59222383846439286</v>
      </c>
      <c r="T39" s="3">
        <v>0.29021089403852163</v>
      </c>
      <c r="U39" s="3">
        <v>6.8114358805686254E-2</v>
      </c>
      <c r="V39" s="3">
        <v>-1.5916765814124607E-2</v>
      </c>
      <c r="W39" s="3">
        <v>-1.0713975541224794E-3</v>
      </c>
      <c r="Z39" s="31" t="s">
        <v>12</v>
      </c>
      <c r="AA39" s="31"/>
      <c r="AB39">
        <v>9.4742557291290341E-3</v>
      </c>
    </row>
    <row r="40" spans="1:28">
      <c r="A40" s="1">
        <v>40452</v>
      </c>
      <c r="B40">
        <v>40.72</v>
      </c>
      <c r="C40">
        <v>48.73</v>
      </c>
      <c r="D40">
        <v>75.849999999999994</v>
      </c>
      <c r="E40">
        <v>45.79</v>
      </c>
      <c r="F40">
        <v>33.880000000000003</v>
      </c>
      <c r="G40">
        <v>165.23</v>
      </c>
      <c r="I40">
        <f t="shared" si="5"/>
        <v>6.0692888773117952E-2</v>
      </c>
      <c r="J40">
        <f t="shared" si="0"/>
        <v>1.225592023265468E-2</v>
      </c>
      <c r="K40">
        <f t="shared" si="1"/>
        <v>-2.8684850813164412E-2</v>
      </c>
      <c r="L40">
        <f t="shared" si="2"/>
        <v>8.1738719584219258E-2</v>
      </c>
      <c r="M40">
        <f t="shared" si="3"/>
        <v>-9.9357101110460633E-3</v>
      </c>
      <c r="N40">
        <f t="shared" si="4"/>
        <v>5.2018336941296241E-2</v>
      </c>
      <c r="P40" s="31"/>
      <c r="Q40" s="31"/>
      <c r="Z40" s="31" t="s">
        <v>13</v>
      </c>
      <c r="AA40" s="31"/>
      <c r="AB40">
        <v>1.3809422312470116E-3</v>
      </c>
    </row>
    <row r="41" spans="1:28">
      <c r="A41" s="1">
        <v>40422</v>
      </c>
      <c r="B41">
        <v>38.39</v>
      </c>
      <c r="C41">
        <v>48.14</v>
      </c>
      <c r="D41">
        <v>78.09</v>
      </c>
      <c r="E41">
        <v>42.33</v>
      </c>
      <c r="F41">
        <v>34.22</v>
      </c>
      <c r="G41">
        <v>157.06</v>
      </c>
      <c r="I41">
        <f t="shared" si="5"/>
        <v>0.16722408026755853</v>
      </c>
      <c r="J41">
        <f t="shared" si="0"/>
        <v>6.7405764966740556E-2</v>
      </c>
      <c r="K41">
        <f t="shared" si="1"/>
        <v>0.10390161153519945</v>
      </c>
      <c r="L41">
        <f t="shared" si="2"/>
        <v>0.10464509394572019</v>
      </c>
      <c r="M41">
        <f t="shared" si="3"/>
        <v>4.6803303762618577E-2</v>
      </c>
      <c r="N41">
        <f t="shared" si="4"/>
        <v>0.25819113995033249</v>
      </c>
      <c r="P41" s="31" t="s">
        <v>39</v>
      </c>
      <c r="Q41" s="31"/>
      <c r="R41" s="24">
        <v>2.6118212864391904E-3</v>
      </c>
      <c r="S41" s="24">
        <v>3.462053901449472E-3</v>
      </c>
      <c r="T41" s="24">
        <v>2.4821249768643781E-3</v>
      </c>
      <c r="U41" s="24">
        <v>1.0932298807451823E-3</v>
      </c>
      <c r="V41" s="24">
        <v>-1.4860134938629707E-4</v>
      </c>
      <c r="W41" s="24">
        <v>-2.6372549265574231E-5</v>
      </c>
      <c r="Z41" s="31" t="s">
        <v>14</v>
      </c>
      <c r="AA41" s="31"/>
      <c r="AB41">
        <v>3.7161031084282516E-2</v>
      </c>
    </row>
    <row r="42" spans="1:28">
      <c r="A42" s="1">
        <v>40392</v>
      </c>
      <c r="B42">
        <v>32.89</v>
      </c>
      <c r="C42">
        <v>45.1</v>
      </c>
      <c r="D42">
        <v>70.739999999999995</v>
      </c>
      <c r="E42">
        <v>38.32</v>
      </c>
      <c r="F42">
        <v>32.69</v>
      </c>
      <c r="G42">
        <v>124.83</v>
      </c>
      <c r="I42">
        <f t="shared" si="5"/>
        <v>-5.4885057471264272E-2</v>
      </c>
      <c r="J42">
        <f t="shared" si="0"/>
        <v>-1.4853647881170811E-2</v>
      </c>
      <c r="K42">
        <f t="shared" si="1"/>
        <v>-7.6018808777429558E-2</v>
      </c>
      <c r="L42">
        <f t="shared" si="2"/>
        <v>9.4836670179135781E-3</v>
      </c>
      <c r="M42">
        <f t="shared" si="3"/>
        <v>-9.7459966869133108E-2</v>
      </c>
      <c r="N42">
        <f t="shared" si="4"/>
        <v>5.8868436678259375E-2</v>
      </c>
    </row>
    <row r="43" spans="1:28">
      <c r="A43" s="1">
        <v>40360</v>
      </c>
      <c r="B43">
        <v>34.799999999999997</v>
      </c>
      <c r="C43">
        <v>45.78</v>
      </c>
      <c r="D43">
        <v>76.56</v>
      </c>
      <c r="E43">
        <v>37.96</v>
      </c>
      <c r="F43">
        <v>36.22</v>
      </c>
      <c r="G43">
        <v>117.89</v>
      </c>
      <c r="I43">
        <f t="shared" si="5"/>
        <v>2.2627093740816808E-2</v>
      </c>
      <c r="J43">
        <f t="shared" si="0"/>
        <v>6.4898813677599421E-2</v>
      </c>
      <c r="K43">
        <f t="shared" si="1"/>
        <v>8.3038619323808238E-2</v>
      </c>
      <c r="L43">
        <f t="shared" si="2"/>
        <v>6.3305322128851482E-2</v>
      </c>
      <c r="M43">
        <f t="shared" si="3"/>
        <v>0.10191664131426838</v>
      </c>
      <c r="N43">
        <f t="shared" si="4"/>
        <v>7.8985905180303823E-2</v>
      </c>
    </row>
    <row r="44" spans="1:28">
      <c r="A44" s="1">
        <v>40330</v>
      </c>
      <c r="B44">
        <v>34.03</v>
      </c>
      <c r="C44">
        <v>42.99</v>
      </c>
      <c r="D44">
        <v>70.69</v>
      </c>
      <c r="E44">
        <v>35.700000000000003</v>
      </c>
      <c r="F44">
        <v>32.869999999999997</v>
      </c>
      <c r="G44">
        <v>109.26</v>
      </c>
      <c r="I44">
        <f t="shared" si="5"/>
        <v>-2.0719424460431624E-2</v>
      </c>
      <c r="J44">
        <f t="shared" si="0"/>
        <v>-4.931446262715606E-2</v>
      </c>
      <c r="K44">
        <f t="shared" si="1"/>
        <v>-4.0856579318118659E-3</v>
      </c>
      <c r="L44">
        <f t="shared" si="2"/>
        <v>-4.6728971962616821E-2</v>
      </c>
      <c r="M44">
        <f t="shared" si="3"/>
        <v>-7.5126617895329262E-2</v>
      </c>
      <c r="N44">
        <f t="shared" si="4"/>
        <v>-0.12912482065997122</v>
      </c>
    </row>
    <row r="45" spans="1:28">
      <c r="A45" s="1">
        <v>40301</v>
      </c>
      <c r="B45">
        <v>34.75</v>
      </c>
      <c r="C45">
        <v>45.22</v>
      </c>
      <c r="D45">
        <v>70.98</v>
      </c>
      <c r="E45">
        <v>37.450000000000003</v>
      </c>
      <c r="F45">
        <v>35.54</v>
      </c>
      <c r="G45">
        <v>125.46</v>
      </c>
      <c r="I45">
        <f t="shared" si="5"/>
        <v>-1.6138165345413371E-2</v>
      </c>
      <c r="J45">
        <f t="shared" si="0"/>
        <v>-5.1792828685258946E-2</v>
      </c>
      <c r="K45">
        <f t="shared" si="1"/>
        <v>-9.9923915800152113E-2</v>
      </c>
      <c r="L45">
        <f t="shared" si="2"/>
        <v>-3.4544985821087816E-2</v>
      </c>
      <c r="M45">
        <f t="shared" si="3"/>
        <v>-7.0606694560669522E-2</v>
      </c>
      <c r="N45">
        <f t="shared" si="4"/>
        <v>-8.4901531728665214E-2</v>
      </c>
    </row>
    <row r="46" spans="1:28">
      <c r="A46" s="1">
        <v>40269</v>
      </c>
      <c r="B46">
        <v>35.32</v>
      </c>
      <c r="C46">
        <v>47.69</v>
      </c>
      <c r="D46">
        <v>78.86</v>
      </c>
      <c r="E46">
        <v>38.79</v>
      </c>
      <c r="F46">
        <v>38.24</v>
      </c>
      <c r="G46">
        <v>137.1</v>
      </c>
      <c r="I46">
        <f t="shared" si="5"/>
        <v>0.11104120792702112</v>
      </c>
      <c r="J46">
        <f t="shared" si="0"/>
        <v>-3.5396440129449841E-2</v>
      </c>
      <c r="K46">
        <f t="shared" si="1"/>
        <v>6.0944436970267739E-2</v>
      </c>
      <c r="L46">
        <f t="shared" si="2"/>
        <v>0.11241755090335538</v>
      </c>
      <c r="M46">
        <f t="shared" si="3"/>
        <v>-4.7334329845540569E-2</v>
      </c>
      <c r="N46">
        <f t="shared" si="4"/>
        <v>9.7959784930395817E-3</v>
      </c>
    </row>
    <row r="47" spans="1:28">
      <c r="A47" s="1">
        <v>40238</v>
      </c>
      <c r="B47">
        <v>31.79</v>
      </c>
      <c r="C47">
        <v>49.44</v>
      </c>
      <c r="D47">
        <v>74.33</v>
      </c>
      <c r="E47">
        <v>34.869999999999997</v>
      </c>
      <c r="F47">
        <v>40.14</v>
      </c>
      <c r="G47">
        <v>135.77000000000001</v>
      </c>
      <c r="I47">
        <f t="shared" si="5"/>
        <v>0.14848265895953755</v>
      </c>
      <c r="J47">
        <f t="shared" si="0"/>
        <v>3.4093285923446882E-2</v>
      </c>
      <c r="K47">
        <f t="shared" si="1"/>
        <v>4.2789001122334414E-2</v>
      </c>
      <c r="L47">
        <f t="shared" si="2"/>
        <v>0.13657105606258141</v>
      </c>
      <c r="M47">
        <f t="shared" si="3"/>
        <v>6.6135458167330727E-2</v>
      </c>
      <c r="N47">
        <f t="shared" si="4"/>
        <v>0.1467060810810811</v>
      </c>
    </row>
    <row r="48" spans="1:28">
      <c r="A48" s="1">
        <v>40210</v>
      </c>
      <c r="B48">
        <v>27.68</v>
      </c>
      <c r="C48">
        <v>47.81</v>
      </c>
      <c r="D48">
        <v>71.28</v>
      </c>
      <c r="E48">
        <v>30.68</v>
      </c>
      <c r="F48">
        <v>37.65</v>
      </c>
      <c r="G48">
        <v>118.4</v>
      </c>
      <c r="I48">
        <f t="shared" si="5"/>
        <v>6.5434949961508823E-2</v>
      </c>
      <c r="J48">
        <f t="shared" si="0"/>
        <v>1.2066045723962748E-2</v>
      </c>
      <c r="K48">
        <f t="shared" si="1"/>
        <v>2.2497187851518081E-3</v>
      </c>
      <c r="L48">
        <f t="shared" si="2"/>
        <v>-1.4138817480719835E-2</v>
      </c>
      <c r="M48">
        <f t="shared" si="3"/>
        <v>7.7870025765817322E-2</v>
      </c>
      <c r="N48">
        <f t="shared" si="4"/>
        <v>-5.5896658958615668E-2</v>
      </c>
    </row>
    <row r="49" spans="1:14">
      <c r="A49" s="1">
        <v>40182</v>
      </c>
      <c r="B49">
        <v>25.98</v>
      </c>
      <c r="C49">
        <v>47.24</v>
      </c>
      <c r="D49">
        <v>71.12</v>
      </c>
      <c r="E49">
        <v>31.12</v>
      </c>
      <c r="F49">
        <v>34.93</v>
      </c>
      <c r="G49">
        <v>125.41</v>
      </c>
      <c r="I49">
        <f t="shared" si="5"/>
        <v>-8.8740792704314314E-2</v>
      </c>
      <c r="J49">
        <f t="shared" si="0"/>
        <v>-4.2319085907735975E-4</v>
      </c>
      <c r="K49">
        <f t="shared" si="1"/>
        <v>-2.6420260095824679E-2</v>
      </c>
      <c r="L49">
        <f t="shared" si="2"/>
        <v>-1.6123932975023649E-2</v>
      </c>
      <c r="M49">
        <f t="shared" si="3"/>
        <v>-6.4291454594160163E-2</v>
      </c>
      <c r="N49">
        <f t="shared" si="4"/>
        <v>-6.7722271781147883E-2</v>
      </c>
    </row>
    <row r="50" spans="1:14">
      <c r="A50" s="1">
        <v>40148</v>
      </c>
      <c r="B50">
        <v>28.51</v>
      </c>
      <c r="C50">
        <v>47.26</v>
      </c>
      <c r="D50">
        <v>73.05</v>
      </c>
      <c r="E50">
        <v>31.63</v>
      </c>
      <c r="F50">
        <v>37.33</v>
      </c>
      <c r="G50">
        <v>134.52000000000001</v>
      </c>
      <c r="I50">
        <f t="shared" si="5"/>
        <v>5.4363905325443877E-2</v>
      </c>
      <c r="J50">
        <f t="shared" si="0"/>
        <v>-1.5211502396332651E-2</v>
      </c>
      <c r="K50">
        <f t="shared" si="1"/>
        <v>6.7670271850336097E-2</v>
      </c>
      <c r="L50">
        <f t="shared" si="2"/>
        <v>-8.4639498432601754E-3</v>
      </c>
      <c r="M50">
        <f t="shared" si="3"/>
        <v>-1.9437877593906014E-2</v>
      </c>
      <c r="N50">
        <f t="shared" si="4"/>
        <v>-1.0227356338753487E-2</v>
      </c>
    </row>
    <row r="51" spans="1:14">
      <c r="A51" s="1">
        <v>40119</v>
      </c>
      <c r="B51">
        <v>27.04</v>
      </c>
      <c r="C51">
        <v>47.99</v>
      </c>
      <c r="D51">
        <v>68.42</v>
      </c>
      <c r="E51">
        <v>31.9</v>
      </c>
      <c r="F51">
        <v>38.07</v>
      </c>
      <c r="G51">
        <v>135.91</v>
      </c>
      <c r="I51">
        <f t="shared" si="5"/>
        <v>6.0392156862745065E-2</v>
      </c>
      <c r="J51">
        <f t="shared" si="0"/>
        <v>9.8169336384439337E-2</v>
      </c>
      <c r="K51">
        <f t="shared" si="1"/>
        <v>5.9461133477856976E-2</v>
      </c>
      <c r="L51">
        <f t="shared" si="2"/>
        <v>7.0469798657718047E-2</v>
      </c>
      <c r="M51">
        <f t="shared" si="3"/>
        <v>1.7370390165686759E-2</v>
      </c>
      <c r="N51">
        <f t="shared" si="4"/>
        <v>0.14392727884858172</v>
      </c>
    </row>
    <row r="52" spans="1:14">
      <c r="A52" s="1">
        <v>40087</v>
      </c>
      <c r="B52">
        <v>25.5</v>
      </c>
      <c r="C52">
        <v>43.7</v>
      </c>
      <c r="D52">
        <v>64.58</v>
      </c>
      <c r="E52">
        <v>29.8</v>
      </c>
      <c r="F52">
        <v>37.42</v>
      </c>
      <c r="G52">
        <v>118.81</v>
      </c>
      <c r="I52">
        <f t="shared" si="5"/>
        <v>1.7151974471479845E-2</v>
      </c>
      <c r="J52">
        <f t="shared" si="0"/>
        <v>1.2042612320518831E-2</v>
      </c>
      <c r="K52">
        <f t="shared" si="1"/>
        <v>-3.2412409322427524E-3</v>
      </c>
      <c r="L52">
        <f t="shared" si="2"/>
        <v>-1.8121911037891292E-2</v>
      </c>
      <c r="M52">
        <f t="shared" si="3"/>
        <v>-4.5651619484825275E-2</v>
      </c>
      <c r="N52">
        <f t="shared" si="4"/>
        <v>0.27260068551842331</v>
      </c>
    </row>
    <row r="53" spans="1:14">
      <c r="A53" s="1">
        <v>40057</v>
      </c>
      <c r="B53">
        <v>25.07</v>
      </c>
      <c r="C53">
        <v>43.18</v>
      </c>
      <c r="D53">
        <v>64.790000000000006</v>
      </c>
      <c r="E53">
        <v>30.35</v>
      </c>
      <c r="F53">
        <v>39.21</v>
      </c>
      <c r="G53">
        <v>93.36</v>
      </c>
      <c r="I53">
        <f t="shared" si="5"/>
        <v>0.10149384885764492</v>
      </c>
      <c r="J53">
        <f t="shared" si="0"/>
        <v>-3.5083798882681573E-2</v>
      </c>
      <c r="K53">
        <f t="shared" si="1"/>
        <v>2.370042660767905E-2</v>
      </c>
      <c r="L53">
        <f t="shared" si="2"/>
        <v>-1.4290354011042472E-2</v>
      </c>
      <c r="M53">
        <f t="shared" si="3"/>
        <v>8.2283363332476284E-3</v>
      </c>
      <c r="N53">
        <f t="shared" si="4"/>
        <v>0.14989530730385517</v>
      </c>
    </row>
    <row r="54" spans="1:14">
      <c r="A54" s="1">
        <v>40028</v>
      </c>
      <c r="B54">
        <v>22.76</v>
      </c>
      <c r="C54">
        <v>44.75</v>
      </c>
      <c r="D54">
        <v>63.29</v>
      </c>
      <c r="E54">
        <v>30.79</v>
      </c>
      <c r="F54">
        <v>38.89</v>
      </c>
      <c r="G54">
        <v>81.19</v>
      </c>
      <c r="I54">
        <f t="shared" si="5"/>
        <v>2.9864253393665163E-2</v>
      </c>
      <c r="J54">
        <f t="shared" si="0"/>
        <v>2.5435380384967905E-2</v>
      </c>
      <c r="K54">
        <f t="shared" si="1"/>
        <v>2.9775463716238175E-2</v>
      </c>
      <c r="L54">
        <f t="shared" si="2"/>
        <v>-3.4190715181932244E-2</v>
      </c>
      <c r="M54">
        <f t="shared" si="3"/>
        <v>0.12463851937536155</v>
      </c>
      <c r="N54">
        <f t="shared" si="4"/>
        <v>-5.3288246268656803E-2</v>
      </c>
    </row>
    <row r="55" spans="1:14">
      <c r="A55" s="1">
        <v>39995</v>
      </c>
      <c r="B55">
        <v>22.1</v>
      </c>
      <c r="C55">
        <v>43.64</v>
      </c>
      <c r="D55">
        <v>61.46</v>
      </c>
      <c r="E55">
        <v>31.88</v>
      </c>
      <c r="F55">
        <v>34.58</v>
      </c>
      <c r="G55">
        <v>85.76</v>
      </c>
      <c r="I55">
        <f t="shared" si="5"/>
        <v>0.1468604047742606</v>
      </c>
      <c r="J55">
        <f t="shared" si="0"/>
        <v>2.9731005191127841E-2</v>
      </c>
      <c r="K55">
        <f t="shared" si="1"/>
        <v>0.17334860633829702</v>
      </c>
      <c r="L55">
        <f t="shared" si="2"/>
        <v>6.9081153588195804E-2</v>
      </c>
      <c r="M55">
        <f t="shared" si="3"/>
        <v>0.13451443569553798</v>
      </c>
      <c r="N55">
        <f t="shared" si="4"/>
        <v>2.5101601721252791E-2</v>
      </c>
    </row>
    <row r="56" spans="1:14">
      <c r="A56" s="1">
        <v>39965</v>
      </c>
      <c r="B56">
        <v>19.27</v>
      </c>
      <c r="C56">
        <v>42.38</v>
      </c>
      <c r="D56">
        <v>52.38</v>
      </c>
      <c r="E56">
        <v>29.82</v>
      </c>
      <c r="F56">
        <v>30.48</v>
      </c>
      <c r="G56">
        <v>83.66</v>
      </c>
      <c r="I56">
        <f t="shared" si="5"/>
        <v>4.8992923244420172E-2</v>
      </c>
      <c r="J56">
        <f t="shared" si="0"/>
        <v>-2.6194852941176482E-2</v>
      </c>
      <c r="K56">
        <f t="shared" si="1"/>
        <v>5.2652733118971153E-2</v>
      </c>
      <c r="L56">
        <f t="shared" si="2"/>
        <v>-3.7132709073296695E-2</v>
      </c>
      <c r="M56">
        <f t="shared" si="3"/>
        <v>-7.5523202911737905E-2</v>
      </c>
      <c r="N56">
        <f t="shared" si="4"/>
        <v>7.2701628413899239E-2</v>
      </c>
    </row>
    <row r="57" spans="1:14">
      <c r="A57" s="1">
        <v>39934</v>
      </c>
      <c r="B57">
        <v>18.37</v>
      </c>
      <c r="C57">
        <v>43.52</v>
      </c>
      <c r="D57">
        <v>49.76</v>
      </c>
      <c r="E57">
        <v>30.97</v>
      </c>
      <c r="F57">
        <v>32.97</v>
      </c>
      <c r="G57">
        <v>77.989999999999995</v>
      </c>
      <c r="I57">
        <f t="shared" si="5"/>
        <v>7.9318448883666362E-2</v>
      </c>
      <c r="J57">
        <f t="shared" si="0"/>
        <v>-7.7519379844960398E-3</v>
      </c>
      <c r="K57">
        <f t="shared" si="1"/>
        <v>0</v>
      </c>
      <c r="L57">
        <f t="shared" si="2"/>
        <v>3.8216560509554159E-2</v>
      </c>
      <c r="M57">
        <f t="shared" si="3"/>
        <v>0.11800610376398782</v>
      </c>
      <c r="N57">
        <f t="shared" si="4"/>
        <v>-3.1420765027322418E-2</v>
      </c>
    </row>
    <row r="58" spans="1:14">
      <c r="A58" s="1">
        <v>39904</v>
      </c>
      <c r="B58">
        <v>17.02</v>
      </c>
      <c r="C58">
        <v>43.86</v>
      </c>
      <c r="D58">
        <v>49.76</v>
      </c>
      <c r="E58">
        <v>29.83</v>
      </c>
      <c r="F58">
        <v>29.49</v>
      </c>
      <c r="G58">
        <v>80.52</v>
      </c>
      <c r="I58">
        <f t="shared" si="5"/>
        <v>0.1969057665260196</v>
      </c>
      <c r="J58">
        <f t="shared" si="0"/>
        <v>-3.2642258491398408E-2</v>
      </c>
      <c r="K58">
        <f t="shared" si="1"/>
        <v>0.15828677839851019</v>
      </c>
      <c r="L58">
        <f t="shared" si="2"/>
        <v>0.22153972153972137</v>
      </c>
      <c r="M58">
        <f t="shared" si="3"/>
        <v>0.24377899620413315</v>
      </c>
      <c r="N58">
        <f t="shared" si="4"/>
        <v>9.6405228758169911E-2</v>
      </c>
    </row>
    <row r="59" spans="1:14">
      <c r="A59" s="1">
        <v>39874</v>
      </c>
      <c r="B59">
        <v>14.22</v>
      </c>
      <c r="C59">
        <v>45.34</v>
      </c>
      <c r="D59">
        <v>42.96</v>
      </c>
      <c r="E59">
        <v>24.42</v>
      </c>
      <c r="F59">
        <v>23.71</v>
      </c>
      <c r="G59">
        <v>73.44</v>
      </c>
      <c r="I59">
        <f t="shared" si="5"/>
        <v>0.17715231788079475</v>
      </c>
      <c r="J59">
        <f t="shared" si="0"/>
        <v>6.4069467261206381E-2</v>
      </c>
      <c r="K59">
        <f t="shared" si="1"/>
        <v>9.3686354378818726E-2</v>
      </c>
      <c r="L59">
        <f t="shared" si="2"/>
        <v>4.5824411134903646E-2</v>
      </c>
      <c r="M59">
        <f t="shared" si="3"/>
        <v>0.1633954857703632</v>
      </c>
      <c r="N59">
        <f t="shared" si="4"/>
        <v>0.13350825744713676</v>
      </c>
    </row>
    <row r="60" spans="1:14">
      <c r="A60" s="1">
        <v>39846</v>
      </c>
      <c r="B60">
        <v>12.08</v>
      </c>
      <c r="C60">
        <v>42.61</v>
      </c>
      <c r="D60">
        <v>39.28</v>
      </c>
      <c r="E60">
        <v>23.35</v>
      </c>
      <c r="F60">
        <v>20.38</v>
      </c>
      <c r="G60">
        <v>64.790000000000006</v>
      </c>
      <c r="I60">
        <f t="shared" si="5"/>
        <v>-9.0237899917965086E-3</v>
      </c>
      <c r="J60">
        <f t="shared" si="0"/>
        <v>4.5131223939170864E-2</v>
      </c>
      <c r="K60">
        <f t="shared" si="1"/>
        <v>-0.14552969327822488</v>
      </c>
      <c r="L60">
        <f t="shared" si="2"/>
        <v>-8.179315768777029E-2</v>
      </c>
      <c r="M60">
        <f t="shared" si="3"/>
        <v>-0.10417582417582422</v>
      </c>
      <c r="N60">
        <f t="shared" si="4"/>
        <v>0.10149608976538603</v>
      </c>
    </row>
    <row r="61" spans="1:14">
      <c r="A61" s="1">
        <v>39815</v>
      </c>
      <c r="B61">
        <v>12.19</v>
      </c>
      <c r="C61">
        <v>40.770000000000003</v>
      </c>
      <c r="D61">
        <v>45.97</v>
      </c>
      <c r="E61">
        <v>25.43</v>
      </c>
      <c r="F61">
        <v>22.75</v>
      </c>
      <c r="G61">
        <v>58.82</v>
      </c>
      <c r="I61">
        <f t="shared" si="5"/>
        <v>5.54112554112553E-2</v>
      </c>
      <c r="J61">
        <f t="shared" si="0"/>
        <v>-0.15955473098330231</v>
      </c>
      <c r="K61">
        <f t="shared" si="1"/>
        <v>-6.5270435136234262E-2</v>
      </c>
      <c r="L61">
        <f t="shared" si="2"/>
        <v>-8.5580726357425349E-2</v>
      </c>
      <c r="M61">
        <f t="shared" si="3"/>
        <v>-0.18106551475881932</v>
      </c>
      <c r="N61">
        <f t="shared" si="4"/>
        <v>0.14703588143525739</v>
      </c>
    </row>
    <row r="62" spans="1:14">
      <c r="A62" s="1">
        <v>39783</v>
      </c>
      <c r="B62">
        <v>11.55</v>
      </c>
      <c r="C62">
        <v>48.51</v>
      </c>
      <c r="D62">
        <v>49.18</v>
      </c>
      <c r="E62">
        <v>27.81</v>
      </c>
      <c r="F62">
        <v>27.78</v>
      </c>
      <c r="G62">
        <v>51.28</v>
      </c>
      <c r="I62">
        <f t="shared" si="5"/>
        <v>-7.8947368421052516E-2</v>
      </c>
      <c r="J62">
        <f t="shared" si="0"/>
        <v>7.4766355140186798E-3</v>
      </c>
      <c r="K62">
        <f t="shared" si="1"/>
        <v>-0.14020979020979027</v>
      </c>
      <c r="L62">
        <f t="shared" si="2"/>
        <v>0.16897856242118536</v>
      </c>
      <c r="M62">
        <f t="shared" si="3"/>
        <v>-4.3010752688171132E-3</v>
      </c>
      <c r="N62">
        <f t="shared" si="4"/>
        <v>0.20093676814988284</v>
      </c>
    </row>
    <row r="63" spans="1:14">
      <c r="A63" s="1">
        <v>39755</v>
      </c>
      <c r="B63">
        <v>12.54</v>
      </c>
      <c r="C63">
        <v>48.15</v>
      </c>
      <c r="D63">
        <v>57.2</v>
      </c>
      <c r="E63">
        <v>23.79</v>
      </c>
      <c r="F63">
        <v>27.9</v>
      </c>
      <c r="G63">
        <v>42.7</v>
      </c>
      <c r="I63">
        <f t="shared" si="5"/>
        <v>-0.13873626373626383</v>
      </c>
      <c r="J63">
        <f t="shared" si="0"/>
        <v>1.2476606363068239E-3</v>
      </c>
      <c r="K63">
        <f t="shared" si="1"/>
        <v>4.9348743349844154E-2</v>
      </c>
      <c r="L63">
        <f t="shared" si="2"/>
        <v>-7.1065989847715755E-2</v>
      </c>
      <c r="M63">
        <f t="shared" si="3"/>
        <v>-0.23246217331499319</v>
      </c>
      <c r="N63">
        <f t="shared" si="4"/>
        <v>-0.25401816911250868</v>
      </c>
    </row>
    <row r="64" spans="1:14">
      <c r="A64" s="1">
        <v>39722</v>
      </c>
      <c r="B64">
        <v>14.56</v>
      </c>
      <c r="C64">
        <v>48.09</v>
      </c>
      <c r="D64">
        <v>54.51</v>
      </c>
      <c r="E64">
        <v>25.61</v>
      </c>
      <c r="F64">
        <v>36.35</v>
      </c>
      <c r="G64">
        <v>57.24</v>
      </c>
      <c r="I64">
        <f t="shared" si="5"/>
        <v>-5.3315994798439549E-2</v>
      </c>
      <c r="J64">
        <f t="shared" si="0"/>
        <v>-6.8023255813953451E-2</v>
      </c>
      <c r="K64">
        <f t="shared" si="1"/>
        <v>-5.8711794163356909E-2</v>
      </c>
      <c r="L64">
        <f t="shared" si="2"/>
        <v>-0.10454545454545461</v>
      </c>
      <c r="M64">
        <f t="shared" si="3"/>
        <v>-0.10972324271369084</v>
      </c>
      <c r="N64">
        <f t="shared" si="4"/>
        <v>-0.2133040131940627</v>
      </c>
    </row>
    <row r="65" spans="1:14">
      <c r="A65" s="1">
        <v>39693</v>
      </c>
      <c r="B65">
        <v>15.38</v>
      </c>
      <c r="C65">
        <v>51.6</v>
      </c>
      <c r="D65">
        <v>57.91</v>
      </c>
      <c r="E65">
        <v>28.6</v>
      </c>
      <c r="F65">
        <v>40.83</v>
      </c>
      <c r="G65">
        <v>72.760000000000005</v>
      </c>
      <c r="I65">
        <f t="shared" si="5"/>
        <v>-0.3292629742695159</v>
      </c>
      <c r="J65">
        <f t="shared" si="0"/>
        <v>1.3752455795677855E-2</v>
      </c>
      <c r="K65">
        <f t="shared" si="1"/>
        <v>-4.5963756177924316E-2</v>
      </c>
      <c r="L65">
        <f t="shared" si="2"/>
        <v>-8.6261980830670895E-2</v>
      </c>
      <c r="M65">
        <f t="shared" si="3"/>
        <v>0.21301247771836015</v>
      </c>
      <c r="N65">
        <f t="shared" si="4"/>
        <v>-9.9616384110877323E-2</v>
      </c>
    </row>
    <row r="66" spans="1:14">
      <c r="A66" s="1">
        <v>39661</v>
      </c>
      <c r="B66">
        <v>22.93</v>
      </c>
      <c r="C66">
        <v>50.9</v>
      </c>
      <c r="D66">
        <v>60.7</v>
      </c>
      <c r="E66">
        <v>31.3</v>
      </c>
      <c r="F66">
        <v>33.659999999999997</v>
      </c>
      <c r="G66">
        <v>80.81</v>
      </c>
      <c r="I66">
        <f t="shared" si="5"/>
        <v>6.6511627906976734E-2</v>
      </c>
      <c r="J66">
        <f t="shared" ref="J66:J120" si="18">(C66-C67)/C67</f>
        <v>1.1928429423459274E-2</v>
      </c>
      <c r="K66">
        <f t="shared" ref="K66:K120" si="19">(D66-D67)/D67</f>
        <v>2.429969625379691E-2</v>
      </c>
      <c r="L66">
        <f t="shared" ref="L66:L120" si="20">(E66-E67)/E67</f>
        <v>-3.8192234245703689E-3</v>
      </c>
      <c r="M66">
        <f t="shared" ref="M66:M120" si="21">(F66-F67)/F67</f>
        <v>-5.263157894736855E-2</v>
      </c>
      <c r="N66">
        <f t="shared" ref="N66:N120" si="22">(G66-G67)/G67</f>
        <v>5.8553838092742977E-2</v>
      </c>
    </row>
    <row r="67" spans="1:14">
      <c r="A67" s="1">
        <v>39630</v>
      </c>
      <c r="B67">
        <v>21.5</v>
      </c>
      <c r="C67">
        <v>50.3</v>
      </c>
      <c r="D67">
        <v>59.26</v>
      </c>
      <c r="E67">
        <v>31.42</v>
      </c>
      <c r="F67">
        <v>35.53</v>
      </c>
      <c r="G67">
        <v>76.34</v>
      </c>
      <c r="I67">
        <f t="shared" ref="I67:I120" si="23">(B67-B68)/B68</f>
        <v>-5.0772626931567269E-2</v>
      </c>
      <c r="J67">
        <f t="shared" si="18"/>
        <v>4.2919344806137266E-2</v>
      </c>
      <c r="K67">
        <f t="shared" si="19"/>
        <v>1.1608057357459879E-2</v>
      </c>
      <c r="L67">
        <f t="shared" si="20"/>
        <v>2.6126714565643392E-2</v>
      </c>
      <c r="M67">
        <f t="shared" si="21"/>
        <v>0.19750589821368383</v>
      </c>
      <c r="N67">
        <f t="shared" si="22"/>
        <v>4.1047320332742471E-2</v>
      </c>
    </row>
    <row r="68" spans="1:14">
      <c r="A68" s="1">
        <v>39601</v>
      </c>
      <c r="B68">
        <v>22.65</v>
      </c>
      <c r="C68">
        <v>48.23</v>
      </c>
      <c r="D68">
        <v>58.58</v>
      </c>
      <c r="E68">
        <v>30.62</v>
      </c>
      <c r="F68">
        <v>29.67</v>
      </c>
      <c r="G68">
        <v>73.33</v>
      </c>
      <c r="I68">
        <f t="shared" si="23"/>
        <v>-0.11280846063454769</v>
      </c>
      <c r="J68">
        <f t="shared" si="18"/>
        <v>-2.6639757820383459E-2</v>
      </c>
      <c r="K68">
        <f t="shared" si="19"/>
        <v>-0.10277224689845317</v>
      </c>
      <c r="L68">
        <f t="shared" si="20"/>
        <v>-0.11605080831408775</v>
      </c>
      <c r="M68">
        <f t="shared" si="21"/>
        <v>-0.2019903173749327</v>
      </c>
      <c r="N68">
        <f t="shared" si="22"/>
        <v>-0.10156824307767712</v>
      </c>
    </row>
    <row r="69" spans="1:14">
      <c r="A69" s="1">
        <v>39569</v>
      </c>
      <c r="B69">
        <v>25.53</v>
      </c>
      <c r="C69">
        <v>49.55</v>
      </c>
      <c r="D69">
        <v>65.290000000000006</v>
      </c>
      <c r="E69">
        <v>34.64</v>
      </c>
      <c r="F69">
        <v>37.18</v>
      </c>
      <c r="G69">
        <v>81.62</v>
      </c>
      <c r="I69">
        <f t="shared" si="23"/>
        <v>8.4997875053123673E-2</v>
      </c>
      <c r="J69">
        <f t="shared" si="18"/>
        <v>0</v>
      </c>
      <c r="K69">
        <f t="shared" si="19"/>
        <v>1.5080845771144484E-2</v>
      </c>
      <c r="L69">
        <f t="shared" si="20"/>
        <v>-2.3950408565793221E-2</v>
      </c>
      <c r="M69">
        <f t="shared" si="21"/>
        <v>-9.7572815533980659E-2</v>
      </c>
      <c r="N69">
        <f t="shared" si="22"/>
        <v>3.8026198651914145E-2</v>
      </c>
    </row>
    <row r="70" spans="1:14">
      <c r="A70" s="1">
        <v>39539</v>
      </c>
      <c r="B70">
        <v>23.53</v>
      </c>
      <c r="C70">
        <v>49.55</v>
      </c>
      <c r="D70">
        <v>64.319999999999993</v>
      </c>
      <c r="E70">
        <v>35.49</v>
      </c>
      <c r="F70">
        <v>41.2</v>
      </c>
      <c r="G70">
        <v>78.63</v>
      </c>
      <c r="I70">
        <f t="shared" si="23"/>
        <v>0.21226172076249361</v>
      </c>
      <c r="J70">
        <f t="shared" si="18"/>
        <v>0.1006219458018657</v>
      </c>
      <c r="K70">
        <f t="shared" si="19"/>
        <v>-2.8398791540785642E-2</v>
      </c>
      <c r="L70">
        <f t="shared" si="20"/>
        <v>9.7402597402597352E-2</v>
      </c>
      <c r="M70">
        <f t="shared" si="21"/>
        <v>0.11834961997828444</v>
      </c>
      <c r="N70">
        <f t="shared" si="22"/>
        <v>0.10280504908835902</v>
      </c>
    </row>
    <row r="71" spans="1:14">
      <c r="A71" s="1">
        <v>39510</v>
      </c>
      <c r="B71">
        <v>19.41</v>
      </c>
      <c r="C71">
        <v>45.02</v>
      </c>
      <c r="D71">
        <v>66.2</v>
      </c>
      <c r="E71">
        <v>32.340000000000003</v>
      </c>
      <c r="F71">
        <v>36.840000000000003</v>
      </c>
      <c r="G71">
        <v>71.3</v>
      </c>
      <c r="I71">
        <f t="shared" si="23"/>
        <v>0.14784151389710232</v>
      </c>
      <c r="J71">
        <f t="shared" si="18"/>
        <v>6.7330488383120043E-2</v>
      </c>
      <c r="K71">
        <f t="shared" si="19"/>
        <v>9.4541018603233381E-3</v>
      </c>
      <c r="L71">
        <f t="shared" si="20"/>
        <v>8.0160320641282631E-2</v>
      </c>
      <c r="M71">
        <f t="shared" si="21"/>
        <v>5.6495554918268027E-2</v>
      </c>
      <c r="N71">
        <f t="shared" si="22"/>
        <v>0.10594074763455869</v>
      </c>
    </row>
    <row r="72" spans="1:14">
      <c r="A72" s="1">
        <v>39479</v>
      </c>
      <c r="B72">
        <v>16.91</v>
      </c>
      <c r="C72">
        <v>42.18</v>
      </c>
      <c r="D72">
        <v>65.58</v>
      </c>
      <c r="E72">
        <v>29.94</v>
      </c>
      <c r="F72">
        <v>34.869999999999997</v>
      </c>
      <c r="G72">
        <v>64.47</v>
      </c>
      <c r="I72">
        <f t="shared" si="23"/>
        <v>-7.6460950300382233E-2</v>
      </c>
      <c r="J72">
        <f t="shared" si="18"/>
        <v>-2.24797219003476E-2</v>
      </c>
      <c r="K72">
        <f t="shared" si="19"/>
        <v>-9.365558912386775E-3</v>
      </c>
      <c r="L72">
        <f t="shared" si="20"/>
        <v>8.4203435500168396E-3</v>
      </c>
      <c r="M72">
        <f t="shared" si="21"/>
        <v>-0.14240039350713229</v>
      </c>
      <c r="N72">
        <f t="shared" si="22"/>
        <v>-0.17027027027027031</v>
      </c>
    </row>
    <row r="73" spans="1:14">
      <c r="A73" s="1">
        <v>39449</v>
      </c>
      <c r="B73">
        <v>18.309999999999999</v>
      </c>
      <c r="C73">
        <v>43.15</v>
      </c>
      <c r="D73">
        <v>66.2</v>
      </c>
      <c r="E73">
        <v>29.69</v>
      </c>
      <c r="F73">
        <v>40.659999999999997</v>
      </c>
      <c r="G73">
        <v>77.7</v>
      </c>
      <c r="I73">
        <f t="shared" si="23"/>
        <v>-0.31679104477611947</v>
      </c>
      <c r="J73">
        <f t="shared" si="18"/>
        <v>6.7540821375556573E-2</v>
      </c>
      <c r="K73">
        <f t="shared" si="19"/>
        <v>-5.550007133685262E-2</v>
      </c>
      <c r="L73">
        <f t="shared" si="20"/>
        <v>-0.10383338364020528</v>
      </c>
      <c r="M73">
        <f t="shared" si="21"/>
        <v>9.5661546752896717E-2</v>
      </c>
      <c r="N73">
        <f t="shared" si="22"/>
        <v>-0.16126943005181343</v>
      </c>
    </row>
    <row r="74" spans="1:14">
      <c r="A74" s="1">
        <v>39419</v>
      </c>
      <c r="B74">
        <v>26.8</v>
      </c>
      <c r="C74">
        <v>40.42</v>
      </c>
      <c r="D74">
        <v>70.09</v>
      </c>
      <c r="E74">
        <v>33.130000000000003</v>
      </c>
      <c r="F74">
        <v>37.11</v>
      </c>
      <c r="G74">
        <v>92.64</v>
      </c>
      <c r="I74">
        <f t="shared" si="23"/>
        <v>8.7221095334685694E-2</v>
      </c>
      <c r="J74">
        <f t="shared" si="18"/>
        <v>-3.4516765285996192E-3</v>
      </c>
      <c r="K74">
        <f t="shared" si="19"/>
        <v>1.2714925588787888E-2</v>
      </c>
      <c r="L74">
        <f t="shared" si="20"/>
        <v>3.0161691542288746E-2</v>
      </c>
      <c r="M74">
        <f t="shared" si="21"/>
        <v>-4.3310131477184835E-2</v>
      </c>
      <c r="N74">
        <f t="shared" si="22"/>
        <v>2.2968197879858637E-2</v>
      </c>
    </row>
    <row r="75" spans="1:14">
      <c r="A75" s="1">
        <v>39387</v>
      </c>
      <c r="B75">
        <v>24.65</v>
      </c>
      <c r="C75">
        <v>40.56</v>
      </c>
      <c r="D75">
        <v>69.209999999999994</v>
      </c>
      <c r="E75">
        <v>32.159999999999997</v>
      </c>
      <c r="F75">
        <v>38.79</v>
      </c>
      <c r="G75">
        <v>90.56</v>
      </c>
      <c r="I75">
        <f t="shared" si="23"/>
        <v>-4.0856031128404698E-2</v>
      </c>
      <c r="J75">
        <f t="shared" si="18"/>
        <v>5.9561128526645794E-2</v>
      </c>
      <c r="K75">
        <f t="shared" si="19"/>
        <v>-3.0128923766816224E-2</v>
      </c>
      <c r="L75">
        <f t="shared" si="20"/>
        <v>-7.7452667814113682E-2</v>
      </c>
      <c r="M75">
        <f t="shared" si="21"/>
        <v>-2.927927927927932E-2</v>
      </c>
      <c r="N75">
        <f t="shared" si="22"/>
        <v>1.5816040381379657E-2</v>
      </c>
    </row>
    <row r="76" spans="1:14">
      <c r="A76" s="1">
        <v>39356</v>
      </c>
      <c r="B76">
        <v>25.7</v>
      </c>
      <c r="C76">
        <v>38.28</v>
      </c>
      <c r="D76">
        <v>71.36</v>
      </c>
      <c r="E76">
        <v>34.86</v>
      </c>
      <c r="F76">
        <v>39.96</v>
      </c>
      <c r="G76">
        <v>89.15</v>
      </c>
      <c r="I76">
        <f t="shared" si="23"/>
        <v>0.23795761078998059</v>
      </c>
      <c r="J76">
        <f t="shared" si="18"/>
        <v>3.5714285714285719E-2</v>
      </c>
      <c r="K76">
        <f t="shared" si="19"/>
        <v>-7.7201603517392983E-2</v>
      </c>
      <c r="L76">
        <f t="shared" si="20"/>
        <v>0.19506342132327725</v>
      </c>
      <c r="M76">
        <f t="shared" si="21"/>
        <v>3.3893919793014288E-2</v>
      </c>
      <c r="N76">
        <f t="shared" si="22"/>
        <v>-4.2941492216854532E-2</v>
      </c>
    </row>
    <row r="77" spans="1:14">
      <c r="A77" s="1">
        <v>39329</v>
      </c>
      <c r="B77">
        <v>20.76</v>
      </c>
      <c r="C77">
        <v>36.96</v>
      </c>
      <c r="D77">
        <v>77.33</v>
      </c>
      <c r="E77">
        <v>29.17</v>
      </c>
      <c r="F77">
        <v>38.65</v>
      </c>
      <c r="G77">
        <v>93.15</v>
      </c>
      <c r="I77">
        <f t="shared" si="23"/>
        <v>0.10838227442605451</v>
      </c>
      <c r="J77">
        <f t="shared" si="18"/>
        <v>5.4141851651334945E-4</v>
      </c>
      <c r="K77">
        <f t="shared" si="19"/>
        <v>2.8461231546748247E-2</v>
      </c>
      <c r="L77">
        <f t="shared" si="20"/>
        <v>3.4030485643388897E-2</v>
      </c>
      <c r="M77">
        <f t="shared" si="21"/>
        <v>2.9294274300932132E-2</v>
      </c>
      <c r="N77">
        <f t="shared" si="22"/>
        <v>0.16568639719684658</v>
      </c>
    </row>
    <row r="78" spans="1:14">
      <c r="A78" s="1">
        <v>39295</v>
      </c>
      <c r="B78">
        <v>18.73</v>
      </c>
      <c r="C78">
        <v>36.94</v>
      </c>
      <c r="D78">
        <v>75.19</v>
      </c>
      <c r="E78">
        <v>28.21</v>
      </c>
      <c r="F78">
        <v>37.549999999999997</v>
      </c>
      <c r="G78">
        <v>79.91</v>
      </c>
      <c r="I78">
        <f t="shared" si="23"/>
        <v>5.106621773288441E-2</v>
      </c>
      <c r="J78">
        <f t="shared" si="18"/>
        <v>-4.5724618961508735E-2</v>
      </c>
      <c r="K78">
        <f t="shared" si="19"/>
        <v>2.8872468527640933E-2</v>
      </c>
      <c r="L78">
        <f t="shared" si="20"/>
        <v>2.136133236784938E-2</v>
      </c>
      <c r="M78">
        <f t="shared" si="21"/>
        <v>1.1584051724137925E-2</v>
      </c>
      <c r="N78">
        <f t="shared" si="22"/>
        <v>1.7443340972752613E-2</v>
      </c>
    </row>
    <row r="79" spans="1:14">
      <c r="A79" s="1">
        <v>39265</v>
      </c>
      <c r="B79">
        <v>17.82</v>
      </c>
      <c r="C79">
        <v>38.71</v>
      </c>
      <c r="D79">
        <v>73.08</v>
      </c>
      <c r="E79">
        <v>27.62</v>
      </c>
      <c r="F79">
        <v>37.119999999999997</v>
      </c>
      <c r="G79">
        <v>78.540000000000006</v>
      </c>
      <c r="I79">
        <f t="shared" si="23"/>
        <v>7.9345850999394216E-2</v>
      </c>
      <c r="J79">
        <f t="shared" si="18"/>
        <v>-4.4905008635578593E-2</v>
      </c>
      <c r="K79">
        <f t="shared" si="19"/>
        <v>2.4533856722276742E-2</v>
      </c>
      <c r="L79">
        <f t="shared" si="20"/>
        <v>-1.6381766381766288E-2</v>
      </c>
      <c r="M79">
        <f t="shared" si="21"/>
        <v>-8.45869297163995E-2</v>
      </c>
      <c r="N79">
        <f t="shared" si="22"/>
        <v>0.14807776640841996</v>
      </c>
    </row>
    <row r="80" spans="1:14">
      <c r="A80" s="1">
        <v>39234</v>
      </c>
      <c r="B80">
        <v>16.510000000000002</v>
      </c>
      <c r="C80">
        <v>40.53</v>
      </c>
      <c r="D80">
        <v>71.33</v>
      </c>
      <c r="E80">
        <v>28.08</v>
      </c>
      <c r="F80">
        <v>40.549999999999997</v>
      </c>
      <c r="G80">
        <v>68.41</v>
      </c>
      <c r="I80">
        <f t="shared" si="23"/>
        <v>7.3215375228798656E-3</v>
      </c>
      <c r="J80">
        <f t="shared" si="18"/>
        <v>1.0723192019950117E-2</v>
      </c>
      <c r="K80">
        <f t="shared" si="19"/>
        <v>-1.327984506847431E-2</v>
      </c>
      <c r="L80">
        <f t="shared" si="20"/>
        <v>-3.3723331039229199E-2</v>
      </c>
      <c r="M80">
        <f t="shared" si="21"/>
        <v>-6.5237436606731328E-2</v>
      </c>
      <c r="N80">
        <f t="shared" si="22"/>
        <v>-1.0558287532542725E-2</v>
      </c>
    </row>
    <row r="81" spans="1:14">
      <c r="A81" s="1">
        <v>39203</v>
      </c>
      <c r="B81">
        <v>16.39</v>
      </c>
      <c r="C81">
        <v>40.1</v>
      </c>
      <c r="D81">
        <v>72.290000000000006</v>
      </c>
      <c r="E81">
        <v>29.06</v>
      </c>
      <c r="F81">
        <v>43.38</v>
      </c>
      <c r="G81">
        <v>69.14</v>
      </c>
      <c r="I81">
        <f t="shared" si="23"/>
        <v>0.21407407407407411</v>
      </c>
      <c r="J81">
        <f t="shared" si="18"/>
        <v>-1.9910403185664084E-3</v>
      </c>
      <c r="K81">
        <f t="shared" si="19"/>
        <v>6.8746303962152658E-2</v>
      </c>
      <c r="L81">
        <f t="shared" si="20"/>
        <v>9.4538606403013106E-2</v>
      </c>
      <c r="M81">
        <f t="shared" si="21"/>
        <v>-5.0458715596330009E-3</v>
      </c>
      <c r="N81">
        <f t="shared" si="22"/>
        <v>0.12734387738464051</v>
      </c>
    </row>
    <row r="82" spans="1:14">
      <c r="A82" s="1">
        <v>39174</v>
      </c>
      <c r="B82">
        <v>13.5</v>
      </c>
      <c r="C82">
        <v>40.18</v>
      </c>
      <c r="D82">
        <v>67.64</v>
      </c>
      <c r="E82">
        <v>26.55</v>
      </c>
      <c r="F82">
        <v>43.6</v>
      </c>
      <c r="G82">
        <v>61.33</v>
      </c>
      <c r="I82">
        <f t="shared" si="23"/>
        <v>7.3985680190930769E-2</v>
      </c>
      <c r="J82">
        <f t="shared" si="18"/>
        <v>2.0574041148082357E-2</v>
      </c>
      <c r="K82">
        <f t="shared" si="19"/>
        <v>8.29330771693884E-2</v>
      </c>
      <c r="L82">
        <f t="shared" si="20"/>
        <v>7.0996369503832257E-2</v>
      </c>
      <c r="M82">
        <f t="shared" si="21"/>
        <v>8.4577114427860658E-2</v>
      </c>
      <c r="N82">
        <f t="shared" si="22"/>
        <v>0.54134204574013567</v>
      </c>
    </row>
    <row r="83" spans="1:14">
      <c r="A83" s="1">
        <v>39142</v>
      </c>
      <c r="B83">
        <v>12.57</v>
      </c>
      <c r="C83">
        <v>39.369999999999997</v>
      </c>
      <c r="D83">
        <v>62.46</v>
      </c>
      <c r="E83">
        <v>24.79</v>
      </c>
      <c r="F83">
        <v>40.200000000000003</v>
      </c>
      <c r="G83">
        <v>39.79</v>
      </c>
      <c r="I83">
        <f t="shared" si="23"/>
        <v>9.781659388646298E-2</v>
      </c>
      <c r="J83">
        <f t="shared" si="18"/>
        <v>-2.3561507936508005E-2</v>
      </c>
      <c r="K83">
        <f t="shared" si="19"/>
        <v>3.1714568880079314E-2</v>
      </c>
      <c r="L83">
        <f t="shared" si="20"/>
        <v>2.4262029923169722E-3</v>
      </c>
      <c r="M83">
        <f t="shared" si="21"/>
        <v>-2.0467836257309854E-2</v>
      </c>
      <c r="N83">
        <f t="shared" si="22"/>
        <v>1.6607051609606505E-2</v>
      </c>
    </row>
    <row r="84" spans="1:14">
      <c r="A84" s="1">
        <v>39114</v>
      </c>
      <c r="B84">
        <v>11.45</v>
      </c>
      <c r="C84">
        <v>40.32</v>
      </c>
      <c r="D84">
        <v>60.54</v>
      </c>
      <c r="E84">
        <v>24.73</v>
      </c>
      <c r="F84">
        <v>41.04</v>
      </c>
      <c r="G84">
        <v>39.14</v>
      </c>
      <c r="I84">
        <f t="shared" si="23"/>
        <v>-1.2931034482758652E-2</v>
      </c>
      <c r="J84">
        <f t="shared" si="18"/>
        <v>1.3065326633165909E-2</v>
      </c>
      <c r="K84">
        <f t="shared" si="19"/>
        <v>3.3145508783559118E-3</v>
      </c>
      <c r="L84">
        <f t="shared" si="20"/>
        <v>-3.4738485558157707E-2</v>
      </c>
      <c r="M84">
        <f t="shared" si="21"/>
        <v>-3.0245746691871481E-2</v>
      </c>
      <c r="N84">
        <f t="shared" si="22"/>
        <v>3.9023095301300735E-2</v>
      </c>
    </row>
    <row r="85" spans="1:14">
      <c r="A85" s="1">
        <v>39085</v>
      </c>
      <c r="B85">
        <v>11.6</v>
      </c>
      <c r="C85">
        <v>39.799999999999997</v>
      </c>
      <c r="D85">
        <v>60.34</v>
      </c>
      <c r="E85">
        <v>25.62</v>
      </c>
      <c r="F85">
        <v>42.32</v>
      </c>
      <c r="G85">
        <v>37.67</v>
      </c>
      <c r="I85">
        <f t="shared" si="23"/>
        <v>1.0452961672473799E-2</v>
      </c>
      <c r="J85">
        <f t="shared" si="18"/>
        <v>3.2693305656460767E-2</v>
      </c>
      <c r="K85">
        <f t="shared" si="19"/>
        <v>-4.6610838995101843E-2</v>
      </c>
      <c r="L85">
        <f t="shared" si="20"/>
        <v>2.3162939297124676E-2</v>
      </c>
      <c r="M85">
        <f t="shared" si="21"/>
        <v>6.1982434127979893E-2</v>
      </c>
      <c r="N85">
        <f t="shared" si="22"/>
        <v>-4.5362392295995924E-2</v>
      </c>
    </row>
    <row r="86" spans="1:14">
      <c r="A86" s="1">
        <v>39052</v>
      </c>
      <c r="B86">
        <v>11.48</v>
      </c>
      <c r="C86">
        <v>38.54</v>
      </c>
      <c r="D86">
        <v>63.29</v>
      </c>
      <c r="E86">
        <v>25.04</v>
      </c>
      <c r="F86">
        <v>39.85</v>
      </c>
      <c r="G86">
        <v>39.46</v>
      </c>
      <c r="I86">
        <f t="shared" si="23"/>
        <v>-7.4193548387096769E-2</v>
      </c>
      <c r="J86">
        <f t="shared" si="18"/>
        <v>5.4787372815027621E-3</v>
      </c>
      <c r="K86">
        <f t="shared" si="19"/>
        <v>-4.3379685610640831E-2</v>
      </c>
      <c r="L86">
        <f t="shared" si="20"/>
        <v>-3.8771593090211193E-2</v>
      </c>
      <c r="M86">
        <f t="shared" si="21"/>
        <v>4.3466876145587953E-2</v>
      </c>
      <c r="N86">
        <f t="shared" si="22"/>
        <v>-2.1814576103123512E-2</v>
      </c>
    </row>
    <row r="87" spans="1:14">
      <c r="A87" s="1">
        <v>39022</v>
      </c>
      <c r="B87">
        <v>12.4</v>
      </c>
      <c r="C87">
        <v>38.33</v>
      </c>
      <c r="D87">
        <v>66.16</v>
      </c>
      <c r="E87">
        <v>26.05</v>
      </c>
      <c r="F87">
        <v>38.19</v>
      </c>
      <c r="G87">
        <v>40.340000000000003</v>
      </c>
      <c r="I87">
        <f t="shared" si="23"/>
        <v>0.13035551504102094</v>
      </c>
      <c r="J87">
        <f t="shared" si="18"/>
        <v>-6.4437393214547251E-2</v>
      </c>
      <c r="K87">
        <f t="shared" si="19"/>
        <v>3.9107900109941807E-2</v>
      </c>
      <c r="L87">
        <f t="shared" si="20"/>
        <v>2.8830963665086903E-2</v>
      </c>
      <c r="M87">
        <f t="shared" si="21"/>
        <v>-2.4271844660194247E-2</v>
      </c>
      <c r="N87">
        <f t="shared" si="22"/>
        <v>5.9070622210553946E-2</v>
      </c>
    </row>
    <row r="88" spans="1:14">
      <c r="A88" s="1">
        <v>38992</v>
      </c>
      <c r="B88">
        <v>10.97</v>
      </c>
      <c r="C88">
        <v>40.97</v>
      </c>
      <c r="D88">
        <v>63.67</v>
      </c>
      <c r="E88">
        <v>25.32</v>
      </c>
      <c r="F88">
        <v>39.14</v>
      </c>
      <c r="G88">
        <v>38.090000000000003</v>
      </c>
      <c r="I88">
        <f t="shared" si="23"/>
        <v>5.3794428434197933E-2</v>
      </c>
      <c r="J88">
        <f t="shared" si="18"/>
        <v>-9.7537186052180317E-4</v>
      </c>
      <c r="K88">
        <f t="shared" si="19"/>
        <v>5.9400998336106493E-2</v>
      </c>
      <c r="L88">
        <f t="shared" si="20"/>
        <v>0.14570135746606327</v>
      </c>
      <c r="M88">
        <f t="shared" si="21"/>
        <v>1.7416168442942598E-2</v>
      </c>
      <c r="N88">
        <f t="shared" si="22"/>
        <v>0.18586550435865523</v>
      </c>
    </row>
    <row r="89" spans="1:14">
      <c r="A89" s="1">
        <v>38961</v>
      </c>
      <c r="B89">
        <v>10.41</v>
      </c>
      <c r="C89">
        <v>41.01</v>
      </c>
      <c r="D89">
        <v>60.1</v>
      </c>
      <c r="E89">
        <v>22.1</v>
      </c>
      <c r="F89">
        <v>38.47</v>
      </c>
      <c r="G89">
        <v>32.119999999999997</v>
      </c>
      <c r="I89">
        <f t="shared" si="23"/>
        <v>0.13398692810457521</v>
      </c>
      <c r="J89">
        <f t="shared" si="18"/>
        <v>0.10301237224314143</v>
      </c>
      <c r="K89">
        <f t="shared" si="19"/>
        <v>3.7996545768566543E-2</v>
      </c>
      <c r="L89">
        <f t="shared" si="20"/>
        <v>6.5060240963855487E-2</v>
      </c>
      <c r="M89">
        <f t="shared" si="21"/>
        <v>2.8334669874365205E-2</v>
      </c>
      <c r="N89">
        <f t="shared" si="22"/>
        <v>4.1842361336360663E-2</v>
      </c>
    </row>
    <row r="90" spans="1:14">
      <c r="A90" s="1">
        <v>38930</v>
      </c>
      <c r="B90">
        <v>9.18</v>
      </c>
      <c r="C90">
        <v>37.18</v>
      </c>
      <c r="D90">
        <v>57.9</v>
      </c>
      <c r="E90">
        <v>20.75</v>
      </c>
      <c r="F90">
        <v>37.409999999999997</v>
      </c>
      <c r="G90">
        <v>30.83</v>
      </c>
      <c r="I90">
        <f t="shared" si="23"/>
        <v>-1.0881392818280508E-3</v>
      </c>
      <c r="J90">
        <f t="shared" si="18"/>
        <v>8.6814975583288188E-3</v>
      </c>
      <c r="K90">
        <f t="shared" si="19"/>
        <v>2.5141643059490116E-2</v>
      </c>
      <c r="L90">
        <f t="shared" si="20"/>
        <v>8.5818942961800135E-2</v>
      </c>
      <c r="M90">
        <f t="shared" si="21"/>
        <v>1.0703773080010476E-3</v>
      </c>
      <c r="N90">
        <f t="shared" si="22"/>
        <v>0.14652287095574554</v>
      </c>
    </row>
    <row r="91" spans="1:14">
      <c r="A91" s="1">
        <v>38901</v>
      </c>
      <c r="B91">
        <v>9.19</v>
      </c>
      <c r="C91">
        <v>36.86</v>
      </c>
      <c r="D91">
        <v>56.48</v>
      </c>
      <c r="E91">
        <v>19.11</v>
      </c>
      <c r="F91">
        <v>37.369999999999997</v>
      </c>
      <c r="G91">
        <v>26.89</v>
      </c>
      <c r="I91">
        <f t="shared" si="23"/>
        <v>0.18580645161290316</v>
      </c>
      <c r="J91">
        <f t="shared" si="18"/>
        <v>-7.619047619047617E-2</v>
      </c>
      <c r="K91">
        <f t="shared" si="19"/>
        <v>-0.12839506172839507</v>
      </c>
      <c r="L91">
        <f t="shared" si="20"/>
        <v>-0.1019736842105264</v>
      </c>
      <c r="M91">
        <f t="shared" si="21"/>
        <v>9.4931145619689267E-2</v>
      </c>
      <c r="N91">
        <f t="shared" si="22"/>
        <v>-0.30480868665977245</v>
      </c>
    </row>
    <row r="92" spans="1:14">
      <c r="A92" s="1">
        <v>38869</v>
      </c>
      <c r="B92">
        <v>7.75</v>
      </c>
      <c r="C92">
        <v>39.9</v>
      </c>
      <c r="D92">
        <v>64.8</v>
      </c>
      <c r="E92">
        <v>21.28</v>
      </c>
      <c r="F92">
        <v>34.130000000000003</v>
      </c>
      <c r="G92">
        <v>38.68</v>
      </c>
      <c r="I92">
        <f t="shared" si="23"/>
        <v>-4.2027194066749055E-2</v>
      </c>
      <c r="J92">
        <f t="shared" si="18"/>
        <v>-5.7313730376278085E-3</v>
      </c>
      <c r="K92">
        <f t="shared" si="19"/>
        <v>-3.4564958283671142E-2</v>
      </c>
      <c r="L92">
        <f t="shared" si="20"/>
        <v>-2.8116213683223395E-3</v>
      </c>
      <c r="M92">
        <f t="shared" si="21"/>
        <v>-1.5007215007214893E-2</v>
      </c>
      <c r="N92">
        <f t="shared" si="22"/>
        <v>0.11759607049985554</v>
      </c>
    </row>
    <row r="93" spans="1:14">
      <c r="A93" s="1">
        <v>38838</v>
      </c>
      <c r="B93">
        <v>8.09</v>
      </c>
      <c r="C93">
        <v>40.130000000000003</v>
      </c>
      <c r="D93">
        <v>67.12</v>
      </c>
      <c r="E93">
        <v>21.34</v>
      </c>
      <c r="F93">
        <v>34.65</v>
      </c>
      <c r="G93">
        <v>34.61</v>
      </c>
      <c r="I93">
        <f t="shared" si="23"/>
        <v>-0.15021008403361341</v>
      </c>
      <c r="J93">
        <f t="shared" si="18"/>
        <v>7.9634113532418643E-2</v>
      </c>
      <c r="K93">
        <f t="shared" si="19"/>
        <v>-1.5547081255500179E-2</v>
      </c>
      <c r="L93">
        <f t="shared" si="20"/>
        <v>-2.4680073126142558E-2</v>
      </c>
      <c r="M93">
        <f t="shared" si="21"/>
        <v>-6.0466377440347177E-2</v>
      </c>
      <c r="N93">
        <f t="shared" si="22"/>
        <v>-1.7040613462084676E-2</v>
      </c>
    </row>
    <row r="94" spans="1:14">
      <c r="A94" s="1">
        <v>38810</v>
      </c>
      <c r="B94">
        <v>9.52</v>
      </c>
      <c r="C94">
        <v>37.17</v>
      </c>
      <c r="D94">
        <v>68.180000000000007</v>
      </c>
      <c r="E94">
        <v>21.88</v>
      </c>
      <c r="F94">
        <v>36.880000000000003</v>
      </c>
      <c r="G94">
        <v>35.21</v>
      </c>
      <c r="I94">
        <f t="shared" si="23"/>
        <v>0.12264150943396215</v>
      </c>
      <c r="J94">
        <f t="shared" si="18"/>
        <v>-4.6678635547576307E-2</v>
      </c>
      <c r="K94">
        <f t="shared" si="19"/>
        <v>0.12862108922363866</v>
      </c>
      <c r="L94">
        <f t="shared" si="20"/>
        <v>6.0591371788657297E-2</v>
      </c>
      <c r="M94">
        <f t="shared" si="21"/>
        <v>9.8927294398092974E-2</v>
      </c>
      <c r="N94">
        <f t="shared" si="22"/>
        <v>-3.6134683821516571E-2</v>
      </c>
    </row>
    <row r="95" spans="1:14">
      <c r="A95" s="1">
        <v>38777</v>
      </c>
      <c r="B95">
        <v>8.48</v>
      </c>
      <c r="C95">
        <v>38.99</v>
      </c>
      <c r="D95">
        <v>60.41</v>
      </c>
      <c r="E95">
        <v>20.63</v>
      </c>
      <c r="F95">
        <v>33.56</v>
      </c>
      <c r="G95">
        <v>36.53</v>
      </c>
      <c r="I95">
        <f t="shared" si="23"/>
        <v>-8.5221143473570571E-2</v>
      </c>
      <c r="J95">
        <f t="shared" si="18"/>
        <v>4.5308310991957236E-2</v>
      </c>
      <c r="K95">
        <f t="shared" si="19"/>
        <v>2.8605482717520853E-2</v>
      </c>
      <c r="L95">
        <f t="shared" si="20"/>
        <v>2.4329692154915511E-2</v>
      </c>
      <c r="M95">
        <f t="shared" si="21"/>
        <v>1.2062726176115975E-2</v>
      </c>
      <c r="N95">
        <f t="shared" si="22"/>
        <v>-2.4305555555555466E-2</v>
      </c>
    </row>
    <row r="96" spans="1:14">
      <c r="A96" s="1">
        <v>38749</v>
      </c>
      <c r="B96">
        <v>9.27</v>
      </c>
      <c r="C96">
        <v>37.299999999999997</v>
      </c>
      <c r="D96">
        <v>58.73</v>
      </c>
      <c r="E96">
        <v>20.14</v>
      </c>
      <c r="F96">
        <v>33.159999999999997</v>
      </c>
      <c r="G96">
        <v>37.44</v>
      </c>
      <c r="I96">
        <f t="shared" si="23"/>
        <v>-9.295499021526428E-2</v>
      </c>
      <c r="J96">
        <f t="shared" si="18"/>
        <v>-1.6350210970464255E-2</v>
      </c>
      <c r="K96">
        <f t="shared" si="19"/>
        <v>1.802738776217714E-2</v>
      </c>
      <c r="L96">
        <f t="shared" si="20"/>
        <v>-3.5902345619913831E-2</v>
      </c>
      <c r="M96">
        <f t="shared" si="21"/>
        <v>3.4956304619225886E-2</v>
      </c>
      <c r="N96">
        <f t="shared" si="22"/>
        <v>-0.16465863453815266</v>
      </c>
    </row>
    <row r="97" spans="1:14">
      <c r="A97" s="1">
        <v>38720</v>
      </c>
      <c r="B97">
        <v>10.220000000000001</v>
      </c>
      <c r="C97">
        <v>37.92</v>
      </c>
      <c r="D97">
        <v>57.69</v>
      </c>
      <c r="E97">
        <v>20.89</v>
      </c>
      <c r="F97">
        <v>32.04</v>
      </c>
      <c r="G97">
        <v>44.82</v>
      </c>
      <c r="I97">
        <f t="shared" si="23"/>
        <v>5.0359712230215847E-2</v>
      </c>
      <c r="J97">
        <f t="shared" si="18"/>
        <v>-1.4809041309431028E-2</v>
      </c>
      <c r="K97">
        <f t="shared" si="19"/>
        <v>-6.1340709404490774E-2</v>
      </c>
      <c r="L97">
        <f t="shared" si="20"/>
        <v>5.7721518987341798E-2</v>
      </c>
      <c r="M97">
        <f t="shared" si="21"/>
        <v>1.0088272383354359E-2</v>
      </c>
      <c r="N97">
        <f t="shared" si="22"/>
        <v>-4.9416755037115553E-2</v>
      </c>
    </row>
    <row r="98" spans="1:14">
      <c r="A98" s="1">
        <v>38687</v>
      </c>
      <c r="B98">
        <v>9.73</v>
      </c>
      <c r="C98">
        <v>38.49</v>
      </c>
      <c r="D98">
        <v>61.46</v>
      </c>
      <c r="E98">
        <v>19.75</v>
      </c>
      <c r="F98">
        <v>31.72</v>
      </c>
      <c r="G98">
        <v>47.15</v>
      </c>
      <c r="I98">
        <f t="shared" si="23"/>
        <v>6.1068702290076389E-2</v>
      </c>
      <c r="J98">
        <f t="shared" si="18"/>
        <v>-3.3157498116051246E-2</v>
      </c>
      <c r="K98">
        <f t="shared" si="19"/>
        <v>-1.2532133676092563E-2</v>
      </c>
      <c r="L98">
        <f t="shared" si="20"/>
        <v>-3.9396887159533017E-2</v>
      </c>
      <c r="M98">
        <f t="shared" si="21"/>
        <v>3.7618580307490955E-2</v>
      </c>
      <c r="N98">
        <f t="shared" si="22"/>
        <v>-2.7032604209657494E-2</v>
      </c>
    </row>
    <row r="99" spans="1:14">
      <c r="A99" s="1">
        <v>38657</v>
      </c>
      <c r="B99">
        <v>9.17</v>
      </c>
      <c r="C99">
        <v>39.81</v>
      </c>
      <c r="D99">
        <v>62.24</v>
      </c>
      <c r="E99">
        <v>20.56</v>
      </c>
      <c r="F99">
        <v>30.57</v>
      </c>
      <c r="G99">
        <v>48.46</v>
      </c>
      <c r="I99">
        <f t="shared" si="23"/>
        <v>0.17715019255455711</v>
      </c>
      <c r="J99">
        <f t="shared" si="18"/>
        <v>2.6295436968290876E-2</v>
      </c>
      <c r="K99">
        <f t="shared" si="19"/>
        <v>3.8371705038371777E-2</v>
      </c>
      <c r="L99">
        <f t="shared" si="20"/>
        <v>-4.0597293513765793E-2</v>
      </c>
      <c r="M99">
        <f t="shared" si="21"/>
        <v>4.4414075845575697E-2</v>
      </c>
      <c r="N99">
        <f t="shared" si="22"/>
        <v>0.2157551430005018</v>
      </c>
    </row>
    <row r="100" spans="1:14">
      <c r="A100" s="1">
        <v>38628</v>
      </c>
      <c r="B100">
        <v>7.79</v>
      </c>
      <c r="C100">
        <v>38.79</v>
      </c>
      <c r="D100">
        <v>59.94</v>
      </c>
      <c r="E100">
        <v>21.43</v>
      </c>
      <c r="F100">
        <v>29.27</v>
      </c>
      <c r="G100">
        <v>39.86</v>
      </c>
      <c r="I100">
        <f t="shared" si="23"/>
        <v>7.4482758620689662E-2</v>
      </c>
      <c r="J100">
        <f t="shared" si="18"/>
        <v>7.9599220706930124E-2</v>
      </c>
      <c r="K100">
        <f t="shared" si="19"/>
        <v>3.5769828926905139E-2</v>
      </c>
      <c r="L100">
        <f t="shared" si="20"/>
        <v>5.3071253071252981E-2</v>
      </c>
      <c r="M100">
        <f t="shared" si="21"/>
        <v>9.0130353817504588E-2</v>
      </c>
      <c r="N100">
        <f t="shared" si="22"/>
        <v>-0.12008830022075051</v>
      </c>
    </row>
    <row r="101" spans="1:14">
      <c r="A101" s="1">
        <v>38596</v>
      </c>
      <c r="B101">
        <v>7.25</v>
      </c>
      <c r="C101">
        <v>35.93</v>
      </c>
      <c r="D101">
        <v>57.87</v>
      </c>
      <c r="E101">
        <v>20.350000000000001</v>
      </c>
      <c r="F101">
        <v>26.85</v>
      </c>
      <c r="G101">
        <v>45.3</v>
      </c>
      <c r="I101">
        <f t="shared" si="23"/>
        <v>0.14353312302839119</v>
      </c>
      <c r="J101">
        <f t="shared" si="18"/>
        <v>-2.5230602278893101E-2</v>
      </c>
      <c r="K101">
        <f t="shared" si="19"/>
        <v>3.0999465526456348E-2</v>
      </c>
      <c r="L101">
        <f t="shared" si="20"/>
        <v>2.1586345381526088E-2</v>
      </c>
      <c r="M101">
        <f t="shared" si="21"/>
        <v>1.1185682326622349E-3</v>
      </c>
      <c r="N101">
        <f t="shared" si="22"/>
        <v>6.0889929742388618E-2</v>
      </c>
    </row>
    <row r="102" spans="1:14">
      <c r="A102" s="1">
        <v>38565</v>
      </c>
      <c r="B102">
        <v>6.34</v>
      </c>
      <c r="C102">
        <v>36.86</v>
      </c>
      <c r="D102">
        <v>56.13</v>
      </c>
      <c r="E102">
        <v>19.920000000000002</v>
      </c>
      <c r="F102">
        <v>26.82</v>
      </c>
      <c r="G102">
        <v>42.7</v>
      </c>
      <c r="I102">
        <f t="shared" si="23"/>
        <v>9.8786828422877004E-2</v>
      </c>
      <c r="J102">
        <f t="shared" si="18"/>
        <v>-8.6040168608975925E-2</v>
      </c>
      <c r="K102">
        <f t="shared" si="19"/>
        <v>-4.5732743964637841E-2</v>
      </c>
      <c r="L102">
        <f t="shared" si="20"/>
        <v>-9.4956837800999533E-2</v>
      </c>
      <c r="M102">
        <f t="shared" si="21"/>
        <v>-3.5251798561151092E-2</v>
      </c>
      <c r="N102">
        <f t="shared" si="22"/>
        <v>-5.4263565891472777E-2</v>
      </c>
    </row>
    <row r="103" spans="1:14">
      <c r="A103" s="1">
        <v>38534</v>
      </c>
      <c r="B103">
        <v>5.77</v>
      </c>
      <c r="C103">
        <v>40.33</v>
      </c>
      <c r="D103">
        <v>58.82</v>
      </c>
      <c r="E103">
        <v>22.01</v>
      </c>
      <c r="F103">
        <v>27.8</v>
      </c>
      <c r="G103">
        <v>45.15</v>
      </c>
      <c r="I103">
        <f t="shared" si="23"/>
        <v>0.15863453815261025</v>
      </c>
      <c r="J103">
        <f t="shared" si="18"/>
        <v>2.3863924854023805E-2</v>
      </c>
      <c r="K103">
        <f t="shared" si="19"/>
        <v>3.738977072310401E-2</v>
      </c>
      <c r="L103">
        <f t="shared" si="20"/>
        <v>7.783882783882862E-3</v>
      </c>
      <c r="M103">
        <f t="shared" si="21"/>
        <v>4.3352601156069724E-3</v>
      </c>
      <c r="N103">
        <f t="shared" si="22"/>
        <v>0.36446056210335431</v>
      </c>
    </row>
    <row r="104" spans="1:14">
      <c r="A104" s="1">
        <v>38504</v>
      </c>
      <c r="B104">
        <v>4.9800000000000004</v>
      </c>
      <c r="C104">
        <v>39.39</v>
      </c>
      <c r="D104">
        <v>56.7</v>
      </c>
      <c r="E104">
        <v>21.84</v>
      </c>
      <c r="F104">
        <v>27.68</v>
      </c>
      <c r="G104">
        <v>33.090000000000003</v>
      </c>
      <c r="I104">
        <f t="shared" si="23"/>
        <v>-7.4349442379182062E-2</v>
      </c>
      <c r="J104">
        <f t="shared" si="18"/>
        <v>2.0466321243523294E-2</v>
      </c>
      <c r="K104">
        <f t="shared" si="19"/>
        <v>-5.6729329562468754E-2</v>
      </c>
      <c r="L104">
        <f t="shared" si="20"/>
        <v>1.5341701534170074E-2</v>
      </c>
      <c r="M104">
        <f t="shared" si="21"/>
        <v>-1.2134189864382579E-2</v>
      </c>
      <c r="N104">
        <f t="shared" si="22"/>
        <v>-6.8149816952970843E-2</v>
      </c>
    </row>
    <row r="105" spans="1:14">
      <c r="A105" s="1">
        <v>38474</v>
      </c>
      <c r="B105">
        <v>5.38</v>
      </c>
      <c r="C105">
        <v>38.6</v>
      </c>
      <c r="D105">
        <v>60.11</v>
      </c>
      <c r="E105">
        <v>21.51</v>
      </c>
      <c r="F105">
        <v>28.02</v>
      </c>
      <c r="G105">
        <v>35.51</v>
      </c>
      <c r="I105">
        <f t="shared" si="23"/>
        <v>0.10245901639344263</v>
      </c>
      <c r="J105">
        <f t="shared" si="18"/>
        <v>4.9466284821662286E-3</v>
      </c>
      <c r="K105">
        <f t="shared" si="19"/>
        <v>7.8806170355465947E-3</v>
      </c>
      <c r="L105">
        <f t="shared" si="20"/>
        <v>9.1878172588832602E-2</v>
      </c>
      <c r="M105">
        <f t="shared" si="21"/>
        <v>7.5512405609493303E-3</v>
      </c>
      <c r="N105">
        <f t="shared" si="22"/>
        <v>9.7342398022249643E-2</v>
      </c>
    </row>
    <row r="106" spans="1:14">
      <c r="A106" s="1">
        <v>38443</v>
      </c>
      <c r="B106">
        <v>4.88</v>
      </c>
      <c r="C106">
        <v>38.409999999999997</v>
      </c>
      <c r="D106">
        <v>59.64</v>
      </c>
      <c r="E106">
        <v>19.7</v>
      </c>
      <c r="F106">
        <v>27.81</v>
      </c>
      <c r="G106">
        <v>32.36</v>
      </c>
      <c r="I106">
        <f t="shared" si="23"/>
        <v>-0.13475177304964536</v>
      </c>
      <c r="J106">
        <f t="shared" si="18"/>
        <v>-5.9039686428221549E-2</v>
      </c>
      <c r="K106">
        <f t="shared" si="19"/>
        <v>-0.10758641328744573</v>
      </c>
      <c r="L106">
        <f t="shared" si="20"/>
        <v>-9.1747349008759888E-2</v>
      </c>
      <c r="M106">
        <f t="shared" si="21"/>
        <v>3.6140089418777901E-2</v>
      </c>
      <c r="N106">
        <f t="shared" si="22"/>
        <v>-5.5733878027429344E-2</v>
      </c>
    </row>
    <row r="107" spans="1:14">
      <c r="A107" s="1">
        <v>38412</v>
      </c>
      <c r="B107">
        <v>5.64</v>
      </c>
      <c r="C107">
        <v>40.82</v>
      </c>
      <c r="D107">
        <v>66.83</v>
      </c>
      <c r="E107">
        <v>21.69</v>
      </c>
      <c r="F107">
        <v>26.84</v>
      </c>
      <c r="G107">
        <v>34.270000000000003</v>
      </c>
      <c r="I107">
        <f t="shared" si="23"/>
        <v>-7.0840197693575052E-2</v>
      </c>
      <c r="J107">
        <f t="shared" si="18"/>
        <v>-2.6240458015267209E-2</v>
      </c>
      <c r="K107">
        <f t="shared" si="19"/>
        <v>2.0772873071635854E-2</v>
      </c>
      <c r="L107">
        <f t="shared" si="20"/>
        <v>6.2193927522037194E-2</v>
      </c>
      <c r="M107">
        <f t="shared" si="21"/>
        <v>-5.3596614950634683E-2</v>
      </c>
      <c r="N107">
        <f t="shared" si="22"/>
        <v>-2.5866969869243792E-2</v>
      </c>
    </row>
    <row r="108" spans="1:14">
      <c r="A108" s="1">
        <v>38384</v>
      </c>
      <c r="B108">
        <v>6.07</v>
      </c>
      <c r="C108">
        <v>41.92</v>
      </c>
      <c r="D108">
        <v>65.47</v>
      </c>
      <c r="E108">
        <v>20.420000000000002</v>
      </c>
      <c r="F108">
        <v>28.36</v>
      </c>
      <c r="G108">
        <v>35.18</v>
      </c>
      <c r="I108">
        <f t="shared" si="23"/>
        <v>0.16730769230769232</v>
      </c>
      <c r="J108">
        <f t="shared" si="18"/>
        <v>-1.5268968757340818E-2</v>
      </c>
      <c r="K108">
        <f t="shared" si="19"/>
        <v>0</v>
      </c>
      <c r="L108">
        <f t="shared" si="20"/>
        <v>5.2577319587629033E-2</v>
      </c>
      <c r="M108">
        <f t="shared" si="21"/>
        <v>-2.0718232044198943E-2</v>
      </c>
      <c r="N108">
        <f t="shared" si="22"/>
        <v>-0.18602498843128179</v>
      </c>
    </row>
    <row r="109" spans="1:14">
      <c r="A109" s="1">
        <v>38355</v>
      </c>
      <c r="B109">
        <v>5.2</v>
      </c>
      <c r="C109">
        <v>42.57</v>
      </c>
      <c r="D109">
        <v>65.47</v>
      </c>
      <c r="E109">
        <v>19.399999999999999</v>
      </c>
      <c r="F109">
        <v>28.96</v>
      </c>
      <c r="G109">
        <v>43.22</v>
      </c>
      <c r="I109">
        <f t="shared" si="23"/>
        <v>0.19266055045871555</v>
      </c>
      <c r="J109">
        <f t="shared" si="18"/>
        <v>-7.9235609415053906E-3</v>
      </c>
      <c r="K109">
        <f t="shared" si="19"/>
        <v>2.7947872507458019E-2</v>
      </c>
      <c r="L109">
        <f t="shared" si="20"/>
        <v>-1.5728056823947349E-2</v>
      </c>
      <c r="M109">
        <f t="shared" si="21"/>
        <v>-3.4666666666666637E-2</v>
      </c>
      <c r="N109">
        <f t="shared" si="22"/>
        <v>-2.4158952359449093E-2</v>
      </c>
    </row>
    <row r="110" spans="1:14">
      <c r="A110" s="1">
        <v>38322</v>
      </c>
      <c r="B110">
        <v>4.3600000000000003</v>
      </c>
      <c r="C110">
        <v>42.91</v>
      </c>
      <c r="D110">
        <v>63.69</v>
      </c>
      <c r="E110">
        <v>19.71</v>
      </c>
      <c r="F110">
        <v>30</v>
      </c>
      <c r="G110">
        <v>44.29</v>
      </c>
      <c r="I110">
        <f t="shared" si="23"/>
        <v>-3.9647577092510954E-2</v>
      </c>
      <c r="J110">
        <f t="shared" si="18"/>
        <v>1.7065655368570725E-2</v>
      </c>
      <c r="K110">
        <f t="shared" si="19"/>
        <v>3.1083050024283545E-2</v>
      </c>
      <c r="L110">
        <f t="shared" si="20"/>
        <v>3.9556962025316451E-2</v>
      </c>
      <c r="M110">
        <f t="shared" si="21"/>
        <v>3.5911602209944722E-2</v>
      </c>
      <c r="N110">
        <f t="shared" si="22"/>
        <v>0.11617943548387095</v>
      </c>
    </row>
    <row r="111" spans="1:14">
      <c r="A111" s="1">
        <v>38292</v>
      </c>
      <c r="B111">
        <v>4.54</v>
      </c>
      <c r="C111">
        <v>42.19</v>
      </c>
      <c r="D111">
        <v>61.77</v>
      </c>
      <c r="E111">
        <v>18.96</v>
      </c>
      <c r="F111">
        <v>28.96</v>
      </c>
      <c r="G111">
        <v>39.68</v>
      </c>
      <c r="I111">
        <f t="shared" si="23"/>
        <v>0.2824858757062147</v>
      </c>
      <c r="J111">
        <f t="shared" si="18"/>
        <v>-3.4332799267566952E-2</v>
      </c>
      <c r="K111">
        <f t="shared" si="19"/>
        <v>3.0702486233939653E-2</v>
      </c>
      <c r="L111">
        <f t="shared" si="20"/>
        <v>4.3478260869565168E-2</v>
      </c>
      <c r="M111">
        <f t="shared" si="21"/>
        <v>-2.4587403166049189E-2</v>
      </c>
      <c r="N111">
        <f t="shared" si="22"/>
        <v>0.16261353647817159</v>
      </c>
    </row>
    <row r="112" spans="1:14">
      <c r="A112" s="1">
        <v>38261</v>
      </c>
      <c r="B112">
        <v>3.54</v>
      </c>
      <c r="C112">
        <v>43.69</v>
      </c>
      <c r="D112">
        <v>59.93</v>
      </c>
      <c r="E112">
        <v>18.170000000000002</v>
      </c>
      <c r="F112">
        <v>29.69</v>
      </c>
      <c r="G112">
        <v>34.130000000000003</v>
      </c>
      <c r="I112">
        <f t="shared" si="23"/>
        <v>0.35114503816793891</v>
      </c>
      <c r="J112">
        <f t="shared" si="18"/>
        <v>1.3453954998840136E-2</v>
      </c>
      <c r="K112">
        <f t="shared" si="19"/>
        <v>-3.0101958245670812E-2</v>
      </c>
      <c r="L112">
        <f t="shared" si="20"/>
        <v>7.2609208972845354E-2</v>
      </c>
      <c r="M112">
        <f t="shared" si="21"/>
        <v>-2.0132013201320114E-2</v>
      </c>
      <c r="N112">
        <f t="shared" si="22"/>
        <v>-0.16470876162506112</v>
      </c>
    </row>
    <row r="113" spans="1:14">
      <c r="A113" s="1">
        <v>38231</v>
      </c>
      <c r="B113">
        <v>2.62</v>
      </c>
      <c r="C113">
        <v>43.11</v>
      </c>
      <c r="D113">
        <v>61.79</v>
      </c>
      <c r="E113">
        <v>16.940000000000001</v>
      </c>
      <c r="F113">
        <v>30.3</v>
      </c>
      <c r="G113">
        <v>40.86</v>
      </c>
      <c r="I113">
        <f t="shared" si="23"/>
        <v>0.12446351931330474</v>
      </c>
      <c r="J113">
        <f t="shared" si="18"/>
        <v>1.0074976569821923E-2</v>
      </c>
      <c r="K113">
        <f t="shared" si="19"/>
        <v>-2.891717743202897E-2</v>
      </c>
      <c r="L113">
        <f t="shared" si="20"/>
        <v>2.3564954682779488E-2</v>
      </c>
      <c r="M113">
        <f t="shared" si="21"/>
        <v>3.643590592911541E-3</v>
      </c>
      <c r="N113">
        <f t="shared" si="22"/>
        <v>7.1316203460933369E-2</v>
      </c>
    </row>
    <row r="114" spans="1:14">
      <c r="A114" s="1">
        <v>38201</v>
      </c>
      <c r="B114">
        <v>2.33</v>
      </c>
      <c r="C114">
        <v>42.68</v>
      </c>
      <c r="D114">
        <v>63.63</v>
      </c>
      <c r="E114">
        <v>16.55</v>
      </c>
      <c r="F114">
        <v>30.19</v>
      </c>
      <c r="G114">
        <v>38.14</v>
      </c>
      <c r="I114">
        <f t="shared" si="23"/>
        <v>6.3926940639269458E-2</v>
      </c>
      <c r="J114">
        <f t="shared" si="18"/>
        <v>-3.9673278879813695E-3</v>
      </c>
      <c r="K114">
        <f t="shared" si="19"/>
        <v>4.5784654246921238E-3</v>
      </c>
      <c r="L114">
        <f t="shared" si="20"/>
        <v>3.4375000000000044E-2</v>
      </c>
      <c r="M114">
        <f t="shared" si="21"/>
        <v>6.0414471373375571E-2</v>
      </c>
      <c r="N114">
        <f t="shared" si="22"/>
        <v>-2.0041109969167553E-2</v>
      </c>
    </row>
    <row r="115" spans="1:14">
      <c r="A115" s="1">
        <v>38169</v>
      </c>
      <c r="B115">
        <v>2.19</v>
      </c>
      <c r="C115">
        <v>42.85</v>
      </c>
      <c r="D115">
        <v>63.34</v>
      </c>
      <c r="E115">
        <v>16</v>
      </c>
      <c r="F115">
        <v>28.47</v>
      </c>
      <c r="G115">
        <v>38.92</v>
      </c>
      <c r="I115">
        <f t="shared" si="23"/>
        <v>-4.5454545454546502E-3</v>
      </c>
      <c r="J115">
        <f t="shared" si="18"/>
        <v>9.6606974552310015E-3</v>
      </c>
      <c r="K115">
        <f t="shared" si="19"/>
        <v>-8.5078723096923298E-2</v>
      </c>
      <c r="L115">
        <f t="shared" si="20"/>
        <v>3.4259857789269509E-2</v>
      </c>
      <c r="M115">
        <f t="shared" si="21"/>
        <v>-2.8659160696008185E-2</v>
      </c>
      <c r="N115">
        <f t="shared" si="22"/>
        <v>-0.2845588235294117</v>
      </c>
    </row>
    <row r="116" spans="1:14">
      <c r="A116" s="1">
        <v>38139</v>
      </c>
      <c r="B116">
        <v>2.2000000000000002</v>
      </c>
      <c r="C116">
        <v>42.44</v>
      </c>
      <c r="D116">
        <v>69.23</v>
      </c>
      <c r="E116">
        <v>15.47</v>
      </c>
      <c r="F116">
        <v>29.31</v>
      </c>
      <c r="G116">
        <v>54.4</v>
      </c>
      <c r="I116">
        <f t="shared" si="23"/>
        <v>0.15789473684210542</v>
      </c>
      <c r="J116">
        <f t="shared" si="18"/>
        <v>-5.7935627081021082E-2</v>
      </c>
      <c r="K116">
        <f t="shared" si="19"/>
        <v>6.442189421894215E-2</v>
      </c>
      <c r="L116">
        <f t="shared" si="20"/>
        <v>-7.0603337612323127E-3</v>
      </c>
      <c r="M116">
        <f t="shared" si="21"/>
        <v>5.2423698384200974E-2</v>
      </c>
      <c r="N116">
        <f t="shared" si="22"/>
        <v>0.12164948453608244</v>
      </c>
    </row>
    <row r="117" spans="1:14">
      <c r="A117" s="1">
        <v>38110</v>
      </c>
      <c r="B117">
        <v>1.9</v>
      </c>
      <c r="C117">
        <v>45.05</v>
      </c>
      <c r="D117">
        <v>65.040000000000006</v>
      </c>
      <c r="E117">
        <v>15.58</v>
      </c>
      <c r="F117">
        <v>27.85</v>
      </c>
      <c r="G117">
        <v>48.5</v>
      </c>
      <c r="I117">
        <f t="shared" si="23"/>
        <v>9.1954022988505704E-2</v>
      </c>
      <c r="J117">
        <f t="shared" si="18"/>
        <v>-2.0013051990428576E-2</v>
      </c>
      <c r="K117">
        <f t="shared" si="19"/>
        <v>-1.7819389912413056E-2</v>
      </c>
      <c r="L117">
        <f t="shared" si="20"/>
        <v>-3.3498759305210971E-2</v>
      </c>
      <c r="M117">
        <f t="shared" si="21"/>
        <v>-2.0056298381421544E-2</v>
      </c>
      <c r="N117">
        <f t="shared" si="22"/>
        <v>0.1123853211009174</v>
      </c>
    </row>
    <row r="118" spans="1:14">
      <c r="A118" s="1">
        <v>38078</v>
      </c>
      <c r="B118">
        <v>1.74</v>
      </c>
      <c r="C118">
        <v>45.97</v>
      </c>
      <c r="D118">
        <v>66.22</v>
      </c>
      <c r="E118">
        <v>16.12</v>
      </c>
      <c r="F118">
        <v>28.42</v>
      </c>
      <c r="G118">
        <v>43.6</v>
      </c>
      <c r="I118">
        <f t="shared" si="23"/>
        <v>-4.91803278688525E-2</v>
      </c>
      <c r="J118">
        <f t="shared" si="18"/>
        <v>-4.5076859160781087E-2</v>
      </c>
      <c r="K118">
        <f t="shared" si="19"/>
        <v>5.6308821183601872E-2</v>
      </c>
      <c r="L118">
        <f t="shared" si="20"/>
        <v>2.0899303356554901E-2</v>
      </c>
      <c r="M118">
        <f t="shared" si="21"/>
        <v>-9.6630642085187513E-2</v>
      </c>
      <c r="N118">
        <f t="shared" si="22"/>
        <v>7.3937153419593405E-3</v>
      </c>
    </row>
    <row r="119" spans="1:14">
      <c r="A119" s="1">
        <v>38047</v>
      </c>
      <c r="B119">
        <v>1.83</v>
      </c>
      <c r="C119">
        <v>48.14</v>
      </c>
      <c r="D119">
        <v>62.69</v>
      </c>
      <c r="E119">
        <v>15.79</v>
      </c>
      <c r="F119">
        <v>31.46</v>
      </c>
      <c r="G119">
        <v>43.28</v>
      </c>
      <c r="I119">
        <f t="shared" si="23"/>
        <v>0.12962962962962959</v>
      </c>
      <c r="J119">
        <f t="shared" si="18"/>
        <v>4.3813895263926737E-3</v>
      </c>
      <c r="K119">
        <f t="shared" si="19"/>
        <v>4.9205020920502052E-2</v>
      </c>
      <c r="L119">
        <f t="shared" si="20"/>
        <v>2.5990903183885548E-2</v>
      </c>
      <c r="M119">
        <f t="shared" si="21"/>
        <v>2.2756827048114409E-2</v>
      </c>
      <c r="N119">
        <f t="shared" si="22"/>
        <v>6.2776098581725911E-3</v>
      </c>
    </row>
    <row r="120" spans="1:14">
      <c r="A120" s="1">
        <v>38019</v>
      </c>
      <c r="B120">
        <v>1.62</v>
      </c>
      <c r="C120">
        <v>47.93</v>
      </c>
      <c r="D120">
        <v>59.75</v>
      </c>
      <c r="E120">
        <v>15.39</v>
      </c>
      <c r="F120">
        <v>30.76</v>
      </c>
      <c r="G120">
        <v>43.01</v>
      </c>
      <c r="I120">
        <f t="shared" si="23"/>
        <v>5.8823529411764754E-2</v>
      </c>
      <c r="J120">
        <f t="shared" si="18"/>
        <v>0.10616201246249715</v>
      </c>
      <c r="K120">
        <f t="shared" si="19"/>
        <v>-8.9567092386797012E-3</v>
      </c>
      <c r="L120">
        <f t="shared" si="20"/>
        <v>9.2264017033357043E-2</v>
      </c>
      <c r="M120">
        <f t="shared" si="21"/>
        <v>5.4869684499314175E-2</v>
      </c>
      <c r="N120">
        <f t="shared" si="22"/>
        <v>-0.14662698412698413</v>
      </c>
    </row>
    <row r="121" spans="1:14">
      <c r="A121" s="1">
        <v>37988</v>
      </c>
      <c r="B121">
        <v>1.53</v>
      </c>
      <c r="C121">
        <v>43.33</v>
      </c>
      <c r="D121">
        <v>60.29</v>
      </c>
      <c r="E121">
        <v>14.09</v>
      </c>
      <c r="F121">
        <v>29.16</v>
      </c>
      <c r="G121">
        <v>50.4</v>
      </c>
    </row>
  </sheetData>
  <mergeCells count="29">
    <mergeCell ref="X16:Y16"/>
    <mergeCell ref="Q26:R26"/>
    <mergeCell ref="P29:Q29"/>
    <mergeCell ref="P30:Q30"/>
    <mergeCell ref="P31:Q31"/>
    <mergeCell ref="X11:Y11"/>
    <mergeCell ref="X12:Y12"/>
    <mergeCell ref="X13:Y13"/>
    <mergeCell ref="X14:Y14"/>
    <mergeCell ref="X15:Y15"/>
    <mergeCell ref="Z31:AA31"/>
    <mergeCell ref="X17:Y17"/>
    <mergeCell ref="X26:Y26"/>
    <mergeCell ref="X27:Y27"/>
    <mergeCell ref="Z29:AA29"/>
    <mergeCell ref="Z30:AA30"/>
    <mergeCell ref="Z39:AA39"/>
    <mergeCell ref="Z40:AA40"/>
    <mergeCell ref="Z41:AA41"/>
    <mergeCell ref="P41:Q41"/>
    <mergeCell ref="P34:Q34"/>
    <mergeCell ref="Z34:AA34"/>
    <mergeCell ref="Z35:AA35"/>
    <mergeCell ref="Z36:AA36"/>
    <mergeCell ref="P36:Q36"/>
    <mergeCell ref="P38:Q38"/>
    <mergeCell ref="P39:Q39"/>
    <mergeCell ref="P40:Q40"/>
    <mergeCell ref="P35:Q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1"/>
  <sheetViews>
    <sheetView topLeftCell="Q7" workbookViewId="0">
      <selection activeCell="AD21" sqref="AD21"/>
    </sheetView>
  </sheetViews>
  <sheetFormatPr defaultRowHeight="15"/>
  <cols>
    <col min="1" max="1" width="12.5703125" customWidth="1"/>
    <col min="17" max="17" width="12.42578125" customWidth="1"/>
    <col min="18" max="18" width="12.85546875" customWidth="1"/>
    <col min="19" max="19" width="14.7109375" customWidth="1"/>
    <col min="20" max="20" width="12.28515625" customWidth="1"/>
    <col min="21" max="21" width="12.140625" customWidth="1"/>
    <col min="22" max="22" width="11.5703125" customWidth="1"/>
    <col min="23" max="23" width="11.7109375" customWidth="1"/>
    <col min="26" max="26" width="11.85546875" customWidth="1"/>
    <col min="27" max="27" width="15" customWidth="1"/>
    <col min="28" max="28" width="16.7109375" customWidth="1"/>
    <col min="29" max="30" width="13.140625" customWidth="1"/>
    <col min="31" max="31" width="11.7109375" customWidth="1"/>
    <col min="32" max="32" width="12.85546875" customWidth="1"/>
  </cols>
  <sheetData>
    <row r="1" spans="1:136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1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</v>
      </c>
      <c r="N1" t="s">
        <v>36</v>
      </c>
      <c r="Q1" t="s">
        <v>32</v>
      </c>
      <c r="R1">
        <v>8.8688946015423875E-3</v>
      </c>
      <c r="S1">
        <v>7.0004125979920284E-2</v>
      </c>
      <c r="T1">
        <v>9.6351025331724988E-2</v>
      </c>
      <c r="U1">
        <v>-2.1395897889921838E-2</v>
      </c>
      <c r="V1">
        <v>8.3799776107468332E-2</v>
      </c>
      <c r="W1">
        <v>0.14105839416058402</v>
      </c>
      <c r="X1">
        <v>-0.11826226870474661</v>
      </c>
      <c r="Y1">
        <v>2.2540309312273733E-2</v>
      </c>
      <c r="Z1">
        <v>1.6455487905213116E-4</v>
      </c>
      <c r="AA1">
        <v>2.8052805280528335E-3</v>
      </c>
      <c r="AB1">
        <v>-2.5253337622647583E-2</v>
      </c>
      <c r="AC1">
        <v>-0.14401762357152684</v>
      </c>
      <c r="AD1">
        <v>-9.0761141712568855E-2</v>
      </c>
      <c r="AE1">
        <v>-1.2363996043521267E-2</v>
      </c>
      <c r="AF1">
        <v>-0.10758027143330023</v>
      </c>
      <c r="AG1">
        <v>2.7660986944014164E-3</v>
      </c>
      <c r="AH1">
        <v>9.3791601113397072E-2</v>
      </c>
      <c r="AI1">
        <v>4.5816985191747754E-2</v>
      </c>
      <c r="AJ1">
        <v>1.0875127942681789E-2</v>
      </c>
      <c r="AK1">
        <v>-1.0632911392405107E-2</v>
      </c>
      <c r="AL1">
        <v>-2.601405498705461E-2</v>
      </c>
      <c r="AM1">
        <v>0.1053420550558736</v>
      </c>
      <c r="AN1">
        <v>0.18834008097165986</v>
      </c>
      <c r="AO1">
        <v>0.12703048001460121</v>
      </c>
      <c r="AP1">
        <v>5.956294720556949E-2</v>
      </c>
      <c r="AQ1">
        <v>-5.5697589481373218E-2</v>
      </c>
      <c r="AR1">
        <v>6.1446016669897158E-2</v>
      </c>
      <c r="AS1">
        <v>-9.0280445639646344E-3</v>
      </c>
      <c r="AT1">
        <v>-1.4575052053757261E-2</v>
      </c>
      <c r="AU1">
        <v>0.16340013212948695</v>
      </c>
      <c r="AV1">
        <v>-3.5061623459413632E-2</v>
      </c>
      <c r="AW1">
        <v>-6.5442263035675576E-3</v>
      </c>
      <c r="AX1">
        <v>4.665959703075268E-3</v>
      </c>
      <c r="AY1">
        <v>-1.3185433235663511E-2</v>
      </c>
      <c r="AZ1">
        <v>4.0958605664488078E-2</v>
      </c>
      <c r="BA1">
        <v>5.1787351054078778E-2</v>
      </c>
      <c r="BB1">
        <v>3.68258493703967E-2</v>
      </c>
      <c r="BC1">
        <v>3.3644400785854726E-2</v>
      </c>
      <c r="BD1">
        <v>6.0692888773117952E-2</v>
      </c>
      <c r="BE1">
        <v>0.16722408026755853</v>
      </c>
      <c r="BF1">
        <v>-5.4885057471264272E-2</v>
      </c>
      <c r="BG1">
        <v>2.2627093740816808E-2</v>
      </c>
      <c r="BH1">
        <v>-2.0719424460431624E-2</v>
      </c>
      <c r="BI1">
        <v>-1.6138165345413371E-2</v>
      </c>
      <c r="BJ1">
        <v>0.11104120792702112</v>
      </c>
      <c r="BK1">
        <v>0.14848265895953755</v>
      </c>
      <c r="BL1">
        <v>6.5434949961508823E-2</v>
      </c>
      <c r="BM1">
        <v>-8.8740792704314314E-2</v>
      </c>
      <c r="BN1">
        <v>5.4363905325443877E-2</v>
      </c>
      <c r="BO1">
        <v>6.0392156862745065E-2</v>
      </c>
      <c r="BP1">
        <v>1.7151974471479845E-2</v>
      </c>
      <c r="BQ1">
        <v>0.10149384885764492</v>
      </c>
      <c r="BR1">
        <v>2.9864253393665163E-2</v>
      </c>
      <c r="BS1">
        <v>0.1468604047742606</v>
      </c>
      <c r="BT1">
        <v>4.8992923244420172E-2</v>
      </c>
      <c r="BU1">
        <v>7.9318448883666362E-2</v>
      </c>
      <c r="BV1">
        <v>0.1969057665260196</v>
      </c>
      <c r="BW1">
        <v>0.17715231788079475</v>
      </c>
      <c r="BX1">
        <v>-9.0237899917965086E-3</v>
      </c>
      <c r="BY1">
        <v>5.54112554112553E-2</v>
      </c>
      <c r="BZ1">
        <v>-7.8947368421052516E-2</v>
      </c>
      <c r="CA1">
        <v>-0.13873626373626383</v>
      </c>
      <c r="CB1">
        <v>-5.3315994798439549E-2</v>
      </c>
      <c r="CC1">
        <v>-0.3292629742695159</v>
      </c>
      <c r="CD1">
        <v>6.6511627906976734E-2</v>
      </c>
      <c r="CE1">
        <v>-5.0772626931567269E-2</v>
      </c>
      <c r="CF1">
        <v>-0.11280846063454769</v>
      </c>
      <c r="CG1">
        <v>8.4997875053123673E-2</v>
      </c>
      <c r="CH1">
        <v>0.21226172076249361</v>
      </c>
      <c r="CI1">
        <v>0.14784151389710232</v>
      </c>
      <c r="CJ1">
        <v>-7.6460950300382233E-2</v>
      </c>
      <c r="CK1">
        <v>-0.31679104477611947</v>
      </c>
      <c r="CL1">
        <v>8.7221095334685694E-2</v>
      </c>
      <c r="CM1">
        <v>-4.0856031128404698E-2</v>
      </c>
      <c r="CN1">
        <v>0.23795761078998059</v>
      </c>
      <c r="CO1">
        <v>0.10838227442605451</v>
      </c>
      <c r="CP1">
        <v>5.106621773288441E-2</v>
      </c>
      <c r="CQ1">
        <v>7.9345850999394216E-2</v>
      </c>
      <c r="CR1">
        <v>7.3215375228798656E-3</v>
      </c>
      <c r="CS1">
        <v>0.21407407407407411</v>
      </c>
      <c r="CT1">
        <v>7.3985680190930769E-2</v>
      </c>
      <c r="CU1">
        <v>9.781659388646298E-2</v>
      </c>
      <c r="CV1">
        <v>-1.2931034482758652E-2</v>
      </c>
      <c r="CW1">
        <v>1.0452961672473799E-2</v>
      </c>
      <c r="CX1">
        <v>-7.4193548387096769E-2</v>
      </c>
      <c r="CY1">
        <v>0.13035551504102094</v>
      </c>
      <c r="CZ1">
        <v>5.3794428434197933E-2</v>
      </c>
      <c r="DA1">
        <v>0.13398692810457521</v>
      </c>
      <c r="DB1">
        <v>-1.0881392818280508E-3</v>
      </c>
      <c r="DC1">
        <v>0.18580645161290316</v>
      </c>
      <c r="DD1">
        <v>-4.2027194066749055E-2</v>
      </c>
      <c r="DE1">
        <v>-0.15021008403361341</v>
      </c>
      <c r="DF1">
        <v>0.12264150943396215</v>
      </c>
      <c r="DG1">
        <v>-8.5221143473570571E-2</v>
      </c>
      <c r="DH1">
        <v>-9.295499021526428E-2</v>
      </c>
      <c r="DI1">
        <v>5.0359712230215847E-2</v>
      </c>
      <c r="DJ1">
        <v>6.1068702290076389E-2</v>
      </c>
      <c r="DK1">
        <v>0.17715019255455711</v>
      </c>
      <c r="DL1">
        <v>7.4482758620689662E-2</v>
      </c>
      <c r="DM1">
        <v>0.14353312302839119</v>
      </c>
      <c r="DN1">
        <v>9.8786828422877004E-2</v>
      </c>
      <c r="DO1">
        <v>0.15863453815261025</v>
      </c>
      <c r="DP1">
        <v>-7.4349442379182062E-2</v>
      </c>
      <c r="DQ1">
        <v>0.10245901639344263</v>
      </c>
      <c r="DR1">
        <v>-0.13475177304964536</v>
      </c>
      <c r="DS1">
        <v>-7.0840197693575052E-2</v>
      </c>
      <c r="DT1">
        <v>0.16730769230769232</v>
      </c>
      <c r="DU1">
        <v>0.19266055045871555</v>
      </c>
      <c r="DV1">
        <v>-3.9647577092510954E-2</v>
      </c>
      <c r="DW1">
        <v>0.2824858757062147</v>
      </c>
      <c r="DX1">
        <v>0.35114503816793891</v>
      </c>
      <c r="DY1">
        <v>0.12446351931330474</v>
      </c>
      <c r="DZ1">
        <v>6.3926940639269458E-2</v>
      </c>
      <c r="EA1">
        <v>-4.5454545454546502E-3</v>
      </c>
      <c r="EB1">
        <v>0.15789473684210542</v>
      </c>
      <c r="EC1">
        <v>9.1954022988505704E-2</v>
      </c>
      <c r="ED1">
        <v>-4.91803278688525E-2</v>
      </c>
      <c r="EE1">
        <v>0.12962962962962959</v>
      </c>
      <c r="EF1">
        <v>5.8823529411764754E-2</v>
      </c>
    </row>
    <row r="2" spans="1:136">
      <c r="A2" s="1">
        <v>41610</v>
      </c>
      <c r="B2">
        <v>78.489999999999995</v>
      </c>
      <c r="C2">
        <v>76.77</v>
      </c>
      <c r="D2">
        <v>136.93</v>
      </c>
      <c r="E2">
        <v>74.08</v>
      </c>
      <c r="F2">
        <v>56.95</v>
      </c>
      <c r="G2">
        <v>398.79</v>
      </c>
      <c r="I2">
        <f>(B2-B3)/B3</f>
        <v>8.8688946015423875E-3</v>
      </c>
      <c r="J2">
        <f>(C2-C3)/C3</f>
        <v>-2.2909507445589887E-2</v>
      </c>
      <c r="K2">
        <f t="shared" ref="J2:N52" si="0">(D2-D3)/D3</f>
        <v>5.0479478327579694E-2</v>
      </c>
      <c r="L2">
        <f t="shared" si="0"/>
        <v>-2.6544021024967099E-2</v>
      </c>
      <c r="M2">
        <f t="shared" si="0"/>
        <v>2.2074659009332448E-2</v>
      </c>
      <c r="N2">
        <f t="shared" si="0"/>
        <v>1.3134495198414755E-2</v>
      </c>
      <c r="Q2" t="s">
        <v>33</v>
      </c>
      <c r="R2">
        <v>-2.2909507445589887E-2</v>
      </c>
      <c r="S2">
        <v>5.5480924234282587E-2</v>
      </c>
      <c r="T2">
        <v>3.7635907443546182E-2</v>
      </c>
      <c r="U2">
        <v>1.3563153433173124E-2</v>
      </c>
      <c r="V2">
        <v>-5.8025019962736214E-2</v>
      </c>
      <c r="W2">
        <v>4.6372371535997749E-2</v>
      </c>
      <c r="X2">
        <v>-4.7124047124047592E-3</v>
      </c>
      <c r="Y2">
        <v>-3.1283566058002123E-2</v>
      </c>
      <c r="Z2">
        <v>3.8627806442616236E-2</v>
      </c>
      <c r="AA2">
        <v>6.4104466538061927E-2</v>
      </c>
      <c r="AB2">
        <v>1.1861861861861956E-2</v>
      </c>
      <c r="AC2">
        <v>2.5088502385716416E-2</v>
      </c>
      <c r="AD2">
        <v>-4.7360703812316773E-2</v>
      </c>
      <c r="AE2">
        <v>-3.997747747747752E-2</v>
      </c>
      <c r="AF2">
        <v>1.6599885518031064E-2</v>
      </c>
      <c r="AG2">
        <v>1.6436363636363572E-2</v>
      </c>
      <c r="AH2">
        <v>-1.9258202567760264E-2</v>
      </c>
      <c r="AI2">
        <v>6.7621078282059058E-2</v>
      </c>
      <c r="AJ2">
        <v>5.9203097273753745E-2</v>
      </c>
      <c r="AK2">
        <v>0.12484122663763388</v>
      </c>
      <c r="AL2">
        <v>-3.7379912663755469E-2</v>
      </c>
      <c r="AM2">
        <v>4.2805100182149391E-2</v>
      </c>
      <c r="AN2">
        <v>-3.7179936864258231E-2</v>
      </c>
      <c r="AO2">
        <v>2.6832342877723788E-2</v>
      </c>
      <c r="AP2">
        <v>2.0959735245449543E-2</v>
      </c>
      <c r="AQ2">
        <v>3.8373424971363077E-2</v>
      </c>
      <c r="AR2">
        <v>9.2843730440225383E-2</v>
      </c>
      <c r="AS2">
        <v>-2.4226384364820802E-2</v>
      </c>
      <c r="AT2">
        <v>1.6345954893440911E-2</v>
      </c>
      <c r="AU2">
        <v>-8.0049261083743953E-3</v>
      </c>
      <c r="AV2">
        <v>-3.7724669168477255E-2</v>
      </c>
      <c r="AW2">
        <v>1.098242811501606E-2</v>
      </c>
      <c r="AX2">
        <v>5.6317232651339422E-2</v>
      </c>
      <c r="AY2">
        <v>8.2943428328369519E-3</v>
      </c>
      <c r="AZ2">
        <v>-7.2766712679944737E-2</v>
      </c>
      <c r="BA2">
        <v>3.9565395653956531E-2</v>
      </c>
      <c r="BB2">
        <v>2.6721479958890558E-3</v>
      </c>
      <c r="BC2">
        <v>-1.6416991586291462E-3</v>
      </c>
      <c r="BD2">
        <v>1.225592023265468E-2</v>
      </c>
      <c r="BE2">
        <v>6.7405764966740556E-2</v>
      </c>
      <c r="BF2">
        <v>-1.4853647881170811E-2</v>
      </c>
      <c r="BG2">
        <v>6.4898813677599421E-2</v>
      </c>
      <c r="BH2">
        <v>-4.931446262715606E-2</v>
      </c>
      <c r="BI2">
        <v>-5.1792828685258946E-2</v>
      </c>
      <c r="BJ2">
        <v>-3.5396440129449841E-2</v>
      </c>
      <c r="BK2">
        <v>3.4093285923446882E-2</v>
      </c>
      <c r="BL2">
        <v>1.2066045723962748E-2</v>
      </c>
      <c r="BM2">
        <v>-4.2319085907735975E-4</v>
      </c>
      <c r="BN2">
        <v>-1.5211502396332651E-2</v>
      </c>
      <c r="BO2">
        <v>9.8169336384439337E-2</v>
      </c>
      <c r="BP2">
        <v>1.2042612320518831E-2</v>
      </c>
      <c r="BQ2">
        <v>-3.5083798882681573E-2</v>
      </c>
      <c r="BR2">
        <v>2.5435380384967905E-2</v>
      </c>
      <c r="BS2">
        <v>2.9731005191127841E-2</v>
      </c>
      <c r="BT2">
        <v>-2.6194852941176482E-2</v>
      </c>
      <c r="BU2">
        <v>-7.7519379844960398E-3</v>
      </c>
      <c r="BV2">
        <v>-3.2642258491398408E-2</v>
      </c>
      <c r="BW2">
        <v>6.4069467261206381E-2</v>
      </c>
      <c r="BX2">
        <v>4.5131223939170864E-2</v>
      </c>
      <c r="BY2">
        <v>-0.15955473098330231</v>
      </c>
      <c r="BZ2">
        <v>7.4766355140186798E-3</v>
      </c>
      <c r="CA2">
        <v>1.2476606363068239E-3</v>
      </c>
      <c r="CB2">
        <v>-6.8023255813953451E-2</v>
      </c>
      <c r="CC2">
        <v>1.3752455795677855E-2</v>
      </c>
      <c r="CD2">
        <v>1.1928429423459274E-2</v>
      </c>
      <c r="CE2">
        <v>4.2919344806137266E-2</v>
      </c>
      <c r="CF2">
        <v>-2.6639757820383459E-2</v>
      </c>
      <c r="CG2">
        <v>0</v>
      </c>
      <c r="CH2">
        <v>0.1006219458018657</v>
      </c>
      <c r="CI2">
        <v>6.7330488383120043E-2</v>
      </c>
      <c r="CJ2">
        <v>-2.24797219003476E-2</v>
      </c>
      <c r="CK2">
        <v>6.7540821375556573E-2</v>
      </c>
      <c r="CL2">
        <v>-3.4516765285996192E-3</v>
      </c>
      <c r="CM2">
        <v>5.9561128526645794E-2</v>
      </c>
      <c r="CN2">
        <v>3.5714285714285719E-2</v>
      </c>
      <c r="CO2">
        <v>5.4141851651334945E-4</v>
      </c>
      <c r="CP2">
        <v>-4.5724618961508735E-2</v>
      </c>
      <c r="CQ2">
        <v>-4.4905008635578593E-2</v>
      </c>
      <c r="CR2">
        <v>1.0723192019950117E-2</v>
      </c>
      <c r="CS2">
        <v>-1.9910403185664084E-3</v>
      </c>
      <c r="CT2">
        <v>2.0574041148082357E-2</v>
      </c>
      <c r="CU2">
        <v>-2.3561507936508005E-2</v>
      </c>
      <c r="CV2">
        <v>1.3065326633165909E-2</v>
      </c>
      <c r="CW2">
        <v>3.2693305656460767E-2</v>
      </c>
      <c r="CX2">
        <v>5.4787372815027621E-3</v>
      </c>
      <c r="CY2">
        <v>-6.4437393214547251E-2</v>
      </c>
      <c r="CZ2">
        <v>-9.7537186052180317E-4</v>
      </c>
      <c r="DA2">
        <v>0.10301237224314143</v>
      </c>
      <c r="DB2">
        <v>8.6814975583288188E-3</v>
      </c>
      <c r="DC2">
        <v>-7.619047619047617E-2</v>
      </c>
      <c r="DD2">
        <v>-5.7313730376278085E-3</v>
      </c>
      <c r="DE2">
        <v>7.9634113532418643E-2</v>
      </c>
      <c r="DF2">
        <v>-4.6678635547576307E-2</v>
      </c>
      <c r="DG2">
        <v>4.5308310991957236E-2</v>
      </c>
      <c r="DH2">
        <v>-1.6350210970464255E-2</v>
      </c>
      <c r="DI2">
        <v>-1.4809041309431028E-2</v>
      </c>
      <c r="DJ2">
        <v>-3.3157498116051246E-2</v>
      </c>
      <c r="DK2">
        <v>2.6295436968290876E-2</v>
      </c>
      <c r="DL2">
        <v>7.9599220706930124E-2</v>
      </c>
      <c r="DM2">
        <v>-2.5230602278893101E-2</v>
      </c>
      <c r="DN2">
        <v>-8.6040168608975925E-2</v>
      </c>
      <c r="DO2">
        <v>2.3863924854023805E-2</v>
      </c>
      <c r="DP2">
        <v>2.0466321243523294E-2</v>
      </c>
      <c r="DQ2">
        <v>4.9466284821662286E-3</v>
      </c>
      <c r="DR2">
        <v>-5.9039686428221549E-2</v>
      </c>
      <c r="DS2">
        <v>-2.6240458015267209E-2</v>
      </c>
      <c r="DT2">
        <v>-1.5268968757340818E-2</v>
      </c>
      <c r="DU2">
        <v>-7.9235609415053906E-3</v>
      </c>
      <c r="DV2">
        <v>1.7065655368570725E-2</v>
      </c>
      <c r="DW2">
        <v>-3.4332799267566952E-2</v>
      </c>
      <c r="DX2">
        <v>1.3453954998840136E-2</v>
      </c>
      <c r="DY2">
        <v>1.0074976569821923E-2</v>
      </c>
      <c r="DZ2">
        <v>-3.9673278879813695E-3</v>
      </c>
      <c r="EA2">
        <v>9.6606974552310015E-3</v>
      </c>
      <c r="EB2">
        <v>-5.7935627081021082E-2</v>
      </c>
      <c r="EC2">
        <v>-2.0013051990428576E-2</v>
      </c>
      <c r="ED2">
        <v>-4.5076859160781087E-2</v>
      </c>
      <c r="EE2">
        <v>4.3813895263926737E-3</v>
      </c>
      <c r="EF2">
        <v>0.10616201246249715</v>
      </c>
    </row>
    <row r="3" spans="1:136">
      <c r="A3" s="1">
        <v>41579</v>
      </c>
      <c r="B3">
        <v>77.8</v>
      </c>
      <c r="C3">
        <v>78.569999999999993</v>
      </c>
      <c r="D3">
        <v>130.35</v>
      </c>
      <c r="E3">
        <v>76.099999999999994</v>
      </c>
      <c r="F3">
        <v>55.72</v>
      </c>
      <c r="G3">
        <v>393.62</v>
      </c>
      <c r="I3">
        <f t="shared" ref="I3:N66" si="1">(B3-B4)/B4</f>
        <v>7.0004125979920284E-2</v>
      </c>
      <c r="J3">
        <f t="shared" si="0"/>
        <v>5.5480924234282587E-2</v>
      </c>
      <c r="K3">
        <f t="shared" si="0"/>
        <v>6.6083258362640049E-2</v>
      </c>
      <c r="L3">
        <f t="shared" si="0"/>
        <v>0.14867924528301879</v>
      </c>
      <c r="M3">
        <f t="shared" si="0"/>
        <v>0.11018131101813113</v>
      </c>
      <c r="N3">
        <f t="shared" si="0"/>
        <v>8.1284509518446374E-2</v>
      </c>
      <c r="Q3" t="s">
        <v>34</v>
      </c>
      <c r="R3">
        <v>5.0479478327579694E-2</v>
      </c>
      <c r="S3">
        <v>6.6083258362640049E-2</v>
      </c>
      <c r="T3">
        <v>5.3960865442634176E-2</v>
      </c>
      <c r="U3">
        <v>5.1291345718169561E-2</v>
      </c>
      <c r="V3">
        <v>-2.741054115988013E-2</v>
      </c>
      <c r="W3">
        <v>7.3821692220329332E-2</v>
      </c>
      <c r="X3">
        <v>-8.2598085226207024E-3</v>
      </c>
      <c r="Y3">
        <v>5.9045725646123384E-2</v>
      </c>
      <c r="Z3">
        <v>-1.5077344820834211E-2</v>
      </c>
      <c r="AA3">
        <v>2.2217774219375489E-2</v>
      </c>
      <c r="AB3">
        <v>4.0724924487032563E-2</v>
      </c>
      <c r="AC3">
        <v>8.2900969997744295E-2</v>
      </c>
      <c r="AD3">
        <v>2.0958083832335252E-2</v>
      </c>
      <c r="AE3">
        <v>4.5131784811650019E-2</v>
      </c>
      <c r="AF3">
        <v>-5.213324207164035E-2</v>
      </c>
      <c r="AG3">
        <v>-2.0491803278689302E-3</v>
      </c>
      <c r="AH3">
        <v>2.1514129549947768E-2</v>
      </c>
      <c r="AI3">
        <v>1.8235642391947804E-2</v>
      </c>
      <c r="AJ3">
        <v>6.1463046757164408E-2</v>
      </c>
      <c r="AK3">
        <v>-4.8894202032277387E-2</v>
      </c>
      <c r="AL3">
        <v>1.6764459346186153E-3</v>
      </c>
      <c r="AM3">
        <v>1.8414634146341525E-2</v>
      </c>
      <c r="AN3">
        <v>1.7117340610270346E-2</v>
      </c>
      <c r="AO3">
        <v>6.0929069614423084E-2</v>
      </c>
      <c r="AP3">
        <v>8.4936960849369691E-3</v>
      </c>
      <c r="AQ3">
        <v>3.2757675438596499E-2</v>
      </c>
      <c r="AR3">
        <v>0.10078455039227509</v>
      </c>
      <c r="AS3">
        <v>-0.1348387938911369</v>
      </c>
      <c r="AT3">
        <v>-4.1296458515830275E-2</v>
      </c>
      <c r="AU3">
        <v>-8.1283053575534683E-2</v>
      </c>
      <c r="AV3">
        <v>4.9682264586944757E-3</v>
      </c>
      <c r="AW3">
        <v>-2.3468351573959139E-2</v>
      </c>
      <c r="AX3">
        <v>3.9770061004223381E-2</v>
      </c>
      <c r="AY3">
        <v>1.3675823522416357E-2</v>
      </c>
      <c r="AZ3">
        <v>5.5346385542168627E-2</v>
      </c>
      <c r="BA3">
        <v>1.8795550441120232E-2</v>
      </c>
      <c r="BB3">
        <v>2.7591643673630196E-2</v>
      </c>
      <c r="BC3">
        <v>3.4278180619644713E-3</v>
      </c>
      <c r="BD3">
        <v>-2.8684850813164412E-2</v>
      </c>
      <c r="BE3">
        <v>0.10390161153519945</v>
      </c>
      <c r="BF3">
        <v>-7.6018808777429558E-2</v>
      </c>
      <c r="BG3">
        <v>8.3038619323808238E-2</v>
      </c>
      <c r="BH3">
        <v>-4.0856579318118659E-3</v>
      </c>
      <c r="BI3">
        <v>-9.9923915800152113E-2</v>
      </c>
      <c r="BJ3">
        <v>6.0944436970267739E-2</v>
      </c>
      <c r="BK3">
        <v>4.2789001122334414E-2</v>
      </c>
      <c r="BL3">
        <v>2.2497187851518081E-3</v>
      </c>
      <c r="BM3">
        <v>-2.6420260095824679E-2</v>
      </c>
      <c r="BN3">
        <v>6.7670271850336097E-2</v>
      </c>
      <c r="BO3">
        <v>5.9461133477856976E-2</v>
      </c>
      <c r="BP3">
        <v>-3.2412409322427524E-3</v>
      </c>
      <c r="BQ3">
        <v>2.370042660767905E-2</v>
      </c>
      <c r="BR3">
        <v>2.9775463716238175E-2</v>
      </c>
      <c r="BS3">
        <v>0.17334860633829702</v>
      </c>
      <c r="BT3">
        <v>5.2652733118971153E-2</v>
      </c>
      <c r="BU3">
        <v>0</v>
      </c>
      <c r="BV3">
        <v>0.15828677839851019</v>
      </c>
      <c r="BW3">
        <v>9.3686354378818726E-2</v>
      </c>
      <c r="BX3">
        <v>-0.14552969327822488</v>
      </c>
      <c r="BY3">
        <v>-6.5270435136234262E-2</v>
      </c>
      <c r="BZ3">
        <v>-0.14020979020979027</v>
      </c>
      <c r="CA3">
        <v>4.9348743349844154E-2</v>
      </c>
      <c r="CB3">
        <v>-5.8711794163356909E-2</v>
      </c>
      <c r="CC3">
        <v>-4.5963756177924316E-2</v>
      </c>
      <c r="CD3">
        <v>2.429969625379691E-2</v>
      </c>
      <c r="CE3">
        <v>1.1608057357459879E-2</v>
      </c>
      <c r="CF3">
        <v>-0.10277224689845317</v>
      </c>
      <c r="CG3">
        <v>1.5080845771144484E-2</v>
      </c>
      <c r="CH3">
        <v>-2.8398791540785642E-2</v>
      </c>
      <c r="CI3">
        <v>9.4541018603233381E-3</v>
      </c>
      <c r="CJ3">
        <v>-9.365558912386775E-3</v>
      </c>
      <c r="CK3">
        <v>-5.550007133685262E-2</v>
      </c>
      <c r="CL3">
        <v>1.2714925588787888E-2</v>
      </c>
      <c r="CM3">
        <v>-3.0128923766816224E-2</v>
      </c>
      <c r="CN3">
        <v>-7.7201603517392983E-2</v>
      </c>
      <c r="CO3">
        <v>2.8461231546748247E-2</v>
      </c>
      <c r="CP3">
        <v>2.8872468527640933E-2</v>
      </c>
      <c r="CQ3">
        <v>2.4533856722276742E-2</v>
      </c>
      <c r="CR3">
        <v>-1.327984506847431E-2</v>
      </c>
      <c r="CS3">
        <v>6.8746303962152658E-2</v>
      </c>
      <c r="CT3">
        <v>8.29330771693884E-2</v>
      </c>
      <c r="CU3">
        <v>3.1714568880079314E-2</v>
      </c>
      <c r="CV3">
        <v>3.3145508783559118E-3</v>
      </c>
      <c r="CW3">
        <v>-4.6610838995101843E-2</v>
      </c>
      <c r="CX3">
        <v>-4.3379685610640831E-2</v>
      </c>
      <c r="CY3">
        <v>3.9107900109941807E-2</v>
      </c>
      <c r="CZ3">
        <v>5.9400998336106493E-2</v>
      </c>
      <c r="DA3">
        <v>3.7996545768566543E-2</v>
      </c>
      <c r="DB3">
        <v>2.5141643059490116E-2</v>
      </c>
      <c r="DC3">
        <v>-0.12839506172839507</v>
      </c>
      <c r="DD3">
        <v>-3.4564958283671142E-2</v>
      </c>
      <c r="DE3">
        <v>-1.5547081255500179E-2</v>
      </c>
      <c r="DF3">
        <v>0.12862108922363866</v>
      </c>
      <c r="DG3">
        <v>2.8605482717520853E-2</v>
      </c>
      <c r="DH3">
        <v>1.802738776217714E-2</v>
      </c>
      <c r="DI3">
        <v>-6.1340709404490774E-2</v>
      </c>
      <c r="DJ3">
        <v>-1.2532133676092563E-2</v>
      </c>
      <c r="DK3">
        <v>3.8371705038371777E-2</v>
      </c>
      <c r="DL3">
        <v>3.5769828926905139E-2</v>
      </c>
      <c r="DM3">
        <v>3.0999465526456348E-2</v>
      </c>
      <c r="DN3">
        <v>-4.5732743964637841E-2</v>
      </c>
      <c r="DO3">
        <v>3.738977072310401E-2</v>
      </c>
      <c r="DP3">
        <v>-5.6729329562468754E-2</v>
      </c>
      <c r="DQ3">
        <v>7.8806170355465947E-3</v>
      </c>
      <c r="DR3">
        <v>-0.10758641328744573</v>
      </c>
      <c r="DS3">
        <v>2.0772873071635854E-2</v>
      </c>
      <c r="DT3">
        <v>0</v>
      </c>
      <c r="DU3">
        <v>2.7947872507458019E-2</v>
      </c>
      <c r="DV3">
        <v>3.1083050024283545E-2</v>
      </c>
      <c r="DW3">
        <v>3.0702486233939653E-2</v>
      </c>
      <c r="DX3">
        <v>-3.0101958245670812E-2</v>
      </c>
      <c r="DY3">
        <v>-2.891717743202897E-2</v>
      </c>
      <c r="DZ3">
        <v>4.5784654246921238E-3</v>
      </c>
      <c r="EA3">
        <v>-8.5078723096923298E-2</v>
      </c>
      <c r="EB3">
        <v>6.442189421894215E-2</v>
      </c>
      <c r="EC3">
        <v>-1.7819389912413056E-2</v>
      </c>
      <c r="ED3">
        <v>5.6308821183601872E-2</v>
      </c>
      <c r="EE3">
        <v>4.9205020920502052E-2</v>
      </c>
      <c r="EF3">
        <v>-8.9567092386797012E-3</v>
      </c>
    </row>
    <row r="4" spans="1:136">
      <c r="A4" s="1">
        <v>41548</v>
      </c>
      <c r="B4">
        <v>72.709999999999994</v>
      </c>
      <c r="C4">
        <v>74.44</v>
      </c>
      <c r="D4">
        <v>122.27</v>
      </c>
      <c r="E4">
        <v>66.25</v>
      </c>
      <c r="F4">
        <v>50.19</v>
      </c>
      <c r="G4">
        <v>364.03</v>
      </c>
      <c r="I4">
        <f t="shared" si="1"/>
        <v>9.6351025331724988E-2</v>
      </c>
      <c r="J4">
        <f t="shared" si="0"/>
        <v>3.7635907443546182E-2</v>
      </c>
      <c r="K4">
        <f t="shared" si="0"/>
        <v>5.3960865442634176E-2</v>
      </c>
      <c r="L4">
        <f t="shared" si="0"/>
        <v>-4.7858580051738979E-2</v>
      </c>
      <c r="M4">
        <f t="shared" si="0"/>
        <v>4.4026415849509476E-3</v>
      </c>
      <c r="N4">
        <f t="shared" si="0"/>
        <v>0.16437436028659158</v>
      </c>
      <c r="Q4" t="s">
        <v>35</v>
      </c>
      <c r="R4">
        <v>-2.6544021024967099E-2</v>
      </c>
      <c r="S4">
        <v>0.14867924528301879</v>
      </c>
      <c r="T4">
        <v>-4.7858580051738979E-2</v>
      </c>
      <c r="U4">
        <v>1.9487179487179464E-2</v>
      </c>
      <c r="V4">
        <v>-3.9679189531447778E-2</v>
      </c>
      <c r="W4">
        <v>5.6488776572023149E-2</v>
      </c>
      <c r="X4">
        <v>2.3429179978700622E-2</v>
      </c>
      <c r="Y4">
        <v>-5.4471175669541447E-3</v>
      </c>
      <c r="Z4">
        <v>-4.8243087557603606E-2</v>
      </c>
      <c r="AA4">
        <v>9.856035437430781E-2</v>
      </c>
      <c r="AB4">
        <v>8.2947838570745433E-3</v>
      </c>
      <c r="AC4">
        <v>-1.6935863258585624E-2</v>
      </c>
      <c r="AD4">
        <v>-1.0090034150884795E-2</v>
      </c>
      <c r="AE4">
        <v>-4.3219961384226895E-2</v>
      </c>
      <c r="AF4">
        <v>6.2154914024294017E-2</v>
      </c>
      <c r="AG4">
        <v>4.1228646517739782E-2</v>
      </c>
      <c r="AH4">
        <v>-1.7271993543179986E-2</v>
      </c>
      <c r="AI4">
        <v>1.1098416843479675E-2</v>
      </c>
      <c r="AJ4">
        <v>-8.442916915720261E-2</v>
      </c>
      <c r="AK4">
        <v>-3.2668401272044012E-2</v>
      </c>
      <c r="AL4">
        <v>2.6105013349154629E-2</v>
      </c>
      <c r="AM4">
        <v>7.4593560726809047E-2</v>
      </c>
      <c r="AN4">
        <v>4.5840973495582596E-2</v>
      </c>
      <c r="AO4">
        <v>7.8374977530109635E-2</v>
      </c>
      <c r="AP4">
        <v>5.3000189286390394E-2</v>
      </c>
      <c r="AQ4">
        <v>4.6138613861386103E-2</v>
      </c>
      <c r="AR4">
        <v>9.0712742980561617E-2</v>
      </c>
      <c r="AS4">
        <v>-9.1622523052776184E-2</v>
      </c>
      <c r="AT4">
        <v>2.9281098546041915E-2</v>
      </c>
      <c r="AU4">
        <v>-3.9379243452958179E-2</v>
      </c>
      <c r="AV4">
        <v>-1.5494867325199573E-3</v>
      </c>
      <c r="AW4">
        <v>3.1362365161805836E-2</v>
      </c>
      <c r="AX4">
        <v>4.9255921190526124E-2</v>
      </c>
      <c r="AY4">
        <v>2.0753102267864757E-2</v>
      </c>
      <c r="AZ4">
        <v>7.6462459695992635E-2</v>
      </c>
      <c r="BA4">
        <v>-4.1924095322153541E-2</v>
      </c>
      <c r="BB4">
        <v>-2.0531661984006976E-2</v>
      </c>
      <c r="BC4">
        <v>1.0482638130596288E-2</v>
      </c>
      <c r="BD4">
        <v>8.1738719584219258E-2</v>
      </c>
      <c r="BE4">
        <v>0.10464509394572019</v>
      </c>
      <c r="BF4">
        <v>9.4836670179135781E-3</v>
      </c>
      <c r="BG4">
        <v>6.3305322128851482E-2</v>
      </c>
      <c r="BH4">
        <v>-4.6728971962616821E-2</v>
      </c>
      <c r="BI4">
        <v>-3.4544985821087816E-2</v>
      </c>
      <c r="BJ4">
        <v>0.11241755090335538</v>
      </c>
      <c r="BK4">
        <v>0.13657105606258141</v>
      </c>
      <c r="BL4">
        <v>-1.4138817480719835E-2</v>
      </c>
      <c r="BM4">
        <v>-1.6123932975023649E-2</v>
      </c>
      <c r="BN4">
        <v>-8.4639498432601754E-3</v>
      </c>
      <c r="BO4">
        <v>7.0469798657718047E-2</v>
      </c>
      <c r="BP4">
        <v>-1.8121911037891292E-2</v>
      </c>
      <c r="BQ4">
        <v>-1.4290354011042472E-2</v>
      </c>
      <c r="BR4">
        <v>-3.4190715181932244E-2</v>
      </c>
      <c r="BS4">
        <v>6.9081153588195804E-2</v>
      </c>
      <c r="BT4">
        <v>-3.7132709073296695E-2</v>
      </c>
      <c r="BU4">
        <v>3.8216560509554159E-2</v>
      </c>
      <c r="BV4">
        <v>0.22153972153972137</v>
      </c>
      <c r="BW4">
        <v>4.5824411134903646E-2</v>
      </c>
      <c r="BX4">
        <v>-8.179315768777029E-2</v>
      </c>
      <c r="BY4">
        <v>-8.5580726357425349E-2</v>
      </c>
      <c r="BZ4">
        <v>0.16897856242118536</v>
      </c>
      <c r="CA4">
        <v>-7.1065989847715755E-2</v>
      </c>
      <c r="CB4">
        <v>-0.10454545454545461</v>
      </c>
      <c r="CC4">
        <v>-8.6261980830670895E-2</v>
      </c>
      <c r="CD4">
        <v>-3.8192234245703689E-3</v>
      </c>
      <c r="CE4">
        <v>2.6126714565643392E-2</v>
      </c>
      <c r="CF4">
        <v>-0.11605080831408775</v>
      </c>
      <c r="CG4">
        <v>-2.3950408565793221E-2</v>
      </c>
      <c r="CH4">
        <v>9.7402597402597352E-2</v>
      </c>
      <c r="CI4">
        <v>8.0160320641282631E-2</v>
      </c>
      <c r="CJ4">
        <v>8.4203435500168396E-3</v>
      </c>
      <c r="CK4">
        <v>-0.10383338364020528</v>
      </c>
      <c r="CL4">
        <v>3.0161691542288746E-2</v>
      </c>
      <c r="CM4">
        <v>-7.7452667814113682E-2</v>
      </c>
      <c r="CN4">
        <v>0.19506342132327725</v>
      </c>
      <c r="CO4">
        <v>3.4030485643388897E-2</v>
      </c>
      <c r="CP4">
        <v>2.136133236784938E-2</v>
      </c>
      <c r="CQ4">
        <v>-1.6381766381766288E-2</v>
      </c>
      <c r="CR4">
        <v>-3.3723331039229199E-2</v>
      </c>
      <c r="CS4">
        <v>9.4538606403013106E-2</v>
      </c>
      <c r="CT4">
        <v>7.0996369503832257E-2</v>
      </c>
      <c r="CU4">
        <v>2.4262029923169722E-3</v>
      </c>
      <c r="CV4">
        <v>-3.4738485558157707E-2</v>
      </c>
      <c r="CW4">
        <v>2.3162939297124676E-2</v>
      </c>
      <c r="CX4">
        <v>-3.8771593090211193E-2</v>
      </c>
      <c r="CY4">
        <v>2.8830963665086903E-2</v>
      </c>
      <c r="CZ4">
        <v>0.14570135746606327</v>
      </c>
      <c r="DA4">
        <v>6.5060240963855487E-2</v>
      </c>
      <c r="DB4">
        <v>8.5818942961800135E-2</v>
      </c>
      <c r="DC4">
        <v>-0.1019736842105264</v>
      </c>
      <c r="DD4">
        <v>-2.8116213683223395E-3</v>
      </c>
      <c r="DE4">
        <v>-2.4680073126142558E-2</v>
      </c>
      <c r="DF4">
        <v>6.0591371788657297E-2</v>
      </c>
      <c r="DG4">
        <v>2.4329692154915511E-2</v>
      </c>
      <c r="DH4">
        <v>-3.5902345619913831E-2</v>
      </c>
      <c r="DI4">
        <v>5.7721518987341798E-2</v>
      </c>
      <c r="DJ4">
        <v>-3.9396887159533017E-2</v>
      </c>
      <c r="DK4">
        <v>-4.0597293513765793E-2</v>
      </c>
      <c r="DL4">
        <v>5.3071253071252981E-2</v>
      </c>
      <c r="DM4">
        <v>2.1586345381526088E-2</v>
      </c>
      <c r="DN4">
        <v>-9.4956837800999533E-2</v>
      </c>
      <c r="DO4">
        <v>7.783882783882862E-3</v>
      </c>
      <c r="DP4">
        <v>1.5341701534170074E-2</v>
      </c>
      <c r="DQ4">
        <v>9.1878172588832602E-2</v>
      </c>
      <c r="DR4">
        <v>-9.1747349008759888E-2</v>
      </c>
      <c r="DS4">
        <v>6.2193927522037194E-2</v>
      </c>
      <c r="DT4">
        <v>5.2577319587629033E-2</v>
      </c>
      <c r="DU4">
        <v>-1.5728056823947349E-2</v>
      </c>
      <c r="DV4">
        <v>3.9556962025316451E-2</v>
      </c>
      <c r="DW4">
        <v>4.3478260869565168E-2</v>
      </c>
      <c r="DX4">
        <v>7.2609208972845354E-2</v>
      </c>
      <c r="DY4">
        <v>2.3564954682779488E-2</v>
      </c>
      <c r="DZ4">
        <v>3.4375000000000044E-2</v>
      </c>
      <c r="EA4">
        <v>3.4259857789269509E-2</v>
      </c>
      <c r="EB4">
        <v>-7.0603337612323127E-3</v>
      </c>
      <c r="EC4">
        <v>-3.3498759305210971E-2</v>
      </c>
      <c r="ED4">
        <v>2.0899303356554901E-2</v>
      </c>
      <c r="EE4">
        <v>2.5990903183885548E-2</v>
      </c>
      <c r="EF4">
        <v>9.2264017033357043E-2</v>
      </c>
    </row>
    <row r="5" spans="1:136">
      <c r="A5" s="1">
        <v>41520</v>
      </c>
      <c r="B5">
        <v>66.319999999999993</v>
      </c>
      <c r="C5">
        <v>71.739999999999995</v>
      </c>
      <c r="D5">
        <v>116.01</v>
      </c>
      <c r="E5">
        <v>69.58</v>
      </c>
      <c r="F5">
        <v>49.97</v>
      </c>
      <c r="G5">
        <v>312.64</v>
      </c>
      <c r="I5">
        <f t="shared" si="1"/>
        <v>-2.1395897889921838E-2</v>
      </c>
      <c r="J5">
        <f t="shared" si="0"/>
        <v>1.3563153433173124E-2</v>
      </c>
      <c r="K5">
        <f t="shared" si="0"/>
        <v>5.1291345718169561E-2</v>
      </c>
      <c r="L5">
        <f t="shared" si="0"/>
        <v>1.9487179487179464E-2</v>
      </c>
      <c r="M5">
        <f t="shared" si="0"/>
        <v>2.2927328556806497E-2</v>
      </c>
      <c r="N5">
        <f t="shared" si="0"/>
        <v>0.11267705886539955</v>
      </c>
      <c r="Q5" t="s">
        <v>3</v>
      </c>
      <c r="R5">
        <v>2.2074659009332448E-2</v>
      </c>
      <c r="S5">
        <v>0.11018131101813113</v>
      </c>
      <c r="T5">
        <v>4.4026415849509476E-3</v>
      </c>
      <c r="U5">
        <v>2.2927328556806497E-2</v>
      </c>
      <c r="V5">
        <v>-9.3355605048255394E-2</v>
      </c>
      <c r="W5">
        <v>6.3560994867745885E-2</v>
      </c>
      <c r="X5">
        <v>-3.302156900171796E-2</v>
      </c>
      <c r="Y5">
        <v>0.11373299319727895</v>
      </c>
      <c r="Z5">
        <v>3.9098740888005211E-2</v>
      </c>
      <c r="AA5">
        <v>-2.9789969995713535E-2</v>
      </c>
      <c r="AB5">
        <v>3.9661319073083644E-2</v>
      </c>
      <c r="AC5">
        <v>7.7551020408163363E-2</v>
      </c>
      <c r="AD5">
        <v>7.0418915445900856E-2</v>
      </c>
      <c r="AE5">
        <v>-1.4437689969604872E-2</v>
      </c>
      <c r="AF5">
        <v>3.730951129795046E-2</v>
      </c>
      <c r="AG5">
        <v>8.9919816723940449E-2</v>
      </c>
      <c r="AH5">
        <v>3.1610044313146242E-2</v>
      </c>
      <c r="AI5">
        <v>1.5906362545018041E-2</v>
      </c>
      <c r="AJ5">
        <v>7.7968295050145589E-2</v>
      </c>
      <c r="AK5">
        <v>-0.22879241516966065</v>
      </c>
      <c r="AL5">
        <v>-5.9154929577464863E-2</v>
      </c>
      <c r="AM5">
        <v>0.17161716171617167</v>
      </c>
      <c r="AN5">
        <v>5.2083333333333245E-2</v>
      </c>
      <c r="AO5">
        <v>0.12978097417456694</v>
      </c>
      <c r="AP5">
        <v>7.3710073710073765E-2</v>
      </c>
      <c r="AQ5">
        <v>-0.10885204879574603</v>
      </c>
      <c r="AR5">
        <v>0.16423889293517838</v>
      </c>
      <c r="AS5">
        <v>-0.19824817518248172</v>
      </c>
      <c r="AT5">
        <v>-7.1312364425162755E-2</v>
      </c>
      <c r="AU5">
        <v>-5.9299191374662767E-3</v>
      </c>
      <c r="AV5">
        <v>-5.33299311048736E-2</v>
      </c>
      <c r="AW5">
        <v>-5.2237001209189927E-2</v>
      </c>
      <c r="AX5">
        <v>-4.8134777376653611E-3</v>
      </c>
      <c r="AY5">
        <v>-1.2829650748396442E-2</v>
      </c>
      <c r="AZ5">
        <v>3.9002715378918917E-2</v>
      </c>
      <c r="BA5">
        <v>6.074888714323122E-2</v>
      </c>
      <c r="BB5">
        <v>0.13424413424413412</v>
      </c>
      <c r="BC5">
        <v>-6.198347107438041E-3</v>
      </c>
      <c r="BD5">
        <v>-9.9357101110460633E-3</v>
      </c>
      <c r="BE5">
        <v>4.6803303762618577E-2</v>
      </c>
      <c r="BF5">
        <v>-9.7459966869133108E-2</v>
      </c>
      <c r="BG5">
        <v>0.10191664131426838</v>
      </c>
      <c r="BH5">
        <v>-7.5126617895329262E-2</v>
      </c>
      <c r="BI5">
        <v>-7.0606694560669522E-2</v>
      </c>
      <c r="BJ5">
        <v>-4.7334329845540569E-2</v>
      </c>
      <c r="BK5">
        <v>6.6135458167330727E-2</v>
      </c>
      <c r="BL5">
        <v>7.7870025765817322E-2</v>
      </c>
      <c r="BM5">
        <v>-6.4291454594160163E-2</v>
      </c>
      <c r="BN5">
        <v>-1.9437877593906014E-2</v>
      </c>
      <c r="BO5">
        <v>1.7370390165686759E-2</v>
      </c>
      <c r="BP5">
        <v>-4.5651619484825275E-2</v>
      </c>
      <c r="BQ5">
        <v>8.2283363332476284E-3</v>
      </c>
      <c r="BR5">
        <v>0.12463851937536155</v>
      </c>
      <c r="BS5">
        <v>0.13451443569553798</v>
      </c>
      <c r="BT5">
        <v>-7.5523202911737905E-2</v>
      </c>
      <c r="BU5">
        <v>0.11800610376398782</v>
      </c>
      <c r="BV5">
        <v>0.24377899620413315</v>
      </c>
      <c r="BW5">
        <v>0.1633954857703632</v>
      </c>
      <c r="BX5">
        <v>-0.10417582417582422</v>
      </c>
      <c r="BY5">
        <v>-0.18106551475881932</v>
      </c>
      <c r="BZ5">
        <v>-4.3010752688171132E-3</v>
      </c>
      <c r="CA5">
        <v>-0.23246217331499319</v>
      </c>
      <c r="CB5">
        <v>-0.10972324271369084</v>
      </c>
      <c r="CC5">
        <v>0.21301247771836015</v>
      </c>
      <c r="CD5">
        <v>-5.263157894736855E-2</v>
      </c>
      <c r="CE5">
        <v>0.19750589821368383</v>
      </c>
      <c r="CF5">
        <v>-0.2019903173749327</v>
      </c>
      <c r="CG5">
        <v>-9.7572815533980659E-2</v>
      </c>
      <c r="CH5">
        <v>0.11834961997828444</v>
      </c>
      <c r="CI5">
        <v>5.6495554918268027E-2</v>
      </c>
      <c r="CJ5">
        <v>-0.14240039350713229</v>
      </c>
      <c r="CK5">
        <v>9.5661546752896717E-2</v>
      </c>
      <c r="CL5">
        <v>-4.3310131477184835E-2</v>
      </c>
      <c r="CM5">
        <v>-2.927927927927932E-2</v>
      </c>
      <c r="CN5">
        <v>3.3893919793014288E-2</v>
      </c>
      <c r="CO5">
        <v>2.9294274300932132E-2</v>
      </c>
      <c r="CP5">
        <v>1.1584051724137925E-2</v>
      </c>
      <c r="CQ5">
        <v>-8.45869297163995E-2</v>
      </c>
      <c r="CR5">
        <v>-6.5237436606731328E-2</v>
      </c>
      <c r="CS5">
        <v>-5.0458715596330009E-3</v>
      </c>
      <c r="CT5">
        <v>8.4577114427860658E-2</v>
      </c>
      <c r="CU5">
        <v>-2.0467836257309854E-2</v>
      </c>
      <c r="CV5">
        <v>-3.0245746691871481E-2</v>
      </c>
      <c r="CW5">
        <v>6.1982434127979893E-2</v>
      </c>
      <c r="CX5">
        <v>4.3466876145587953E-2</v>
      </c>
      <c r="CY5">
        <v>-2.4271844660194247E-2</v>
      </c>
      <c r="CZ5">
        <v>1.7416168442942598E-2</v>
      </c>
      <c r="DA5">
        <v>2.8334669874365205E-2</v>
      </c>
      <c r="DB5">
        <v>1.0703773080010476E-3</v>
      </c>
      <c r="DC5">
        <v>9.4931145619689267E-2</v>
      </c>
      <c r="DD5">
        <v>-1.5007215007214893E-2</v>
      </c>
      <c r="DE5">
        <v>-6.0466377440347177E-2</v>
      </c>
      <c r="DF5">
        <v>9.8927294398092974E-2</v>
      </c>
      <c r="DG5">
        <v>1.2062726176115975E-2</v>
      </c>
      <c r="DH5">
        <v>3.4956304619225886E-2</v>
      </c>
      <c r="DI5">
        <v>1.0088272383354359E-2</v>
      </c>
      <c r="DJ5">
        <v>3.7618580307490955E-2</v>
      </c>
      <c r="DK5">
        <v>4.4414075845575697E-2</v>
      </c>
      <c r="DL5">
        <v>9.0130353817504588E-2</v>
      </c>
      <c r="DM5">
        <v>1.1185682326622349E-3</v>
      </c>
      <c r="DN5">
        <v>-3.5251798561151092E-2</v>
      </c>
      <c r="DO5">
        <v>4.3352601156069724E-3</v>
      </c>
      <c r="DP5">
        <v>-1.2134189864382579E-2</v>
      </c>
      <c r="DQ5">
        <v>7.5512405609493303E-3</v>
      </c>
      <c r="DR5">
        <v>3.6140089418777901E-2</v>
      </c>
      <c r="DS5">
        <v>-5.3596614950634683E-2</v>
      </c>
      <c r="DT5">
        <v>-2.0718232044198943E-2</v>
      </c>
      <c r="DU5">
        <v>-3.4666666666666637E-2</v>
      </c>
      <c r="DV5">
        <v>3.5911602209944722E-2</v>
      </c>
      <c r="DW5">
        <v>-2.4587403166049189E-2</v>
      </c>
      <c r="DX5">
        <v>-2.0132013201320114E-2</v>
      </c>
      <c r="DY5">
        <v>3.643590592911541E-3</v>
      </c>
      <c r="DZ5">
        <v>6.0414471373375571E-2</v>
      </c>
      <c r="EA5">
        <v>-2.8659160696008185E-2</v>
      </c>
      <c r="EB5">
        <v>5.2423698384200974E-2</v>
      </c>
      <c r="EC5">
        <v>-2.0056298381421544E-2</v>
      </c>
      <c r="ED5">
        <v>-9.6630642085187513E-2</v>
      </c>
      <c r="EE5">
        <v>2.2756827048114409E-2</v>
      </c>
      <c r="EF5">
        <v>5.4869684499314175E-2</v>
      </c>
    </row>
    <row r="6" spans="1:136">
      <c r="A6" s="1">
        <v>41487</v>
      </c>
      <c r="B6">
        <v>67.77</v>
      </c>
      <c r="C6">
        <v>70.78</v>
      </c>
      <c r="D6">
        <v>110.35</v>
      </c>
      <c r="E6">
        <v>68.25</v>
      </c>
      <c r="F6">
        <v>48.85</v>
      </c>
      <c r="G6">
        <v>280.98</v>
      </c>
      <c r="I6">
        <f t="shared" si="1"/>
        <v>8.3799776107468332E-2</v>
      </c>
      <c r="J6">
        <f t="shared" si="0"/>
        <v>-5.8025019962736214E-2</v>
      </c>
      <c r="K6">
        <f t="shared" si="0"/>
        <v>-2.741054115988013E-2</v>
      </c>
      <c r="L6">
        <f t="shared" si="0"/>
        <v>-3.9679189531447778E-2</v>
      </c>
      <c r="M6">
        <f t="shared" si="0"/>
        <v>-9.3355605048255394E-2</v>
      </c>
      <c r="N6">
        <f t="shared" si="0"/>
        <v>-6.7193413451962045E-2</v>
      </c>
      <c r="Q6" t="s">
        <v>36</v>
      </c>
      <c r="R6">
        <v>1.3134495198414755E-2</v>
      </c>
      <c r="S6">
        <v>8.1284509518446374E-2</v>
      </c>
      <c r="T6">
        <v>0.16437436028659158</v>
      </c>
      <c r="U6">
        <v>0.11267705886539955</v>
      </c>
      <c r="V6">
        <v>-6.7193413451962045E-2</v>
      </c>
      <c r="W6">
        <v>8.4734776189275912E-2</v>
      </c>
      <c r="X6">
        <v>3.1537890044576557E-2</v>
      </c>
      <c r="Y6">
        <v>6.0635908750640191E-2</v>
      </c>
      <c r="Z6">
        <v>-4.7581522758827745E-2</v>
      </c>
      <c r="AA6">
        <v>8.4004994891589187E-3</v>
      </c>
      <c r="AB6">
        <v>-4.6327683615819898E-3</v>
      </c>
      <c r="AC6">
        <v>5.8317056642882746E-2</v>
      </c>
      <c r="AD6">
        <v>-4.6816107915096479E-3</v>
      </c>
      <c r="AE6">
        <v>8.2270599854008447E-2</v>
      </c>
      <c r="AF6">
        <v>-8.4263919471531959E-2</v>
      </c>
      <c r="AG6">
        <v>2.4368630926007905E-2</v>
      </c>
      <c r="AH6">
        <v>6.4166309472781818E-2</v>
      </c>
      <c r="AI6">
        <v>2.1677249835778487E-2</v>
      </c>
      <c r="AJ6">
        <v>7.2518904701517062E-2</v>
      </c>
      <c r="AK6">
        <v>-8.1888745148771064E-2</v>
      </c>
      <c r="AL6">
        <v>0.14512863562293227</v>
      </c>
      <c r="AM6">
        <v>0.12699649396182311</v>
      </c>
      <c r="AN6">
        <v>-7.5858876774326275E-2</v>
      </c>
      <c r="AO6">
        <v>0.12328134026574238</v>
      </c>
      <c r="AP6">
        <v>-9.9797181340683341E-2</v>
      </c>
      <c r="AQ6">
        <v>-9.9386445599737722E-2</v>
      </c>
      <c r="AR6">
        <v>-1.2579198076122643E-2</v>
      </c>
      <c r="AS6">
        <v>4.6461924452910839E-3</v>
      </c>
      <c r="AT6">
        <v>-3.2761100125831479E-2</v>
      </c>
      <c r="AU6">
        <v>8.8170570688053201E-2</v>
      </c>
      <c r="AV6">
        <v>3.9656311962987502E-2</v>
      </c>
      <c r="AW6">
        <v>4.4941524947653107E-3</v>
      </c>
      <c r="AX6">
        <v>8.7048242935657619E-2</v>
      </c>
      <c r="AY6">
        <v>3.9471406313116762E-2</v>
      </c>
      <c r="AZ6">
        <v>2.1516151850978577E-2</v>
      </c>
      <c r="BA6">
        <v>-5.7555555555555631E-2</v>
      </c>
      <c r="BB6">
        <v>2.6225769669327218E-2</v>
      </c>
      <c r="BC6">
        <v>6.1550565877867315E-2</v>
      </c>
      <c r="BD6">
        <v>5.2018336941296241E-2</v>
      </c>
      <c r="BE6">
        <v>0.25819113995033249</v>
      </c>
      <c r="BF6">
        <v>5.8868436678259375E-2</v>
      </c>
      <c r="BG6">
        <v>7.8985905180303823E-2</v>
      </c>
      <c r="BH6">
        <v>-0.12912482065997122</v>
      </c>
      <c r="BI6">
        <v>-8.4901531728665214E-2</v>
      </c>
      <c r="BJ6">
        <v>9.7959784930395817E-3</v>
      </c>
      <c r="BK6">
        <v>0.1467060810810811</v>
      </c>
      <c r="BL6">
        <v>-5.5896658958615668E-2</v>
      </c>
      <c r="BM6">
        <v>-6.7722271781147883E-2</v>
      </c>
      <c r="BN6">
        <v>-1.0227356338753487E-2</v>
      </c>
      <c r="BO6">
        <v>0.14392727884858172</v>
      </c>
      <c r="BP6">
        <v>0.27260068551842331</v>
      </c>
      <c r="BQ6">
        <v>0.14989530730385517</v>
      </c>
      <c r="BR6">
        <v>-5.3288246268656803E-2</v>
      </c>
      <c r="BS6">
        <v>2.5101601721252791E-2</v>
      </c>
      <c r="BT6">
        <v>7.2701628413899239E-2</v>
      </c>
      <c r="BU6">
        <v>-3.1420765027322418E-2</v>
      </c>
      <c r="BV6">
        <v>9.6405228758169911E-2</v>
      </c>
      <c r="BW6">
        <v>0.13350825744713676</v>
      </c>
      <c r="BX6">
        <v>0.10149608976538603</v>
      </c>
      <c r="BY6">
        <v>0.14703588143525739</v>
      </c>
      <c r="BZ6">
        <v>0.20093676814988284</v>
      </c>
      <c r="CA6">
        <v>-0.25401816911250868</v>
      </c>
      <c r="CB6">
        <v>-0.2133040131940627</v>
      </c>
      <c r="CC6">
        <v>-9.9616384110877323E-2</v>
      </c>
      <c r="CD6">
        <v>5.8553838092742977E-2</v>
      </c>
      <c r="CE6">
        <v>4.1047320332742471E-2</v>
      </c>
      <c r="CF6">
        <v>-0.10156824307767712</v>
      </c>
      <c r="CG6">
        <v>3.8026198651914145E-2</v>
      </c>
      <c r="CH6">
        <v>0.10280504908835902</v>
      </c>
      <c r="CI6">
        <v>0.10594074763455869</v>
      </c>
      <c r="CJ6">
        <v>-0.17027027027027031</v>
      </c>
      <c r="CK6">
        <v>-0.16126943005181343</v>
      </c>
      <c r="CL6">
        <v>2.2968197879858637E-2</v>
      </c>
      <c r="CM6">
        <v>1.5816040381379657E-2</v>
      </c>
      <c r="CN6">
        <v>-4.2941492216854532E-2</v>
      </c>
      <c r="CO6">
        <v>0.16568639719684658</v>
      </c>
      <c r="CP6">
        <v>1.7443340972752613E-2</v>
      </c>
      <c r="CQ6">
        <v>0.14807776640841996</v>
      </c>
      <c r="CR6">
        <v>-1.0558287532542725E-2</v>
      </c>
      <c r="CS6">
        <v>0.12734387738464051</v>
      </c>
      <c r="CT6">
        <v>0.54134204574013567</v>
      </c>
      <c r="CU6">
        <v>1.6607051609606505E-2</v>
      </c>
      <c r="CV6">
        <v>3.9023095301300735E-2</v>
      </c>
      <c r="CW6">
        <v>-4.5362392295995924E-2</v>
      </c>
      <c r="CX6">
        <v>-2.1814576103123512E-2</v>
      </c>
      <c r="CY6">
        <v>5.9070622210553946E-2</v>
      </c>
      <c r="CZ6">
        <v>0.18586550435865523</v>
      </c>
      <c r="DA6">
        <v>4.1842361336360663E-2</v>
      </c>
      <c r="DB6">
        <v>0.14652287095574554</v>
      </c>
      <c r="DC6">
        <v>-0.30480868665977245</v>
      </c>
      <c r="DD6">
        <v>0.11759607049985554</v>
      </c>
      <c r="DE6">
        <v>-1.7040613462084676E-2</v>
      </c>
      <c r="DF6">
        <v>-3.6134683821516571E-2</v>
      </c>
      <c r="DG6">
        <v>-2.4305555555555466E-2</v>
      </c>
      <c r="DH6">
        <v>-0.16465863453815266</v>
      </c>
      <c r="DI6">
        <v>-4.9416755037115553E-2</v>
      </c>
      <c r="DJ6">
        <v>-2.7032604209657494E-2</v>
      </c>
      <c r="DK6">
        <v>0.2157551430005018</v>
      </c>
      <c r="DL6">
        <v>-0.12008830022075051</v>
      </c>
      <c r="DM6">
        <v>6.0889929742388618E-2</v>
      </c>
      <c r="DN6">
        <v>-5.4263565891472777E-2</v>
      </c>
      <c r="DO6">
        <v>0.36446056210335431</v>
      </c>
      <c r="DP6">
        <v>-6.8149816952970843E-2</v>
      </c>
      <c r="DQ6">
        <v>9.7342398022249643E-2</v>
      </c>
      <c r="DR6">
        <v>-5.5733878027429344E-2</v>
      </c>
      <c r="DS6">
        <v>-2.5866969869243792E-2</v>
      </c>
      <c r="DT6">
        <v>-0.18602498843128179</v>
      </c>
      <c r="DU6">
        <v>-2.4158952359449093E-2</v>
      </c>
      <c r="DV6">
        <v>0.11617943548387095</v>
      </c>
      <c r="DW6">
        <v>0.16261353647817159</v>
      </c>
      <c r="DX6">
        <v>-0.16470876162506112</v>
      </c>
      <c r="DY6">
        <v>7.1316203460933369E-2</v>
      </c>
      <c r="DZ6">
        <v>-2.0041109969167553E-2</v>
      </c>
      <c r="EA6">
        <v>-0.2845588235294117</v>
      </c>
      <c r="EB6">
        <v>0.12164948453608244</v>
      </c>
      <c r="EC6">
        <v>0.1123853211009174</v>
      </c>
      <c r="ED6">
        <v>7.3937153419593405E-3</v>
      </c>
      <c r="EE6">
        <v>6.2776098581725911E-3</v>
      </c>
      <c r="EF6">
        <v>-0.14662698412698413</v>
      </c>
    </row>
    <row r="7" spans="1:136">
      <c r="A7" s="1">
        <v>41456</v>
      </c>
      <c r="B7">
        <v>62.53</v>
      </c>
      <c r="C7">
        <v>75.14</v>
      </c>
      <c r="D7">
        <v>113.46</v>
      </c>
      <c r="E7">
        <v>71.069999999999993</v>
      </c>
      <c r="F7">
        <v>53.88</v>
      </c>
      <c r="G7">
        <v>301.22000000000003</v>
      </c>
      <c r="I7">
        <f t="shared" si="1"/>
        <v>0.14105839416058402</v>
      </c>
      <c r="J7">
        <f t="shared" si="0"/>
        <v>4.6372371535997749E-2</v>
      </c>
      <c r="K7">
        <f t="shared" si="0"/>
        <v>7.3821692220329332E-2</v>
      </c>
      <c r="L7">
        <f t="shared" si="0"/>
        <v>5.6488776572023149E-2</v>
      </c>
      <c r="M7">
        <f t="shared" si="0"/>
        <v>6.3560994867745885E-2</v>
      </c>
      <c r="N7">
        <f t="shared" si="0"/>
        <v>8.4734776189275912E-2</v>
      </c>
    </row>
    <row r="8" spans="1:136">
      <c r="A8" s="1">
        <v>41428</v>
      </c>
      <c r="B8">
        <v>54.8</v>
      </c>
      <c r="C8">
        <v>71.81</v>
      </c>
      <c r="D8">
        <v>105.66</v>
      </c>
      <c r="E8">
        <v>67.27</v>
      </c>
      <c r="F8">
        <v>50.66</v>
      </c>
      <c r="G8">
        <v>277.69</v>
      </c>
      <c r="I8">
        <f t="shared" si="1"/>
        <v>-0.11826226870474661</v>
      </c>
      <c r="J8">
        <f t="shared" si="0"/>
        <v>-4.7124047124047592E-3</v>
      </c>
      <c r="K8">
        <f t="shared" si="0"/>
        <v>-8.2598085226207024E-3</v>
      </c>
      <c r="L8">
        <f t="shared" si="0"/>
        <v>2.3429179978700622E-2</v>
      </c>
      <c r="M8">
        <f t="shared" si="0"/>
        <v>-3.302156900171796E-2</v>
      </c>
      <c r="N8">
        <f t="shared" si="0"/>
        <v>3.1537890044576557E-2</v>
      </c>
    </row>
    <row r="9" spans="1:136" ht="21">
      <c r="A9" s="1">
        <v>41395</v>
      </c>
      <c r="B9">
        <v>62.15</v>
      </c>
      <c r="C9">
        <v>72.150000000000006</v>
      </c>
      <c r="D9">
        <v>106.54</v>
      </c>
      <c r="E9">
        <v>65.73</v>
      </c>
      <c r="F9">
        <v>52.39</v>
      </c>
      <c r="G9">
        <v>269.2</v>
      </c>
      <c r="I9">
        <f t="shared" si="1"/>
        <v>2.2540309312273733E-2</v>
      </c>
      <c r="J9">
        <f t="shared" si="0"/>
        <v>-3.1283566058002123E-2</v>
      </c>
      <c r="K9">
        <f t="shared" si="0"/>
        <v>5.9045725646123384E-2</v>
      </c>
      <c r="L9">
        <f t="shared" si="0"/>
        <v>-5.4471175669541447E-3</v>
      </c>
      <c r="M9">
        <f t="shared" si="0"/>
        <v>0.11373299319727895</v>
      </c>
      <c r="N9">
        <f t="shared" si="0"/>
        <v>6.0635908750640191E-2</v>
      </c>
      <c r="Q9" s="23" t="s">
        <v>37</v>
      </c>
      <c r="R9" s="23"/>
      <c r="S9" s="23"/>
      <c r="Z9" s="23" t="s">
        <v>41</v>
      </c>
      <c r="AA9" s="23"/>
      <c r="AB9" s="23" t="s">
        <v>42</v>
      </c>
      <c r="AD9" s="23" t="s">
        <v>43</v>
      </c>
      <c r="AE9" s="23" t="s">
        <v>44</v>
      </c>
    </row>
    <row r="10" spans="1:136">
      <c r="A10" s="1">
        <v>41365</v>
      </c>
      <c r="B10">
        <v>60.78</v>
      </c>
      <c r="C10">
        <v>74.48</v>
      </c>
      <c r="D10">
        <v>100.6</v>
      </c>
      <c r="E10">
        <v>66.09</v>
      </c>
      <c r="F10">
        <v>47.04</v>
      </c>
      <c r="G10">
        <v>253.81</v>
      </c>
      <c r="I10">
        <f t="shared" si="1"/>
        <v>1.6455487905213116E-4</v>
      </c>
      <c r="J10">
        <f t="shared" si="0"/>
        <v>3.8627806442616236E-2</v>
      </c>
      <c r="K10">
        <f t="shared" si="0"/>
        <v>-1.5077344820834211E-2</v>
      </c>
      <c r="L10">
        <f t="shared" si="0"/>
        <v>-4.8243087557603606E-2</v>
      </c>
      <c r="M10">
        <f t="shared" si="0"/>
        <v>3.9098740888005211E-2</v>
      </c>
      <c r="N10">
        <f t="shared" si="0"/>
        <v>-4.7581522758827745E-2</v>
      </c>
    </row>
    <row r="11" spans="1:136" ht="20.25">
      <c r="A11" s="1">
        <v>41334</v>
      </c>
      <c r="B11">
        <v>60.77</v>
      </c>
      <c r="C11">
        <v>71.709999999999994</v>
      </c>
      <c r="D11">
        <v>102.14</v>
      </c>
      <c r="E11">
        <v>69.44</v>
      </c>
      <c r="F11">
        <v>45.27</v>
      </c>
      <c r="G11">
        <v>266.49</v>
      </c>
      <c r="I11">
        <f t="shared" si="1"/>
        <v>2.8052805280528335E-3</v>
      </c>
      <c r="J11">
        <f t="shared" si="0"/>
        <v>6.4104466538061927E-2</v>
      </c>
      <c r="K11">
        <f t="shared" si="0"/>
        <v>2.2217774219375489E-2</v>
      </c>
      <c r="L11">
        <f t="shared" si="0"/>
        <v>9.856035437430781E-2</v>
      </c>
      <c r="M11">
        <f t="shared" si="0"/>
        <v>-2.9789969995713535E-2</v>
      </c>
      <c r="N11">
        <f t="shared" si="0"/>
        <v>8.4004994891589187E-3</v>
      </c>
      <c r="R11" t="s">
        <v>27</v>
      </c>
      <c r="S11" t="s">
        <v>28</v>
      </c>
      <c r="T11" t="s">
        <v>29</v>
      </c>
      <c r="U11" t="s">
        <v>30</v>
      </c>
      <c r="V11" t="s">
        <v>1</v>
      </c>
      <c r="W11" t="s">
        <v>31</v>
      </c>
      <c r="X11" s="37"/>
      <c r="Y11" s="37"/>
    </row>
    <row r="12" spans="1:136">
      <c r="A12" s="1">
        <v>41306</v>
      </c>
      <c r="B12">
        <v>60.6</v>
      </c>
      <c r="C12">
        <v>67.39</v>
      </c>
      <c r="D12">
        <v>99.92</v>
      </c>
      <c r="E12">
        <v>63.21</v>
      </c>
      <c r="F12">
        <v>46.66</v>
      </c>
      <c r="G12">
        <v>264.27</v>
      </c>
      <c r="I12">
        <f t="shared" si="1"/>
        <v>-2.5253337622647583E-2</v>
      </c>
      <c r="J12">
        <f t="shared" si="0"/>
        <v>1.1861861861861956E-2</v>
      </c>
      <c r="K12">
        <f t="shared" si="0"/>
        <v>4.0724924487032563E-2</v>
      </c>
      <c r="L12">
        <f t="shared" si="0"/>
        <v>8.2947838570745433E-3</v>
      </c>
      <c r="M12">
        <f t="shared" si="0"/>
        <v>3.9661319073083644E-2</v>
      </c>
      <c r="N12">
        <f t="shared" si="0"/>
        <v>-4.6327683615819898E-3</v>
      </c>
      <c r="Q12" t="s">
        <v>27</v>
      </c>
      <c r="R12">
        <f>_xlfn.COVARIANCE.S(I$2:I$120, $R1:$EF1)</f>
        <v>1.1347094584357788E-2</v>
      </c>
      <c r="S12">
        <f t="shared" ref="S12:W12" si="2">_xlfn.COVARIANCE.S(J$2:J$120, $R1:$EF1)</f>
        <v>-1.2808626249175979E-4</v>
      </c>
      <c r="T12">
        <f t="shared" si="2"/>
        <v>1.8643665613472104E-3</v>
      </c>
      <c r="U12">
        <f t="shared" si="2"/>
        <v>2.8329185036018211E-3</v>
      </c>
      <c r="V12">
        <f t="shared" si="2"/>
        <v>1.7066857827640811E-3</v>
      </c>
      <c r="W12">
        <f t="shared" si="2"/>
        <v>3.6854060966199152E-3</v>
      </c>
      <c r="X12" s="33"/>
      <c r="Y12" s="33"/>
      <c r="Z12" s="26"/>
      <c r="AA12" s="26">
        <f>AVERAGE(ap)</f>
        <v>3.9311518804772398E-2</v>
      </c>
      <c r="AB12">
        <f>_xlfn.STDEV.S(ap)</f>
        <v>0.10652274209931785</v>
      </c>
      <c r="AD12">
        <f>1</f>
        <v>1</v>
      </c>
      <c r="AE12" s="3">
        <v>6.6001635248951765E-2</v>
      </c>
    </row>
    <row r="13" spans="1:136">
      <c r="A13" s="1">
        <v>41276</v>
      </c>
      <c r="B13">
        <v>62.17</v>
      </c>
      <c r="C13">
        <v>66.599999999999994</v>
      </c>
      <c r="D13">
        <v>96.01</v>
      </c>
      <c r="E13">
        <v>62.69</v>
      </c>
      <c r="F13">
        <v>44.88</v>
      </c>
      <c r="G13">
        <v>265.5</v>
      </c>
      <c r="I13">
        <f t="shared" si="1"/>
        <v>-0.14401762357152684</v>
      </c>
      <c r="J13">
        <f t="shared" si="0"/>
        <v>2.5088502385716416E-2</v>
      </c>
      <c r="K13">
        <f t="shared" si="0"/>
        <v>8.2900969997744295E-2</v>
      </c>
      <c r="L13">
        <f t="shared" si="0"/>
        <v>-1.6935863258585624E-2</v>
      </c>
      <c r="M13">
        <f t="shared" si="0"/>
        <v>7.7551020408163363E-2</v>
      </c>
      <c r="N13">
        <f t="shared" si="0"/>
        <v>5.8317056642882746E-2</v>
      </c>
      <c r="Q13" t="s">
        <v>28</v>
      </c>
      <c r="R13">
        <f t="shared" ref="R13:W13" si="3">_xlfn.COVARIANCE.S(I$2:I$120, $R2:$EF2)</f>
        <v>-1.2808626249175979E-4</v>
      </c>
      <c r="S13">
        <f t="shared" si="3"/>
        <v>2.0745901673024114E-3</v>
      </c>
      <c r="T13">
        <f t="shared" si="3"/>
        <v>4.1032736260014987E-4</v>
      </c>
      <c r="U13">
        <f t="shared" si="3"/>
        <v>8.8098423645722882E-4</v>
      </c>
      <c r="V13">
        <f t="shared" si="3"/>
        <v>1.1117098145381698E-3</v>
      </c>
      <c r="W13">
        <f t="shared" si="3"/>
        <v>5.2654315968720452E-4</v>
      </c>
      <c r="X13" s="33"/>
      <c r="Y13" s="33"/>
      <c r="Z13" s="26"/>
      <c r="AA13" s="26">
        <f>AVERAGE(w)</f>
        <v>5.8458537293868329E-3</v>
      </c>
      <c r="AB13">
        <f>_xlfn.STDEV.S(w)</f>
        <v>4.5547669175298219E-2</v>
      </c>
      <c r="AD13">
        <f>1</f>
        <v>1</v>
      </c>
      <c r="AE13" s="3">
        <v>0.58726056708174235</v>
      </c>
    </row>
    <row r="14" spans="1:136">
      <c r="A14" s="1">
        <v>41246</v>
      </c>
      <c r="B14">
        <v>72.63</v>
      </c>
      <c r="C14">
        <v>64.97</v>
      </c>
      <c r="D14">
        <v>88.66</v>
      </c>
      <c r="E14">
        <v>63.77</v>
      </c>
      <c r="F14">
        <v>41.65</v>
      </c>
      <c r="G14">
        <v>250.87</v>
      </c>
      <c r="I14">
        <f t="shared" si="1"/>
        <v>-9.0761141712568855E-2</v>
      </c>
      <c r="J14">
        <f t="shared" si="0"/>
        <v>-4.7360703812316773E-2</v>
      </c>
      <c r="K14">
        <f t="shared" si="0"/>
        <v>2.0958083832335252E-2</v>
      </c>
      <c r="L14">
        <f t="shared" si="0"/>
        <v>-1.0090034150884795E-2</v>
      </c>
      <c r="M14">
        <f t="shared" si="0"/>
        <v>7.0418915445900856E-2</v>
      </c>
      <c r="N14">
        <f t="shared" si="0"/>
        <v>-4.6816107915096479E-3</v>
      </c>
      <c r="Q14" t="s">
        <v>29</v>
      </c>
      <c r="R14">
        <f t="shared" ref="R14:W14" si="4">_xlfn.COVARIANCE.S(I$2:I$120, $R3:$EF3)</f>
        <v>1.8643665613472104E-3</v>
      </c>
      <c r="S14">
        <f t="shared" si="4"/>
        <v>4.1032736260014987E-4</v>
      </c>
      <c r="T14">
        <f t="shared" si="4"/>
        <v>3.2724583797686981E-3</v>
      </c>
      <c r="U14">
        <f t="shared" si="4"/>
        <v>1.4580055191565509E-3</v>
      </c>
      <c r="V14">
        <f t="shared" si="4"/>
        <v>2.0301661768797694E-3</v>
      </c>
      <c r="W14">
        <f t="shared" si="4"/>
        <v>2.4553800547578749E-3</v>
      </c>
      <c r="X14" s="33"/>
      <c r="Y14" s="33"/>
      <c r="Z14" s="26"/>
      <c r="AA14" s="26">
        <f>AVERAGE(m)</f>
        <v>8.5528320121986603E-3</v>
      </c>
      <c r="AB14">
        <f>_xlfn.STDEV.S(m)</f>
        <v>5.7205405162175878E-2</v>
      </c>
      <c r="AD14">
        <f>1</f>
        <v>1</v>
      </c>
      <c r="AE14" s="3">
        <v>0.28260369508872202</v>
      </c>
    </row>
    <row r="15" spans="1:136">
      <c r="A15" s="1">
        <v>41214</v>
      </c>
      <c r="B15">
        <v>79.88</v>
      </c>
      <c r="C15">
        <v>68.2</v>
      </c>
      <c r="D15">
        <v>86.84</v>
      </c>
      <c r="E15">
        <v>64.42</v>
      </c>
      <c r="F15">
        <v>38.909999999999997</v>
      </c>
      <c r="G15">
        <v>252.05</v>
      </c>
      <c r="I15">
        <f t="shared" si="1"/>
        <v>-1.2363996043521267E-2</v>
      </c>
      <c r="J15">
        <f t="shared" si="0"/>
        <v>-3.997747747747752E-2</v>
      </c>
      <c r="K15">
        <f t="shared" si="0"/>
        <v>4.5131784811650019E-2</v>
      </c>
      <c r="L15">
        <f t="shared" si="0"/>
        <v>-4.3219961384226895E-2</v>
      </c>
      <c r="M15">
        <f t="shared" si="0"/>
        <v>-1.4437689969604872E-2</v>
      </c>
      <c r="N15">
        <f t="shared" si="0"/>
        <v>8.2270599854008447E-2</v>
      </c>
      <c r="Q15" t="s">
        <v>30</v>
      </c>
      <c r="R15">
        <f t="shared" ref="R15:W15" si="5">_xlfn.COVARIANCE.S(I$2:I$120, $R4:$EF4)</f>
        <v>2.8329185036018211E-3</v>
      </c>
      <c r="S15">
        <f t="shared" si="5"/>
        <v>8.8098423645722882E-4</v>
      </c>
      <c r="T15">
        <f t="shared" si="5"/>
        <v>1.4580055191565509E-3</v>
      </c>
      <c r="U15">
        <f t="shared" si="5"/>
        <v>4.150586413624451E-3</v>
      </c>
      <c r="V15">
        <f t="shared" si="5"/>
        <v>2.0380206034626949E-3</v>
      </c>
      <c r="W15">
        <f t="shared" si="5"/>
        <v>2.2576133978507878E-3</v>
      </c>
      <c r="X15" s="33"/>
      <c r="Y15" s="33"/>
      <c r="Z15" s="26"/>
      <c r="AA15" s="26">
        <f>AVERAGE(y)</f>
        <v>1.6049915622119069E-2</v>
      </c>
      <c r="AB15">
        <f>_xlfn.STDEV.S(y)</f>
        <v>6.4425044925280839E-2</v>
      </c>
      <c r="AD15">
        <f>1</f>
        <v>1</v>
      </c>
      <c r="AE15" s="3">
        <v>6.4132963686972869E-2</v>
      </c>
    </row>
    <row r="16" spans="1:136">
      <c r="A16" s="1">
        <v>41183</v>
      </c>
      <c r="B16">
        <v>80.88</v>
      </c>
      <c r="C16">
        <v>71.040000000000006</v>
      </c>
      <c r="D16">
        <v>83.09</v>
      </c>
      <c r="E16">
        <v>67.33</v>
      </c>
      <c r="F16">
        <v>39.479999999999997</v>
      </c>
      <c r="G16">
        <v>232.89</v>
      </c>
      <c r="I16">
        <f t="shared" si="1"/>
        <v>-0.10758027143330023</v>
      </c>
      <c r="J16">
        <f t="shared" si="0"/>
        <v>1.6599885518031064E-2</v>
      </c>
      <c r="K16">
        <f t="shared" si="0"/>
        <v>-5.213324207164035E-2</v>
      </c>
      <c r="L16">
        <f t="shared" si="0"/>
        <v>6.2154914024294017E-2</v>
      </c>
      <c r="M16">
        <f t="shared" si="0"/>
        <v>3.730951129795046E-2</v>
      </c>
      <c r="N16">
        <f t="shared" si="0"/>
        <v>-8.4263919471531959E-2</v>
      </c>
      <c r="Q16" t="s">
        <v>1</v>
      </c>
      <c r="R16">
        <f t="shared" ref="R16:W16" si="6">_xlfn.COVARIANCE.S(I$2:I$120, $R5:$EF5)</f>
        <v>1.7066857827640811E-3</v>
      </c>
      <c r="S16">
        <f t="shared" si="6"/>
        <v>1.1117098145381698E-3</v>
      </c>
      <c r="T16">
        <f t="shared" si="6"/>
        <v>2.0301661768797694E-3</v>
      </c>
      <c r="U16">
        <f t="shared" si="6"/>
        <v>2.0380206034626949E-3</v>
      </c>
      <c r="V16">
        <f t="shared" si="6"/>
        <v>7.3538455261911561E-3</v>
      </c>
      <c r="W16">
        <f t="shared" si="6"/>
        <v>1.6591196038954687E-3</v>
      </c>
      <c r="X16" s="33"/>
      <c r="Y16" s="33"/>
      <c r="Z16" s="26"/>
      <c r="AA16" s="26">
        <f>AVERAGE(j)</f>
        <v>9.3361462208138932E-3</v>
      </c>
      <c r="AB16">
        <f>_xlfn.STDEV.S(j)</f>
        <v>8.5754565628840734E-2</v>
      </c>
      <c r="AD16">
        <f>1</f>
        <v>1</v>
      </c>
      <c r="AE16" s="3">
        <v>1.7857845578521699E-7</v>
      </c>
    </row>
    <row r="17" spans="1:31">
      <c r="A17" s="1">
        <v>41156</v>
      </c>
      <c r="B17">
        <v>90.63</v>
      </c>
      <c r="C17">
        <v>69.88</v>
      </c>
      <c r="D17">
        <v>87.66</v>
      </c>
      <c r="E17">
        <v>63.39</v>
      </c>
      <c r="F17">
        <v>38.06</v>
      </c>
      <c r="G17">
        <v>254.32</v>
      </c>
      <c r="I17">
        <f t="shared" si="1"/>
        <v>2.7660986944014164E-3</v>
      </c>
      <c r="J17">
        <f t="shared" si="0"/>
        <v>1.6436363636363572E-2</v>
      </c>
      <c r="K17">
        <f t="shared" si="0"/>
        <v>-2.0491803278689302E-3</v>
      </c>
      <c r="L17">
        <f t="shared" si="0"/>
        <v>4.1228646517739782E-2</v>
      </c>
      <c r="M17">
        <f t="shared" si="0"/>
        <v>8.9919816723940449E-2</v>
      </c>
      <c r="N17">
        <f t="shared" si="0"/>
        <v>2.4368630926007905E-2</v>
      </c>
      <c r="Q17" t="s">
        <v>31</v>
      </c>
      <c r="R17">
        <f t="shared" ref="R17:W17" si="7">_xlfn.COVARIANCE.S(I$2:I$120, $R6:$EF6)</f>
        <v>3.6854060966199152E-3</v>
      </c>
      <c r="S17">
        <f t="shared" si="7"/>
        <v>5.2654315968720452E-4</v>
      </c>
      <c r="T17">
        <f t="shared" si="7"/>
        <v>2.4553800547578749E-3</v>
      </c>
      <c r="U17">
        <f t="shared" si="7"/>
        <v>2.2576133978507878E-3</v>
      </c>
      <c r="V17">
        <f t="shared" si="7"/>
        <v>1.6591196038954687E-3</v>
      </c>
      <c r="W17">
        <f t="shared" si="7"/>
        <v>1.4650585405446002E-2</v>
      </c>
      <c r="X17" s="33"/>
      <c r="Y17" s="33"/>
      <c r="Z17" s="26"/>
      <c r="AA17" s="26">
        <f>AVERAGE(ym)</f>
        <v>2.4615088186914581E-2</v>
      </c>
      <c r="AB17">
        <f>_xlfn.STDEV.S(ym)</f>
        <v>0.12103960263255162</v>
      </c>
      <c r="AD17">
        <f>1</f>
        <v>1</v>
      </c>
      <c r="AE17" s="3">
        <v>9.6031518417844418E-7</v>
      </c>
    </row>
    <row r="18" spans="1:31">
      <c r="A18" s="1">
        <v>41122</v>
      </c>
      <c r="B18">
        <v>90.38</v>
      </c>
      <c r="C18">
        <v>68.75</v>
      </c>
      <c r="D18">
        <v>87.84</v>
      </c>
      <c r="E18">
        <v>60.88</v>
      </c>
      <c r="F18">
        <v>34.92</v>
      </c>
      <c r="G18">
        <v>248.27</v>
      </c>
      <c r="I18">
        <f t="shared" si="1"/>
        <v>9.3791601113397072E-2</v>
      </c>
      <c r="J18">
        <f t="shared" si="0"/>
        <v>-1.9258202567760264E-2</v>
      </c>
      <c r="K18">
        <f t="shared" si="0"/>
        <v>2.1514129549947768E-2</v>
      </c>
      <c r="L18">
        <f t="shared" si="0"/>
        <v>-1.7271993543179986E-2</v>
      </c>
      <c r="M18">
        <f t="shared" si="0"/>
        <v>3.1610044313146242E-2</v>
      </c>
      <c r="N18">
        <f t="shared" si="0"/>
        <v>6.4166309472781818E-2</v>
      </c>
    </row>
    <row r="19" spans="1:31" ht="20.25">
      <c r="A19" s="1">
        <v>41092</v>
      </c>
      <c r="B19">
        <v>82.63</v>
      </c>
      <c r="C19">
        <v>70.099999999999994</v>
      </c>
      <c r="D19">
        <v>85.99</v>
      </c>
      <c r="E19">
        <v>61.95</v>
      </c>
      <c r="F19">
        <v>33.85</v>
      </c>
      <c r="G19">
        <v>233.3</v>
      </c>
      <c r="I19">
        <f t="shared" si="1"/>
        <v>4.5816985191747754E-2</v>
      </c>
      <c r="J19">
        <f t="shared" si="0"/>
        <v>6.7621078282059058E-2</v>
      </c>
      <c r="K19">
        <f t="shared" si="0"/>
        <v>1.8235642391947804E-2</v>
      </c>
      <c r="L19">
        <f t="shared" si="0"/>
        <v>1.1098416843479675E-2</v>
      </c>
      <c r="M19">
        <f t="shared" si="0"/>
        <v>1.5906362545018041E-2</v>
      </c>
      <c r="N19">
        <f t="shared" si="0"/>
        <v>2.1677249835778487E-2</v>
      </c>
      <c r="Z19" s="39" t="s">
        <v>20</v>
      </c>
      <c r="AA19" s="39"/>
      <c r="AB19" s="39"/>
    </row>
    <row r="20" spans="1:31">
      <c r="A20" s="1">
        <v>41061</v>
      </c>
      <c r="B20">
        <v>79.010000000000005</v>
      </c>
      <c r="C20">
        <v>65.66</v>
      </c>
      <c r="D20">
        <v>84.45</v>
      </c>
      <c r="E20">
        <v>61.27</v>
      </c>
      <c r="F20">
        <v>33.32</v>
      </c>
      <c r="G20">
        <v>228.35</v>
      </c>
      <c r="I20">
        <f t="shared" si="1"/>
        <v>1.0875127942681789E-2</v>
      </c>
      <c r="J20">
        <f t="shared" si="0"/>
        <v>5.9203097273753745E-2</v>
      </c>
      <c r="K20">
        <f t="shared" si="0"/>
        <v>6.1463046757164408E-2</v>
      </c>
      <c r="L20">
        <f t="shared" si="0"/>
        <v>-8.442916915720261E-2</v>
      </c>
      <c r="M20">
        <f t="shared" si="0"/>
        <v>7.7968295050145589E-2</v>
      </c>
      <c r="N20">
        <f t="shared" si="0"/>
        <v>7.2518904701517062E-2</v>
      </c>
      <c r="W20" s="40" t="s">
        <v>13</v>
      </c>
      <c r="X20" s="40"/>
      <c r="Y20" s="40"/>
      <c r="Z20">
        <f t="array" ref="Z20">MMULT(TRANSPOSE(s), MMULT(Sigma, s))</f>
        <v>1.3823452275711632E-3</v>
      </c>
      <c r="AB20" s="40" t="s">
        <v>45</v>
      </c>
      <c r="AC20" s="40"/>
      <c r="AD20" s="27">
        <f t="array" ref="AD20">MMULT(TRANSPOSE(i), s)</f>
        <v>1.0000000000000289</v>
      </c>
    </row>
    <row r="21" spans="1:31">
      <c r="A21" s="1">
        <v>41030</v>
      </c>
      <c r="B21">
        <v>78.16</v>
      </c>
      <c r="C21">
        <v>61.99</v>
      </c>
      <c r="D21">
        <v>79.56</v>
      </c>
      <c r="E21">
        <v>66.92</v>
      </c>
      <c r="F21">
        <v>30.91</v>
      </c>
      <c r="G21">
        <v>212.91</v>
      </c>
      <c r="I21">
        <f t="shared" si="1"/>
        <v>-1.0632911392405107E-2</v>
      </c>
      <c r="J21">
        <f t="shared" si="0"/>
        <v>0.12484122663763388</v>
      </c>
      <c r="K21">
        <f t="shared" si="0"/>
        <v>-4.8894202032277387E-2</v>
      </c>
      <c r="L21">
        <f t="shared" si="0"/>
        <v>-3.2668401272044012E-2</v>
      </c>
      <c r="M21">
        <f t="shared" si="0"/>
        <v>-0.22879241516966065</v>
      </c>
      <c r="N21">
        <f t="shared" si="0"/>
        <v>-8.1888745148771064E-2</v>
      </c>
      <c r="W21" s="31" t="s">
        <v>47</v>
      </c>
      <c r="X21" s="31"/>
      <c r="Y21" s="31"/>
      <c r="Z21" s="29">
        <f>SQRT(Z20)</f>
        <v>3.7179903544403703E-2</v>
      </c>
      <c r="AA21" s="26"/>
      <c r="AB21" s="40" t="s">
        <v>46</v>
      </c>
      <c r="AC21" s="40"/>
      <c r="AD21" s="44">
        <f t="array" ref="AD21">MMULT(TRANSPOSE(mu), s)</f>
        <v>9.4740797928018379E-3</v>
      </c>
    </row>
    <row r="22" spans="1:31">
      <c r="A22" s="1">
        <v>41001</v>
      </c>
      <c r="B22">
        <v>79</v>
      </c>
      <c r="C22">
        <v>55.11</v>
      </c>
      <c r="D22">
        <v>83.65</v>
      </c>
      <c r="E22">
        <v>69.180000000000007</v>
      </c>
      <c r="F22">
        <v>40.08</v>
      </c>
      <c r="G22">
        <v>231.9</v>
      </c>
      <c r="I22">
        <f t="shared" si="1"/>
        <v>-2.601405498705461E-2</v>
      </c>
      <c r="J22">
        <f t="shared" si="0"/>
        <v>-3.7379912663755469E-2</v>
      </c>
      <c r="K22">
        <f t="shared" si="0"/>
        <v>1.6764459346186153E-3</v>
      </c>
      <c r="L22">
        <f t="shared" si="0"/>
        <v>2.6105013349154629E-2</v>
      </c>
      <c r="M22">
        <f t="shared" si="0"/>
        <v>-5.9154929577464863E-2</v>
      </c>
      <c r="N22">
        <f t="shared" si="0"/>
        <v>0.14512863562293227</v>
      </c>
      <c r="W22" s="41" t="s">
        <v>50</v>
      </c>
      <c r="X22" s="41"/>
      <c r="Y22" s="41"/>
      <c r="Z22">
        <f t="array" ref="Z22">MMULT(TRANSPOSE(mu), s)</f>
        <v>9.4740797928018379E-3</v>
      </c>
      <c r="AA22" s="26"/>
      <c r="AB22" s="26"/>
    </row>
    <row r="23" spans="1:31">
      <c r="A23" s="1">
        <v>40969</v>
      </c>
      <c r="B23">
        <v>81.11</v>
      </c>
      <c r="C23">
        <v>57.25</v>
      </c>
      <c r="D23">
        <v>83.51</v>
      </c>
      <c r="E23">
        <v>67.42</v>
      </c>
      <c r="F23">
        <v>42.6</v>
      </c>
      <c r="G23">
        <v>202.51</v>
      </c>
      <c r="I23">
        <f t="shared" si="1"/>
        <v>0.1053420550558736</v>
      </c>
      <c r="J23">
        <f t="shared" si="0"/>
        <v>4.2805100182149391E-2</v>
      </c>
      <c r="K23">
        <f t="shared" si="0"/>
        <v>1.8414634146341525E-2</v>
      </c>
      <c r="L23">
        <f t="shared" si="0"/>
        <v>7.4593560726809047E-2</v>
      </c>
      <c r="M23">
        <f t="shared" si="0"/>
        <v>0.17161716171617167</v>
      </c>
      <c r="N23">
        <f t="shared" si="0"/>
        <v>0.12699649396182311</v>
      </c>
      <c r="AA23" s="26"/>
      <c r="AB23" s="26"/>
    </row>
    <row r="24" spans="1:31" ht="20.25">
      <c r="A24" s="1">
        <v>40940</v>
      </c>
      <c r="B24">
        <v>73.38</v>
      </c>
      <c r="C24">
        <v>54.9</v>
      </c>
      <c r="D24">
        <v>82</v>
      </c>
      <c r="E24">
        <v>62.74</v>
      </c>
      <c r="F24">
        <v>36.36</v>
      </c>
      <c r="G24">
        <v>179.69</v>
      </c>
      <c r="I24">
        <f t="shared" si="1"/>
        <v>0.18834008097165986</v>
      </c>
      <c r="J24">
        <f t="shared" si="0"/>
        <v>-3.7179936864258231E-2</v>
      </c>
      <c r="K24">
        <f t="shared" si="0"/>
        <v>1.7117340610270346E-2</v>
      </c>
      <c r="L24">
        <f t="shared" si="0"/>
        <v>4.5840973495582596E-2</v>
      </c>
      <c r="M24">
        <f t="shared" si="0"/>
        <v>5.2083333333333245E-2</v>
      </c>
      <c r="N24">
        <f t="shared" si="0"/>
        <v>-7.5858876774326275E-2</v>
      </c>
      <c r="Z24" s="39"/>
      <c r="AA24" s="39"/>
      <c r="AB24" s="39"/>
    </row>
    <row r="25" spans="1:31">
      <c r="A25" s="1">
        <v>40911</v>
      </c>
      <c r="B25">
        <v>61.75</v>
      </c>
      <c r="C25">
        <v>57.02</v>
      </c>
      <c r="D25">
        <v>80.62</v>
      </c>
      <c r="E25">
        <v>59.99</v>
      </c>
      <c r="F25">
        <v>34.56</v>
      </c>
      <c r="G25">
        <v>194.44</v>
      </c>
      <c r="I25">
        <f t="shared" si="1"/>
        <v>0.12703048001460121</v>
      </c>
      <c r="J25">
        <f t="shared" si="0"/>
        <v>2.6832342877723788E-2</v>
      </c>
      <c r="K25">
        <f t="shared" si="0"/>
        <v>6.0929069614423084E-2</v>
      </c>
      <c r="L25">
        <f t="shared" si="0"/>
        <v>7.8374977530109635E-2</v>
      </c>
      <c r="M25">
        <f t="shared" si="0"/>
        <v>0.12978097417456694</v>
      </c>
      <c r="N25">
        <f t="shared" si="0"/>
        <v>0.12328134026574238</v>
      </c>
      <c r="AA25" s="26"/>
      <c r="AB25" s="26"/>
    </row>
    <row r="26" spans="1:31" ht="22.5">
      <c r="A26" s="1">
        <v>40878</v>
      </c>
      <c r="B26">
        <v>54.79</v>
      </c>
      <c r="C26">
        <v>55.53</v>
      </c>
      <c r="D26">
        <v>75.989999999999995</v>
      </c>
      <c r="E26">
        <v>55.63</v>
      </c>
      <c r="F26">
        <v>30.59</v>
      </c>
      <c r="G26">
        <v>173.1</v>
      </c>
      <c r="I26">
        <f t="shared" si="1"/>
        <v>5.956294720556949E-2</v>
      </c>
      <c r="J26">
        <f t="shared" si="0"/>
        <v>2.0959735245449543E-2</v>
      </c>
      <c r="K26">
        <f t="shared" si="0"/>
        <v>8.4936960849369691E-3</v>
      </c>
      <c r="L26">
        <f t="shared" si="0"/>
        <v>5.3000189286390394E-2</v>
      </c>
      <c r="M26">
        <f t="shared" si="0"/>
        <v>7.3710073710073765E-2</v>
      </c>
      <c r="N26">
        <f t="shared" si="0"/>
        <v>-9.9797181340683341E-2</v>
      </c>
      <c r="Q26" s="38"/>
      <c r="R26" s="38"/>
      <c r="X26" s="34"/>
      <c r="Y26" s="34"/>
      <c r="AA26" s="26"/>
      <c r="AB26" s="26"/>
    </row>
    <row r="27" spans="1:31">
      <c r="A27" s="1">
        <v>40848</v>
      </c>
      <c r="B27">
        <v>51.71</v>
      </c>
      <c r="C27">
        <v>54.39</v>
      </c>
      <c r="D27">
        <v>75.349999999999994</v>
      </c>
      <c r="E27">
        <v>52.83</v>
      </c>
      <c r="F27">
        <v>28.49</v>
      </c>
      <c r="G27">
        <v>192.29</v>
      </c>
      <c r="I27">
        <f t="shared" si="1"/>
        <v>-5.5697589481373218E-2</v>
      </c>
      <c r="J27">
        <f t="shared" si="0"/>
        <v>3.8373424971363077E-2</v>
      </c>
      <c r="K27">
        <f t="shared" si="0"/>
        <v>3.2757675438596499E-2</v>
      </c>
      <c r="L27">
        <f t="shared" si="0"/>
        <v>4.6138613861386103E-2</v>
      </c>
      <c r="M27">
        <f t="shared" si="0"/>
        <v>-0.10885204879574603</v>
      </c>
      <c r="N27">
        <f t="shared" si="0"/>
        <v>-9.9386445599737722E-2</v>
      </c>
      <c r="R27" s="3"/>
      <c r="S27" s="3"/>
      <c r="T27" s="3"/>
      <c r="U27" s="3"/>
      <c r="V27" s="3"/>
      <c r="W27" s="3"/>
      <c r="X27" s="35"/>
      <c r="Y27" s="35"/>
    </row>
    <row r="28" spans="1:31">
      <c r="A28" s="1">
        <v>40819</v>
      </c>
      <c r="B28">
        <v>54.76</v>
      </c>
      <c r="C28">
        <v>52.38</v>
      </c>
      <c r="D28">
        <v>72.959999999999994</v>
      </c>
      <c r="E28">
        <v>50.5</v>
      </c>
      <c r="F28">
        <v>31.97</v>
      </c>
      <c r="G28">
        <v>213.51</v>
      </c>
      <c r="I28">
        <f t="shared" si="1"/>
        <v>6.1446016669897158E-2</v>
      </c>
      <c r="J28">
        <f t="shared" si="0"/>
        <v>9.2843730440225383E-2</v>
      </c>
      <c r="K28">
        <f t="shared" si="0"/>
        <v>0.10078455039227509</v>
      </c>
      <c r="L28">
        <f t="shared" si="0"/>
        <v>9.0712742980561617E-2</v>
      </c>
      <c r="M28">
        <f t="shared" si="0"/>
        <v>0.16423889293517838</v>
      </c>
      <c r="N28">
        <f t="shared" si="0"/>
        <v>-1.2579198076122643E-2</v>
      </c>
    </row>
    <row r="29" spans="1:31">
      <c r="A29" s="1">
        <v>40787</v>
      </c>
      <c r="B29">
        <v>51.59</v>
      </c>
      <c r="C29">
        <v>47.93</v>
      </c>
      <c r="D29">
        <v>66.28</v>
      </c>
      <c r="E29">
        <v>46.3</v>
      </c>
      <c r="F29">
        <v>27.46</v>
      </c>
      <c r="G29">
        <v>216.23</v>
      </c>
      <c r="I29">
        <f t="shared" si="1"/>
        <v>-9.0280445639646344E-3</v>
      </c>
      <c r="J29">
        <f t="shared" si="0"/>
        <v>-2.4226384364820802E-2</v>
      </c>
      <c r="K29">
        <f t="shared" si="0"/>
        <v>-0.1348387938911369</v>
      </c>
      <c r="L29">
        <f t="shared" si="0"/>
        <v>-9.1622523052776184E-2</v>
      </c>
      <c r="M29">
        <f t="shared" si="0"/>
        <v>-0.19824817518248172</v>
      </c>
      <c r="N29">
        <f t="shared" si="0"/>
        <v>4.6461924452910839E-3</v>
      </c>
      <c r="P29" s="31"/>
      <c r="Q29" s="31"/>
      <c r="R29" s="24"/>
      <c r="S29" s="24"/>
      <c r="T29" s="24"/>
      <c r="U29" s="24"/>
      <c r="V29" s="24"/>
      <c r="W29" s="24"/>
      <c r="Z29" s="31"/>
      <c r="AA29" s="31"/>
    </row>
    <row r="30" spans="1:31">
      <c r="A30" s="1">
        <v>40756</v>
      </c>
      <c r="B30">
        <v>52.06</v>
      </c>
      <c r="C30">
        <v>49.12</v>
      </c>
      <c r="D30">
        <v>76.61</v>
      </c>
      <c r="E30">
        <v>50.97</v>
      </c>
      <c r="F30">
        <v>34.25</v>
      </c>
      <c r="G30">
        <v>215.23</v>
      </c>
      <c r="I30">
        <f t="shared" si="1"/>
        <v>-1.4575052053757261E-2</v>
      </c>
      <c r="J30">
        <f t="shared" si="0"/>
        <v>1.6345954893440911E-2</v>
      </c>
      <c r="K30">
        <f t="shared" si="0"/>
        <v>-4.1296458515830275E-2</v>
      </c>
      <c r="L30">
        <f t="shared" si="0"/>
        <v>2.9281098546041915E-2</v>
      </c>
      <c r="M30">
        <f t="shared" si="0"/>
        <v>-7.1312364425162755E-2</v>
      </c>
      <c r="N30">
        <f t="shared" si="0"/>
        <v>-3.2761100125831479E-2</v>
      </c>
      <c r="P30" s="31"/>
      <c r="Q30" s="31"/>
      <c r="R30" s="24"/>
      <c r="Z30" s="31"/>
      <c r="AA30" s="31"/>
    </row>
    <row r="31" spans="1:31">
      <c r="A31" s="1">
        <v>40725</v>
      </c>
      <c r="B31">
        <v>52.83</v>
      </c>
      <c r="C31">
        <v>48.33</v>
      </c>
      <c r="D31">
        <v>79.91</v>
      </c>
      <c r="E31">
        <v>49.52</v>
      </c>
      <c r="F31">
        <v>36.880000000000003</v>
      </c>
      <c r="G31">
        <v>222.52</v>
      </c>
      <c r="I31">
        <f t="shared" si="1"/>
        <v>0.16340013212948695</v>
      </c>
      <c r="J31">
        <f t="shared" si="0"/>
        <v>-8.0049261083743953E-3</v>
      </c>
      <c r="K31">
        <f t="shared" si="0"/>
        <v>-8.1283053575534683E-2</v>
      </c>
      <c r="L31">
        <f t="shared" si="0"/>
        <v>-3.9379243452958179E-2</v>
      </c>
      <c r="M31">
        <f t="shared" si="0"/>
        <v>-5.9299191374662767E-3</v>
      </c>
      <c r="N31">
        <f t="shared" si="0"/>
        <v>8.8170570688053201E-2</v>
      </c>
      <c r="P31" s="31"/>
      <c r="Q31" s="31"/>
      <c r="R31" s="24"/>
      <c r="Z31" s="31"/>
      <c r="AA31" s="31"/>
    </row>
    <row r="32" spans="1:31">
      <c r="A32" s="1">
        <v>40695</v>
      </c>
      <c r="B32">
        <v>45.41</v>
      </c>
      <c r="C32">
        <v>48.72</v>
      </c>
      <c r="D32">
        <v>86.98</v>
      </c>
      <c r="E32">
        <v>51.55</v>
      </c>
      <c r="F32">
        <v>37.1</v>
      </c>
      <c r="G32">
        <v>204.49</v>
      </c>
      <c r="I32">
        <f t="shared" si="1"/>
        <v>-3.5061623459413632E-2</v>
      </c>
      <c r="J32">
        <f t="shared" si="0"/>
        <v>-3.7724669168477255E-2</v>
      </c>
      <c r="K32">
        <f t="shared" si="0"/>
        <v>4.9682264586944757E-3</v>
      </c>
      <c r="L32">
        <f t="shared" si="0"/>
        <v>-1.5494867325199573E-3</v>
      </c>
      <c r="M32">
        <f t="shared" si="0"/>
        <v>-5.33299311048736E-2</v>
      </c>
      <c r="N32">
        <f t="shared" si="0"/>
        <v>3.9656311962987502E-2</v>
      </c>
    </row>
    <row r="33" spans="1:17">
      <c r="A33" s="1">
        <v>40665</v>
      </c>
      <c r="B33">
        <v>47.06</v>
      </c>
      <c r="C33">
        <v>50.63</v>
      </c>
      <c r="D33">
        <v>86.55</v>
      </c>
      <c r="E33">
        <v>51.63</v>
      </c>
      <c r="F33">
        <v>39.19</v>
      </c>
      <c r="G33">
        <v>196.69</v>
      </c>
      <c r="I33">
        <f t="shared" si="1"/>
        <v>-6.5442263035675576E-3</v>
      </c>
      <c r="J33">
        <f t="shared" si="0"/>
        <v>1.098242811501606E-2</v>
      </c>
      <c r="K33">
        <f t="shared" si="0"/>
        <v>-2.3468351573959139E-2</v>
      </c>
      <c r="L33">
        <f t="shared" si="0"/>
        <v>3.1362365161805836E-2</v>
      </c>
      <c r="M33">
        <f t="shared" si="0"/>
        <v>-5.2237001209189927E-2</v>
      </c>
      <c r="N33">
        <f t="shared" si="0"/>
        <v>4.4941524947653107E-3</v>
      </c>
    </row>
    <row r="34" spans="1:17">
      <c r="A34" s="1">
        <v>40634</v>
      </c>
      <c r="B34">
        <v>47.37</v>
      </c>
      <c r="C34">
        <v>50.08</v>
      </c>
      <c r="D34">
        <v>88.63</v>
      </c>
      <c r="E34">
        <v>50.06</v>
      </c>
      <c r="F34">
        <v>41.35</v>
      </c>
      <c r="G34">
        <v>195.81</v>
      </c>
      <c r="I34">
        <f t="shared" si="1"/>
        <v>4.665959703075268E-3</v>
      </c>
      <c r="J34">
        <f t="shared" si="0"/>
        <v>5.6317232651339422E-2</v>
      </c>
      <c r="K34">
        <f t="shared" si="0"/>
        <v>3.9770061004223381E-2</v>
      </c>
      <c r="L34">
        <f t="shared" si="0"/>
        <v>4.9255921190526124E-2</v>
      </c>
      <c r="M34">
        <f t="shared" si="0"/>
        <v>-4.8134777376653611E-3</v>
      </c>
      <c r="N34">
        <f t="shared" si="0"/>
        <v>8.7048242935657619E-2</v>
      </c>
    </row>
    <row r="35" spans="1:17">
      <c r="A35" s="1">
        <v>40603</v>
      </c>
      <c r="B35">
        <v>47.15</v>
      </c>
      <c r="C35">
        <v>47.41</v>
      </c>
      <c r="D35">
        <v>85.24</v>
      </c>
      <c r="E35">
        <v>47.71</v>
      </c>
      <c r="F35">
        <v>41.55</v>
      </c>
      <c r="G35">
        <v>180.13</v>
      </c>
      <c r="I35">
        <f t="shared" si="1"/>
        <v>-1.3185433235663511E-2</v>
      </c>
      <c r="J35">
        <f t="shared" si="0"/>
        <v>8.2943428328369519E-3</v>
      </c>
      <c r="K35">
        <f t="shared" si="0"/>
        <v>1.3675823522416357E-2</v>
      </c>
      <c r="L35">
        <f t="shared" si="0"/>
        <v>2.0753102267864757E-2</v>
      </c>
      <c r="M35">
        <f t="shared" si="0"/>
        <v>-1.2829650748396442E-2</v>
      </c>
      <c r="N35">
        <f t="shared" si="0"/>
        <v>3.9471406313116762E-2</v>
      </c>
    </row>
    <row r="36" spans="1:17">
      <c r="A36" s="1">
        <v>40575</v>
      </c>
      <c r="B36">
        <v>47.78</v>
      </c>
      <c r="C36">
        <v>47.02</v>
      </c>
      <c r="D36">
        <v>84.09</v>
      </c>
      <c r="E36">
        <v>46.74</v>
      </c>
      <c r="F36">
        <v>42.09</v>
      </c>
      <c r="G36">
        <v>173.29</v>
      </c>
      <c r="I36">
        <f t="shared" si="1"/>
        <v>4.0958605664488078E-2</v>
      </c>
      <c r="J36">
        <f t="shared" si="0"/>
        <v>-7.2766712679944737E-2</v>
      </c>
      <c r="K36">
        <f t="shared" si="0"/>
        <v>5.5346385542168627E-2</v>
      </c>
      <c r="L36">
        <f t="shared" si="0"/>
        <v>7.6462459695992635E-2</v>
      </c>
      <c r="M36">
        <f t="shared" si="0"/>
        <v>3.9002715378918917E-2</v>
      </c>
      <c r="N36">
        <f t="shared" si="0"/>
        <v>2.1516151850978577E-2</v>
      </c>
    </row>
    <row r="37" spans="1:17">
      <c r="A37" s="1">
        <v>40546</v>
      </c>
      <c r="B37">
        <v>45.9</v>
      </c>
      <c r="C37">
        <v>50.71</v>
      </c>
      <c r="D37">
        <v>79.680000000000007</v>
      </c>
      <c r="E37">
        <v>43.42</v>
      </c>
      <c r="F37">
        <v>40.51</v>
      </c>
      <c r="G37">
        <v>169.64</v>
      </c>
      <c r="I37">
        <f t="shared" si="1"/>
        <v>5.1787351054078778E-2</v>
      </c>
      <c r="J37">
        <f t="shared" si="0"/>
        <v>3.9565395653956531E-2</v>
      </c>
      <c r="K37">
        <f t="shared" si="0"/>
        <v>1.8795550441120232E-2</v>
      </c>
      <c r="L37">
        <f t="shared" si="0"/>
        <v>-4.1924095322153541E-2</v>
      </c>
      <c r="M37">
        <f t="shared" si="0"/>
        <v>6.074888714323122E-2</v>
      </c>
      <c r="N37">
        <f t="shared" si="0"/>
        <v>-5.7555555555555631E-2</v>
      </c>
    </row>
    <row r="38" spans="1:17">
      <c r="A38" s="1">
        <v>40513</v>
      </c>
      <c r="B38">
        <v>43.64</v>
      </c>
      <c r="C38">
        <v>48.78</v>
      </c>
      <c r="D38">
        <v>78.209999999999994</v>
      </c>
      <c r="E38">
        <v>45.32</v>
      </c>
      <c r="F38">
        <v>38.19</v>
      </c>
      <c r="G38">
        <v>180</v>
      </c>
      <c r="I38">
        <f t="shared" si="1"/>
        <v>3.68258493703967E-2</v>
      </c>
      <c r="J38">
        <f t="shared" si="0"/>
        <v>2.6721479958890558E-3</v>
      </c>
      <c r="K38">
        <f t="shared" si="0"/>
        <v>2.7591643673630196E-2</v>
      </c>
      <c r="L38">
        <f t="shared" si="0"/>
        <v>-2.0531661984006976E-2</v>
      </c>
      <c r="M38">
        <f t="shared" si="0"/>
        <v>0.13424413424413412</v>
      </c>
      <c r="N38">
        <f t="shared" si="0"/>
        <v>2.6225769669327218E-2</v>
      </c>
      <c r="P38" s="31"/>
      <c r="Q38" s="31"/>
    </row>
    <row r="39" spans="1:17">
      <c r="A39" s="1">
        <v>40483</v>
      </c>
      <c r="B39">
        <v>42.09</v>
      </c>
      <c r="C39">
        <v>48.65</v>
      </c>
      <c r="D39">
        <v>76.11</v>
      </c>
      <c r="E39">
        <v>46.27</v>
      </c>
      <c r="F39">
        <v>33.67</v>
      </c>
      <c r="G39">
        <v>175.4</v>
      </c>
      <c r="I39">
        <f t="shared" si="1"/>
        <v>3.3644400785854726E-2</v>
      </c>
      <c r="J39">
        <f t="shared" si="0"/>
        <v>-1.6416991586291462E-3</v>
      </c>
      <c r="K39">
        <f t="shared" si="0"/>
        <v>3.4278180619644713E-3</v>
      </c>
      <c r="L39">
        <f t="shared" si="0"/>
        <v>1.0482638130596288E-2</v>
      </c>
      <c r="M39">
        <f t="shared" si="0"/>
        <v>-6.198347107438041E-3</v>
      </c>
      <c r="N39">
        <f t="shared" si="0"/>
        <v>6.1550565877867315E-2</v>
      </c>
      <c r="P39" s="31"/>
      <c r="Q39" s="31"/>
    </row>
    <row r="40" spans="1:17">
      <c r="A40" s="1">
        <v>40452</v>
      </c>
      <c r="B40">
        <v>40.72</v>
      </c>
      <c r="C40">
        <v>48.73</v>
      </c>
      <c r="D40">
        <v>75.849999999999994</v>
      </c>
      <c r="E40">
        <v>45.79</v>
      </c>
      <c r="F40">
        <v>33.880000000000003</v>
      </c>
      <c r="G40">
        <v>165.23</v>
      </c>
      <c r="I40">
        <f t="shared" si="1"/>
        <v>6.0692888773117952E-2</v>
      </c>
      <c r="J40">
        <f t="shared" si="0"/>
        <v>1.225592023265468E-2</v>
      </c>
      <c r="K40">
        <f t="shared" si="0"/>
        <v>-2.8684850813164412E-2</v>
      </c>
      <c r="L40">
        <f t="shared" si="0"/>
        <v>8.1738719584219258E-2</v>
      </c>
      <c r="M40">
        <f t="shared" si="0"/>
        <v>-9.9357101110460633E-3</v>
      </c>
      <c r="N40">
        <f t="shared" si="0"/>
        <v>5.2018336941296241E-2</v>
      </c>
      <c r="P40" s="31"/>
      <c r="Q40" s="31"/>
    </row>
    <row r="41" spans="1:17">
      <c r="A41" s="1">
        <v>40422</v>
      </c>
      <c r="B41">
        <v>38.39</v>
      </c>
      <c r="C41">
        <v>48.14</v>
      </c>
      <c r="D41">
        <v>78.09</v>
      </c>
      <c r="E41">
        <v>42.33</v>
      </c>
      <c r="F41">
        <v>34.22</v>
      </c>
      <c r="G41">
        <v>157.06</v>
      </c>
      <c r="I41">
        <f t="shared" si="1"/>
        <v>0.16722408026755853</v>
      </c>
      <c r="J41">
        <f t="shared" si="0"/>
        <v>6.7405764966740556E-2</v>
      </c>
      <c r="K41">
        <f t="shared" si="0"/>
        <v>0.10390161153519945</v>
      </c>
      <c r="L41">
        <f t="shared" si="0"/>
        <v>0.10464509394572019</v>
      </c>
      <c r="M41">
        <f t="shared" si="0"/>
        <v>4.6803303762618577E-2</v>
      </c>
      <c r="N41">
        <f t="shared" si="0"/>
        <v>0.25819113995033249</v>
      </c>
    </row>
    <row r="42" spans="1:17">
      <c r="A42" s="1">
        <v>40392</v>
      </c>
      <c r="B42">
        <v>32.89</v>
      </c>
      <c r="C42">
        <v>45.1</v>
      </c>
      <c r="D42">
        <v>70.739999999999995</v>
      </c>
      <c r="E42">
        <v>38.32</v>
      </c>
      <c r="F42">
        <v>32.69</v>
      </c>
      <c r="G42">
        <v>124.83</v>
      </c>
      <c r="I42">
        <f t="shared" si="1"/>
        <v>-5.4885057471264272E-2</v>
      </c>
      <c r="J42">
        <f t="shared" si="0"/>
        <v>-1.4853647881170811E-2</v>
      </c>
      <c r="K42">
        <f t="shared" si="0"/>
        <v>-7.6018808777429558E-2</v>
      </c>
      <c r="L42">
        <f t="shared" si="0"/>
        <v>9.4836670179135781E-3</v>
      </c>
      <c r="M42">
        <f t="shared" si="0"/>
        <v>-9.7459966869133108E-2</v>
      </c>
      <c r="N42">
        <f t="shared" si="0"/>
        <v>5.8868436678259375E-2</v>
      </c>
    </row>
    <row r="43" spans="1:17">
      <c r="A43" s="1">
        <v>40360</v>
      </c>
      <c r="B43">
        <v>34.799999999999997</v>
      </c>
      <c r="C43">
        <v>45.78</v>
      </c>
      <c r="D43">
        <v>76.56</v>
      </c>
      <c r="E43">
        <v>37.96</v>
      </c>
      <c r="F43">
        <v>36.22</v>
      </c>
      <c r="G43">
        <v>117.89</v>
      </c>
      <c r="I43">
        <f t="shared" si="1"/>
        <v>2.2627093740816808E-2</v>
      </c>
      <c r="J43">
        <f t="shared" si="0"/>
        <v>6.4898813677599421E-2</v>
      </c>
      <c r="K43">
        <f t="shared" si="0"/>
        <v>8.3038619323808238E-2</v>
      </c>
      <c r="L43">
        <f t="shared" si="0"/>
        <v>6.3305322128851482E-2</v>
      </c>
      <c r="M43">
        <f t="shared" si="0"/>
        <v>0.10191664131426838</v>
      </c>
      <c r="N43">
        <f t="shared" si="0"/>
        <v>7.8985905180303823E-2</v>
      </c>
    </row>
    <row r="44" spans="1:17">
      <c r="A44" s="1">
        <v>40330</v>
      </c>
      <c r="B44">
        <v>34.03</v>
      </c>
      <c r="C44">
        <v>42.99</v>
      </c>
      <c r="D44">
        <v>70.69</v>
      </c>
      <c r="E44">
        <v>35.700000000000003</v>
      </c>
      <c r="F44">
        <v>32.869999999999997</v>
      </c>
      <c r="G44">
        <v>109.26</v>
      </c>
      <c r="I44">
        <f t="shared" si="1"/>
        <v>-2.0719424460431624E-2</v>
      </c>
      <c r="J44">
        <f t="shared" si="0"/>
        <v>-4.931446262715606E-2</v>
      </c>
      <c r="K44">
        <f t="shared" si="0"/>
        <v>-4.0856579318118659E-3</v>
      </c>
      <c r="L44">
        <f t="shared" si="0"/>
        <v>-4.6728971962616821E-2</v>
      </c>
      <c r="M44">
        <f t="shared" si="0"/>
        <v>-7.5126617895329262E-2</v>
      </c>
      <c r="N44">
        <f t="shared" si="0"/>
        <v>-0.12912482065997122</v>
      </c>
    </row>
    <row r="45" spans="1:17">
      <c r="A45" s="1">
        <v>40301</v>
      </c>
      <c r="B45">
        <v>34.75</v>
      </c>
      <c r="C45">
        <v>45.22</v>
      </c>
      <c r="D45">
        <v>70.98</v>
      </c>
      <c r="E45">
        <v>37.450000000000003</v>
      </c>
      <c r="F45">
        <v>35.54</v>
      </c>
      <c r="G45">
        <v>125.46</v>
      </c>
      <c r="I45">
        <f t="shared" si="1"/>
        <v>-1.6138165345413371E-2</v>
      </c>
      <c r="J45">
        <f t="shared" si="0"/>
        <v>-5.1792828685258946E-2</v>
      </c>
      <c r="K45">
        <f t="shared" si="0"/>
        <v>-9.9923915800152113E-2</v>
      </c>
      <c r="L45">
        <f t="shared" si="0"/>
        <v>-3.4544985821087816E-2</v>
      </c>
      <c r="M45">
        <f t="shared" si="0"/>
        <v>-7.0606694560669522E-2</v>
      </c>
      <c r="N45">
        <f t="shared" si="0"/>
        <v>-8.4901531728665214E-2</v>
      </c>
    </row>
    <row r="46" spans="1:17">
      <c r="A46" s="1">
        <v>40269</v>
      </c>
      <c r="B46">
        <v>35.32</v>
      </c>
      <c r="C46">
        <v>47.69</v>
      </c>
      <c r="D46">
        <v>78.86</v>
      </c>
      <c r="E46">
        <v>38.79</v>
      </c>
      <c r="F46">
        <v>38.24</v>
      </c>
      <c r="G46">
        <v>137.1</v>
      </c>
      <c r="I46">
        <f t="shared" si="1"/>
        <v>0.11104120792702112</v>
      </c>
      <c r="J46">
        <f t="shared" si="0"/>
        <v>-3.5396440129449841E-2</v>
      </c>
      <c r="K46">
        <f t="shared" si="0"/>
        <v>6.0944436970267739E-2</v>
      </c>
      <c r="L46">
        <f t="shared" si="0"/>
        <v>0.11241755090335538</v>
      </c>
      <c r="M46">
        <f t="shared" si="0"/>
        <v>-4.7334329845540569E-2</v>
      </c>
      <c r="N46">
        <f t="shared" si="0"/>
        <v>9.7959784930395817E-3</v>
      </c>
    </row>
    <row r="47" spans="1:17">
      <c r="A47" s="1">
        <v>40238</v>
      </c>
      <c r="B47">
        <v>31.79</v>
      </c>
      <c r="C47">
        <v>49.44</v>
      </c>
      <c r="D47">
        <v>74.33</v>
      </c>
      <c r="E47">
        <v>34.869999999999997</v>
      </c>
      <c r="F47">
        <v>40.14</v>
      </c>
      <c r="G47">
        <v>135.77000000000001</v>
      </c>
      <c r="I47">
        <f t="shared" si="1"/>
        <v>0.14848265895953755</v>
      </c>
      <c r="J47">
        <f t="shared" si="0"/>
        <v>3.4093285923446882E-2</v>
      </c>
      <c r="K47">
        <f t="shared" si="0"/>
        <v>4.2789001122334414E-2</v>
      </c>
      <c r="L47">
        <f t="shared" si="0"/>
        <v>0.13657105606258141</v>
      </c>
      <c r="M47">
        <f t="shared" si="0"/>
        <v>6.6135458167330727E-2</v>
      </c>
      <c r="N47">
        <f t="shared" si="0"/>
        <v>0.1467060810810811</v>
      </c>
    </row>
    <row r="48" spans="1:17">
      <c r="A48" s="1">
        <v>40210</v>
      </c>
      <c r="B48">
        <v>27.68</v>
      </c>
      <c r="C48">
        <v>47.81</v>
      </c>
      <c r="D48">
        <v>71.28</v>
      </c>
      <c r="E48">
        <v>30.68</v>
      </c>
      <c r="F48">
        <v>37.65</v>
      </c>
      <c r="G48">
        <v>118.4</v>
      </c>
      <c r="I48">
        <f t="shared" si="1"/>
        <v>6.5434949961508823E-2</v>
      </c>
      <c r="J48">
        <f t="shared" si="0"/>
        <v>1.2066045723962748E-2</v>
      </c>
      <c r="K48">
        <f t="shared" si="0"/>
        <v>2.2497187851518081E-3</v>
      </c>
      <c r="L48">
        <f t="shared" si="0"/>
        <v>-1.4138817480719835E-2</v>
      </c>
      <c r="M48">
        <f t="shared" si="0"/>
        <v>7.7870025765817322E-2</v>
      </c>
      <c r="N48">
        <f t="shared" si="0"/>
        <v>-5.5896658958615668E-2</v>
      </c>
    </row>
    <row r="49" spans="1:14">
      <c r="A49" s="1">
        <v>40182</v>
      </c>
      <c r="B49">
        <v>25.98</v>
      </c>
      <c r="C49">
        <v>47.24</v>
      </c>
      <c r="D49">
        <v>71.12</v>
      </c>
      <c r="E49">
        <v>31.12</v>
      </c>
      <c r="F49">
        <v>34.93</v>
      </c>
      <c r="G49">
        <v>125.41</v>
      </c>
      <c r="I49">
        <f t="shared" si="1"/>
        <v>-8.8740792704314314E-2</v>
      </c>
      <c r="J49">
        <f t="shared" si="0"/>
        <v>-4.2319085907735975E-4</v>
      </c>
      <c r="K49">
        <f t="shared" si="0"/>
        <v>-2.6420260095824679E-2</v>
      </c>
      <c r="L49">
        <f t="shared" si="0"/>
        <v>-1.6123932975023649E-2</v>
      </c>
      <c r="M49">
        <f t="shared" si="0"/>
        <v>-6.4291454594160163E-2</v>
      </c>
      <c r="N49">
        <f t="shared" si="0"/>
        <v>-6.7722271781147883E-2</v>
      </c>
    </row>
    <row r="50" spans="1:14">
      <c r="A50" s="1">
        <v>40148</v>
      </c>
      <c r="B50">
        <v>28.51</v>
      </c>
      <c r="C50">
        <v>47.26</v>
      </c>
      <c r="D50">
        <v>73.05</v>
      </c>
      <c r="E50">
        <v>31.63</v>
      </c>
      <c r="F50">
        <v>37.33</v>
      </c>
      <c r="G50">
        <v>134.52000000000001</v>
      </c>
      <c r="I50">
        <f t="shared" si="1"/>
        <v>5.4363905325443877E-2</v>
      </c>
      <c r="J50">
        <f t="shared" si="0"/>
        <v>-1.5211502396332651E-2</v>
      </c>
      <c r="K50">
        <f t="shared" si="0"/>
        <v>6.7670271850336097E-2</v>
      </c>
      <c r="L50">
        <f t="shared" si="0"/>
        <v>-8.4639498432601754E-3</v>
      </c>
      <c r="M50">
        <f t="shared" si="0"/>
        <v>-1.9437877593906014E-2</v>
      </c>
      <c r="N50">
        <f t="shared" si="0"/>
        <v>-1.0227356338753487E-2</v>
      </c>
    </row>
    <row r="51" spans="1:14">
      <c r="A51" s="1">
        <v>40119</v>
      </c>
      <c r="B51">
        <v>27.04</v>
      </c>
      <c r="C51">
        <v>47.99</v>
      </c>
      <c r="D51">
        <v>68.42</v>
      </c>
      <c r="E51">
        <v>31.9</v>
      </c>
      <c r="F51">
        <v>38.07</v>
      </c>
      <c r="G51">
        <v>135.91</v>
      </c>
      <c r="I51">
        <f t="shared" si="1"/>
        <v>6.0392156862745065E-2</v>
      </c>
      <c r="J51">
        <f t="shared" si="0"/>
        <v>9.8169336384439337E-2</v>
      </c>
      <c r="K51">
        <f t="shared" si="0"/>
        <v>5.9461133477856976E-2</v>
      </c>
      <c r="L51">
        <f t="shared" si="0"/>
        <v>7.0469798657718047E-2</v>
      </c>
      <c r="M51">
        <f t="shared" si="0"/>
        <v>1.7370390165686759E-2</v>
      </c>
      <c r="N51">
        <f t="shared" si="0"/>
        <v>0.14392727884858172</v>
      </c>
    </row>
    <row r="52" spans="1:14">
      <c r="A52" s="1">
        <v>40087</v>
      </c>
      <c r="B52">
        <v>25.5</v>
      </c>
      <c r="C52">
        <v>43.7</v>
      </c>
      <c r="D52">
        <v>64.58</v>
      </c>
      <c r="E52">
        <v>29.8</v>
      </c>
      <c r="F52">
        <v>37.42</v>
      </c>
      <c r="G52">
        <v>118.81</v>
      </c>
      <c r="I52">
        <f t="shared" si="1"/>
        <v>1.7151974471479845E-2</v>
      </c>
      <c r="J52">
        <f t="shared" si="0"/>
        <v>1.2042612320518831E-2</v>
      </c>
      <c r="K52">
        <f t="shared" si="0"/>
        <v>-3.2412409322427524E-3</v>
      </c>
      <c r="L52">
        <f t="shared" si="0"/>
        <v>-1.8121911037891292E-2</v>
      </c>
      <c r="M52">
        <f t="shared" si="0"/>
        <v>-4.5651619484825275E-2</v>
      </c>
      <c r="N52">
        <f t="shared" si="0"/>
        <v>0.27260068551842331</v>
      </c>
    </row>
    <row r="53" spans="1:14">
      <c r="A53" s="1">
        <v>40057</v>
      </c>
      <c r="B53">
        <v>25.07</v>
      </c>
      <c r="C53">
        <v>43.18</v>
      </c>
      <c r="D53">
        <v>64.790000000000006</v>
      </c>
      <c r="E53">
        <v>30.35</v>
      </c>
      <c r="F53">
        <v>39.21</v>
      </c>
      <c r="G53">
        <v>93.36</v>
      </c>
      <c r="I53">
        <f t="shared" si="1"/>
        <v>0.10149384885764492</v>
      </c>
      <c r="J53">
        <f t="shared" si="1"/>
        <v>-3.5083798882681573E-2</v>
      </c>
      <c r="K53">
        <f t="shared" si="1"/>
        <v>2.370042660767905E-2</v>
      </c>
      <c r="L53">
        <f t="shared" si="1"/>
        <v>-1.4290354011042472E-2</v>
      </c>
      <c r="M53">
        <f t="shared" si="1"/>
        <v>8.2283363332476284E-3</v>
      </c>
      <c r="N53">
        <f t="shared" si="1"/>
        <v>0.14989530730385517</v>
      </c>
    </row>
    <row r="54" spans="1:14">
      <c r="A54" s="1">
        <v>40028</v>
      </c>
      <c r="B54">
        <v>22.76</v>
      </c>
      <c r="C54">
        <v>44.75</v>
      </c>
      <c r="D54">
        <v>63.29</v>
      </c>
      <c r="E54">
        <v>30.79</v>
      </c>
      <c r="F54">
        <v>38.89</v>
      </c>
      <c r="G54">
        <v>81.19</v>
      </c>
      <c r="I54">
        <f t="shared" si="1"/>
        <v>2.9864253393665163E-2</v>
      </c>
      <c r="J54">
        <f t="shared" si="1"/>
        <v>2.5435380384967905E-2</v>
      </c>
      <c r="K54">
        <f t="shared" si="1"/>
        <v>2.9775463716238175E-2</v>
      </c>
      <c r="L54">
        <f t="shared" si="1"/>
        <v>-3.4190715181932244E-2</v>
      </c>
      <c r="M54">
        <f t="shared" si="1"/>
        <v>0.12463851937536155</v>
      </c>
      <c r="N54">
        <f t="shared" si="1"/>
        <v>-5.3288246268656803E-2</v>
      </c>
    </row>
    <row r="55" spans="1:14">
      <c r="A55" s="1">
        <v>39995</v>
      </c>
      <c r="B55">
        <v>22.1</v>
      </c>
      <c r="C55">
        <v>43.64</v>
      </c>
      <c r="D55">
        <v>61.46</v>
      </c>
      <c r="E55">
        <v>31.88</v>
      </c>
      <c r="F55">
        <v>34.58</v>
      </c>
      <c r="G55">
        <v>85.76</v>
      </c>
      <c r="I55">
        <f t="shared" si="1"/>
        <v>0.1468604047742606</v>
      </c>
      <c r="J55">
        <f t="shared" si="1"/>
        <v>2.9731005191127841E-2</v>
      </c>
      <c r="K55">
        <f t="shared" si="1"/>
        <v>0.17334860633829702</v>
      </c>
      <c r="L55">
        <f t="shared" si="1"/>
        <v>6.9081153588195804E-2</v>
      </c>
      <c r="M55">
        <f t="shared" si="1"/>
        <v>0.13451443569553798</v>
      </c>
      <c r="N55">
        <f t="shared" si="1"/>
        <v>2.5101601721252791E-2</v>
      </c>
    </row>
    <row r="56" spans="1:14">
      <c r="A56" s="1">
        <v>39965</v>
      </c>
      <c r="B56">
        <v>19.27</v>
      </c>
      <c r="C56">
        <v>42.38</v>
      </c>
      <c r="D56">
        <v>52.38</v>
      </c>
      <c r="E56">
        <v>29.82</v>
      </c>
      <c r="F56">
        <v>30.48</v>
      </c>
      <c r="G56">
        <v>83.66</v>
      </c>
      <c r="I56">
        <f t="shared" si="1"/>
        <v>4.8992923244420172E-2</v>
      </c>
      <c r="J56">
        <f t="shared" si="1"/>
        <v>-2.6194852941176482E-2</v>
      </c>
      <c r="K56">
        <f t="shared" si="1"/>
        <v>5.2652733118971153E-2</v>
      </c>
      <c r="L56">
        <f t="shared" si="1"/>
        <v>-3.7132709073296695E-2</v>
      </c>
      <c r="M56">
        <f t="shared" si="1"/>
        <v>-7.5523202911737905E-2</v>
      </c>
      <c r="N56">
        <f t="shared" si="1"/>
        <v>7.2701628413899239E-2</v>
      </c>
    </row>
    <row r="57" spans="1:14">
      <c r="A57" s="1">
        <v>39934</v>
      </c>
      <c r="B57">
        <v>18.37</v>
      </c>
      <c r="C57">
        <v>43.52</v>
      </c>
      <c r="D57">
        <v>49.76</v>
      </c>
      <c r="E57">
        <v>30.97</v>
      </c>
      <c r="F57">
        <v>32.97</v>
      </c>
      <c r="G57">
        <v>77.989999999999995</v>
      </c>
      <c r="I57">
        <f t="shared" si="1"/>
        <v>7.9318448883666362E-2</v>
      </c>
      <c r="J57">
        <f t="shared" si="1"/>
        <v>-7.7519379844960398E-3</v>
      </c>
      <c r="K57">
        <f t="shared" si="1"/>
        <v>0</v>
      </c>
      <c r="L57">
        <f t="shared" si="1"/>
        <v>3.8216560509554159E-2</v>
      </c>
      <c r="M57">
        <f t="shared" si="1"/>
        <v>0.11800610376398782</v>
      </c>
      <c r="N57">
        <f t="shared" si="1"/>
        <v>-3.1420765027322418E-2</v>
      </c>
    </row>
    <row r="58" spans="1:14">
      <c r="A58" s="1">
        <v>39904</v>
      </c>
      <c r="B58">
        <v>17.02</v>
      </c>
      <c r="C58">
        <v>43.86</v>
      </c>
      <c r="D58">
        <v>49.76</v>
      </c>
      <c r="E58">
        <v>29.83</v>
      </c>
      <c r="F58">
        <v>29.49</v>
      </c>
      <c r="G58">
        <v>80.52</v>
      </c>
      <c r="I58">
        <f t="shared" si="1"/>
        <v>0.1969057665260196</v>
      </c>
      <c r="J58">
        <f t="shared" si="1"/>
        <v>-3.2642258491398408E-2</v>
      </c>
      <c r="K58">
        <f t="shared" si="1"/>
        <v>0.15828677839851019</v>
      </c>
      <c r="L58">
        <f t="shared" si="1"/>
        <v>0.22153972153972137</v>
      </c>
      <c r="M58">
        <f t="shared" si="1"/>
        <v>0.24377899620413315</v>
      </c>
      <c r="N58">
        <f t="shared" si="1"/>
        <v>9.6405228758169911E-2</v>
      </c>
    </row>
    <row r="59" spans="1:14">
      <c r="A59" s="1">
        <v>39874</v>
      </c>
      <c r="B59">
        <v>14.22</v>
      </c>
      <c r="C59">
        <v>45.34</v>
      </c>
      <c r="D59">
        <v>42.96</v>
      </c>
      <c r="E59">
        <v>24.42</v>
      </c>
      <c r="F59">
        <v>23.71</v>
      </c>
      <c r="G59">
        <v>73.44</v>
      </c>
      <c r="I59">
        <f t="shared" si="1"/>
        <v>0.17715231788079475</v>
      </c>
      <c r="J59">
        <f t="shared" si="1"/>
        <v>6.4069467261206381E-2</v>
      </c>
      <c r="K59">
        <f t="shared" si="1"/>
        <v>9.3686354378818726E-2</v>
      </c>
      <c r="L59">
        <f t="shared" si="1"/>
        <v>4.5824411134903646E-2</v>
      </c>
      <c r="M59">
        <f t="shared" si="1"/>
        <v>0.1633954857703632</v>
      </c>
      <c r="N59">
        <f t="shared" si="1"/>
        <v>0.13350825744713676</v>
      </c>
    </row>
    <row r="60" spans="1:14">
      <c r="A60" s="1">
        <v>39846</v>
      </c>
      <c r="B60">
        <v>12.08</v>
      </c>
      <c r="C60">
        <v>42.61</v>
      </c>
      <c r="D60">
        <v>39.28</v>
      </c>
      <c r="E60">
        <v>23.35</v>
      </c>
      <c r="F60">
        <v>20.38</v>
      </c>
      <c r="G60">
        <v>64.790000000000006</v>
      </c>
      <c r="I60">
        <f t="shared" si="1"/>
        <v>-9.0237899917965086E-3</v>
      </c>
      <c r="J60">
        <f t="shared" si="1"/>
        <v>4.5131223939170864E-2</v>
      </c>
      <c r="K60">
        <f t="shared" si="1"/>
        <v>-0.14552969327822488</v>
      </c>
      <c r="L60">
        <f t="shared" si="1"/>
        <v>-8.179315768777029E-2</v>
      </c>
      <c r="M60">
        <f t="shared" si="1"/>
        <v>-0.10417582417582422</v>
      </c>
      <c r="N60">
        <f t="shared" si="1"/>
        <v>0.10149608976538603</v>
      </c>
    </row>
    <row r="61" spans="1:14">
      <c r="A61" s="1">
        <v>39815</v>
      </c>
      <c r="B61">
        <v>12.19</v>
      </c>
      <c r="C61">
        <v>40.770000000000003</v>
      </c>
      <c r="D61">
        <v>45.97</v>
      </c>
      <c r="E61">
        <v>25.43</v>
      </c>
      <c r="F61">
        <v>22.75</v>
      </c>
      <c r="G61">
        <v>58.82</v>
      </c>
      <c r="I61">
        <f t="shared" si="1"/>
        <v>5.54112554112553E-2</v>
      </c>
      <c r="J61">
        <f t="shared" si="1"/>
        <v>-0.15955473098330231</v>
      </c>
      <c r="K61">
        <f t="shared" si="1"/>
        <v>-6.5270435136234262E-2</v>
      </c>
      <c r="L61">
        <f t="shared" si="1"/>
        <v>-8.5580726357425349E-2</v>
      </c>
      <c r="M61">
        <f t="shared" si="1"/>
        <v>-0.18106551475881932</v>
      </c>
      <c r="N61">
        <f t="shared" si="1"/>
        <v>0.14703588143525739</v>
      </c>
    </row>
    <row r="62" spans="1:14">
      <c r="A62" s="1">
        <v>39783</v>
      </c>
      <c r="B62">
        <v>11.55</v>
      </c>
      <c r="C62">
        <v>48.51</v>
      </c>
      <c r="D62">
        <v>49.18</v>
      </c>
      <c r="E62">
        <v>27.81</v>
      </c>
      <c r="F62">
        <v>27.78</v>
      </c>
      <c r="G62">
        <v>51.28</v>
      </c>
      <c r="I62">
        <f t="shared" si="1"/>
        <v>-7.8947368421052516E-2</v>
      </c>
      <c r="J62">
        <f t="shared" si="1"/>
        <v>7.4766355140186798E-3</v>
      </c>
      <c r="K62">
        <f t="shared" si="1"/>
        <v>-0.14020979020979027</v>
      </c>
      <c r="L62">
        <f t="shared" si="1"/>
        <v>0.16897856242118536</v>
      </c>
      <c r="M62">
        <f t="shared" si="1"/>
        <v>-4.3010752688171132E-3</v>
      </c>
      <c r="N62">
        <f t="shared" si="1"/>
        <v>0.20093676814988284</v>
      </c>
    </row>
    <row r="63" spans="1:14">
      <c r="A63" s="1">
        <v>39755</v>
      </c>
      <c r="B63">
        <v>12.54</v>
      </c>
      <c r="C63">
        <v>48.15</v>
      </c>
      <c r="D63">
        <v>57.2</v>
      </c>
      <c r="E63">
        <v>23.79</v>
      </c>
      <c r="F63">
        <v>27.9</v>
      </c>
      <c r="G63">
        <v>42.7</v>
      </c>
      <c r="I63">
        <f t="shared" si="1"/>
        <v>-0.13873626373626383</v>
      </c>
      <c r="J63">
        <f t="shared" si="1"/>
        <v>1.2476606363068239E-3</v>
      </c>
      <c r="K63">
        <f t="shared" si="1"/>
        <v>4.9348743349844154E-2</v>
      </c>
      <c r="L63">
        <f t="shared" si="1"/>
        <v>-7.1065989847715755E-2</v>
      </c>
      <c r="M63">
        <f t="shared" si="1"/>
        <v>-0.23246217331499319</v>
      </c>
      <c r="N63">
        <f t="shared" si="1"/>
        <v>-0.25401816911250868</v>
      </c>
    </row>
    <row r="64" spans="1:14">
      <c r="A64" s="1">
        <v>39722</v>
      </c>
      <c r="B64">
        <v>14.56</v>
      </c>
      <c r="C64">
        <v>48.09</v>
      </c>
      <c r="D64">
        <v>54.51</v>
      </c>
      <c r="E64">
        <v>25.61</v>
      </c>
      <c r="F64">
        <v>36.35</v>
      </c>
      <c r="G64">
        <v>57.24</v>
      </c>
      <c r="I64">
        <f t="shared" si="1"/>
        <v>-5.3315994798439549E-2</v>
      </c>
      <c r="J64">
        <f t="shared" si="1"/>
        <v>-6.8023255813953451E-2</v>
      </c>
      <c r="K64">
        <f t="shared" si="1"/>
        <v>-5.8711794163356909E-2</v>
      </c>
      <c r="L64">
        <f t="shared" si="1"/>
        <v>-0.10454545454545461</v>
      </c>
      <c r="M64">
        <f t="shared" si="1"/>
        <v>-0.10972324271369084</v>
      </c>
      <c r="N64">
        <f t="shared" si="1"/>
        <v>-0.2133040131940627</v>
      </c>
    </row>
    <row r="65" spans="1:14">
      <c r="A65" s="1">
        <v>39693</v>
      </c>
      <c r="B65">
        <v>15.38</v>
      </c>
      <c r="C65">
        <v>51.6</v>
      </c>
      <c r="D65">
        <v>57.91</v>
      </c>
      <c r="E65">
        <v>28.6</v>
      </c>
      <c r="F65">
        <v>40.83</v>
      </c>
      <c r="G65">
        <v>72.760000000000005</v>
      </c>
      <c r="I65">
        <f t="shared" si="1"/>
        <v>-0.3292629742695159</v>
      </c>
      <c r="J65">
        <f t="shared" si="1"/>
        <v>1.3752455795677855E-2</v>
      </c>
      <c r="K65">
        <f t="shared" si="1"/>
        <v>-4.5963756177924316E-2</v>
      </c>
      <c r="L65">
        <f t="shared" si="1"/>
        <v>-8.6261980830670895E-2</v>
      </c>
      <c r="M65">
        <f t="shared" si="1"/>
        <v>0.21301247771836015</v>
      </c>
      <c r="N65">
        <f t="shared" si="1"/>
        <v>-9.9616384110877323E-2</v>
      </c>
    </row>
    <row r="66" spans="1:14">
      <c r="A66" s="1">
        <v>39661</v>
      </c>
      <c r="B66">
        <v>22.93</v>
      </c>
      <c r="C66">
        <v>50.9</v>
      </c>
      <c r="D66">
        <v>60.7</v>
      </c>
      <c r="E66">
        <v>31.3</v>
      </c>
      <c r="F66">
        <v>33.659999999999997</v>
      </c>
      <c r="G66">
        <v>80.81</v>
      </c>
      <c r="I66">
        <f t="shared" si="1"/>
        <v>6.6511627906976734E-2</v>
      </c>
      <c r="J66">
        <f t="shared" si="1"/>
        <v>1.1928429423459274E-2</v>
      </c>
      <c r="K66">
        <f t="shared" si="1"/>
        <v>2.429969625379691E-2</v>
      </c>
      <c r="L66">
        <f t="shared" si="1"/>
        <v>-3.8192234245703689E-3</v>
      </c>
      <c r="M66">
        <f t="shared" si="1"/>
        <v>-5.263157894736855E-2</v>
      </c>
      <c r="N66">
        <f t="shared" si="1"/>
        <v>5.8553838092742977E-2</v>
      </c>
    </row>
    <row r="67" spans="1:14">
      <c r="A67" s="1">
        <v>39630</v>
      </c>
      <c r="B67">
        <v>21.5</v>
      </c>
      <c r="C67">
        <v>50.3</v>
      </c>
      <c r="D67">
        <v>59.26</v>
      </c>
      <c r="E67">
        <v>31.42</v>
      </c>
      <c r="F67">
        <v>35.53</v>
      </c>
      <c r="G67">
        <v>76.34</v>
      </c>
      <c r="I67">
        <f t="shared" ref="I67:N109" si="8">(B67-B68)/B68</f>
        <v>-5.0772626931567269E-2</v>
      </c>
      <c r="J67">
        <f t="shared" si="8"/>
        <v>4.2919344806137266E-2</v>
      </c>
      <c r="K67">
        <f t="shared" si="8"/>
        <v>1.1608057357459879E-2</v>
      </c>
      <c r="L67">
        <f t="shared" si="8"/>
        <v>2.6126714565643392E-2</v>
      </c>
      <c r="M67">
        <f t="shared" si="8"/>
        <v>0.19750589821368383</v>
      </c>
      <c r="N67">
        <f t="shared" si="8"/>
        <v>4.1047320332742471E-2</v>
      </c>
    </row>
    <row r="68" spans="1:14">
      <c r="A68" s="1">
        <v>39601</v>
      </c>
      <c r="B68">
        <v>22.65</v>
      </c>
      <c r="C68">
        <v>48.23</v>
      </c>
      <c r="D68">
        <v>58.58</v>
      </c>
      <c r="E68">
        <v>30.62</v>
      </c>
      <c r="F68">
        <v>29.67</v>
      </c>
      <c r="G68">
        <v>73.33</v>
      </c>
      <c r="I68">
        <f t="shared" si="8"/>
        <v>-0.11280846063454769</v>
      </c>
      <c r="J68">
        <f t="shared" si="8"/>
        <v>-2.6639757820383459E-2</v>
      </c>
      <c r="K68">
        <f t="shared" si="8"/>
        <v>-0.10277224689845317</v>
      </c>
      <c r="L68">
        <f t="shared" si="8"/>
        <v>-0.11605080831408775</v>
      </c>
      <c r="M68">
        <f t="shared" si="8"/>
        <v>-0.2019903173749327</v>
      </c>
      <c r="N68">
        <f t="shared" si="8"/>
        <v>-0.10156824307767712</v>
      </c>
    </row>
    <row r="69" spans="1:14">
      <c r="A69" s="1">
        <v>39569</v>
      </c>
      <c r="B69">
        <v>25.53</v>
      </c>
      <c r="C69">
        <v>49.55</v>
      </c>
      <c r="D69">
        <v>65.290000000000006</v>
      </c>
      <c r="E69">
        <v>34.64</v>
      </c>
      <c r="F69">
        <v>37.18</v>
      </c>
      <c r="G69">
        <v>81.62</v>
      </c>
      <c r="I69">
        <f t="shared" si="8"/>
        <v>8.4997875053123673E-2</v>
      </c>
      <c r="J69">
        <f t="shared" si="8"/>
        <v>0</v>
      </c>
      <c r="K69">
        <f t="shared" si="8"/>
        <v>1.5080845771144484E-2</v>
      </c>
      <c r="L69">
        <f t="shared" si="8"/>
        <v>-2.3950408565793221E-2</v>
      </c>
      <c r="M69">
        <f t="shared" si="8"/>
        <v>-9.7572815533980659E-2</v>
      </c>
      <c r="N69">
        <f t="shared" si="8"/>
        <v>3.8026198651914145E-2</v>
      </c>
    </row>
    <row r="70" spans="1:14">
      <c r="A70" s="1">
        <v>39539</v>
      </c>
      <c r="B70">
        <v>23.53</v>
      </c>
      <c r="C70">
        <v>49.55</v>
      </c>
      <c r="D70">
        <v>64.319999999999993</v>
      </c>
      <c r="E70">
        <v>35.49</v>
      </c>
      <c r="F70">
        <v>41.2</v>
      </c>
      <c r="G70">
        <v>78.63</v>
      </c>
      <c r="I70">
        <f t="shared" si="8"/>
        <v>0.21226172076249361</v>
      </c>
      <c r="J70">
        <f t="shared" si="8"/>
        <v>0.1006219458018657</v>
      </c>
      <c r="K70">
        <f t="shared" si="8"/>
        <v>-2.8398791540785642E-2</v>
      </c>
      <c r="L70">
        <f t="shared" si="8"/>
        <v>9.7402597402597352E-2</v>
      </c>
      <c r="M70">
        <f t="shared" si="8"/>
        <v>0.11834961997828444</v>
      </c>
      <c r="N70">
        <f t="shared" si="8"/>
        <v>0.10280504908835902</v>
      </c>
    </row>
    <row r="71" spans="1:14">
      <c r="A71" s="1">
        <v>39510</v>
      </c>
      <c r="B71">
        <v>19.41</v>
      </c>
      <c r="C71">
        <v>45.02</v>
      </c>
      <c r="D71">
        <v>66.2</v>
      </c>
      <c r="E71">
        <v>32.340000000000003</v>
      </c>
      <c r="F71">
        <v>36.840000000000003</v>
      </c>
      <c r="G71">
        <v>71.3</v>
      </c>
      <c r="I71">
        <f t="shared" si="8"/>
        <v>0.14784151389710232</v>
      </c>
      <c r="J71">
        <f t="shared" si="8"/>
        <v>6.7330488383120043E-2</v>
      </c>
      <c r="K71">
        <f t="shared" si="8"/>
        <v>9.4541018603233381E-3</v>
      </c>
      <c r="L71">
        <f t="shared" si="8"/>
        <v>8.0160320641282631E-2</v>
      </c>
      <c r="M71">
        <f t="shared" si="8"/>
        <v>5.6495554918268027E-2</v>
      </c>
      <c r="N71">
        <f t="shared" si="8"/>
        <v>0.10594074763455869</v>
      </c>
    </row>
    <row r="72" spans="1:14">
      <c r="A72" s="1">
        <v>39479</v>
      </c>
      <c r="B72">
        <v>16.91</v>
      </c>
      <c r="C72">
        <v>42.18</v>
      </c>
      <c r="D72">
        <v>65.58</v>
      </c>
      <c r="E72">
        <v>29.94</v>
      </c>
      <c r="F72">
        <v>34.869999999999997</v>
      </c>
      <c r="G72">
        <v>64.47</v>
      </c>
      <c r="I72">
        <f t="shared" si="8"/>
        <v>-7.6460950300382233E-2</v>
      </c>
      <c r="J72">
        <f t="shared" si="8"/>
        <v>-2.24797219003476E-2</v>
      </c>
      <c r="K72">
        <f t="shared" si="8"/>
        <v>-9.365558912386775E-3</v>
      </c>
      <c r="L72">
        <f t="shared" si="8"/>
        <v>8.4203435500168396E-3</v>
      </c>
      <c r="M72">
        <f t="shared" si="8"/>
        <v>-0.14240039350713229</v>
      </c>
      <c r="N72">
        <f t="shared" si="8"/>
        <v>-0.17027027027027031</v>
      </c>
    </row>
    <row r="73" spans="1:14">
      <c r="A73" s="1">
        <v>39449</v>
      </c>
      <c r="B73">
        <v>18.309999999999999</v>
      </c>
      <c r="C73">
        <v>43.15</v>
      </c>
      <c r="D73">
        <v>66.2</v>
      </c>
      <c r="E73">
        <v>29.69</v>
      </c>
      <c r="F73">
        <v>40.659999999999997</v>
      </c>
      <c r="G73">
        <v>77.7</v>
      </c>
      <c r="I73">
        <f t="shared" si="8"/>
        <v>-0.31679104477611947</v>
      </c>
      <c r="J73">
        <f t="shared" si="8"/>
        <v>6.7540821375556573E-2</v>
      </c>
      <c r="K73">
        <f t="shared" si="8"/>
        <v>-5.550007133685262E-2</v>
      </c>
      <c r="L73">
        <f t="shared" si="8"/>
        <v>-0.10383338364020528</v>
      </c>
      <c r="M73">
        <f t="shared" si="8"/>
        <v>9.5661546752896717E-2</v>
      </c>
      <c r="N73">
        <f t="shared" si="8"/>
        <v>-0.16126943005181343</v>
      </c>
    </row>
    <row r="74" spans="1:14">
      <c r="A74" s="1">
        <v>39419</v>
      </c>
      <c r="B74">
        <v>26.8</v>
      </c>
      <c r="C74">
        <v>40.42</v>
      </c>
      <c r="D74">
        <v>70.09</v>
      </c>
      <c r="E74">
        <v>33.130000000000003</v>
      </c>
      <c r="F74">
        <v>37.11</v>
      </c>
      <c r="G74">
        <v>92.64</v>
      </c>
      <c r="I74">
        <f t="shared" si="8"/>
        <v>8.7221095334685694E-2</v>
      </c>
      <c r="J74">
        <f t="shared" si="8"/>
        <v>-3.4516765285996192E-3</v>
      </c>
      <c r="K74">
        <f t="shared" si="8"/>
        <v>1.2714925588787888E-2</v>
      </c>
      <c r="L74">
        <f t="shared" si="8"/>
        <v>3.0161691542288746E-2</v>
      </c>
      <c r="M74">
        <f t="shared" si="8"/>
        <v>-4.3310131477184835E-2</v>
      </c>
      <c r="N74">
        <f t="shared" si="8"/>
        <v>2.2968197879858637E-2</v>
      </c>
    </row>
    <row r="75" spans="1:14">
      <c r="A75" s="1">
        <v>39387</v>
      </c>
      <c r="B75">
        <v>24.65</v>
      </c>
      <c r="C75">
        <v>40.56</v>
      </c>
      <c r="D75">
        <v>69.209999999999994</v>
      </c>
      <c r="E75">
        <v>32.159999999999997</v>
      </c>
      <c r="F75">
        <v>38.79</v>
      </c>
      <c r="G75">
        <v>90.56</v>
      </c>
      <c r="I75">
        <f t="shared" si="8"/>
        <v>-4.0856031128404698E-2</v>
      </c>
      <c r="J75">
        <f t="shared" si="8"/>
        <v>5.9561128526645794E-2</v>
      </c>
      <c r="K75">
        <f t="shared" si="8"/>
        <v>-3.0128923766816224E-2</v>
      </c>
      <c r="L75">
        <f t="shared" si="8"/>
        <v>-7.7452667814113682E-2</v>
      </c>
      <c r="M75">
        <f t="shared" si="8"/>
        <v>-2.927927927927932E-2</v>
      </c>
      <c r="N75">
        <f t="shared" si="8"/>
        <v>1.5816040381379657E-2</v>
      </c>
    </row>
    <row r="76" spans="1:14">
      <c r="A76" s="1">
        <v>39356</v>
      </c>
      <c r="B76">
        <v>25.7</v>
      </c>
      <c r="C76">
        <v>38.28</v>
      </c>
      <c r="D76">
        <v>71.36</v>
      </c>
      <c r="E76">
        <v>34.86</v>
      </c>
      <c r="F76">
        <v>39.96</v>
      </c>
      <c r="G76">
        <v>89.15</v>
      </c>
      <c r="I76">
        <f t="shared" si="8"/>
        <v>0.23795761078998059</v>
      </c>
      <c r="J76">
        <f t="shared" si="8"/>
        <v>3.5714285714285719E-2</v>
      </c>
      <c r="K76">
        <f t="shared" si="8"/>
        <v>-7.7201603517392983E-2</v>
      </c>
      <c r="L76">
        <f t="shared" si="8"/>
        <v>0.19506342132327725</v>
      </c>
      <c r="M76">
        <f t="shared" si="8"/>
        <v>3.3893919793014288E-2</v>
      </c>
      <c r="N76">
        <f t="shared" si="8"/>
        <v>-4.2941492216854532E-2</v>
      </c>
    </row>
    <row r="77" spans="1:14">
      <c r="A77" s="1">
        <v>39329</v>
      </c>
      <c r="B77">
        <v>20.76</v>
      </c>
      <c r="C77">
        <v>36.96</v>
      </c>
      <c r="D77">
        <v>77.33</v>
      </c>
      <c r="E77">
        <v>29.17</v>
      </c>
      <c r="F77">
        <v>38.65</v>
      </c>
      <c r="G77">
        <v>93.15</v>
      </c>
      <c r="I77">
        <f t="shared" si="8"/>
        <v>0.10838227442605451</v>
      </c>
      <c r="J77">
        <f t="shared" si="8"/>
        <v>5.4141851651334945E-4</v>
      </c>
      <c r="K77">
        <f t="shared" si="8"/>
        <v>2.8461231546748247E-2</v>
      </c>
      <c r="L77">
        <f t="shared" si="8"/>
        <v>3.4030485643388897E-2</v>
      </c>
      <c r="M77">
        <f t="shared" si="8"/>
        <v>2.9294274300932132E-2</v>
      </c>
      <c r="N77">
        <f t="shared" si="8"/>
        <v>0.16568639719684658</v>
      </c>
    </row>
    <row r="78" spans="1:14">
      <c r="A78" s="1">
        <v>39295</v>
      </c>
      <c r="B78">
        <v>18.73</v>
      </c>
      <c r="C78">
        <v>36.94</v>
      </c>
      <c r="D78">
        <v>75.19</v>
      </c>
      <c r="E78">
        <v>28.21</v>
      </c>
      <c r="F78">
        <v>37.549999999999997</v>
      </c>
      <c r="G78">
        <v>79.91</v>
      </c>
      <c r="I78">
        <f t="shared" si="8"/>
        <v>5.106621773288441E-2</v>
      </c>
      <c r="J78">
        <f t="shared" si="8"/>
        <v>-4.5724618961508735E-2</v>
      </c>
      <c r="K78">
        <f t="shared" si="8"/>
        <v>2.8872468527640933E-2</v>
      </c>
      <c r="L78">
        <f t="shared" si="8"/>
        <v>2.136133236784938E-2</v>
      </c>
      <c r="M78">
        <f t="shared" si="8"/>
        <v>1.1584051724137925E-2</v>
      </c>
      <c r="N78">
        <f t="shared" si="8"/>
        <v>1.7443340972752613E-2</v>
      </c>
    </row>
    <row r="79" spans="1:14">
      <c r="A79" s="1">
        <v>39265</v>
      </c>
      <c r="B79">
        <v>17.82</v>
      </c>
      <c r="C79">
        <v>38.71</v>
      </c>
      <c r="D79">
        <v>73.08</v>
      </c>
      <c r="E79">
        <v>27.62</v>
      </c>
      <c r="F79">
        <v>37.119999999999997</v>
      </c>
      <c r="G79">
        <v>78.540000000000006</v>
      </c>
      <c r="I79">
        <f t="shared" si="8"/>
        <v>7.9345850999394216E-2</v>
      </c>
      <c r="J79">
        <f t="shared" si="8"/>
        <v>-4.4905008635578593E-2</v>
      </c>
      <c r="K79">
        <f t="shared" si="8"/>
        <v>2.4533856722276742E-2</v>
      </c>
      <c r="L79">
        <f t="shared" si="8"/>
        <v>-1.6381766381766288E-2</v>
      </c>
      <c r="M79">
        <f t="shared" si="8"/>
        <v>-8.45869297163995E-2</v>
      </c>
      <c r="N79">
        <f t="shared" si="8"/>
        <v>0.14807776640841996</v>
      </c>
    </row>
    <row r="80" spans="1:14">
      <c r="A80" s="1">
        <v>39234</v>
      </c>
      <c r="B80">
        <v>16.510000000000002</v>
      </c>
      <c r="C80">
        <v>40.53</v>
      </c>
      <c r="D80">
        <v>71.33</v>
      </c>
      <c r="E80">
        <v>28.08</v>
      </c>
      <c r="F80">
        <v>40.549999999999997</v>
      </c>
      <c r="G80">
        <v>68.41</v>
      </c>
      <c r="I80">
        <f t="shared" si="8"/>
        <v>7.3215375228798656E-3</v>
      </c>
      <c r="J80">
        <f t="shared" si="8"/>
        <v>1.0723192019950117E-2</v>
      </c>
      <c r="K80">
        <f t="shared" si="8"/>
        <v>-1.327984506847431E-2</v>
      </c>
      <c r="L80">
        <f t="shared" si="8"/>
        <v>-3.3723331039229199E-2</v>
      </c>
      <c r="M80">
        <f t="shared" si="8"/>
        <v>-6.5237436606731328E-2</v>
      </c>
      <c r="N80">
        <f t="shared" si="8"/>
        <v>-1.0558287532542725E-2</v>
      </c>
    </row>
    <row r="81" spans="1:14">
      <c r="A81" s="1">
        <v>39203</v>
      </c>
      <c r="B81">
        <v>16.39</v>
      </c>
      <c r="C81">
        <v>40.1</v>
      </c>
      <c r="D81">
        <v>72.290000000000006</v>
      </c>
      <c r="E81">
        <v>29.06</v>
      </c>
      <c r="F81">
        <v>43.38</v>
      </c>
      <c r="G81">
        <v>69.14</v>
      </c>
      <c r="I81">
        <f t="shared" si="8"/>
        <v>0.21407407407407411</v>
      </c>
      <c r="J81">
        <f t="shared" si="8"/>
        <v>-1.9910403185664084E-3</v>
      </c>
      <c r="K81">
        <f t="shared" si="8"/>
        <v>6.8746303962152658E-2</v>
      </c>
      <c r="L81">
        <f t="shared" si="8"/>
        <v>9.4538606403013106E-2</v>
      </c>
      <c r="M81">
        <f t="shared" si="8"/>
        <v>-5.0458715596330009E-3</v>
      </c>
      <c r="N81">
        <f t="shared" si="8"/>
        <v>0.12734387738464051</v>
      </c>
    </row>
    <row r="82" spans="1:14">
      <c r="A82" s="1">
        <v>39174</v>
      </c>
      <c r="B82">
        <v>13.5</v>
      </c>
      <c r="C82">
        <v>40.18</v>
      </c>
      <c r="D82">
        <v>67.64</v>
      </c>
      <c r="E82">
        <v>26.55</v>
      </c>
      <c r="F82">
        <v>43.6</v>
      </c>
      <c r="G82">
        <v>61.33</v>
      </c>
      <c r="I82">
        <f t="shared" si="8"/>
        <v>7.3985680190930769E-2</v>
      </c>
      <c r="J82">
        <f t="shared" si="8"/>
        <v>2.0574041148082357E-2</v>
      </c>
      <c r="K82">
        <f t="shared" si="8"/>
        <v>8.29330771693884E-2</v>
      </c>
      <c r="L82">
        <f t="shared" si="8"/>
        <v>7.0996369503832257E-2</v>
      </c>
      <c r="M82">
        <f t="shared" si="8"/>
        <v>8.4577114427860658E-2</v>
      </c>
      <c r="N82">
        <f t="shared" si="8"/>
        <v>0.54134204574013567</v>
      </c>
    </row>
    <row r="83" spans="1:14">
      <c r="A83" s="1">
        <v>39142</v>
      </c>
      <c r="B83">
        <v>12.57</v>
      </c>
      <c r="C83">
        <v>39.369999999999997</v>
      </c>
      <c r="D83">
        <v>62.46</v>
      </c>
      <c r="E83">
        <v>24.79</v>
      </c>
      <c r="F83">
        <v>40.200000000000003</v>
      </c>
      <c r="G83">
        <v>39.79</v>
      </c>
      <c r="I83">
        <f t="shared" si="8"/>
        <v>9.781659388646298E-2</v>
      </c>
      <c r="J83">
        <f t="shared" si="8"/>
        <v>-2.3561507936508005E-2</v>
      </c>
      <c r="K83">
        <f t="shared" si="8"/>
        <v>3.1714568880079314E-2</v>
      </c>
      <c r="L83">
        <f t="shared" si="8"/>
        <v>2.4262029923169722E-3</v>
      </c>
      <c r="M83">
        <f t="shared" si="8"/>
        <v>-2.0467836257309854E-2</v>
      </c>
      <c r="N83">
        <f t="shared" si="8"/>
        <v>1.6607051609606505E-2</v>
      </c>
    </row>
    <row r="84" spans="1:14">
      <c r="A84" s="1">
        <v>39114</v>
      </c>
      <c r="B84">
        <v>11.45</v>
      </c>
      <c r="C84">
        <v>40.32</v>
      </c>
      <c r="D84">
        <v>60.54</v>
      </c>
      <c r="E84">
        <v>24.73</v>
      </c>
      <c r="F84">
        <v>41.04</v>
      </c>
      <c r="G84">
        <v>39.14</v>
      </c>
      <c r="I84">
        <f t="shared" si="8"/>
        <v>-1.2931034482758652E-2</v>
      </c>
      <c r="J84">
        <f t="shared" si="8"/>
        <v>1.3065326633165909E-2</v>
      </c>
      <c r="K84">
        <f t="shared" si="8"/>
        <v>3.3145508783559118E-3</v>
      </c>
      <c r="L84">
        <f t="shared" si="8"/>
        <v>-3.4738485558157707E-2</v>
      </c>
      <c r="M84">
        <f t="shared" si="8"/>
        <v>-3.0245746691871481E-2</v>
      </c>
      <c r="N84">
        <f t="shared" si="8"/>
        <v>3.9023095301300735E-2</v>
      </c>
    </row>
    <row r="85" spans="1:14">
      <c r="A85" s="1">
        <v>39085</v>
      </c>
      <c r="B85">
        <v>11.6</v>
      </c>
      <c r="C85">
        <v>39.799999999999997</v>
      </c>
      <c r="D85">
        <v>60.34</v>
      </c>
      <c r="E85">
        <v>25.62</v>
      </c>
      <c r="F85">
        <v>42.32</v>
      </c>
      <c r="G85">
        <v>37.67</v>
      </c>
      <c r="I85">
        <f t="shared" si="8"/>
        <v>1.0452961672473799E-2</v>
      </c>
      <c r="J85">
        <f t="shared" si="8"/>
        <v>3.2693305656460767E-2</v>
      </c>
      <c r="K85">
        <f t="shared" si="8"/>
        <v>-4.6610838995101843E-2</v>
      </c>
      <c r="L85">
        <f t="shared" si="8"/>
        <v>2.3162939297124676E-2</v>
      </c>
      <c r="M85">
        <f t="shared" si="8"/>
        <v>6.1982434127979893E-2</v>
      </c>
      <c r="N85">
        <f t="shared" si="8"/>
        <v>-4.5362392295995924E-2</v>
      </c>
    </row>
    <row r="86" spans="1:14">
      <c r="A86" s="1">
        <v>39052</v>
      </c>
      <c r="B86">
        <v>11.48</v>
      </c>
      <c r="C86">
        <v>38.54</v>
      </c>
      <c r="D86">
        <v>63.29</v>
      </c>
      <c r="E86">
        <v>25.04</v>
      </c>
      <c r="F86">
        <v>39.85</v>
      </c>
      <c r="G86">
        <v>39.46</v>
      </c>
      <c r="I86">
        <f t="shared" si="8"/>
        <v>-7.4193548387096769E-2</v>
      </c>
      <c r="J86">
        <f t="shared" si="8"/>
        <v>5.4787372815027621E-3</v>
      </c>
      <c r="K86">
        <f t="shared" si="8"/>
        <v>-4.3379685610640831E-2</v>
      </c>
      <c r="L86">
        <f t="shared" si="8"/>
        <v>-3.8771593090211193E-2</v>
      </c>
      <c r="M86">
        <f t="shared" si="8"/>
        <v>4.3466876145587953E-2</v>
      </c>
      <c r="N86">
        <f t="shared" si="8"/>
        <v>-2.1814576103123512E-2</v>
      </c>
    </row>
    <row r="87" spans="1:14">
      <c r="A87" s="1">
        <v>39022</v>
      </c>
      <c r="B87">
        <v>12.4</v>
      </c>
      <c r="C87">
        <v>38.33</v>
      </c>
      <c r="D87">
        <v>66.16</v>
      </c>
      <c r="E87">
        <v>26.05</v>
      </c>
      <c r="F87">
        <v>38.19</v>
      </c>
      <c r="G87">
        <v>40.340000000000003</v>
      </c>
      <c r="I87">
        <f t="shared" si="8"/>
        <v>0.13035551504102094</v>
      </c>
      <c r="J87">
        <f t="shared" si="8"/>
        <v>-6.4437393214547251E-2</v>
      </c>
      <c r="K87">
        <f t="shared" si="8"/>
        <v>3.9107900109941807E-2</v>
      </c>
      <c r="L87">
        <f t="shared" si="8"/>
        <v>2.8830963665086903E-2</v>
      </c>
      <c r="M87">
        <f t="shared" si="8"/>
        <v>-2.4271844660194247E-2</v>
      </c>
      <c r="N87">
        <f t="shared" si="8"/>
        <v>5.9070622210553946E-2</v>
      </c>
    </row>
    <row r="88" spans="1:14">
      <c r="A88" s="1">
        <v>38992</v>
      </c>
      <c r="B88">
        <v>10.97</v>
      </c>
      <c r="C88">
        <v>40.97</v>
      </c>
      <c r="D88">
        <v>63.67</v>
      </c>
      <c r="E88">
        <v>25.32</v>
      </c>
      <c r="F88">
        <v>39.14</v>
      </c>
      <c r="G88">
        <v>38.090000000000003</v>
      </c>
      <c r="I88">
        <f t="shared" si="8"/>
        <v>5.3794428434197933E-2</v>
      </c>
      <c r="J88">
        <f t="shared" si="8"/>
        <v>-9.7537186052180317E-4</v>
      </c>
      <c r="K88">
        <f t="shared" si="8"/>
        <v>5.9400998336106493E-2</v>
      </c>
      <c r="L88">
        <f t="shared" si="8"/>
        <v>0.14570135746606327</v>
      </c>
      <c r="M88">
        <f t="shared" si="8"/>
        <v>1.7416168442942598E-2</v>
      </c>
      <c r="N88">
        <f t="shared" si="8"/>
        <v>0.18586550435865523</v>
      </c>
    </row>
    <row r="89" spans="1:14">
      <c r="A89" s="1">
        <v>38961</v>
      </c>
      <c r="B89">
        <v>10.41</v>
      </c>
      <c r="C89">
        <v>41.01</v>
      </c>
      <c r="D89">
        <v>60.1</v>
      </c>
      <c r="E89">
        <v>22.1</v>
      </c>
      <c r="F89">
        <v>38.47</v>
      </c>
      <c r="G89">
        <v>32.119999999999997</v>
      </c>
      <c r="I89">
        <f t="shared" si="8"/>
        <v>0.13398692810457521</v>
      </c>
      <c r="J89">
        <f t="shared" si="8"/>
        <v>0.10301237224314143</v>
      </c>
      <c r="K89">
        <f t="shared" si="8"/>
        <v>3.7996545768566543E-2</v>
      </c>
      <c r="L89">
        <f t="shared" si="8"/>
        <v>6.5060240963855487E-2</v>
      </c>
      <c r="M89">
        <f t="shared" si="8"/>
        <v>2.8334669874365205E-2</v>
      </c>
      <c r="N89">
        <f t="shared" si="8"/>
        <v>4.1842361336360663E-2</v>
      </c>
    </row>
    <row r="90" spans="1:14">
      <c r="A90" s="1">
        <v>38930</v>
      </c>
      <c r="B90">
        <v>9.18</v>
      </c>
      <c r="C90">
        <v>37.18</v>
      </c>
      <c r="D90">
        <v>57.9</v>
      </c>
      <c r="E90">
        <v>20.75</v>
      </c>
      <c r="F90">
        <v>37.409999999999997</v>
      </c>
      <c r="G90">
        <v>30.83</v>
      </c>
      <c r="I90">
        <f t="shared" si="8"/>
        <v>-1.0881392818280508E-3</v>
      </c>
      <c r="J90">
        <f t="shared" si="8"/>
        <v>8.6814975583288188E-3</v>
      </c>
      <c r="K90">
        <f t="shared" si="8"/>
        <v>2.5141643059490116E-2</v>
      </c>
      <c r="L90">
        <f t="shared" si="8"/>
        <v>8.5818942961800135E-2</v>
      </c>
      <c r="M90">
        <f t="shared" si="8"/>
        <v>1.0703773080010476E-3</v>
      </c>
      <c r="N90">
        <f t="shared" si="8"/>
        <v>0.14652287095574554</v>
      </c>
    </row>
    <row r="91" spans="1:14">
      <c r="A91" s="1">
        <v>38901</v>
      </c>
      <c r="B91">
        <v>9.19</v>
      </c>
      <c r="C91">
        <v>36.86</v>
      </c>
      <c r="D91">
        <v>56.48</v>
      </c>
      <c r="E91">
        <v>19.11</v>
      </c>
      <c r="F91">
        <v>37.369999999999997</v>
      </c>
      <c r="G91">
        <v>26.89</v>
      </c>
      <c r="I91">
        <f t="shared" si="8"/>
        <v>0.18580645161290316</v>
      </c>
      <c r="J91">
        <f t="shared" si="8"/>
        <v>-7.619047619047617E-2</v>
      </c>
      <c r="K91">
        <f t="shared" si="8"/>
        <v>-0.12839506172839507</v>
      </c>
      <c r="L91">
        <f t="shared" si="8"/>
        <v>-0.1019736842105264</v>
      </c>
      <c r="M91">
        <f t="shared" si="8"/>
        <v>9.4931145619689267E-2</v>
      </c>
      <c r="N91">
        <f t="shared" si="8"/>
        <v>-0.30480868665977245</v>
      </c>
    </row>
    <row r="92" spans="1:14">
      <c r="A92" s="1">
        <v>38869</v>
      </c>
      <c r="B92">
        <v>7.75</v>
      </c>
      <c r="C92">
        <v>39.9</v>
      </c>
      <c r="D92">
        <v>64.8</v>
      </c>
      <c r="E92">
        <v>21.28</v>
      </c>
      <c r="F92">
        <v>34.130000000000003</v>
      </c>
      <c r="G92">
        <v>38.68</v>
      </c>
      <c r="I92">
        <f t="shared" si="8"/>
        <v>-4.2027194066749055E-2</v>
      </c>
      <c r="J92">
        <f t="shared" si="8"/>
        <v>-5.7313730376278085E-3</v>
      </c>
      <c r="K92">
        <f t="shared" si="8"/>
        <v>-3.4564958283671142E-2</v>
      </c>
      <c r="L92">
        <f t="shared" si="8"/>
        <v>-2.8116213683223395E-3</v>
      </c>
      <c r="M92">
        <f t="shared" si="8"/>
        <v>-1.5007215007214893E-2</v>
      </c>
      <c r="N92">
        <f t="shared" si="8"/>
        <v>0.11759607049985554</v>
      </c>
    </row>
    <row r="93" spans="1:14">
      <c r="A93" s="1">
        <v>38838</v>
      </c>
      <c r="B93">
        <v>8.09</v>
      </c>
      <c r="C93">
        <v>40.130000000000003</v>
      </c>
      <c r="D93">
        <v>67.12</v>
      </c>
      <c r="E93">
        <v>21.34</v>
      </c>
      <c r="F93">
        <v>34.65</v>
      </c>
      <c r="G93">
        <v>34.61</v>
      </c>
      <c r="I93">
        <f t="shared" si="8"/>
        <v>-0.15021008403361341</v>
      </c>
      <c r="J93">
        <f t="shared" si="8"/>
        <v>7.9634113532418643E-2</v>
      </c>
      <c r="K93">
        <f t="shared" si="8"/>
        <v>-1.5547081255500179E-2</v>
      </c>
      <c r="L93">
        <f t="shared" si="8"/>
        <v>-2.4680073126142558E-2</v>
      </c>
      <c r="M93">
        <f t="shared" si="8"/>
        <v>-6.0466377440347177E-2</v>
      </c>
      <c r="N93">
        <f t="shared" si="8"/>
        <v>-1.7040613462084676E-2</v>
      </c>
    </row>
    <row r="94" spans="1:14">
      <c r="A94" s="1">
        <v>38810</v>
      </c>
      <c r="B94">
        <v>9.52</v>
      </c>
      <c r="C94">
        <v>37.17</v>
      </c>
      <c r="D94">
        <v>68.180000000000007</v>
      </c>
      <c r="E94">
        <v>21.88</v>
      </c>
      <c r="F94">
        <v>36.880000000000003</v>
      </c>
      <c r="G94">
        <v>35.21</v>
      </c>
      <c r="I94">
        <f t="shared" si="8"/>
        <v>0.12264150943396215</v>
      </c>
      <c r="J94">
        <f t="shared" si="8"/>
        <v>-4.6678635547576307E-2</v>
      </c>
      <c r="K94">
        <f t="shared" si="8"/>
        <v>0.12862108922363866</v>
      </c>
      <c r="L94">
        <f t="shared" si="8"/>
        <v>6.0591371788657297E-2</v>
      </c>
      <c r="M94">
        <f t="shared" si="8"/>
        <v>9.8927294398092974E-2</v>
      </c>
      <c r="N94">
        <f t="shared" si="8"/>
        <v>-3.6134683821516571E-2</v>
      </c>
    </row>
    <row r="95" spans="1:14">
      <c r="A95" s="1">
        <v>38777</v>
      </c>
      <c r="B95">
        <v>8.48</v>
      </c>
      <c r="C95">
        <v>38.99</v>
      </c>
      <c r="D95">
        <v>60.41</v>
      </c>
      <c r="E95">
        <v>20.63</v>
      </c>
      <c r="F95">
        <v>33.56</v>
      </c>
      <c r="G95">
        <v>36.53</v>
      </c>
      <c r="I95">
        <f t="shared" si="8"/>
        <v>-8.5221143473570571E-2</v>
      </c>
      <c r="J95">
        <f t="shared" si="8"/>
        <v>4.5308310991957236E-2</v>
      </c>
      <c r="K95">
        <f t="shared" si="8"/>
        <v>2.8605482717520853E-2</v>
      </c>
      <c r="L95">
        <f t="shared" si="8"/>
        <v>2.4329692154915511E-2</v>
      </c>
      <c r="M95">
        <f t="shared" si="8"/>
        <v>1.2062726176115975E-2</v>
      </c>
      <c r="N95">
        <f t="shared" si="8"/>
        <v>-2.4305555555555466E-2</v>
      </c>
    </row>
    <row r="96" spans="1:14">
      <c r="A96" s="1">
        <v>38749</v>
      </c>
      <c r="B96">
        <v>9.27</v>
      </c>
      <c r="C96">
        <v>37.299999999999997</v>
      </c>
      <c r="D96">
        <v>58.73</v>
      </c>
      <c r="E96">
        <v>20.14</v>
      </c>
      <c r="F96">
        <v>33.159999999999997</v>
      </c>
      <c r="G96">
        <v>37.44</v>
      </c>
      <c r="I96">
        <f t="shared" si="8"/>
        <v>-9.295499021526428E-2</v>
      </c>
      <c r="J96">
        <f t="shared" si="8"/>
        <v>-1.6350210970464255E-2</v>
      </c>
      <c r="K96">
        <f t="shared" si="8"/>
        <v>1.802738776217714E-2</v>
      </c>
      <c r="L96">
        <f t="shared" si="8"/>
        <v>-3.5902345619913831E-2</v>
      </c>
      <c r="M96">
        <f t="shared" si="8"/>
        <v>3.4956304619225886E-2</v>
      </c>
      <c r="N96">
        <f t="shared" si="8"/>
        <v>-0.16465863453815266</v>
      </c>
    </row>
    <row r="97" spans="1:14">
      <c r="A97" s="1">
        <v>38720</v>
      </c>
      <c r="B97">
        <v>10.220000000000001</v>
      </c>
      <c r="C97">
        <v>37.92</v>
      </c>
      <c r="D97">
        <v>57.69</v>
      </c>
      <c r="E97">
        <v>20.89</v>
      </c>
      <c r="F97">
        <v>32.04</v>
      </c>
      <c r="G97">
        <v>44.82</v>
      </c>
      <c r="I97">
        <f t="shared" si="8"/>
        <v>5.0359712230215847E-2</v>
      </c>
      <c r="J97">
        <f t="shared" si="8"/>
        <v>-1.4809041309431028E-2</v>
      </c>
      <c r="K97">
        <f t="shared" si="8"/>
        <v>-6.1340709404490774E-2</v>
      </c>
      <c r="L97">
        <f t="shared" si="8"/>
        <v>5.7721518987341798E-2</v>
      </c>
      <c r="M97">
        <f t="shared" si="8"/>
        <v>1.0088272383354359E-2</v>
      </c>
      <c r="N97">
        <f t="shared" si="8"/>
        <v>-4.9416755037115553E-2</v>
      </c>
    </row>
    <row r="98" spans="1:14">
      <c r="A98" s="1">
        <v>38687</v>
      </c>
      <c r="B98">
        <v>9.73</v>
      </c>
      <c r="C98">
        <v>38.49</v>
      </c>
      <c r="D98">
        <v>61.46</v>
      </c>
      <c r="E98">
        <v>19.75</v>
      </c>
      <c r="F98">
        <v>31.72</v>
      </c>
      <c r="G98">
        <v>47.15</v>
      </c>
      <c r="I98">
        <f t="shared" si="8"/>
        <v>6.1068702290076389E-2</v>
      </c>
      <c r="J98">
        <f t="shared" si="8"/>
        <v>-3.3157498116051246E-2</v>
      </c>
      <c r="K98">
        <f t="shared" si="8"/>
        <v>-1.2532133676092563E-2</v>
      </c>
      <c r="L98">
        <f t="shared" si="8"/>
        <v>-3.9396887159533017E-2</v>
      </c>
      <c r="M98">
        <f t="shared" si="8"/>
        <v>3.7618580307490955E-2</v>
      </c>
      <c r="N98">
        <f t="shared" si="8"/>
        <v>-2.7032604209657494E-2</v>
      </c>
    </row>
    <row r="99" spans="1:14">
      <c r="A99" s="1">
        <v>38657</v>
      </c>
      <c r="B99">
        <v>9.17</v>
      </c>
      <c r="C99">
        <v>39.81</v>
      </c>
      <c r="D99">
        <v>62.24</v>
      </c>
      <c r="E99">
        <v>20.56</v>
      </c>
      <c r="F99">
        <v>30.57</v>
      </c>
      <c r="G99">
        <v>48.46</v>
      </c>
      <c r="I99">
        <f t="shared" si="8"/>
        <v>0.17715019255455711</v>
      </c>
      <c r="J99">
        <f t="shared" si="8"/>
        <v>2.6295436968290876E-2</v>
      </c>
      <c r="K99">
        <f t="shared" si="8"/>
        <v>3.8371705038371777E-2</v>
      </c>
      <c r="L99">
        <f t="shared" si="8"/>
        <v>-4.0597293513765793E-2</v>
      </c>
      <c r="M99">
        <f t="shared" si="8"/>
        <v>4.4414075845575697E-2</v>
      </c>
      <c r="N99">
        <f t="shared" si="8"/>
        <v>0.2157551430005018</v>
      </c>
    </row>
    <row r="100" spans="1:14">
      <c r="A100" s="1">
        <v>38628</v>
      </c>
      <c r="B100">
        <v>7.79</v>
      </c>
      <c r="C100">
        <v>38.79</v>
      </c>
      <c r="D100">
        <v>59.94</v>
      </c>
      <c r="E100">
        <v>21.43</v>
      </c>
      <c r="F100">
        <v>29.27</v>
      </c>
      <c r="G100">
        <v>39.86</v>
      </c>
      <c r="I100">
        <f t="shared" si="8"/>
        <v>7.4482758620689662E-2</v>
      </c>
      <c r="J100">
        <f t="shared" si="8"/>
        <v>7.9599220706930124E-2</v>
      </c>
      <c r="K100">
        <f t="shared" si="8"/>
        <v>3.5769828926905139E-2</v>
      </c>
      <c r="L100">
        <f t="shared" si="8"/>
        <v>5.3071253071252981E-2</v>
      </c>
      <c r="M100">
        <f t="shared" si="8"/>
        <v>9.0130353817504588E-2</v>
      </c>
      <c r="N100">
        <f t="shared" si="8"/>
        <v>-0.12008830022075051</v>
      </c>
    </row>
    <row r="101" spans="1:14">
      <c r="A101" s="1">
        <v>38596</v>
      </c>
      <c r="B101">
        <v>7.25</v>
      </c>
      <c r="C101">
        <v>35.93</v>
      </c>
      <c r="D101">
        <v>57.87</v>
      </c>
      <c r="E101">
        <v>20.350000000000001</v>
      </c>
      <c r="F101">
        <v>26.85</v>
      </c>
      <c r="G101">
        <v>45.3</v>
      </c>
      <c r="I101">
        <f t="shared" si="8"/>
        <v>0.14353312302839119</v>
      </c>
      <c r="J101">
        <f t="shared" si="8"/>
        <v>-2.5230602278893101E-2</v>
      </c>
      <c r="K101">
        <f t="shared" si="8"/>
        <v>3.0999465526456348E-2</v>
      </c>
      <c r="L101">
        <f t="shared" si="8"/>
        <v>2.1586345381526088E-2</v>
      </c>
      <c r="M101">
        <f t="shared" si="8"/>
        <v>1.1185682326622349E-3</v>
      </c>
      <c r="N101">
        <f t="shared" si="8"/>
        <v>6.0889929742388618E-2</v>
      </c>
    </row>
    <row r="102" spans="1:14">
      <c r="A102" s="1">
        <v>38565</v>
      </c>
      <c r="B102">
        <v>6.34</v>
      </c>
      <c r="C102">
        <v>36.86</v>
      </c>
      <c r="D102">
        <v>56.13</v>
      </c>
      <c r="E102">
        <v>19.920000000000002</v>
      </c>
      <c r="F102">
        <v>26.82</v>
      </c>
      <c r="G102">
        <v>42.7</v>
      </c>
      <c r="I102">
        <f t="shared" si="8"/>
        <v>9.8786828422877004E-2</v>
      </c>
      <c r="J102">
        <f t="shared" si="8"/>
        <v>-8.6040168608975925E-2</v>
      </c>
      <c r="K102">
        <f t="shared" si="8"/>
        <v>-4.5732743964637841E-2</v>
      </c>
      <c r="L102">
        <f t="shared" si="8"/>
        <v>-9.4956837800999533E-2</v>
      </c>
      <c r="M102">
        <f t="shared" si="8"/>
        <v>-3.5251798561151092E-2</v>
      </c>
      <c r="N102">
        <f t="shared" si="8"/>
        <v>-5.4263565891472777E-2</v>
      </c>
    </row>
    <row r="103" spans="1:14">
      <c r="A103" s="1">
        <v>38534</v>
      </c>
      <c r="B103">
        <v>5.77</v>
      </c>
      <c r="C103">
        <v>40.33</v>
      </c>
      <c r="D103">
        <v>58.82</v>
      </c>
      <c r="E103">
        <v>22.01</v>
      </c>
      <c r="F103">
        <v>27.8</v>
      </c>
      <c r="G103">
        <v>45.15</v>
      </c>
      <c r="I103">
        <f t="shared" si="8"/>
        <v>0.15863453815261025</v>
      </c>
      <c r="J103">
        <f t="shared" si="8"/>
        <v>2.3863924854023805E-2</v>
      </c>
      <c r="K103">
        <f t="shared" si="8"/>
        <v>3.738977072310401E-2</v>
      </c>
      <c r="L103">
        <f t="shared" si="8"/>
        <v>7.783882783882862E-3</v>
      </c>
      <c r="M103">
        <f t="shared" si="8"/>
        <v>4.3352601156069724E-3</v>
      </c>
      <c r="N103">
        <f t="shared" si="8"/>
        <v>0.36446056210335431</v>
      </c>
    </row>
    <row r="104" spans="1:14">
      <c r="A104" s="1">
        <v>38504</v>
      </c>
      <c r="B104">
        <v>4.9800000000000004</v>
      </c>
      <c r="C104">
        <v>39.39</v>
      </c>
      <c r="D104">
        <v>56.7</v>
      </c>
      <c r="E104">
        <v>21.84</v>
      </c>
      <c r="F104">
        <v>27.68</v>
      </c>
      <c r="G104">
        <v>33.090000000000003</v>
      </c>
      <c r="I104">
        <f t="shared" si="8"/>
        <v>-7.4349442379182062E-2</v>
      </c>
      <c r="J104">
        <f t="shared" si="8"/>
        <v>2.0466321243523294E-2</v>
      </c>
      <c r="K104">
        <f t="shared" si="8"/>
        <v>-5.6729329562468754E-2</v>
      </c>
      <c r="L104">
        <f t="shared" si="8"/>
        <v>1.5341701534170074E-2</v>
      </c>
      <c r="M104">
        <f t="shared" si="8"/>
        <v>-1.2134189864382579E-2</v>
      </c>
      <c r="N104">
        <f t="shared" si="8"/>
        <v>-6.8149816952970843E-2</v>
      </c>
    </row>
    <row r="105" spans="1:14">
      <c r="A105" s="1">
        <v>38474</v>
      </c>
      <c r="B105">
        <v>5.38</v>
      </c>
      <c r="C105">
        <v>38.6</v>
      </c>
      <c r="D105">
        <v>60.11</v>
      </c>
      <c r="E105">
        <v>21.51</v>
      </c>
      <c r="F105">
        <v>28.02</v>
      </c>
      <c r="G105">
        <v>35.51</v>
      </c>
      <c r="I105">
        <f t="shared" si="8"/>
        <v>0.10245901639344263</v>
      </c>
      <c r="J105">
        <f t="shared" si="8"/>
        <v>4.9466284821662286E-3</v>
      </c>
      <c r="K105">
        <f t="shared" si="8"/>
        <v>7.8806170355465947E-3</v>
      </c>
      <c r="L105">
        <f t="shared" si="8"/>
        <v>9.1878172588832602E-2</v>
      </c>
      <c r="M105">
        <f t="shared" si="8"/>
        <v>7.5512405609493303E-3</v>
      </c>
      <c r="N105">
        <f t="shared" si="8"/>
        <v>9.7342398022249643E-2</v>
      </c>
    </row>
    <row r="106" spans="1:14">
      <c r="A106" s="1">
        <v>38443</v>
      </c>
      <c r="B106">
        <v>4.88</v>
      </c>
      <c r="C106">
        <v>38.409999999999997</v>
      </c>
      <c r="D106">
        <v>59.64</v>
      </c>
      <c r="E106">
        <v>19.7</v>
      </c>
      <c r="F106">
        <v>27.81</v>
      </c>
      <c r="G106">
        <v>32.36</v>
      </c>
      <c r="I106">
        <f t="shared" si="8"/>
        <v>-0.13475177304964536</v>
      </c>
      <c r="J106">
        <f t="shared" si="8"/>
        <v>-5.9039686428221549E-2</v>
      </c>
      <c r="K106">
        <f t="shared" si="8"/>
        <v>-0.10758641328744573</v>
      </c>
      <c r="L106">
        <f t="shared" si="8"/>
        <v>-9.1747349008759888E-2</v>
      </c>
      <c r="M106">
        <f t="shared" si="8"/>
        <v>3.6140089418777901E-2</v>
      </c>
      <c r="N106">
        <f t="shared" si="8"/>
        <v>-5.5733878027429344E-2</v>
      </c>
    </row>
    <row r="107" spans="1:14">
      <c r="A107" s="1">
        <v>38412</v>
      </c>
      <c r="B107">
        <v>5.64</v>
      </c>
      <c r="C107">
        <v>40.82</v>
      </c>
      <c r="D107">
        <v>66.83</v>
      </c>
      <c r="E107">
        <v>21.69</v>
      </c>
      <c r="F107">
        <v>26.84</v>
      </c>
      <c r="G107">
        <v>34.270000000000003</v>
      </c>
      <c r="I107">
        <f t="shared" si="8"/>
        <v>-7.0840197693575052E-2</v>
      </c>
      <c r="J107">
        <f t="shared" si="8"/>
        <v>-2.6240458015267209E-2</v>
      </c>
      <c r="K107">
        <f t="shared" si="8"/>
        <v>2.0772873071635854E-2</v>
      </c>
      <c r="L107">
        <f t="shared" si="8"/>
        <v>6.2193927522037194E-2</v>
      </c>
      <c r="M107">
        <f t="shared" si="8"/>
        <v>-5.3596614950634683E-2</v>
      </c>
      <c r="N107">
        <f t="shared" si="8"/>
        <v>-2.5866969869243792E-2</v>
      </c>
    </row>
    <row r="108" spans="1:14">
      <c r="A108" s="1">
        <v>38384</v>
      </c>
      <c r="B108">
        <v>6.07</v>
      </c>
      <c r="C108">
        <v>41.92</v>
      </c>
      <c r="D108">
        <v>65.47</v>
      </c>
      <c r="E108">
        <v>20.420000000000002</v>
      </c>
      <c r="F108">
        <v>28.36</v>
      </c>
      <c r="G108">
        <v>35.18</v>
      </c>
      <c r="I108">
        <f t="shared" si="8"/>
        <v>0.16730769230769232</v>
      </c>
      <c r="J108">
        <f t="shared" si="8"/>
        <v>-1.5268968757340818E-2</v>
      </c>
      <c r="K108">
        <f t="shared" si="8"/>
        <v>0</v>
      </c>
      <c r="L108">
        <f t="shared" si="8"/>
        <v>5.2577319587629033E-2</v>
      </c>
      <c r="M108">
        <f t="shared" si="8"/>
        <v>-2.0718232044198943E-2</v>
      </c>
      <c r="N108">
        <f t="shared" si="8"/>
        <v>-0.18602498843128179</v>
      </c>
    </row>
    <row r="109" spans="1:14">
      <c r="A109" s="1">
        <v>38355</v>
      </c>
      <c r="B109">
        <v>5.2</v>
      </c>
      <c r="C109">
        <v>42.57</v>
      </c>
      <c r="D109">
        <v>65.47</v>
      </c>
      <c r="E109">
        <v>19.399999999999999</v>
      </c>
      <c r="F109">
        <v>28.96</v>
      </c>
      <c r="G109">
        <v>43.22</v>
      </c>
      <c r="I109">
        <f t="shared" si="8"/>
        <v>0.19266055045871555</v>
      </c>
      <c r="J109">
        <f t="shared" si="8"/>
        <v>-7.9235609415053906E-3</v>
      </c>
      <c r="K109">
        <f t="shared" si="8"/>
        <v>2.7947872507458019E-2</v>
      </c>
      <c r="L109">
        <f t="shared" ref="L109:N120" si="9">(E109-E110)/E110</f>
        <v>-1.5728056823947349E-2</v>
      </c>
      <c r="M109">
        <f t="shared" si="9"/>
        <v>-3.4666666666666637E-2</v>
      </c>
      <c r="N109">
        <f t="shared" si="9"/>
        <v>-2.4158952359449093E-2</v>
      </c>
    </row>
    <row r="110" spans="1:14">
      <c r="A110" s="1">
        <v>38322</v>
      </c>
      <c r="B110">
        <v>4.3600000000000003</v>
      </c>
      <c r="C110">
        <v>42.91</v>
      </c>
      <c r="D110">
        <v>63.69</v>
      </c>
      <c r="E110">
        <v>19.71</v>
      </c>
      <c r="F110">
        <v>30</v>
      </c>
      <c r="G110">
        <v>44.29</v>
      </c>
      <c r="I110">
        <f t="shared" ref="I110:K120" si="10">(B110-B111)/B111</f>
        <v>-3.9647577092510954E-2</v>
      </c>
      <c r="J110">
        <f t="shared" si="10"/>
        <v>1.7065655368570725E-2</v>
      </c>
      <c r="K110">
        <f t="shared" si="10"/>
        <v>3.1083050024283545E-2</v>
      </c>
      <c r="L110">
        <f t="shared" si="9"/>
        <v>3.9556962025316451E-2</v>
      </c>
      <c r="M110">
        <f t="shared" si="9"/>
        <v>3.5911602209944722E-2</v>
      </c>
      <c r="N110">
        <f t="shared" si="9"/>
        <v>0.11617943548387095</v>
      </c>
    </row>
    <row r="111" spans="1:14">
      <c r="A111" s="1">
        <v>38292</v>
      </c>
      <c r="B111">
        <v>4.54</v>
      </c>
      <c r="C111">
        <v>42.19</v>
      </c>
      <c r="D111">
        <v>61.77</v>
      </c>
      <c r="E111">
        <v>18.96</v>
      </c>
      <c r="F111">
        <v>28.96</v>
      </c>
      <c r="G111">
        <v>39.68</v>
      </c>
      <c r="I111">
        <f t="shared" si="10"/>
        <v>0.2824858757062147</v>
      </c>
      <c r="J111">
        <f t="shared" si="10"/>
        <v>-3.4332799267566952E-2</v>
      </c>
      <c r="K111">
        <f t="shared" si="10"/>
        <v>3.0702486233939653E-2</v>
      </c>
      <c r="L111">
        <f t="shared" si="9"/>
        <v>4.3478260869565168E-2</v>
      </c>
      <c r="M111">
        <f t="shared" si="9"/>
        <v>-2.4587403166049189E-2</v>
      </c>
      <c r="N111">
        <f t="shared" si="9"/>
        <v>0.16261353647817159</v>
      </c>
    </row>
    <row r="112" spans="1:14">
      <c r="A112" s="1">
        <v>38261</v>
      </c>
      <c r="B112">
        <v>3.54</v>
      </c>
      <c r="C112">
        <v>43.69</v>
      </c>
      <c r="D112">
        <v>59.93</v>
      </c>
      <c r="E112">
        <v>18.170000000000002</v>
      </c>
      <c r="F112">
        <v>29.69</v>
      </c>
      <c r="G112">
        <v>34.130000000000003</v>
      </c>
      <c r="I112">
        <f t="shared" si="10"/>
        <v>0.35114503816793891</v>
      </c>
      <c r="J112">
        <f t="shared" si="10"/>
        <v>1.3453954998840136E-2</v>
      </c>
      <c r="K112">
        <f t="shared" si="10"/>
        <v>-3.0101958245670812E-2</v>
      </c>
      <c r="L112">
        <f t="shared" si="9"/>
        <v>7.2609208972845354E-2</v>
      </c>
      <c r="M112">
        <f t="shared" si="9"/>
        <v>-2.0132013201320114E-2</v>
      </c>
      <c r="N112">
        <f t="shared" si="9"/>
        <v>-0.16470876162506112</v>
      </c>
    </row>
    <row r="113" spans="1:14">
      <c r="A113" s="1">
        <v>38231</v>
      </c>
      <c r="B113">
        <v>2.62</v>
      </c>
      <c r="C113">
        <v>43.11</v>
      </c>
      <c r="D113">
        <v>61.79</v>
      </c>
      <c r="E113">
        <v>16.940000000000001</v>
      </c>
      <c r="F113">
        <v>30.3</v>
      </c>
      <c r="G113">
        <v>40.86</v>
      </c>
      <c r="I113">
        <f t="shared" si="10"/>
        <v>0.12446351931330474</v>
      </c>
      <c r="J113">
        <f t="shared" si="10"/>
        <v>1.0074976569821923E-2</v>
      </c>
      <c r="K113">
        <f t="shared" si="10"/>
        <v>-2.891717743202897E-2</v>
      </c>
      <c r="L113">
        <f t="shared" si="9"/>
        <v>2.3564954682779488E-2</v>
      </c>
      <c r="M113">
        <f t="shared" si="9"/>
        <v>3.643590592911541E-3</v>
      </c>
      <c r="N113">
        <f t="shared" si="9"/>
        <v>7.1316203460933369E-2</v>
      </c>
    </row>
    <row r="114" spans="1:14">
      <c r="A114" s="1">
        <v>38201</v>
      </c>
      <c r="B114">
        <v>2.33</v>
      </c>
      <c r="C114">
        <v>42.68</v>
      </c>
      <c r="D114">
        <v>63.63</v>
      </c>
      <c r="E114">
        <v>16.55</v>
      </c>
      <c r="F114">
        <v>30.19</v>
      </c>
      <c r="G114">
        <v>38.14</v>
      </c>
      <c r="I114">
        <f t="shared" si="10"/>
        <v>6.3926940639269458E-2</v>
      </c>
      <c r="J114">
        <f t="shared" si="10"/>
        <v>-3.9673278879813695E-3</v>
      </c>
      <c r="K114">
        <f t="shared" si="10"/>
        <v>4.5784654246921238E-3</v>
      </c>
      <c r="L114">
        <f t="shared" si="9"/>
        <v>3.4375000000000044E-2</v>
      </c>
      <c r="M114">
        <f t="shared" si="9"/>
        <v>6.0414471373375571E-2</v>
      </c>
      <c r="N114">
        <f t="shared" si="9"/>
        <v>-2.0041109969167553E-2</v>
      </c>
    </row>
    <row r="115" spans="1:14">
      <c r="A115" s="1">
        <v>38169</v>
      </c>
      <c r="B115">
        <v>2.19</v>
      </c>
      <c r="C115">
        <v>42.85</v>
      </c>
      <c r="D115">
        <v>63.34</v>
      </c>
      <c r="E115">
        <v>16</v>
      </c>
      <c r="F115">
        <v>28.47</v>
      </c>
      <c r="G115">
        <v>38.92</v>
      </c>
      <c r="I115">
        <f t="shared" si="10"/>
        <v>-4.5454545454546502E-3</v>
      </c>
      <c r="J115">
        <f t="shared" si="10"/>
        <v>9.6606974552310015E-3</v>
      </c>
      <c r="K115">
        <f t="shared" si="10"/>
        <v>-8.5078723096923298E-2</v>
      </c>
      <c r="L115">
        <f t="shared" si="9"/>
        <v>3.4259857789269509E-2</v>
      </c>
      <c r="M115">
        <f t="shared" si="9"/>
        <v>-2.8659160696008185E-2</v>
      </c>
      <c r="N115">
        <f t="shared" si="9"/>
        <v>-0.2845588235294117</v>
      </c>
    </row>
    <row r="116" spans="1:14">
      <c r="A116" s="1">
        <v>38139</v>
      </c>
      <c r="B116">
        <v>2.2000000000000002</v>
      </c>
      <c r="C116">
        <v>42.44</v>
      </c>
      <c r="D116">
        <v>69.23</v>
      </c>
      <c r="E116">
        <v>15.47</v>
      </c>
      <c r="F116">
        <v>29.31</v>
      </c>
      <c r="G116">
        <v>54.4</v>
      </c>
      <c r="I116">
        <f t="shared" si="10"/>
        <v>0.15789473684210542</v>
      </c>
      <c r="J116">
        <f t="shared" si="10"/>
        <v>-5.7935627081021082E-2</v>
      </c>
      <c r="K116">
        <f t="shared" si="10"/>
        <v>6.442189421894215E-2</v>
      </c>
      <c r="L116">
        <f t="shared" si="9"/>
        <v>-7.0603337612323127E-3</v>
      </c>
      <c r="M116">
        <f t="shared" si="9"/>
        <v>5.2423698384200974E-2</v>
      </c>
      <c r="N116">
        <f t="shared" si="9"/>
        <v>0.12164948453608244</v>
      </c>
    </row>
    <row r="117" spans="1:14">
      <c r="A117" s="1">
        <v>38110</v>
      </c>
      <c r="B117">
        <v>1.9</v>
      </c>
      <c r="C117">
        <v>45.05</v>
      </c>
      <c r="D117">
        <v>65.040000000000006</v>
      </c>
      <c r="E117">
        <v>15.58</v>
      </c>
      <c r="F117">
        <v>27.85</v>
      </c>
      <c r="G117">
        <v>48.5</v>
      </c>
      <c r="I117">
        <f t="shared" si="10"/>
        <v>9.1954022988505704E-2</v>
      </c>
      <c r="J117">
        <f t="shared" si="10"/>
        <v>-2.0013051990428576E-2</v>
      </c>
      <c r="K117">
        <f t="shared" si="10"/>
        <v>-1.7819389912413056E-2</v>
      </c>
      <c r="L117">
        <f t="shared" si="9"/>
        <v>-3.3498759305210971E-2</v>
      </c>
      <c r="M117">
        <f t="shared" si="9"/>
        <v>-2.0056298381421544E-2</v>
      </c>
      <c r="N117">
        <f t="shared" si="9"/>
        <v>0.1123853211009174</v>
      </c>
    </row>
    <row r="118" spans="1:14">
      <c r="A118" s="1">
        <v>38078</v>
      </c>
      <c r="B118">
        <v>1.74</v>
      </c>
      <c r="C118">
        <v>45.97</v>
      </c>
      <c r="D118">
        <v>66.22</v>
      </c>
      <c r="E118">
        <v>16.12</v>
      </c>
      <c r="F118">
        <v>28.42</v>
      </c>
      <c r="G118">
        <v>43.6</v>
      </c>
      <c r="I118">
        <f t="shared" si="10"/>
        <v>-4.91803278688525E-2</v>
      </c>
      <c r="J118">
        <f t="shared" si="10"/>
        <v>-4.5076859160781087E-2</v>
      </c>
      <c r="K118">
        <f t="shared" si="10"/>
        <v>5.6308821183601872E-2</v>
      </c>
      <c r="L118">
        <f t="shared" si="9"/>
        <v>2.0899303356554901E-2</v>
      </c>
      <c r="M118">
        <f t="shared" si="9"/>
        <v>-9.6630642085187513E-2</v>
      </c>
      <c r="N118">
        <f t="shared" si="9"/>
        <v>7.3937153419593405E-3</v>
      </c>
    </row>
    <row r="119" spans="1:14">
      <c r="A119" s="1">
        <v>38047</v>
      </c>
      <c r="B119">
        <v>1.83</v>
      </c>
      <c r="C119">
        <v>48.14</v>
      </c>
      <c r="D119">
        <v>62.69</v>
      </c>
      <c r="E119">
        <v>15.79</v>
      </c>
      <c r="F119">
        <v>31.46</v>
      </c>
      <c r="G119">
        <v>43.28</v>
      </c>
      <c r="I119">
        <f t="shared" si="10"/>
        <v>0.12962962962962959</v>
      </c>
      <c r="J119">
        <f t="shared" si="10"/>
        <v>4.3813895263926737E-3</v>
      </c>
      <c r="K119">
        <f t="shared" si="10"/>
        <v>4.9205020920502052E-2</v>
      </c>
      <c r="L119">
        <f t="shared" si="9"/>
        <v>2.5990903183885548E-2</v>
      </c>
      <c r="M119">
        <f t="shared" si="9"/>
        <v>2.2756827048114409E-2</v>
      </c>
      <c r="N119">
        <f t="shared" si="9"/>
        <v>6.2776098581725911E-3</v>
      </c>
    </row>
    <row r="120" spans="1:14">
      <c r="A120" s="1">
        <v>38019</v>
      </c>
      <c r="B120">
        <v>1.62</v>
      </c>
      <c r="C120">
        <v>47.93</v>
      </c>
      <c r="D120">
        <v>59.75</v>
      </c>
      <c r="E120">
        <v>15.39</v>
      </c>
      <c r="F120">
        <v>30.76</v>
      </c>
      <c r="G120">
        <v>43.01</v>
      </c>
      <c r="I120">
        <f t="shared" si="10"/>
        <v>5.8823529411764754E-2</v>
      </c>
      <c r="J120">
        <f t="shared" si="10"/>
        <v>0.10616201246249715</v>
      </c>
      <c r="K120">
        <f t="shared" si="10"/>
        <v>-8.9567092386797012E-3</v>
      </c>
      <c r="L120">
        <f t="shared" si="9"/>
        <v>9.2264017033357043E-2</v>
      </c>
      <c r="M120">
        <f t="shared" si="9"/>
        <v>5.4869684499314175E-2</v>
      </c>
      <c r="N120">
        <f t="shared" si="9"/>
        <v>-0.14662698412698413</v>
      </c>
    </row>
    <row r="121" spans="1:14">
      <c r="A121" s="1">
        <v>37988</v>
      </c>
      <c r="B121">
        <v>1.53</v>
      </c>
      <c r="C121">
        <v>43.33</v>
      </c>
      <c r="D121">
        <v>60.29</v>
      </c>
      <c r="E121">
        <v>14.09</v>
      </c>
      <c r="F121">
        <v>29.16</v>
      </c>
      <c r="G121">
        <v>50.4</v>
      </c>
    </row>
  </sheetData>
  <mergeCells count="26">
    <mergeCell ref="P40:Q40"/>
    <mergeCell ref="P30:Q30"/>
    <mergeCell ref="Z30:AA30"/>
    <mergeCell ref="P31:Q31"/>
    <mergeCell ref="Z31:AA31"/>
    <mergeCell ref="P38:Q38"/>
    <mergeCell ref="P39:Q39"/>
    <mergeCell ref="Q26:R26"/>
    <mergeCell ref="X26:Y26"/>
    <mergeCell ref="X27:Y27"/>
    <mergeCell ref="P29:Q29"/>
    <mergeCell ref="W22:Y22"/>
    <mergeCell ref="Z29:AA29"/>
    <mergeCell ref="X11:Y11"/>
    <mergeCell ref="X12:Y12"/>
    <mergeCell ref="X13:Y13"/>
    <mergeCell ref="X14:Y14"/>
    <mergeCell ref="X15:Y15"/>
    <mergeCell ref="X16:Y16"/>
    <mergeCell ref="Z19:AB19"/>
    <mergeCell ref="X17:Y17"/>
    <mergeCell ref="AB21:AC21"/>
    <mergeCell ref="AB20:AC20"/>
    <mergeCell ref="W20:Y20"/>
    <mergeCell ref="W21:Y21"/>
    <mergeCell ref="Z24:AB24"/>
  </mergeCells>
  <pageMargins left="0.7" right="0.7" top="0.75" bottom="0.75" header="0.3" footer="0.3"/>
  <pageSetup paperSize="9" orientation="portrait" r:id="rId1"/>
  <ignoredErrors>
    <ignoredError sqref="AB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1"/>
  <sheetViews>
    <sheetView tabSelected="1" topLeftCell="N13" workbookViewId="0">
      <selection activeCell="Y19" sqref="Y19"/>
    </sheetView>
  </sheetViews>
  <sheetFormatPr defaultRowHeight="15"/>
  <cols>
    <col min="1" max="1" width="12.5703125" customWidth="1"/>
    <col min="17" max="17" width="12.42578125" customWidth="1"/>
    <col min="18" max="18" width="12.7109375" customWidth="1"/>
    <col min="19" max="19" width="14.7109375" customWidth="1"/>
    <col min="20" max="20" width="12.28515625" customWidth="1"/>
    <col min="21" max="21" width="12.140625" customWidth="1"/>
    <col min="22" max="22" width="11.5703125" customWidth="1"/>
    <col min="23" max="23" width="13" customWidth="1"/>
    <col min="26" max="26" width="10.42578125" customWidth="1"/>
    <col min="27" max="27" width="15" customWidth="1"/>
    <col min="28" max="28" width="16.7109375" customWidth="1"/>
    <col min="29" max="29" width="13.140625" customWidth="1"/>
    <col min="30" max="30" width="12.7109375" customWidth="1"/>
    <col min="31" max="31" width="11.7109375" customWidth="1"/>
    <col min="32" max="32" width="12.85546875" customWidth="1"/>
  </cols>
  <sheetData>
    <row r="1" spans="1:136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1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</v>
      </c>
      <c r="N1" t="s">
        <v>36</v>
      </c>
      <c r="Q1" t="s">
        <v>32</v>
      </c>
      <c r="R1">
        <v>8.8688946015423875E-3</v>
      </c>
      <c r="S1">
        <v>7.0004125979920284E-2</v>
      </c>
      <c r="T1">
        <v>9.6351025331724988E-2</v>
      </c>
      <c r="U1">
        <v>-2.1395897889921838E-2</v>
      </c>
      <c r="V1">
        <v>8.3799776107468332E-2</v>
      </c>
      <c r="W1">
        <v>0.14105839416058402</v>
      </c>
      <c r="X1">
        <v>-0.11826226870474661</v>
      </c>
      <c r="Y1">
        <v>2.2540309312273733E-2</v>
      </c>
      <c r="Z1">
        <v>1.6455487905213116E-4</v>
      </c>
      <c r="AA1">
        <v>2.8052805280528335E-3</v>
      </c>
      <c r="AB1">
        <v>-2.5253337622647583E-2</v>
      </c>
      <c r="AC1">
        <v>-0.14401762357152684</v>
      </c>
      <c r="AD1">
        <v>-9.0761141712568855E-2</v>
      </c>
      <c r="AE1">
        <v>-1.2363996043521267E-2</v>
      </c>
      <c r="AF1">
        <v>-0.10758027143330023</v>
      </c>
      <c r="AG1">
        <v>2.7660986944014164E-3</v>
      </c>
      <c r="AH1">
        <v>9.3791601113397072E-2</v>
      </c>
      <c r="AI1">
        <v>4.5816985191747754E-2</v>
      </c>
      <c r="AJ1">
        <v>1.0875127942681789E-2</v>
      </c>
      <c r="AK1">
        <v>-1.0632911392405107E-2</v>
      </c>
      <c r="AL1">
        <v>-2.601405498705461E-2</v>
      </c>
      <c r="AM1">
        <v>0.1053420550558736</v>
      </c>
      <c r="AN1">
        <v>0.18834008097165986</v>
      </c>
      <c r="AO1">
        <v>0.12703048001460121</v>
      </c>
      <c r="AP1">
        <v>5.956294720556949E-2</v>
      </c>
      <c r="AQ1">
        <v>-5.5697589481373218E-2</v>
      </c>
      <c r="AR1">
        <v>6.1446016669897158E-2</v>
      </c>
      <c r="AS1">
        <v>-9.0280445639646344E-3</v>
      </c>
      <c r="AT1">
        <v>-1.4575052053757261E-2</v>
      </c>
      <c r="AU1">
        <v>0.16340013212948695</v>
      </c>
      <c r="AV1">
        <v>-3.5061623459413632E-2</v>
      </c>
      <c r="AW1">
        <v>-6.5442263035675576E-3</v>
      </c>
      <c r="AX1">
        <v>4.665959703075268E-3</v>
      </c>
      <c r="AY1">
        <v>-1.3185433235663511E-2</v>
      </c>
      <c r="AZ1">
        <v>4.0958605664488078E-2</v>
      </c>
      <c r="BA1">
        <v>5.1787351054078778E-2</v>
      </c>
      <c r="BB1">
        <v>3.68258493703967E-2</v>
      </c>
      <c r="BC1">
        <v>3.3644400785854726E-2</v>
      </c>
      <c r="BD1">
        <v>6.0692888773117952E-2</v>
      </c>
      <c r="BE1">
        <v>0.16722408026755853</v>
      </c>
      <c r="BF1">
        <v>-5.4885057471264272E-2</v>
      </c>
      <c r="BG1">
        <v>2.2627093740816808E-2</v>
      </c>
      <c r="BH1">
        <v>-2.0719424460431624E-2</v>
      </c>
      <c r="BI1">
        <v>-1.6138165345413371E-2</v>
      </c>
      <c r="BJ1">
        <v>0.11104120792702112</v>
      </c>
      <c r="BK1">
        <v>0.14848265895953755</v>
      </c>
      <c r="BL1">
        <v>6.5434949961508823E-2</v>
      </c>
      <c r="BM1">
        <v>-8.8740792704314314E-2</v>
      </c>
      <c r="BN1">
        <v>5.4363905325443877E-2</v>
      </c>
      <c r="BO1">
        <v>6.0392156862745065E-2</v>
      </c>
      <c r="BP1">
        <v>1.7151974471479845E-2</v>
      </c>
      <c r="BQ1">
        <v>0.10149384885764492</v>
      </c>
      <c r="BR1">
        <v>2.9864253393665163E-2</v>
      </c>
      <c r="BS1">
        <v>0.1468604047742606</v>
      </c>
      <c r="BT1">
        <v>4.8992923244420172E-2</v>
      </c>
      <c r="BU1">
        <v>7.9318448883666362E-2</v>
      </c>
      <c r="BV1">
        <v>0.1969057665260196</v>
      </c>
      <c r="BW1">
        <v>0.17715231788079475</v>
      </c>
      <c r="BX1">
        <v>-9.0237899917965086E-3</v>
      </c>
      <c r="BY1">
        <v>5.54112554112553E-2</v>
      </c>
      <c r="BZ1">
        <v>-7.8947368421052516E-2</v>
      </c>
      <c r="CA1">
        <v>-0.13873626373626383</v>
      </c>
      <c r="CB1">
        <v>-5.3315994798439549E-2</v>
      </c>
      <c r="CC1">
        <v>-0.3292629742695159</v>
      </c>
      <c r="CD1">
        <v>6.6511627906976734E-2</v>
      </c>
      <c r="CE1">
        <v>-5.0772626931567269E-2</v>
      </c>
      <c r="CF1">
        <v>-0.11280846063454769</v>
      </c>
      <c r="CG1">
        <v>8.4997875053123673E-2</v>
      </c>
      <c r="CH1">
        <v>0.21226172076249361</v>
      </c>
      <c r="CI1">
        <v>0.14784151389710232</v>
      </c>
      <c r="CJ1">
        <v>-7.6460950300382233E-2</v>
      </c>
      <c r="CK1">
        <v>-0.31679104477611947</v>
      </c>
      <c r="CL1">
        <v>8.7221095334685694E-2</v>
      </c>
      <c r="CM1">
        <v>-4.0856031128404698E-2</v>
      </c>
      <c r="CN1">
        <v>0.23795761078998059</v>
      </c>
      <c r="CO1">
        <v>0.10838227442605451</v>
      </c>
      <c r="CP1">
        <v>5.106621773288441E-2</v>
      </c>
      <c r="CQ1">
        <v>7.9345850999394216E-2</v>
      </c>
      <c r="CR1">
        <v>7.3215375228798656E-3</v>
      </c>
      <c r="CS1">
        <v>0.21407407407407411</v>
      </c>
      <c r="CT1">
        <v>7.3985680190930769E-2</v>
      </c>
      <c r="CU1">
        <v>9.781659388646298E-2</v>
      </c>
      <c r="CV1">
        <v>-1.2931034482758652E-2</v>
      </c>
      <c r="CW1">
        <v>1.0452961672473799E-2</v>
      </c>
      <c r="CX1">
        <v>-7.4193548387096769E-2</v>
      </c>
      <c r="CY1">
        <v>0.13035551504102094</v>
      </c>
      <c r="CZ1">
        <v>5.3794428434197933E-2</v>
      </c>
      <c r="DA1">
        <v>0.13398692810457521</v>
      </c>
      <c r="DB1">
        <v>-1.0881392818280508E-3</v>
      </c>
      <c r="DC1">
        <v>0.18580645161290316</v>
      </c>
      <c r="DD1">
        <v>-4.2027194066749055E-2</v>
      </c>
      <c r="DE1">
        <v>-0.15021008403361341</v>
      </c>
      <c r="DF1">
        <v>0.12264150943396215</v>
      </c>
      <c r="DG1">
        <v>-8.5221143473570571E-2</v>
      </c>
      <c r="DH1">
        <v>-9.295499021526428E-2</v>
      </c>
      <c r="DI1">
        <v>5.0359712230215847E-2</v>
      </c>
      <c r="DJ1">
        <v>6.1068702290076389E-2</v>
      </c>
      <c r="DK1">
        <v>0.17715019255455711</v>
      </c>
      <c r="DL1">
        <v>7.4482758620689662E-2</v>
      </c>
      <c r="DM1">
        <v>0.14353312302839119</v>
      </c>
      <c r="DN1">
        <v>9.8786828422877004E-2</v>
      </c>
      <c r="DO1">
        <v>0.15863453815261025</v>
      </c>
      <c r="DP1">
        <v>-7.4349442379182062E-2</v>
      </c>
      <c r="DQ1">
        <v>0.10245901639344263</v>
      </c>
      <c r="DR1">
        <v>-0.13475177304964536</v>
      </c>
      <c r="DS1">
        <v>-7.0840197693575052E-2</v>
      </c>
      <c r="DT1">
        <v>0.16730769230769232</v>
      </c>
      <c r="DU1">
        <v>0.19266055045871555</v>
      </c>
      <c r="DV1">
        <v>-3.9647577092510954E-2</v>
      </c>
      <c r="DW1">
        <v>0.2824858757062147</v>
      </c>
      <c r="DX1">
        <v>0.35114503816793891</v>
      </c>
      <c r="DY1">
        <v>0.12446351931330474</v>
      </c>
      <c r="DZ1">
        <v>6.3926940639269458E-2</v>
      </c>
      <c r="EA1">
        <v>-4.5454545454546502E-3</v>
      </c>
      <c r="EB1">
        <v>0.15789473684210542</v>
      </c>
      <c r="EC1">
        <v>9.1954022988505704E-2</v>
      </c>
      <c r="ED1">
        <v>-4.91803278688525E-2</v>
      </c>
      <c r="EE1">
        <v>0.12962962962962959</v>
      </c>
      <c r="EF1">
        <v>5.8823529411764754E-2</v>
      </c>
    </row>
    <row r="2" spans="1:136">
      <c r="A2" s="1">
        <v>41610</v>
      </c>
      <c r="B2">
        <v>78.489999999999995</v>
      </c>
      <c r="C2">
        <v>76.77</v>
      </c>
      <c r="D2">
        <v>136.93</v>
      </c>
      <c r="E2">
        <v>74.08</v>
      </c>
      <c r="F2">
        <v>56.95</v>
      </c>
      <c r="G2">
        <v>398.79</v>
      </c>
      <c r="I2">
        <f>(B2-B3)/B3</f>
        <v>8.8688946015423875E-3</v>
      </c>
      <c r="J2">
        <f t="shared" ref="J2:N52" si="0">(C2-C3)/C3</f>
        <v>-2.2909507445589887E-2</v>
      </c>
      <c r="K2">
        <f t="shared" si="0"/>
        <v>5.0479478327579694E-2</v>
      </c>
      <c r="L2">
        <f t="shared" si="0"/>
        <v>-2.6544021024967099E-2</v>
      </c>
      <c r="M2">
        <f t="shared" si="0"/>
        <v>2.2074659009332448E-2</v>
      </c>
      <c r="N2">
        <f t="shared" si="0"/>
        <v>1.3134495198414755E-2</v>
      </c>
      <c r="Q2" t="s">
        <v>33</v>
      </c>
      <c r="R2">
        <v>-2.2909507445589887E-2</v>
      </c>
      <c r="S2">
        <v>5.5480924234282587E-2</v>
      </c>
      <c r="T2">
        <v>3.7635907443546182E-2</v>
      </c>
      <c r="U2">
        <v>1.3563153433173124E-2</v>
      </c>
      <c r="V2">
        <v>-5.8025019962736214E-2</v>
      </c>
      <c r="W2">
        <v>4.6372371535997749E-2</v>
      </c>
      <c r="X2">
        <v>-4.7124047124047592E-3</v>
      </c>
      <c r="Y2">
        <v>-3.1283566058002123E-2</v>
      </c>
      <c r="Z2">
        <v>3.8627806442616236E-2</v>
      </c>
      <c r="AA2">
        <v>6.4104466538061927E-2</v>
      </c>
      <c r="AB2">
        <v>1.1861861861861956E-2</v>
      </c>
      <c r="AC2">
        <v>2.5088502385716416E-2</v>
      </c>
      <c r="AD2">
        <v>-4.7360703812316773E-2</v>
      </c>
      <c r="AE2">
        <v>-3.997747747747752E-2</v>
      </c>
      <c r="AF2">
        <v>1.6599885518031064E-2</v>
      </c>
      <c r="AG2">
        <v>1.6436363636363572E-2</v>
      </c>
      <c r="AH2">
        <v>-1.9258202567760264E-2</v>
      </c>
      <c r="AI2">
        <v>6.7621078282059058E-2</v>
      </c>
      <c r="AJ2">
        <v>5.9203097273753745E-2</v>
      </c>
      <c r="AK2">
        <v>0.12484122663763388</v>
      </c>
      <c r="AL2">
        <v>-3.7379912663755469E-2</v>
      </c>
      <c r="AM2">
        <v>4.2805100182149391E-2</v>
      </c>
      <c r="AN2">
        <v>-3.7179936864258231E-2</v>
      </c>
      <c r="AO2">
        <v>2.6832342877723788E-2</v>
      </c>
      <c r="AP2">
        <v>2.0959735245449543E-2</v>
      </c>
      <c r="AQ2">
        <v>3.8373424971363077E-2</v>
      </c>
      <c r="AR2">
        <v>9.2843730440225383E-2</v>
      </c>
      <c r="AS2">
        <v>-2.4226384364820802E-2</v>
      </c>
      <c r="AT2">
        <v>1.6345954893440911E-2</v>
      </c>
      <c r="AU2">
        <v>-8.0049261083743953E-3</v>
      </c>
      <c r="AV2">
        <v>-3.7724669168477255E-2</v>
      </c>
      <c r="AW2">
        <v>1.098242811501606E-2</v>
      </c>
      <c r="AX2">
        <v>5.6317232651339422E-2</v>
      </c>
      <c r="AY2">
        <v>8.2943428328369519E-3</v>
      </c>
      <c r="AZ2">
        <v>-7.2766712679944737E-2</v>
      </c>
      <c r="BA2">
        <v>3.9565395653956531E-2</v>
      </c>
      <c r="BB2">
        <v>2.6721479958890558E-3</v>
      </c>
      <c r="BC2">
        <v>-1.6416991586291462E-3</v>
      </c>
      <c r="BD2">
        <v>1.225592023265468E-2</v>
      </c>
      <c r="BE2">
        <v>6.7405764966740556E-2</v>
      </c>
      <c r="BF2">
        <v>-1.4853647881170811E-2</v>
      </c>
      <c r="BG2">
        <v>6.4898813677599421E-2</v>
      </c>
      <c r="BH2">
        <v>-4.931446262715606E-2</v>
      </c>
      <c r="BI2">
        <v>-5.1792828685258946E-2</v>
      </c>
      <c r="BJ2">
        <v>-3.5396440129449841E-2</v>
      </c>
      <c r="BK2">
        <v>3.4093285923446882E-2</v>
      </c>
      <c r="BL2">
        <v>1.2066045723962748E-2</v>
      </c>
      <c r="BM2">
        <v>-4.2319085907735975E-4</v>
      </c>
      <c r="BN2">
        <v>-1.5211502396332651E-2</v>
      </c>
      <c r="BO2">
        <v>9.8169336384439337E-2</v>
      </c>
      <c r="BP2">
        <v>1.2042612320518831E-2</v>
      </c>
      <c r="BQ2">
        <v>-3.5083798882681573E-2</v>
      </c>
      <c r="BR2">
        <v>2.5435380384967905E-2</v>
      </c>
      <c r="BS2">
        <v>2.9731005191127841E-2</v>
      </c>
      <c r="BT2">
        <v>-2.6194852941176482E-2</v>
      </c>
      <c r="BU2">
        <v>-7.7519379844960398E-3</v>
      </c>
      <c r="BV2">
        <v>-3.2642258491398408E-2</v>
      </c>
      <c r="BW2">
        <v>6.4069467261206381E-2</v>
      </c>
      <c r="BX2">
        <v>4.5131223939170864E-2</v>
      </c>
      <c r="BY2">
        <v>-0.15955473098330231</v>
      </c>
      <c r="BZ2">
        <v>7.4766355140186798E-3</v>
      </c>
      <c r="CA2">
        <v>1.2476606363068239E-3</v>
      </c>
      <c r="CB2">
        <v>-6.8023255813953451E-2</v>
      </c>
      <c r="CC2">
        <v>1.3752455795677855E-2</v>
      </c>
      <c r="CD2">
        <v>1.1928429423459274E-2</v>
      </c>
      <c r="CE2">
        <v>4.2919344806137266E-2</v>
      </c>
      <c r="CF2">
        <v>-2.6639757820383459E-2</v>
      </c>
      <c r="CG2">
        <v>0</v>
      </c>
      <c r="CH2">
        <v>0.1006219458018657</v>
      </c>
      <c r="CI2">
        <v>6.7330488383120043E-2</v>
      </c>
      <c r="CJ2">
        <v>-2.24797219003476E-2</v>
      </c>
      <c r="CK2">
        <v>6.7540821375556573E-2</v>
      </c>
      <c r="CL2">
        <v>-3.4516765285996192E-3</v>
      </c>
      <c r="CM2">
        <v>5.9561128526645794E-2</v>
      </c>
      <c r="CN2">
        <v>3.5714285714285719E-2</v>
      </c>
      <c r="CO2">
        <v>5.4141851651334945E-4</v>
      </c>
      <c r="CP2">
        <v>-4.5724618961508735E-2</v>
      </c>
      <c r="CQ2">
        <v>-4.4905008635578593E-2</v>
      </c>
      <c r="CR2">
        <v>1.0723192019950117E-2</v>
      </c>
      <c r="CS2">
        <v>-1.9910403185664084E-3</v>
      </c>
      <c r="CT2">
        <v>2.0574041148082357E-2</v>
      </c>
      <c r="CU2">
        <v>-2.3561507936508005E-2</v>
      </c>
      <c r="CV2">
        <v>1.3065326633165909E-2</v>
      </c>
      <c r="CW2">
        <v>3.2693305656460767E-2</v>
      </c>
      <c r="CX2">
        <v>5.4787372815027621E-3</v>
      </c>
      <c r="CY2">
        <v>-6.4437393214547251E-2</v>
      </c>
      <c r="CZ2">
        <v>-9.7537186052180317E-4</v>
      </c>
      <c r="DA2">
        <v>0.10301237224314143</v>
      </c>
      <c r="DB2">
        <v>8.6814975583288188E-3</v>
      </c>
      <c r="DC2">
        <v>-7.619047619047617E-2</v>
      </c>
      <c r="DD2">
        <v>-5.7313730376278085E-3</v>
      </c>
      <c r="DE2">
        <v>7.9634113532418643E-2</v>
      </c>
      <c r="DF2">
        <v>-4.6678635547576307E-2</v>
      </c>
      <c r="DG2">
        <v>4.5308310991957236E-2</v>
      </c>
      <c r="DH2">
        <v>-1.6350210970464255E-2</v>
      </c>
      <c r="DI2">
        <v>-1.4809041309431028E-2</v>
      </c>
      <c r="DJ2">
        <v>-3.3157498116051246E-2</v>
      </c>
      <c r="DK2">
        <v>2.6295436968290876E-2</v>
      </c>
      <c r="DL2">
        <v>7.9599220706930124E-2</v>
      </c>
      <c r="DM2">
        <v>-2.5230602278893101E-2</v>
      </c>
      <c r="DN2">
        <v>-8.6040168608975925E-2</v>
      </c>
      <c r="DO2">
        <v>2.3863924854023805E-2</v>
      </c>
      <c r="DP2">
        <v>2.0466321243523294E-2</v>
      </c>
      <c r="DQ2">
        <v>4.9466284821662286E-3</v>
      </c>
      <c r="DR2">
        <v>-5.9039686428221549E-2</v>
      </c>
      <c r="DS2">
        <v>-2.6240458015267209E-2</v>
      </c>
      <c r="DT2">
        <v>-1.5268968757340818E-2</v>
      </c>
      <c r="DU2">
        <v>-7.9235609415053906E-3</v>
      </c>
      <c r="DV2">
        <v>1.7065655368570725E-2</v>
      </c>
      <c r="DW2">
        <v>-3.4332799267566952E-2</v>
      </c>
      <c r="DX2">
        <v>1.3453954998840136E-2</v>
      </c>
      <c r="DY2">
        <v>1.0074976569821923E-2</v>
      </c>
      <c r="DZ2">
        <v>-3.9673278879813695E-3</v>
      </c>
      <c r="EA2">
        <v>9.6606974552310015E-3</v>
      </c>
      <c r="EB2">
        <v>-5.7935627081021082E-2</v>
      </c>
      <c r="EC2">
        <v>-2.0013051990428576E-2</v>
      </c>
      <c r="ED2">
        <v>-4.5076859160781087E-2</v>
      </c>
      <c r="EE2">
        <v>4.3813895263926737E-3</v>
      </c>
      <c r="EF2">
        <v>0.10616201246249715</v>
      </c>
    </row>
    <row r="3" spans="1:136">
      <c r="A3" s="1">
        <v>41579</v>
      </c>
      <c r="B3">
        <v>77.8</v>
      </c>
      <c r="C3">
        <v>78.569999999999993</v>
      </c>
      <c r="D3">
        <v>130.35</v>
      </c>
      <c r="E3">
        <v>76.099999999999994</v>
      </c>
      <c r="F3">
        <v>55.72</v>
      </c>
      <c r="G3">
        <v>393.62</v>
      </c>
      <c r="I3">
        <f t="shared" ref="I3:N66" si="1">(B3-B4)/B4</f>
        <v>7.0004125979920284E-2</v>
      </c>
      <c r="J3">
        <f t="shared" si="0"/>
        <v>5.5480924234282587E-2</v>
      </c>
      <c r="K3">
        <f t="shared" si="0"/>
        <v>6.6083258362640049E-2</v>
      </c>
      <c r="L3">
        <f t="shared" si="0"/>
        <v>0.14867924528301879</v>
      </c>
      <c r="M3">
        <f t="shared" si="0"/>
        <v>0.11018131101813113</v>
      </c>
      <c r="N3">
        <f t="shared" si="0"/>
        <v>8.1284509518446374E-2</v>
      </c>
      <c r="Q3" t="s">
        <v>34</v>
      </c>
      <c r="R3">
        <v>5.0479478327579694E-2</v>
      </c>
      <c r="S3">
        <v>6.6083258362640049E-2</v>
      </c>
      <c r="T3">
        <v>5.3960865442634176E-2</v>
      </c>
      <c r="U3">
        <v>5.1291345718169561E-2</v>
      </c>
      <c r="V3">
        <v>-2.741054115988013E-2</v>
      </c>
      <c r="W3">
        <v>7.3821692220329332E-2</v>
      </c>
      <c r="X3">
        <v>-8.2598085226207024E-3</v>
      </c>
      <c r="Y3">
        <v>5.9045725646123384E-2</v>
      </c>
      <c r="Z3">
        <v>-1.5077344820834211E-2</v>
      </c>
      <c r="AA3">
        <v>2.2217774219375489E-2</v>
      </c>
      <c r="AB3">
        <v>4.0724924487032563E-2</v>
      </c>
      <c r="AC3">
        <v>8.2900969997744295E-2</v>
      </c>
      <c r="AD3">
        <v>2.0958083832335252E-2</v>
      </c>
      <c r="AE3">
        <v>4.5131784811650019E-2</v>
      </c>
      <c r="AF3">
        <v>-5.213324207164035E-2</v>
      </c>
      <c r="AG3">
        <v>-2.0491803278689302E-3</v>
      </c>
      <c r="AH3">
        <v>2.1514129549947768E-2</v>
      </c>
      <c r="AI3">
        <v>1.8235642391947804E-2</v>
      </c>
      <c r="AJ3">
        <v>6.1463046757164408E-2</v>
      </c>
      <c r="AK3">
        <v>-4.8894202032277387E-2</v>
      </c>
      <c r="AL3">
        <v>1.6764459346186153E-3</v>
      </c>
      <c r="AM3">
        <v>1.8414634146341525E-2</v>
      </c>
      <c r="AN3">
        <v>1.7117340610270346E-2</v>
      </c>
      <c r="AO3">
        <v>6.0929069614423084E-2</v>
      </c>
      <c r="AP3">
        <v>8.4936960849369691E-3</v>
      </c>
      <c r="AQ3">
        <v>3.2757675438596499E-2</v>
      </c>
      <c r="AR3">
        <v>0.10078455039227509</v>
      </c>
      <c r="AS3">
        <v>-0.1348387938911369</v>
      </c>
      <c r="AT3">
        <v>-4.1296458515830275E-2</v>
      </c>
      <c r="AU3">
        <v>-8.1283053575534683E-2</v>
      </c>
      <c r="AV3">
        <v>4.9682264586944757E-3</v>
      </c>
      <c r="AW3">
        <v>-2.3468351573959139E-2</v>
      </c>
      <c r="AX3">
        <v>3.9770061004223381E-2</v>
      </c>
      <c r="AY3">
        <v>1.3675823522416357E-2</v>
      </c>
      <c r="AZ3">
        <v>5.5346385542168627E-2</v>
      </c>
      <c r="BA3">
        <v>1.8795550441120232E-2</v>
      </c>
      <c r="BB3">
        <v>2.7591643673630196E-2</v>
      </c>
      <c r="BC3">
        <v>3.4278180619644713E-3</v>
      </c>
      <c r="BD3">
        <v>-2.8684850813164412E-2</v>
      </c>
      <c r="BE3">
        <v>0.10390161153519945</v>
      </c>
      <c r="BF3">
        <v>-7.6018808777429558E-2</v>
      </c>
      <c r="BG3">
        <v>8.3038619323808238E-2</v>
      </c>
      <c r="BH3">
        <v>-4.0856579318118659E-3</v>
      </c>
      <c r="BI3">
        <v>-9.9923915800152113E-2</v>
      </c>
      <c r="BJ3">
        <v>6.0944436970267739E-2</v>
      </c>
      <c r="BK3">
        <v>4.2789001122334414E-2</v>
      </c>
      <c r="BL3">
        <v>2.2497187851518081E-3</v>
      </c>
      <c r="BM3">
        <v>-2.6420260095824679E-2</v>
      </c>
      <c r="BN3">
        <v>6.7670271850336097E-2</v>
      </c>
      <c r="BO3">
        <v>5.9461133477856976E-2</v>
      </c>
      <c r="BP3">
        <v>-3.2412409322427524E-3</v>
      </c>
      <c r="BQ3">
        <v>2.370042660767905E-2</v>
      </c>
      <c r="BR3">
        <v>2.9775463716238175E-2</v>
      </c>
      <c r="BS3">
        <v>0.17334860633829702</v>
      </c>
      <c r="BT3">
        <v>5.2652733118971153E-2</v>
      </c>
      <c r="BU3">
        <v>0</v>
      </c>
      <c r="BV3">
        <v>0.15828677839851019</v>
      </c>
      <c r="BW3">
        <v>9.3686354378818726E-2</v>
      </c>
      <c r="BX3">
        <v>-0.14552969327822488</v>
      </c>
      <c r="BY3">
        <v>-6.5270435136234262E-2</v>
      </c>
      <c r="BZ3">
        <v>-0.14020979020979027</v>
      </c>
      <c r="CA3">
        <v>4.9348743349844154E-2</v>
      </c>
      <c r="CB3">
        <v>-5.8711794163356909E-2</v>
      </c>
      <c r="CC3">
        <v>-4.5963756177924316E-2</v>
      </c>
      <c r="CD3">
        <v>2.429969625379691E-2</v>
      </c>
      <c r="CE3">
        <v>1.1608057357459879E-2</v>
      </c>
      <c r="CF3">
        <v>-0.10277224689845317</v>
      </c>
      <c r="CG3">
        <v>1.5080845771144484E-2</v>
      </c>
      <c r="CH3">
        <v>-2.8398791540785642E-2</v>
      </c>
      <c r="CI3">
        <v>9.4541018603233381E-3</v>
      </c>
      <c r="CJ3">
        <v>-9.365558912386775E-3</v>
      </c>
      <c r="CK3">
        <v>-5.550007133685262E-2</v>
      </c>
      <c r="CL3">
        <v>1.2714925588787888E-2</v>
      </c>
      <c r="CM3">
        <v>-3.0128923766816224E-2</v>
      </c>
      <c r="CN3">
        <v>-7.7201603517392983E-2</v>
      </c>
      <c r="CO3">
        <v>2.8461231546748247E-2</v>
      </c>
      <c r="CP3">
        <v>2.8872468527640933E-2</v>
      </c>
      <c r="CQ3">
        <v>2.4533856722276742E-2</v>
      </c>
      <c r="CR3">
        <v>-1.327984506847431E-2</v>
      </c>
      <c r="CS3">
        <v>6.8746303962152658E-2</v>
      </c>
      <c r="CT3">
        <v>8.29330771693884E-2</v>
      </c>
      <c r="CU3">
        <v>3.1714568880079314E-2</v>
      </c>
      <c r="CV3">
        <v>3.3145508783559118E-3</v>
      </c>
      <c r="CW3">
        <v>-4.6610838995101843E-2</v>
      </c>
      <c r="CX3">
        <v>-4.3379685610640831E-2</v>
      </c>
      <c r="CY3">
        <v>3.9107900109941807E-2</v>
      </c>
      <c r="CZ3">
        <v>5.9400998336106493E-2</v>
      </c>
      <c r="DA3">
        <v>3.7996545768566543E-2</v>
      </c>
      <c r="DB3">
        <v>2.5141643059490116E-2</v>
      </c>
      <c r="DC3">
        <v>-0.12839506172839507</v>
      </c>
      <c r="DD3">
        <v>-3.4564958283671142E-2</v>
      </c>
      <c r="DE3">
        <v>-1.5547081255500179E-2</v>
      </c>
      <c r="DF3">
        <v>0.12862108922363866</v>
      </c>
      <c r="DG3">
        <v>2.8605482717520853E-2</v>
      </c>
      <c r="DH3">
        <v>1.802738776217714E-2</v>
      </c>
      <c r="DI3">
        <v>-6.1340709404490774E-2</v>
      </c>
      <c r="DJ3">
        <v>-1.2532133676092563E-2</v>
      </c>
      <c r="DK3">
        <v>3.8371705038371777E-2</v>
      </c>
      <c r="DL3">
        <v>3.5769828926905139E-2</v>
      </c>
      <c r="DM3">
        <v>3.0999465526456348E-2</v>
      </c>
      <c r="DN3">
        <v>-4.5732743964637841E-2</v>
      </c>
      <c r="DO3">
        <v>3.738977072310401E-2</v>
      </c>
      <c r="DP3">
        <v>-5.6729329562468754E-2</v>
      </c>
      <c r="DQ3">
        <v>7.8806170355465947E-3</v>
      </c>
      <c r="DR3">
        <v>-0.10758641328744573</v>
      </c>
      <c r="DS3">
        <v>2.0772873071635854E-2</v>
      </c>
      <c r="DT3">
        <v>0</v>
      </c>
      <c r="DU3">
        <v>2.7947872507458019E-2</v>
      </c>
      <c r="DV3">
        <v>3.1083050024283545E-2</v>
      </c>
      <c r="DW3">
        <v>3.0702486233939653E-2</v>
      </c>
      <c r="DX3">
        <v>-3.0101958245670812E-2</v>
      </c>
      <c r="DY3">
        <v>-2.891717743202897E-2</v>
      </c>
      <c r="DZ3">
        <v>4.5784654246921238E-3</v>
      </c>
      <c r="EA3">
        <v>-8.5078723096923298E-2</v>
      </c>
      <c r="EB3">
        <v>6.442189421894215E-2</v>
      </c>
      <c r="EC3">
        <v>-1.7819389912413056E-2</v>
      </c>
      <c r="ED3">
        <v>5.6308821183601872E-2</v>
      </c>
      <c r="EE3">
        <v>4.9205020920502052E-2</v>
      </c>
      <c r="EF3">
        <v>-8.9567092386797012E-3</v>
      </c>
    </row>
    <row r="4" spans="1:136">
      <c r="A4" s="1">
        <v>41548</v>
      </c>
      <c r="B4">
        <v>72.709999999999994</v>
      </c>
      <c r="C4">
        <v>74.44</v>
      </c>
      <c r="D4">
        <v>122.27</v>
      </c>
      <c r="E4">
        <v>66.25</v>
      </c>
      <c r="F4">
        <v>50.19</v>
      </c>
      <c r="G4">
        <v>364.03</v>
      </c>
      <c r="I4">
        <f t="shared" si="1"/>
        <v>9.6351025331724988E-2</v>
      </c>
      <c r="J4">
        <f t="shared" si="0"/>
        <v>3.7635907443546182E-2</v>
      </c>
      <c r="K4">
        <f t="shared" si="0"/>
        <v>5.3960865442634176E-2</v>
      </c>
      <c r="L4">
        <f t="shared" si="0"/>
        <v>-4.7858580051738979E-2</v>
      </c>
      <c r="M4">
        <f t="shared" si="0"/>
        <v>4.4026415849509476E-3</v>
      </c>
      <c r="N4">
        <f t="shared" si="0"/>
        <v>0.16437436028659158</v>
      </c>
      <c r="Q4" t="s">
        <v>35</v>
      </c>
      <c r="R4">
        <v>-2.6544021024967099E-2</v>
      </c>
      <c r="S4">
        <v>0.14867924528301879</v>
      </c>
      <c r="T4">
        <v>-4.7858580051738979E-2</v>
      </c>
      <c r="U4">
        <v>1.9487179487179464E-2</v>
      </c>
      <c r="V4">
        <v>-3.9679189531447778E-2</v>
      </c>
      <c r="W4">
        <v>5.6488776572023149E-2</v>
      </c>
      <c r="X4">
        <v>2.3429179978700622E-2</v>
      </c>
      <c r="Y4">
        <v>-5.4471175669541447E-3</v>
      </c>
      <c r="Z4">
        <v>-4.8243087557603606E-2</v>
      </c>
      <c r="AA4">
        <v>9.856035437430781E-2</v>
      </c>
      <c r="AB4">
        <v>8.2947838570745433E-3</v>
      </c>
      <c r="AC4">
        <v>-1.6935863258585624E-2</v>
      </c>
      <c r="AD4">
        <v>-1.0090034150884795E-2</v>
      </c>
      <c r="AE4">
        <v>-4.3219961384226895E-2</v>
      </c>
      <c r="AF4">
        <v>6.2154914024294017E-2</v>
      </c>
      <c r="AG4">
        <v>4.1228646517739782E-2</v>
      </c>
      <c r="AH4">
        <v>-1.7271993543179986E-2</v>
      </c>
      <c r="AI4">
        <v>1.1098416843479675E-2</v>
      </c>
      <c r="AJ4">
        <v>-8.442916915720261E-2</v>
      </c>
      <c r="AK4">
        <v>-3.2668401272044012E-2</v>
      </c>
      <c r="AL4">
        <v>2.6105013349154629E-2</v>
      </c>
      <c r="AM4">
        <v>7.4593560726809047E-2</v>
      </c>
      <c r="AN4">
        <v>4.5840973495582596E-2</v>
      </c>
      <c r="AO4">
        <v>7.8374977530109635E-2</v>
      </c>
      <c r="AP4">
        <v>5.3000189286390394E-2</v>
      </c>
      <c r="AQ4">
        <v>4.6138613861386103E-2</v>
      </c>
      <c r="AR4">
        <v>9.0712742980561617E-2</v>
      </c>
      <c r="AS4">
        <v>-9.1622523052776184E-2</v>
      </c>
      <c r="AT4">
        <v>2.9281098546041915E-2</v>
      </c>
      <c r="AU4">
        <v>-3.9379243452958179E-2</v>
      </c>
      <c r="AV4">
        <v>-1.5494867325199573E-3</v>
      </c>
      <c r="AW4">
        <v>3.1362365161805836E-2</v>
      </c>
      <c r="AX4">
        <v>4.9255921190526124E-2</v>
      </c>
      <c r="AY4">
        <v>2.0753102267864757E-2</v>
      </c>
      <c r="AZ4">
        <v>7.6462459695992635E-2</v>
      </c>
      <c r="BA4">
        <v>-4.1924095322153541E-2</v>
      </c>
      <c r="BB4">
        <v>-2.0531661984006976E-2</v>
      </c>
      <c r="BC4">
        <v>1.0482638130596288E-2</v>
      </c>
      <c r="BD4">
        <v>8.1738719584219258E-2</v>
      </c>
      <c r="BE4">
        <v>0.10464509394572019</v>
      </c>
      <c r="BF4">
        <v>9.4836670179135781E-3</v>
      </c>
      <c r="BG4">
        <v>6.3305322128851482E-2</v>
      </c>
      <c r="BH4">
        <v>-4.6728971962616821E-2</v>
      </c>
      <c r="BI4">
        <v>-3.4544985821087816E-2</v>
      </c>
      <c r="BJ4">
        <v>0.11241755090335538</v>
      </c>
      <c r="BK4">
        <v>0.13657105606258141</v>
      </c>
      <c r="BL4">
        <v>-1.4138817480719835E-2</v>
      </c>
      <c r="BM4">
        <v>-1.6123932975023649E-2</v>
      </c>
      <c r="BN4">
        <v>-8.4639498432601754E-3</v>
      </c>
      <c r="BO4">
        <v>7.0469798657718047E-2</v>
      </c>
      <c r="BP4">
        <v>-1.8121911037891292E-2</v>
      </c>
      <c r="BQ4">
        <v>-1.4290354011042472E-2</v>
      </c>
      <c r="BR4">
        <v>-3.4190715181932244E-2</v>
      </c>
      <c r="BS4">
        <v>6.9081153588195804E-2</v>
      </c>
      <c r="BT4">
        <v>-3.7132709073296695E-2</v>
      </c>
      <c r="BU4">
        <v>3.8216560509554159E-2</v>
      </c>
      <c r="BV4">
        <v>0.22153972153972137</v>
      </c>
      <c r="BW4">
        <v>4.5824411134903646E-2</v>
      </c>
      <c r="BX4">
        <v>-8.179315768777029E-2</v>
      </c>
      <c r="BY4">
        <v>-8.5580726357425349E-2</v>
      </c>
      <c r="BZ4">
        <v>0.16897856242118536</v>
      </c>
      <c r="CA4">
        <v>-7.1065989847715755E-2</v>
      </c>
      <c r="CB4">
        <v>-0.10454545454545461</v>
      </c>
      <c r="CC4">
        <v>-8.6261980830670895E-2</v>
      </c>
      <c r="CD4">
        <v>-3.8192234245703689E-3</v>
      </c>
      <c r="CE4">
        <v>2.6126714565643392E-2</v>
      </c>
      <c r="CF4">
        <v>-0.11605080831408775</v>
      </c>
      <c r="CG4">
        <v>-2.3950408565793221E-2</v>
      </c>
      <c r="CH4">
        <v>9.7402597402597352E-2</v>
      </c>
      <c r="CI4">
        <v>8.0160320641282631E-2</v>
      </c>
      <c r="CJ4">
        <v>8.4203435500168396E-3</v>
      </c>
      <c r="CK4">
        <v>-0.10383338364020528</v>
      </c>
      <c r="CL4">
        <v>3.0161691542288746E-2</v>
      </c>
      <c r="CM4">
        <v>-7.7452667814113682E-2</v>
      </c>
      <c r="CN4">
        <v>0.19506342132327725</v>
      </c>
      <c r="CO4">
        <v>3.4030485643388897E-2</v>
      </c>
      <c r="CP4">
        <v>2.136133236784938E-2</v>
      </c>
      <c r="CQ4">
        <v>-1.6381766381766288E-2</v>
      </c>
      <c r="CR4">
        <v>-3.3723331039229199E-2</v>
      </c>
      <c r="CS4">
        <v>9.4538606403013106E-2</v>
      </c>
      <c r="CT4">
        <v>7.0996369503832257E-2</v>
      </c>
      <c r="CU4">
        <v>2.4262029923169722E-3</v>
      </c>
      <c r="CV4">
        <v>-3.4738485558157707E-2</v>
      </c>
      <c r="CW4">
        <v>2.3162939297124676E-2</v>
      </c>
      <c r="CX4">
        <v>-3.8771593090211193E-2</v>
      </c>
      <c r="CY4">
        <v>2.8830963665086903E-2</v>
      </c>
      <c r="CZ4">
        <v>0.14570135746606327</v>
      </c>
      <c r="DA4">
        <v>6.5060240963855487E-2</v>
      </c>
      <c r="DB4">
        <v>8.5818942961800135E-2</v>
      </c>
      <c r="DC4">
        <v>-0.1019736842105264</v>
      </c>
      <c r="DD4">
        <v>-2.8116213683223395E-3</v>
      </c>
      <c r="DE4">
        <v>-2.4680073126142558E-2</v>
      </c>
      <c r="DF4">
        <v>6.0591371788657297E-2</v>
      </c>
      <c r="DG4">
        <v>2.4329692154915511E-2</v>
      </c>
      <c r="DH4">
        <v>-3.5902345619913831E-2</v>
      </c>
      <c r="DI4">
        <v>5.7721518987341798E-2</v>
      </c>
      <c r="DJ4">
        <v>-3.9396887159533017E-2</v>
      </c>
      <c r="DK4">
        <v>-4.0597293513765793E-2</v>
      </c>
      <c r="DL4">
        <v>5.3071253071252981E-2</v>
      </c>
      <c r="DM4">
        <v>2.1586345381526088E-2</v>
      </c>
      <c r="DN4">
        <v>-9.4956837800999533E-2</v>
      </c>
      <c r="DO4">
        <v>7.783882783882862E-3</v>
      </c>
      <c r="DP4">
        <v>1.5341701534170074E-2</v>
      </c>
      <c r="DQ4">
        <v>9.1878172588832602E-2</v>
      </c>
      <c r="DR4">
        <v>-9.1747349008759888E-2</v>
      </c>
      <c r="DS4">
        <v>6.2193927522037194E-2</v>
      </c>
      <c r="DT4">
        <v>5.2577319587629033E-2</v>
      </c>
      <c r="DU4">
        <v>-1.5728056823947349E-2</v>
      </c>
      <c r="DV4">
        <v>3.9556962025316451E-2</v>
      </c>
      <c r="DW4">
        <v>4.3478260869565168E-2</v>
      </c>
      <c r="DX4">
        <v>7.2609208972845354E-2</v>
      </c>
      <c r="DY4">
        <v>2.3564954682779488E-2</v>
      </c>
      <c r="DZ4">
        <v>3.4375000000000044E-2</v>
      </c>
      <c r="EA4">
        <v>3.4259857789269509E-2</v>
      </c>
      <c r="EB4">
        <v>-7.0603337612323127E-3</v>
      </c>
      <c r="EC4">
        <v>-3.3498759305210971E-2</v>
      </c>
      <c r="ED4">
        <v>2.0899303356554901E-2</v>
      </c>
      <c r="EE4">
        <v>2.5990903183885548E-2</v>
      </c>
      <c r="EF4">
        <v>9.2264017033357043E-2</v>
      </c>
    </row>
    <row r="5" spans="1:136">
      <c r="A5" s="1">
        <v>41520</v>
      </c>
      <c r="B5">
        <v>66.319999999999993</v>
      </c>
      <c r="C5">
        <v>71.739999999999995</v>
      </c>
      <c r="D5">
        <v>116.01</v>
      </c>
      <c r="E5">
        <v>69.58</v>
      </c>
      <c r="F5">
        <v>49.97</v>
      </c>
      <c r="G5">
        <v>312.64</v>
      </c>
      <c r="I5">
        <f t="shared" si="1"/>
        <v>-2.1395897889921838E-2</v>
      </c>
      <c r="J5">
        <f t="shared" si="0"/>
        <v>1.3563153433173124E-2</v>
      </c>
      <c r="K5">
        <f t="shared" si="0"/>
        <v>5.1291345718169561E-2</v>
      </c>
      <c r="L5">
        <f t="shared" si="0"/>
        <v>1.9487179487179464E-2</v>
      </c>
      <c r="M5">
        <f t="shared" si="0"/>
        <v>2.2927328556806497E-2</v>
      </c>
      <c r="N5">
        <f t="shared" si="0"/>
        <v>0.11267705886539955</v>
      </c>
      <c r="Q5" t="s">
        <v>3</v>
      </c>
      <c r="R5">
        <v>2.2074659009332448E-2</v>
      </c>
      <c r="S5">
        <v>0.11018131101813113</v>
      </c>
      <c r="T5">
        <v>4.4026415849509476E-3</v>
      </c>
      <c r="U5">
        <v>2.2927328556806497E-2</v>
      </c>
      <c r="V5">
        <v>-9.3355605048255394E-2</v>
      </c>
      <c r="W5">
        <v>6.3560994867745885E-2</v>
      </c>
      <c r="X5">
        <v>-3.302156900171796E-2</v>
      </c>
      <c r="Y5">
        <v>0.11373299319727895</v>
      </c>
      <c r="Z5">
        <v>3.9098740888005211E-2</v>
      </c>
      <c r="AA5">
        <v>-2.9789969995713535E-2</v>
      </c>
      <c r="AB5">
        <v>3.9661319073083644E-2</v>
      </c>
      <c r="AC5">
        <v>7.7551020408163363E-2</v>
      </c>
      <c r="AD5">
        <v>7.0418915445900856E-2</v>
      </c>
      <c r="AE5">
        <v>-1.4437689969604872E-2</v>
      </c>
      <c r="AF5">
        <v>3.730951129795046E-2</v>
      </c>
      <c r="AG5">
        <v>8.9919816723940449E-2</v>
      </c>
      <c r="AH5">
        <v>3.1610044313146242E-2</v>
      </c>
      <c r="AI5">
        <v>1.5906362545018041E-2</v>
      </c>
      <c r="AJ5">
        <v>7.7968295050145589E-2</v>
      </c>
      <c r="AK5">
        <v>-0.22879241516966065</v>
      </c>
      <c r="AL5">
        <v>-5.9154929577464863E-2</v>
      </c>
      <c r="AM5">
        <v>0.17161716171617167</v>
      </c>
      <c r="AN5">
        <v>5.2083333333333245E-2</v>
      </c>
      <c r="AO5">
        <v>0.12978097417456694</v>
      </c>
      <c r="AP5">
        <v>7.3710073710073765E-2</v>
      </c>
      <c r="AQ5">
        <v>-0.10885204879574603</v>
      </c>
      <c r="AR5">
        <v>0.16423889293517838</v>
      </c>
      <c r="AS5">
        <v>-0.19824817518248172</v>
      </c>
      <c r="AT5">
        <v>-7.1312364425162755E-2</v>
      </c>
      <c r="AU5">
        <v>-5.9299191374662767E-3</v>
      </c>
      <c r="AV5">
        <v>-5.33299311048736E-2</v>
      </c>
      <c r="AW5">
        <v>-5.2237001209189927E-2</v>
      </c>
      <c r="AX5">
        <v>-4.8134777376653611E-3</v>
      </c>
      <c r="AY5">
        <v>-1.2829650748396442E-2</v>
      </c>
      <c r="AZ5">
        <v>3.9002715378918917E-2</v>
      </c>
      <c r="BA5">
        <v>6.074888714323122E-2</v>
      </c>
      <c r="BB5">
        <v>0.13424413424413412</v>
      </c>
      <c r="BC5">
        <v>-6.198347107438041E-3</v>
      </c>
      <c r="BD5">
        <v>-9.9357101110460633E-3</v>
      </c>
      <c r="BE5">
        <v>4.6803303762618577E-2</v>
      </c>
      <c r="BF5">
        <v>-9.7459966869133108E-2</v>
      </c>
      <c r="BG5">
        <v>0.10191664131426838</v>
      </c>
      <c r="BH5">
        <v>-7.5126617895329262E-2</v>
      </c>
      <c r="BI5">
        <v>-7.0606694560669522E-2</v>
      </c>
      <c r="BJ5">
        <v>-4.7334329845540569E-2</v>
      </c>
      <c r="BK5">
        <v>6.6135458167330727E-2</v>
      </c>
      <c r="BL5">
        <v>7.7870025765817322E-2</v>
      </c>
      <c r="BM5">
        <v>-6.4291454594160163E-2</v>
      </c>
      <c r="BN5">
        <v>-1.9437877593906014E-2</v>
      </c>
      <c r="BO5">
        <v>1.7370390165686759E-2</v>
      </c>
      <c r="BP5">
        <v>-4.5651619484825275E-2</v>
      </c>
      <c r="BQ5">
        <v>8.2283363332476284E-3</v>
      </c>
      <c r="BR5">
        <v>0.12463851937536155</v>
      </c>
      <c r="BS5">
        <v>0.13451443569553798</v>
      </c>
      <c r="BT5">
        <v>-7.5523202911737905E-2</v>
      </c>
      <c r="BU5">
        <v>0.11800610376398782</v>
      </c>
      <c r="BV5">
        <v>0.24377899620413315</v>
      </c>
      <c r="BW5">
        <v>0.1633954857703632</v>
      </c>
      <c r="BX5">
        <v>-0.10417582417582422</v>
      </c>
      <c r="BY5">
        <v>-0.18106551475881932</v>
      </c>
      <c r="BZ5">
        <v>-4.3010752688171132E-3</v>
      </c>
      <c r="CA5">
        <v>-0.23246217331499319</v>
      </c>
      <c r="CB5">
        <v>-0.10972324271369084</v>
      </c>
      <c r="CC5">
        <v>0.21301247771836015</v>
      </c>
      <c r="CD5">
        <v>-5.263157894736855E-2</v>
      </c>
      <c r="CE5">
        <v>0.19750589821368383</v>
      </c>
      <c r="CF5">
        <v>-0.2019903173749327</v>
      </c>
      <c r="CG5">
        <v>-9.7572815533980659E-2</v>
      </c>
      <c r="CH5">
        <v>0.11834961997828444</v>
      </c>
      <c r="CI5">
        <v>5.6495554918268027E-2</v>
      </c>
      <c r="CJ5">
        <v>-0.14240039350713229</v>
      </c>
      <c r="CK5">
        <v>9.5661546752896717E-2</v>
      </c>
      <c r="CL5">
        <v>-4.3310131477184835E-2</v>
      </c>
      <c r="CM5">
        <v>-2.927927927927932E-2</v>
      </c>
      <c r="CN5">
        <v>3.3893919793014288E-2</v>
      </c>
      <c r="CO5">
        <v>2.9294274300932132E-2</v>
      </c>
      <c r="CP5">
        <v>1.1584051724137925E-2</v>
      </c>
      <c r="CQ5">
        <v>-8.45869297163995E-2</v>
      </c>
      <c r="CR5">
        <v>-6.5237436606731328E-2</v>
      </c>
      <c r="CS5">
        <v>-5.0458715596330009E-3</v>
      </c>
      <c r="CT5">
        <v>8.4577114427860658E-2</v>
      </c>
      <c r="CU5">
        <v>-2.0467836257309854E-2</v>
      </c>
      <c r="CV5">
        <v>-3.0245746691871481E-2</v>
      </c>
      <c r="CW5">
        <v>6.1982434127979893E-2</v>
      </c>
      <c r="CX5">
        <v>4.3466876145587953E-2</v>
      </c>
      <c r="CY5">
        <v>-2.4271844660194247E-2</v>
      </c>
      <c r="CZ5">
        <v>1.7416168442942598E-2</v>
      </c>
      <c r="DA5">
        <v>2.8334669874365205E-2</v>
      </c>
      <c r="DB5">
        <v>1.0703773080010476E-3</v>
      </c>
      <c r="DC5">
        <v>9.4931145619689267E-2</v>
      </c>
      <c r="DD5">
        <v>-1.5007215007214893E-2</v>
      </c>
      <c r="DE5">
        <v>-6.0466377440347177E-2</v>
      </c>
      <c r="DF5">
        <v>9.8927294398092974E-2</v>
      </c>
      <c r="DG5">
        <v>1.2062726176115975E-2</v>
      </c>
      <c r="DH5">
        <v>3.4956304619225886E-2</v>
      </c>
      <c r="DI5">
        <v>1.0088272383354359E-2</v>
      </c>
      <c r="DJ5">
        <v>3.7618580307490955E-2</v>
      </c>
      <c r="DK5">
        <v>4.4414075845575697E-2</v>
      </c>
      <c r="DL5">
        <v>9.0130353817504588E-2</v>
      </c>
      <c r="DM5">
        <v>1.1185682326622349E-3</v>
      </c>
      <c r="DN5">
        <v>-3.5251798561151092E-2</v>
      </c>
      <c r="DO5">
        <v>4.3352601156069724E-3</v>
      </c>
      <c r="DP5">
        <v>-1.2134189864382579E-2</v>
      </c>
      <c r="DQ5">
        <v>7.5512405609493303E-3</v>
      </c>
      <c r="DR5">
        <v>3.6140089418777901E-2</v>
      </c>
      <c r="DS5">
        <v>-5.3596614950634683E-2</v>
      </c>
      <c r="DT5">
        <v>-2.0718232044198943E-2</v>
      </c>
      <c r="DU5">
        <v>-3.4666666666666637E-2</v>
      </c>
      <c r="DV5">
        <v>3.5911602209944722E-2</v>
      </c>
      <c r="DW5">
        <v>-2.4587403166049189E-2</v>
      </c>
      <c r="DX5">
        <v>-2.0132013201320114E-2</v>
      </c>
      <c r="DY5">
        <v>3.643590592911541E-3</v>
      </c>
      <c r="DZ5">
        <v>6.0414471373375571E-2</v>
      </c>
      <c r="EA5">
        <v>-2.8659160696008185E-2</v>
      </c>
      <c r="EB5">
        <v>5.2423698384200974E-2</v>
      </c>
      <c r="EC5">
        <v>-2.0056298381421544E-2</v>
      </c>
      <c r="ED5">
        <v>-9.6630642085187513E-2</v>
      </c>
      <c r="EE5">
        <v>2.2756827048114409E-2</v>
      </c>
      <c r="EF5">
        <v>5.4869684499314175E-2</v>
      </c>
    </row>
    <row r="6" spans="1:136">
      <c r="A6" s="1">
        <v>41487</v>
      </c>
      <c r="B6">
        <v>67.77</v>
      </c>
      <c r="C6">
        <v>70.78</v>
      </c>
      <c r="D6">
        <v>110.35</v>
      </c>
      <c r="E6">
        <v>68.25</v>
      </c>
      <c r="F6">
        <v>48.85</v>
      </c>
      <c r="G6">
        <v>280.98</v>
      </c>
      <c r="I6">
        <f t="shared" si="1"/>
        <v>8.3799776107468332E-2</v>
      </c>
      <c r="J6">
        <f t="shared" si="0"/>
        <v>-5.8025019962736214E-2</v>
      </c>
      <c r="K6">
        <f t="shared" si="0"/>
        <v>-2.741054115988013E-2</v>
      </c>
      <c r="L6">
        <f t="shared" si="0"/>
        <v>-3.9679189531447778E-2</v>
      </c>
      <c r="M6">
        <f t="shared" si="0"/>
        <v>-9.3355605048255394E-2</v>
      </c>
      <c r="N6">
        <f t="shared" si="0"/>
        <v>-6.7193413451962045E-2</v>
      </c>
      <c r="Q6" t="s">
        <v>36</v>
      </c>
      <c r="R6">
        <v>1.3134495198414755E-2</v>
      </c>
      <c r="S6">
        <v>8.1284509518446374E-2</v>
      </c>
      <c r="T6">
        <v>0.16437436028659158</v>
      </c>
      <c r="U6">
        <v>0.11267705886539955</v>
      </c>
      <c r="V6">
        <v>-6.7193413451962045E-2</v>
      </c>
      <c r="W6">
        <v>8.4734776189275912E-2</v>
      </c>
      <c r="X6">
        <v>3.1537890044576557E-2</v>
      </c>
      <c r="Y6">
        <v>6.0635908750640191E-2</v>
      </c>
      <c r="Z6">
        <v>-4.7581522758827745E-2</v>
      </c>
      <c r="AA6">
        <v>8.4004994891589187E-3</v>
      </c>
      <c r="AB6">
        <v>-4.6327683615819898E-3</v>
      </c>
      <c r="AC6">
        <v>5.8317056642882746E-2</v>
      </c>
      <c r="AD6">
        <v>-4.6816107915096479E-3</v>
      </c>
      <c r="AE6">
        <v>8.2270599854008447E-2</v>
      </c>
      <c r="AF6">
        <v>-8.4263919471531959E-2</v>
      </c>
      <c r="AG6">
        <v>2.4368630926007905E-2</v>
      </c>
      <c r="AH6">
        <v>6.4166309472781818E-2</v>
      </c>
      <c r="AI6">
        <v>2.1677249835778487E-2</v>
      </c>
      <c r="AJ6">
        <v>7.2518904701517062E-2</v>
      </c>
      <c r="AK6">
        <v>-8.1888745148771064E-2</v>
      </c>
      <c r="AL6">
        <v>0.14512863562293227</v>
      </c>
      <c r="AM6">
        <v>0.12699649396182311</v>
      </c>
      <c r="AN6">
        <v>-7.5858876774326275E-2</v>
      </c>
      <c r="AO6">
        <v>0.12328134026574238</v>
      </c>
      <c r="AP6">
        <v>-9.9797181340683341E-2</v>
      </c>
      <c r="AQ6">
        <v>-9.9386445599737722E-2</v>
      </c>
      <c r="AR6">
        <v>-1.2579198076122643E-2</v>
      </c>
      <c r="AS6">
        <v>4.6461924452910839E-3</v>
      </c>
      <c r="AT6">
        <v>-3.2761100125831479E-2</v>
      </c>
      <c r="AU6">
        <v>8.8170570688053201E-2</v>
      </c>
      <c r="AV6">
        <v>3.9656311962987502E-2</v>
      </c>
      <c r="AW6">
        <v>4.4941524947653107E-3</v>
      </c>
      <c r="AX6">
        <v>8.7048242935657619E-2</v>
      </c>
      <c r="AY6">
        <v>3.9471406313116762E-2</v>
      </c>
      <c r="AZ6">
        <v>2.1516151850978577E-2</v>
      </c>
      <c r="BA6">
        <v>-5.7555555555555631E-2</v>
      </c>
      <c r="BB6">
        <v>2.6225769669327218E-2</v>
      </c>
      <c r="BC6">
        <v>6.1550565877867315E-2</v>
      </c>
      <c r="BD6">
        <v>5.2018336941296241E-2</v>
      </c>
      <c r="BE6">
        <v>0.25819113995033249</v>
      </c>
      <c r="BF6">
        <v>5.8868436678259375E-2</v>
      </c>
      <c r="BG6">
        <v>7.8985905180303823E-2</v>
      </c>
      <c r="BH6">
        <v>-0.12912482065997122</v>
      </c>
      <c r="BI6">
        <v>-8.4901531728665214E-2</v>
      </c>
      <c r="BJ6">
        <v>9.7959784930395817E-3</v>
      </c>
      <c r="BK6">
        <v>0.1467060810810811</v>
      </c>
      <c r="BL6">
        <v>-5.5896658958615668E-2</v>
      </c>
      <c r="BM6">
        <v>-6.7722271781147883E-2</v>
      </c>
      <c r="BN6">
        <v>-1.0227356338753487E-2</v>
      </c>
      <c r="BO6">
        <v>0.14392727884858172</v>
      </c>
      <c r="BP6">
        <v>0.27260068551842331</v>
      </c>
      <c r="BQ6">
        <v>0.14989530730385517</v>
      </c>
      <c r="BR6">
        <v>-5.3288246268656803E-2</v>
      </c>
      <c r="BS6">
        <v>2.5101601721252791E-2</v>
      </c>
      <c r="BT6">
        <v>7.2701628413899239E-2</v>
      </c>
      <c r="BU6">
        <v>-3.1420765027322418E-2</v>
      </c>
      <c r="BV6">
        <v>9.6405228758169911E-2</v>
      </c>
      <c r="BW6">
        <v>0.13350825744713676</v>
      </c>
      <c r="BX6">
        <v>0.10149608976538603</v>
      </c>
      <c r="BY6">
        <v>0.14703588143525739</v>
      </c>
      <c r="BZ6">
        <v>0.20093676814988284</v>
      </c>
      <c r="CA6">
        <v>-0.25401816911250868</v>
      </c>
      <c r="CB6">
        <v>-0.2133040131940627</v>
      </c>
      <c r="CC6">
        <v>-9.9616384110877323E-2</v>
      </c>
      <c r="CD6">
        <v>5.8553838092742977E-2</v>
      </c>
      <c r="CE6">
        <v>4.1047320332742471E-2</v>
      </c>
      <c r="CF6">
        <v>-0.10156824307767712</v>
      </c>
      <c r="CG6">
        <v>3.8026198651914145E-2</v>
      </c>
      <c r="CH6">
        <v>0.10280504908835902</v>
      </c>
      <c r="CI6">
        <v>0.10594074763455869</v>
      </c>
      <c r="CJ6">
        <v>-0.17027027027027031</v>
      </c>
      <c r="CK6">
        <v>-0.16126943005181343</v>
      </c>
      <c r="CL6">
        <v>2.2968197879858637E-2</v>
      </c>
      <c r="CM6">
        <v>1.5816040381379657E-2</v>
      </c>
      <c r="CN6">
        <v>-4.2941492216854532E-2</v>
      </c>
      <c r="CO6">
        <v>0.16568639719684658</v>
      </c>
      <c r="CP6">
        <v>1.7443340972752613E-2</v>
      </c>
      <c r="CQ6">
        <v>0.14807776640841996</v>
      </c>
      <c r="CR6">
        <v>-1.0558287532542725E-2</v>
      </c>
      <c r="CS6">
        <v>0.12734387738464051</v>
      </c>
      <c r="CT6">
        <v>0.54134204574013567</v>
      </c>
      <c r="CU6">
        <v>1.6607051609606505E-2</v>
      </c>
      <c r="CV6">
        <v>3.9023095301300735E-2</v>
      </c>
      <c r="CW6">
        <v>-4.5362392295995924E-2</v>
      </c>
      <c r="CX6">
        <v>-2.1814576103123512E-2</v>
      </c>
      <c r="CY6">
        <v>5.9070622210553946E-2</v>
      </c>
      <c r="CZ6">
        <v>0.18586550435865523</v>
      </c>
      <c r="DA6">
        <v>4.1842361336360663E-2</v>
      </c>
      <c r="DB6">
        <v>0.14652287095574554</v>
      </c>
      <c r="DC6">
        <v>-0.30480868665977245</v>
      </c>
      <c r="DD6">
        <v>0.11759607049985554</v>
      </c>
      <c r="DE6">
        <v>-1.7040613462084676E-2</v>
      </c>
      <c r="DF6">
        <v>-3.6134683821516571E-2</v>
      </c>
      <c r="DG6">
        <v>-2.4305555555555466E-2</v>
      </c>
      <c r="DH6">
        <v>-0.16465863453815266</v>
      </c>
      <c r="DI6">
        <v>-4.9416755037115553E-2</v>
      </c>
      <c r="DJ6">
        <v>-2.7032604209657494E-2</v>
      </c>
      <c r="DK6">
        <v>0.2157551430005018</v>
      </c>
      <c r="DL6">
        <v>-0.12008830022075051</v>
      </c>
      <c r="DM6">
        <v>6.0889929742388618E-2</v>
      </c>
      <c r="DN6">
        <v>-5.4263565891472777E-2</v>
      </c>
      <c r="DO6">
        <v>0.36446056210335431</v>
      </c>
      <c r="DP6">
        <v>-6.8149816952970843E-2</v>
      </c>
      <c r="DQ6">
        <v>9.7342398022249643E-2</v>
      </c>
      <c r="DR6">
        <v>-5.5733878027429344E-2</v>
      </c>
      <c r="DS6">
        <v>-2.5866969869243792E-2</v>
      </c>
      <c r="DT6">
        <v>-0.18602498843128179</v>
      </c>
      <c r="DU6">
        <v>-2.4158952359449093E-2</v>
      </c>
      <c r="DV6">
        <v>0.11617943548387095</v>
      </c>
      <c r="DW6">
        <v>0.16261353647817159</v>
      </c>
      <c r="DX6">
        <v>-0.16470876162506112</v>
      </c>
      <c r="DY6">
        <v>7.1316203460933369E-2</v>
      </c>
      <c r="DZ6">
        <v>-2.0041109969167553E-2</v>
      </c>
      <c r="EA6">
        <v>-0.2845588235294117</v>
      </c>
      <c r="EB6">
        <v>0.12164948453608244</v>
      </c>
      <c r="EC6">
        <v>0.1123853211009174</v>
      </c>
      <c r="ED6">
        <v>7.3937153419593405E-3</v>
      </c>
      <c r="EE6">
        <v>6.2776098581725911E-3</v>
      </c>
      <c r="EF6">
        <v>-0.14662698412698413</v>
      </c>
    </row>
    <row r="7" spans="1:136">
      <c r="A7" s="1">
        <v>41456</v>
      </c>
      <c r="B7">
        <v>62.53</v>
      </c>
      <c r="C7">
        <v>75.14</v>
      </c>
      <c r="D7">
        <v>113.46</v>
      </c>
      <c r="E7">
        <v>71.069999999999993</v>
      </c>
      <c r="F7">
        <v>53.88</v>
      </c>
      <c r="G7">
        <v>301.22000000000003</v>
      </c>
      <c r="I7">
        <f t="shared" si="1"/>
        <v>0.14105839416058402</v>
      </c>
      <c r="J7">
        <f t="shared" si="0"/>
        <v>4.6372371535997749E-2</v>
      </c>
      <c r="K7">
        <f t="shared" si="0"/>
        <v>7.3821692220329332E-2</v>
      </c>
      <c r="L7">
        <f t="shared" si="0"/>
        <v>5.6488776572023149E-2</v>
      </c>
      <c r="M7">
        <f t="shared" si="0"/>
        <v>6.3560994867745885E-2</v>
      </c>
      <c r="N7">
        <f t="shared" si="0"/>
        <v>8.4734776189275912E-2</v>
      </c>
    </row>
    <row r="8" spans="1:136">
      <c r="A8" s="1">
        <v>41428</v>
      </c>
      <c r="B8">
        <v>54.8</v>
      </c>
      <c r="C8">
        <v>71.81</v>
      </c>
      <c r="D8">
        <v>105.66</v>
      </c>
      <c r="E8">
        <v>67.27</v>
      </c>
      <c r="F8">
        <v>50.66</v>
      </c>
      <c r="G8">
        <v>277.69</v>
      </c>
      <c r="I8">
        <f t="shared" si="1"/>
        <v>-0.11826226870474661</v>
      </c>
      <c r="J8">
        <f t="shared" si="0"/>
        <v>-4.7124047124047592E-3</v>
      </c>
      <c r="K8">
        <f t="shared" si="0"/>
        <v>-8.2598085226207024E-3</v>
      </c>
      <c r="L8">
        <f t="shared" si="0"/>
        <v>2.3429179978700622E-2</v>
      </c>
      <c r="M8">
        <f t="shared" si="0"/>
        <v>-3.302156900171796E-2</v>
      </c>
      <c r="N8">
        <f t="shared" si="0"/>
        <v>3.1537890044576557E-2</v>
      </c>
    </row>
    <row r="9" spans="1:136" ht="21">
      <c r="A9" s="1">
        <v>41395</v>
      </c>
      <c r="B9">
        <v>62.15</v>
      </c>
      <c r="C9">
        <v>72.150000000000006</v>
      </c>
      <c r="D9">
        <v>106.54</v>
      </c>
      <c r="E9">
        <v>65.73</v>
      </c>
      <c r="F9">
        <v>52.39</v>
      </c>
      <c r="G9">
        <v>269.2</v>
      </c>
      <c r="I9">
        <f t="shared" si="1"/>
        <v>2.2540309312273733E-2</v>
      </c>
      <c r="J9">
        <f t="shared" si="0"/>
        <v>-3.1283566058002123E-2</v>
      </c>
      <c r="K9">
        <f t="shared" si="0"/>
        <v>5.9045725646123384E-2</v>
      </c>
      <c r="L9">
        <f t="shared" si="0"/>
        <v>-5.4471175669541447E-3</v>
      </c>
      <c r="M9">
        <f t="shared" si="0"/>
        <v>0.11373299319727895</v>
      </c>
      <c r="N9">
        <f t="shared" si="0"/>
        <v>6.0635908750640191E-2</v>
      </c>
      <c r="Q9" s="43" t="s">
        <v>37</v>
      </c>
      <c r="R9" s="43"/>
      <c r="S9" s="43"/>
      <c r="Z9" s="23" t="s">
        <v>41</v>
      </c>
      <c r="AA9" s="23"/>
      <c r="AB9" s="23" t="s">
        <v>42</v>
      </c>
      <c r="AD9" s="23" t="s">
        <v>43</v>
      </c>
      <c r="AE9" s="23" t="s">
        <v>44</v>
      </c>
    </row>
    <row r="10" spans="1:136">
      <c r="A10" s="1">
        <v>41365</v>
      </c>
      <c r="B10">
        <v>60.78</v>
      </c>
      <c r="C10">
        <v>74.48</v>
      </c>
      <c r="D10">
        <v>100.6</v>
      </c>
      <c r="E10">
        <v>66.09</v>
      </c>
      <c r="F10">
        <v>47.04</v>
      </c>
      <c r="G10">
        <v>253.81</v>
      </c>
      <c r="I10">
        <f t="shared" si="1"/>
        <v>1.6455487905213116E-4</v>
      </c>
      <c r="J10">
        <f t="shared" si="0"/>
        <v>3.8627806442616236E-2</v>
      </c>
      <c r="K10">
        <f t="shared" si="0"/>
        <v>-1.5077344820834211E-2</v>
      </c>
      <c r="L10">
        <f t="shared" si="0"/>
        <v>-4.8243087557603606E-2</v>
      </c>
      <c r="M10">
        <f t="shared" si="0"/>
        <v>3.9098740888005211E-2</v>
      </c>
      <c r="N10">
        <f t="shared" si="0"/>
        <v>-4.7581522758827745E-2</v>
      </c>
    </row>
    <row r="11" spans="1:136" ht="20.25">
      <c r="A11" s="1">
        <v>41334</v>
      </c>
      <c r="B11">
        <v>60.77</v>
      </c>
      <c r="C11">
        <v>71.709999999999994</v>
      </c>
      <c r="D11">
        <v>102.14</v>
      </c>
      <c r="E11">
        <v>69.44</v>
      </c>
      <c r="F11">
        <v>45.27</v>
      </c>
      <c r="G11">
        <v>266.49</v>
      </c>
      <c r="I11">
        <f t="shared" si="1"/>
        <v>2.8052805280528335E-3</v>
      </c>
      <c r="J11">
        <f t="shared" si="0"/>
        <v>6.4104466538061927E-2</v>
      </c>
      <c r="K11">
        <f t="shared" si="0"/>
        <v>2.2217774219375489E-2</v>
      </c>
      <c r="L11">
        <f t="shared" si="0"/>
        <v>9.856035437430781E-2</v>
      </c>
      <c r="M11">
        <f t="shared" si="0"/>
        <v>-2.9789969995713535E-2</v>
      </c>
      <c r="N11">
        <f t="shared" si="0"/>
        <v>8.4004994891589187E-3</v>
      </c>
      <c r="R11" t="s">
        <v>27</v>
      </c>
      <c r="S11" t="s">
        <v>28</v>
      </c>
      <c r="T11" t="s">
        <v>29</v>
      </c>
      <c r="U11" t="s">
        <v>30</v>
      </c>
      <c r="V11" t="s">
        <v>1</v>
      </c>
      <c r="W11" t="s">
        <v>31</v>
      </c>
      <c r="X11" s="37"/>
      <c r="Y11" s="37"/>
    </row>
    <row r="12" spans="1:136">
      <c r="A12" s="1">
        <v>41306</v>
      </c>
      <c r="B12">
        <v>60.6</v>
      </c>
      <c r="C12">
        <v>67.39</v>
      </c>
      <c r="D12">
        <v>99.92</v>
      </c>
      <c r="E12">
        <v>63.21</v>
      </c>
      <c r="F12">
        <v>46.66</v>
      </c>
      <c r="G12">
        <v>264.27</v>
      </c>
      <c r="I12">
        <f t="shared" si="1"/>
        <v>-2.5253337622647583E-2</v>
      </c>
      <c r="J12">
        <f t="shared" si="0"/>
        <v>1.1861861861861956E-2</v>
      </c>
      <c r="K12">
        <f t="shared" si="0"/>
        <v>4.0724924487032563E-2</v>
      </c>
      <c r="L12">
        <f t="shared" si="0"/>
        <v>8.2947838570745433E-3</v>
      </c>
      <c r="M12">
        <f t="shared" si="0"/>
        <v>3.9661319073083644E-2</v>
      </c>
      <c r="N12">
        <f t="shared" si="0"/>
        <v>-4.6327683615819898E-3</v>
      </c>
      <c r="Q12" t="s">
        <v>27</v>
      </c>
      <c r="R12">
        <f>_xlfn.COVARIANCE.S(I$2:I$120, $R1:$EF1)</f>
        <v>1.1347094584357788E-2</v>
      </c>
      <c r="S12">
        <f t="shared" ref="S12:W12" si="2">_xlfn.COVARIANCE.S(J$2:J$120, $R1:$EF1)</f>
        <v>-1.2808626249175979E-4</v>
      </c>
      <c r="T12">
        <f t="shared" si="2"/>
        <v>1.8643665613472104E-3</v>
      </c>
      <c r="U12">
        <f t="shared" si="2"/>
        <v>2.8329185036018211E-3</v>
      </c>
      <c r="V12">
        <f t="shared" si="2"/>
        <v>1.7066857827640811E-3</v>
      </c>
      <c r="W12">
        <f t="shared" si="2"/>
        <v>3.6854060966199152E-3</v>
      </c>
      <c r="X12" s="33"/>
      <c r="Y12" s="33"/>
      <c r="Z12" s="26"/>
      <c r="AA12" s="26">
        <f>AVERAGE(ap)</f>
        <v>3.9311518804772398E-2</v>
      </c>
      <c r="AB12">
        <f>_xlfn.STDEV.S(ap)</f>
        <v>0.10652274209931785</v>
      </c>
      <c r="AD12">
        <f>1</f>
        <v>1</v>
      </c>
      <c r="AE12" s="3">
        <v>6.6027439830018894E-2</v>
      </c>
    </row>
    <row r="13" spans="1:136">
      <c r="A13" s="1">
        <v>41276</v>
      </c>
      <c r="B13">
        <v>62.17</v>
      </c>
      <c r="C13">
        <v>66.599999999999994</v>
      </c>
      <c r="D13">
        <v>96.01</v>
      </c>
      <c r="E13">
        <v>62.69</v>
      </c>
      <c r="F13">
        <v>44.88</v>
      </c>
      <c r="G13">
        <v>265.5</v>
      </c>
      <c r="I13">
        <f t="shared" si="1"/>
        <v>-0.14401762357152684</v>
      </c>
      <c r="J13">
        <f t="shared" si="0"/>
        <v>2.5088502385716416E-2</v>
      </c>
      <c r="K13">
        <f t="shared" si="0"/>
        <v>8.2900969997744295E-2</v>
      </c>
      <c r="L13">
        <f t="shared" si="0"/>
        <v>-1.6935863258585624E-2</v>
      </c>
      <c r="M13">
        <f t="shared" si="0"/>
        <v>7.7551020408163363E-2</v>
      </c>
      <c r="N13">
        <f t="shared" si="0"/>
        <v>5.8317056642882746E-2</v>
      </c>
      <c r="Q13" t="s">
        <v>28</v>
      </c>
      <c r="R13">
        <f t="shared" ref="R13:W17" si="3">_xlfn.COVARIANCE.S(I$2:I$120, $R2:$EF2)</f>
        <v>-1.2808626249175979E-4</v>
      </c>
      <c r="S13">
        <f t="shared" si="3"/>
        <v>2.0745901673024114E-3</v>
      </c>
      <c r="T13">
        <f t="shared" si="3"/>
        <v>4.1032736260014987E-4</v>
      </c>
      <c r="U13">
        <f t="shared" si="3"/>
        <v>8.8098423645722882E-4</v>
      </c>
      <c r="V13">
        <f t="shared" si="3"/>
        <v>1.1117098145381698E-3</v>
      </c>
      <c r="W13">
        <f t="shared" si="3"/>
        <v>5.2654315968720452E-4</v>
      </c>
      <c r="X13" s="33"/>
      <c r="Y13" s="33"/>
      <c r="Z13" s="26"/>
      <c r="AA13" s="26">
        <f>AVERAGE(w)</f>
        <v>5.8458537293868329E-3</v>
      </c>
      <c r="AB13">
        <f>_xlfn.STDEV.S(w)</f>
        <v>4.5547669175298219E-2</v>
      </c>
      <c r="AD13">
        <f>1</f>
        <v>1</v>
      </c>
      <c r="AE13" s="3">
        <v>0.58730205294799565</v>
      </c>
    </row>
    <row r="14" spans="1:136">
      <c r="A14" s="1">
        <v>41246</v>
      </c>
      <c r="B14">
        <v>72.63</v>
      </c>
      <c r="C14">
        <v>64.97</v>
      </c>
      <c r="D14">
        <v>88.66</v>
      </c>
      <c r="E14">
        <v>63.77</v>
      </c>
      <c r="F14">
        <v>41.65</v>
      </c>
      <c r="G14">
        <v>250.87</v>
      </c>
      <c r="I14">
        <f t="shared" si="1"/>
        <v>-9.0761141712568855E-2</v>
      </c>
      <c r="J14">
        <f t="shared" si="0"/>
        <v>-4.7360703812316773E-2</v>
      </c>
      <c r="K14">
        <f t="shared" si="0"/>
        <v>2.0958083832335252E-2</v>
      </c>
      <c r="L14">
        <f t="shared" si="0"/>
        <v>-1.0090034150884795E-2</v>
      </c>
      <c r="M14">
        <f t="shared" si="0"/>
        <v>7.0418915445900856E-2</v>
      </c>
      <c r="N14">
        <f t="shared" si="0"/>
        <v>-4.6816107915096479E-3</v>
      </c>
      <c r="Q14" t="s">
        <v>29</v>
      </c>
      <c r="R14">
        <f t="shared" si="3"/>
        <v>1.8643665613472104E-3</v>
      </c>
      <c r="S14">
        <f t="shared" si="3"/>
        <v>4.1032736260014987E-4</v>
      </c>
      <c r="T14">
        <f t="shared" si="3"/>
        <v>3.2724583797686981E-3</v>
      </c>
      <c r="U14">
        <f t="shared" si="3"/>
        <v>1.4580055191565509E-3</v>
      </c>
      <c r="V14">
        <f t="shared" si="3"/>
        <v>2.0301661768797694E-3</v>
      </c>
      <c r="W14">
        <f t="shared" si="3"/>
        <v>2.4553800547578749E-3</v>
      </c>
      <c r="X14" s="33"/>
      <c r="Y14" s="33"/>
      <c r="Z14" s="26"/>
      <c r="AA14" s="26">
        <f>AVERAGE(m)</f>
        <v>8.5528320121986603E-3</v>
      </c>
      <c r="AB14">
        <f>_xlfn.STDEV.S(m)</f>
        <v>5.7205405162175878E-2</v>
      </c>
      <c r="AD14">
        <f>1</f>
        <v>1</v>
      </c>
      <c r="AE14" s="3">
        <v>0.2826263582224674</v>
      </c>
    </row>
    <row r="15" spans="1:136">
      <c r="A15" s="1">
        <v>41214</v>
      </c>
      <c r="B15">
        <v>79.88</v>
      </c>
      <c r="C15">
        <v>68.2</v>
      </c>
      <c r="D15">
        <v>86.84</v>
      </c>
      <c r="E15">
        <v>64.42</v>
      </c>
      <c r="F15">
        <v>38.909999999999997</v>
      </c>
      <c r="G15">
        <v>252.05</v>
      </c>
      <c r="I15">
        <f t="shared" si="1"/>
        <v>-1.2363996043521267E-2</v>
      </c>
      <c r="J15">
        <f t="shared" si="0"/>
        <v>-3.997747747747752E-2</v>
      </c>
      <c r="K15">
        <f t="shared" si="0"/>
        <v>4.5131784811650019E-2</v>
      </c>
      <c r="L15">
        <f t="shared" si="0"/>
        <v>-4.3219961384226895E-2</v>
      </c>
      <c r="M15">
        <f t="shared" si="0"/>
        <v>-1.4437689969604872E-2</v>
      </c>
      <c r="N15">
        <f t="shared" si="0"/>
        <v>8.2270599854008447E-2</v>
      </c>
      <c r="Q15" t="s">
        <v>30</v>
      </c>
      <c r="R15">
        <f t="shared" si="3"/>
        <v>2.8329185036018211E-3</v>
      </c>
      <c r="S15">
        <f t="shared" si="3"/>
        <v>8.8098423645722882E-4</v>
      </c>
      <c r="T15">
        <f t="shared" si="3"/>
        <v>1.4580055191565509E-3</v>
      </c>
      <c r="U15">
        <f t="shared" si="3"/>
        <v>4.150586413624451E-3</v>
      </c>
      <c r="V15">
        <f t="shared" si="3"/>
        <v>2.0380206034626949E-3</v>
      </c>
      <c r="W15">
        <f t="shared" si="3"/>
        <v>2.2576133978507878E-3</v>
      </c>
      <c r="X15" s="33"/>
      <c r="Y15" s="33"/>
      <c r="Z15" s="26"/>
      <c r="AA15" s="26">
        <f>AVERAGE(y)</f>
        <v>1.6049915622119069E-2</v>
      </c>
      <c r="AB15">
        <f>_xlfn.STDEV.S(y)</f>
        <v>6.4425044925280839E-2</v>
      </c>
      <c r="AD15">
        <f>1</f>
        <v>1</v>
      </c>
      <c r="AE15" s="3">
        <v>6.4044149134151448E-2</v>
      </c>
    </row>
    <row r="16" spans="1:136">
      <c r="A16" s="1">
        <v>41183</v>
      </c>
      <c r="B16">
        <v>80.88</v>
      </c>
      <c r="C16">
        <v>71.040000000000006</v>
      </c>
      <c r="D16">
        <v>83.09</v>
      </c>
      <c r="E16">
        <v>67.33</v>
      </c>
      <c r="F16">
        <v>39.479999999999997</v>
      </c>
      <c r="G16">
        <v>232.89</v>
      </c>
      <c r="I16">
        <f t="shared" si="1"/>
        <v>-0.10758027143330023</v>
      </c>
      <c r="J16">
        <f t="shared" si="0"/>
        <v>1.6599885518031064E-2</v>
      </c>
      <c r="K16">
        <f t="shared" si="0"/>
        <v>-5.213324207164035E-2</v>
      </c>
      <c r="L16">
        <f t="shared" si="0"/>
        <v>6.2154914024294017E-2</v>
      </c>
      <c r="M16">
        <f t="shared" si="0"/>
        <v>3.730951129795046E-2</v>
      </c>
      <c r="N16">
        <f t="shared" si="0"/>
        <v>-8.4263919471531959E-2</v>
      </c>
      <c r="Q16" t="s">
        <v>1</v>
      </c>
      <c r="R16">
        <f t="shared" si="3"/>
        <v>1.7066857827640811E-3</v>
      </c>
      <c r="S16">
        <f t="shared" si="3"/>
        <v>1.1117098145381698E-3</v>
      </c>
      <c r="T16">
        <f t="shared" si="3"/>
        <v>2.0301661768797694E-3</v>
      </c>
      <c r="U16">
        <f t="shared" si="3"/>
        <v>2.0380206034626949E-3</v>
      </c>
      <c r="V16">
        <f t="shared" si="3"/>
        <v>7.3538455261911561E-3</v>
      </c>
      <c r="W16">
        <f t="shared" si="3"/>
        <v>1.6591196038954687E-3</v>
      </c>
      <c r="X16" s="33"/>
      <c r="Y16" s="33"/>
      <c r="Z16" s="26"/>
      <c r="AA16" s="26">
        <f>AVERAGE(j)</f>
        <v>9.3361462208138932E-3</v>
      </c>
      <c r="AB16">
        <f>_xlfn.STDEV.S(j)</f>
        <v>8.5754565628840734E-2</v>
      </c>
      <c r="AD16">
        <f>1</f>
        <v>1</v>
      </c>
      <c r="AE16" s="3">
        <v>0</v>
      </c>
    </row>
    <row r="17" spans="1:34">
      <c r="A17" s="1">
        <v>41156</v>
      </c>
      <c r="B17">
        <v>90.63</v>
      </c>
      <c r="C17">
        <v>69.88</v>
      </c>
      <c r="D17">
        <v>87.66</v>
      </c>
      <c r="E17">
        <v>63.39</v>
      </c>
      <c r="F17">
        <v>38.06</v>
      </c>
      <c r="G17">
        <v>254.32</v>
      </c>
      <c r="I17">
        <f t="shared" si="1"/>
        <v>2.7660986944014164E-3</v>
      </c>
      <c r="J17">
        <f t="shared" si="0"/>
        <v>1.6436363636363572E-2</v>
      </c>
      <c r="K17">
        <f t="shared" si="0"/>
        <v>-2.0491803278689302E-3</v>
      </c>
      <c r="L17">
        <f t="shared" si="0"/>
        <v>4.1228646517739782E-2</v>
      </c>
      <c r="M17">
        <f t="shared" si="0"/>
        <v>8.9919816723940449E-2</v>
      </c>
      <c r="N17">
        <f t="shared" si="0"/>
        <v>2.4368630926007905E-2</v>
      </c>
      <c r="Q17" t="s">
        <v>31</v>
      </c>
      <c r="R17">
        <f t="shared" si="3"/>
        <v>3.6854060966199152E-3</v>
      </c>
      <c r="S17">
        <f t="shared" si="3"/>
        <v>5.2654315968720452E-4</v>
      </c>
      <c r="T17">
        <f t="shared" si="3"/>
        <v>2.4553800547578749E-3</v>
      </c>
      <c r="U17">
        <f t="shared" si="3"/>
        <v>2.2576133978507878E-3</v>
      </c>
      <c r="V17">
        <f t="shared" si="3"/>
        <v>1.6591196038954687E-3</v>
      </c>
      <c r="W17">
        <f t="shared" si="3"/>
        <v>1.4650585405446002E-2</v>
      </c>
      <c r="X17" s="33"/>
      <c r="Y17" s="33"/>
      <c r="Z17" s="26"/>
      <c r="AA17" s="26">
        <f>AVERAGE(ym)</f>
        <v>2.4615088186914581E-2</v>
      </c>
      <c r="AB17">
        <f>_xlfn.STDEV.S(ym)</f>
        <v>0.12103960263255162</v>
      </c>
      <c r="AD17">
        <f>1</f>
        <v>1</v>
      </c>
      <c r="AE17" s="3">
        <v>0</v>
      </c>
    </row>
    <row r="18" spans="1:34">
      <c r="A18" s="1">
        <v>41122</v>
      </c>
      <c r="B18">
        <v>90.38</v>
      </c>
      <c r="C18">
        <v>68.75</v>
      </c>
      <c r="D18">
        <v>87.84</v>
      </c>
      <c r="E18">
        <v>60.88</v>
      </c>
      <c r="F18">
        <v>34.92</v>
      </c>
      <c r="G18">
        <v>248.27</v>
      </c>
      <c r="I18">
        <f t="shared" si="1"/>
        <v>9.3791601113397072E-2</v>
      </c>
      <c r="J18">
        <f t="shared" si="0"/>
        <v>-1.9258202567760264E-2</v>
      </c>
      <c r="K18">
        <f t="shared" si="0"/>
        <v>2.1514129549947768E-2</v>
      </c>
      <c r="L18">
        <f t="shared" si="0"/>
        <v>-1.7271993543179986E-2</v>
      </c>
      <c r="M18">
        <f t="shared" si="0"/>
        <v>3.1610044313146242E-2</v>
      </c>
      <c r="N18">
        <f t="shared" si="0"/>
        <v>6.4166309472781818E-2</v>
      </c>
    </row>
    <row r="19" spans="1:34" ht="20.25">
      <c r="A19" s="1">
        <v>41092</v>
      </c>
      <c r="B19">
        <v>82.63</v>
      </c>
      <c r="C19">
        <v>70.099999999999994</v>
      </c>
      <c r="D19">
        <v>85.99</v>
      </c>
      <c r="E19">
        <v>61.95</v>
      </c>
      <c r="F19">
        <v>33.85</v>
      </c>
      <c r="G19">
        <v>233.3</v>
      </c>
      <c r="I19">
        <f t="shared" si="1"/>
        <v>4.5816985191747754E-2</v>
      </c>
      <c r="J19">
        <f t="shared" si="0"/>
        <v>6.7621078282059058E-2</v>
      </c>
      <c r="K19">
        <f t="shared" si="0"/>
        <v>1.8235642391947804E-2</v>
      </c>
      <c r="L19">
        <f t="shared" si="0"/>
        <v>1.1098416843479675E-2</v>
      </c>
      <c r="M19">
        <f t="shared" si="0"/>
        <v>1.5906362545018041E-2</v>
      </c>
      <c r="N19">
        <f t="shared" si="0"/>
        <v>2.1677249835778487E-2</v>
      </c>
      <c r="Z19" s="25"/>
      <c r="AA19" s="25"/>
      <c r="AB19" s="25"/>
    </row>
    <row r="20" spans="1:34" ht="24.75">
      <c r="A20" s="1">
        <v>41061</v>
      </c>
      <c r="B20">
        <v>79.010000000000005</v>
      </c>
      <c r="C20">
        <v>65.66</v>
      </c>
      <c r="D20">
        <v>84.45</v>
      </c>
      <c r="E20">
        <v>61.27</v>
      </c>
      <c r="F20">
        <v>33.32</v>
      </c>
      <c r="G20">
        <v>228.35</v>
      </c>
      <c r="I20">
        <f t="shared" si="1"/>
        <v>1.0875127942681789E-2</v>
      </c>
      <c r="J20">
        <f t="shared" si="0"/>
        <v>5.9203097273753745E-2</v>
      </c>
      <c r="K20">
        <f t="shared" si="0"/>
        <v>6.1463046757164408E-2</v>
      </c>
      <c r="L20">
        <f t="shared" si="0"/>
        <v>-8.442916915720261E-2</v>
      </c>
      <c r="M20">
        <f t="shared" si="0"/>
        <v>7.7968295050145589E-2</v>
      </c>
      <c r="N20">
        <f t="shared" si="0"/>
        <v>7.2518904701517062E-2</v>
      </c>
      <c r="S20" s="42" t="s">
        <v>21</v>
      </c>
      <c r="T20" s="42"/>
      <c r="U20" s="42"/>
      <c r="W20" s="28"/>
      <c r="X20" s="28"/>
      <c r="Y20" s="28"/>
      <c r="AB20" s="28"/>
      <c r="AC20" s="28"/>
      <c r="AD20" s="27"/>
    </row>
    <row r="21" spans="1:34">
      <c r="A21" s="1">
        <v>41030</v>
      </c>
      <c r="B21">
        <v>78.16</v>
      </c>
      <c r="C21">
        <v>61.99</v>
      </c>
      <c r="D21">
        <v>79.56</v>
      </c>
      <c r="E21">
        <v>66.92</v>
      </c>
      <c r="F21">
        <v>30.91</v>
      </c>
      <c r="G21">
        <v>212.91</v>
      </c>
      <c r="I21">
        <f t="shared" si="1"/>
        <v>-1.0632911392405107E-2</v>
      </c>
      <c r="J21">
        <f t="shared" si="0"/>
        <v>0.12484122663763388</v>
      </c>
      <c r="K21">
        <f t="shared" si="0"/>
        <v>-4.8894202032277387E-2</v>
      </c>
      <c r="L21">
        <f t="shared" si="0"/>
        <v>-3.2668401272044012E-2</v>
      </c>
      <c r="M21">
        <f t="shared" si="0"/>
        <v>-0.22879241516966065</v>
      </c>
      <c r="N21">
        <f t="shared" si="0"/>
        <v>-8.1888745148771064E-2</v>
      </c>
      <c r="R21" t="s">
        <v>23</v>
      </c>
      <c r="S21">
        <f t="array" ref="S21">MMULT(MMULT(TRANSPOSE(mu), MINVERSE(Sigma)), mu)</f>
        <v>0.16603264526880798</v>
      </c>
      <c r="U21" s="31" t="s">
        <v>50</v>
      </c>
      <c r="V21" s="31"/>
      <c r="W21" s="48">
        <f>C./B</f>
        <v>9.4742573269048763E-3</v>
      </c>
      <c r="X21" s="26"/>
      <c r="Y21" s="26"/>
      <c r="Z21" s="29"/>
      <c r="AA21" s="45"/>
      <c r="AB21" s="46"/>
      <c r="AC21" s="46"/>
      <c r="AD21" s="29"/>
      <c r="AE21" s="4"/>
    </row>
    <row r="22" spans="1:34">
      <c r="A22" s="1">
        <v>41001</v>
      </c>
      <c r="B22">
        <v>79</v>
      </c>
      <c r="C22">
        <v>55.11</v>
      </c>
      <c r="D22">
        <v>83.65</v>
      </c>
      <c r="E22">
        <v>69.180000000000007</v>
      </c>
      <c r="F22">
        <v>40.08</v>
      </c>
      <c r="G22">
        <v>231.9</v>
      </c>
      <c r="I22">
        <f t="shared" si="1"/>
        <v>-2.601405498705461E-2</v>
      </c>
      <c r="J22">
        <f t="shared" si="0"/>
        <v>-3.7379912663755469E-2</v>
      </c>
      <c r="K22">
        <f t="shared" si="0"/>
        <v>1.6764459346186153E-3</v>
      </c>
      <c r="L22">
        <f t="shared" si="0"/>
        <v>2.6105013349154629E-2</v>
      </c>
      <c r="M22">
        <f t="shared" si="0"/>
        <v>-5.9154929577464863E-2</v>
      </c>
      <c r="N22">
        <f t="shared" si="0"/>
        <v>0.14512863562293227</v>
      </c>
      <c r="R22" t="s">
        <v>24</v>
      </c>
      <c r="S22">
        <f t="array" ref="S22">MMULT(MMULT(TRANSPOSE(i), MINVERSE(Sigma)), i)</f>
        <v>724.14325428389179</v>
      </c>
      <c r="U22" s="31" t="s">
        <v>13</v>
      </c>
      <c r="V22" s="31"/>
      <c r="W22">
        <f>1/B</f>
        <v>1.380942229433462E-3</v>
      </c>
      <c r="Z22" s="4"/>
      <c r="AA22" s="45"/>
      <c r="AB22" s="45"/>
      <c r="AC22" s="4"/>
      <c r="AD22" s="4"/>
      <c r="AE22" s="4"/>
    </row>
    <row r="23" spans="1:34">
      <c r="A23" s="1">
        <v>40969</v>
      </c>
      <c r="B23">
        <v>81.11</v>
      </c>
      <c r="C23">
        <v>57.25</v>
      </c>
      <c r="D23">
        <v>83.51</v>
      </c>
      <c r="E23">
        <v>67.42</v>
      </c>
      <c r="F23">
        <v>42.6</v>
      </c>
      <c r="G23">
        <v>202.51</v>
      </c>
      <c r="I23">
        <f t="shared" si="1"/>
        <v>0.1053420550558736</v>
      </c>
      <c r="J23">
        <f t="shared" si="0"/>
        <v>4.2805100182149391E-2</v>
      </c>
      <c r="K23">
        <f t="shared" si="0"/>
        <v>1.8414634146341525E-2</v>
      </c>
      <c r="L23">
        <f t="shared" si="0"/>
        <v>7.4593560726809047E-2</v>
      </c>
      <c r="M23">
        <f t="shared" si="0"/>
        <v>0.17161716171617167</v>
      </c>
      <c r="N23">
        <f t="shared" si="0"/>
        <v>0.12699649396182311</v>
      </c>
      <c r="R23" t="s">
        <v>49</v>
      </c>
      <c r="S23">
        <f t="array" ref="S23">MMULT(MMULT(TRANSPOSE(i), MINVERSE(Sigma)), mu)</f>
        <v>6.8607195326279031</v>
      </c>
      <c r="U23" s="31" t="s">
        <v>42</v>
      </c>
      <c r="V23" s="31"/>
      <c r="W23">
        <f>SQRT(1/B)</f>
        <v>3.7161031059881292E-2</v>
      </c>
      <c r="Z23" s="4"/>
      <c r="AA23" s="45"/>
      <c r="AB23" s="45"/>
      <c r="AC23" s="3"/>
      <c r="AD23" s="3"/>
      <c r="AE23" s="3"/>
      <c r="AF23" s="3"/>
      <c r="AG23" s="3"/>
      <c r="AH23" s="3"/>
    </row>
    <row r="24" spans="1:34" ht="20.25">
      <c r="A24" s="1">
        <v>40940</v>
      </c>
      <c r="B24">
        <v>73.38</v>
      </c>
      <c r="C24">
        <v>54.9</v>
      </c>
      <c r="D24">
        <v>82</v>
      </c>
      <c r="E24">
        <v>62.74</v>
      </c>
      <c r="F24">
        <v>36.36</v>
      </c>
      <c r="G24">
        <v>179.69</v>
      </c>
      <c r="I24">
        <f t="shared" si="1"/>
        <v>0.18834008097165986</v>
      </c>
      <c r="J24">
        <f t="shared" si="0"/>
        <v>-3.7179936864258231E-2</v>
      </c>
      <c r="K24">
        <f t="shared" si="0"/>
        <v>1.7117340610270346E-2</v>
      </c>
      <c r="L24">
        <f t="shared" si="0"/>
        <v>4.5840973495582596E-2</v>
      </c>
      <c r="M24">
        <f t="shared" si="0"/>
        <v>5.2083333333333245E-2</v>
      </c>
      <c r="N24">
        <f t="shared" si="0"/>
        <v>-7.5858876774326275E-2</v>
      </c>
      <c r="R24" t="s">
        <v>48</v>
      </c>
      <c r="S24">
        <f>S21*S22-S23^2</f>
        <v>73.161947556935587</v>
      </c>
      <c r="Z24" s="47"/>
      <c r="AA24" s="47"/>
      <c r="AB24" s="47"/>
      <c r="AC24" s="4"/>
      <c r="AD24" s="4"/>
      <c r="AE24" s="4"/>
    </row>
    <row r="25" spans="1:34">
      <c r="A25" s="1">
        <v>40911</v>
      </c>
      <c r="B25">
        <v>61.75</v>
      </c>
      <c r="C25">
        <v>57.02</v>
      </c>
      <c r="D25">
        <v>80.62</v>
      </c>
      <c r="E25">
        <v>59.99</v>
      </c>
      <c r="F25">
        <v>34.56</v>
      </c>
      <c r="G25">
        <v>194.44</v>
      </c>
      <c r="I25">
        <f t="shared" si="1"/>
        <v>0.12703048001460121</v>
      </c>
      <c r="J25">
        <f t="shared" si="0"/>
        <v>2.6832342877723788E-2</v>
      </c>
      <c r="K25">
        <f t="shared" si="0"/>
        <v>6.0929069614423084E-2</v>
      </c>
      <c r="L25">
        <f t="shared" si="0"/>
        <v>7.8374977530109635E-2</v>
      </c>
      <c r="M25">
        <f t="shared" si="0"/>
        <v>0.12978097417456694</v>
      </c>
      <c r="N25">
        <f t="shared" si="0"/>
        <v>0.12328134026574238</v>
      </c>
      <c r="Z25" s="4"/>
      <c r="AA25" s="45"/>
      <c r="AB25" s="45"/>
      <c r="AC25" s="4"/>
      <c r="AD25" s="4"/>
      <c r="AE25" s="4"/>
    </row>
    <row r="26" spans="1:34" ht="22.5">
      <c r="A26" s="1">
        <v>40878</v>
      </c>
      <c r="B26">
        <v>54.79</v>
      </c>
      <c r="C26">
        <v>55.53</v>
      </c>
      <c r="D26">
        <v>75.989999999999995</v>
      </c>
      <c r="E26">
        <v>55.63</v>
      </c>
      <c r="F26">
        <v>30.59</v>
      </c>
      <c r="G26">
        <v>173.1</v>
      </c>
      <c r="I26">
        <f t="shared" si="1"/>
        <v>5.956294720556949E-2</v>
      </c>
      <c r="J26">
        <f t="shared" si="0"/>
        <v>2.0959735245449543E-2</v>
      </c>
      <c r="K26">
        <f t="shared" si="0"/>
        <v>8.4936960849369691E-3</v>
      </c>
      <c r="L26">
        <f t="shared" si="0"/>
        <v>5.3000189286390394E-2</v>
      </c>
      <c r="M26">
        <f t="shared" si="0"/>
        <v>7.3710073710073765E-2</v>
      </c>
      <c r="N26">
        <f t="shared" si="0"/>
        <v>-9.9797181340683341E-2</v>
      </c>
      <c r="Q26" s="38"/>
      <c r="R26" s="38"/>
      <c r="X26" s="34"/>
      <c r="Y26" s="34"/>
      <c r="Z26" s="4"/>
      <c r="AA26" s="45"/>
      <c r="AB26" s="45"/>
      <c r="AC26" s="4"/>
      <c r="AD26" s="4"/>
      <c r="AE26" s="4"/>
    </row>
    <row r="27" spans="1:34">
      <c r="A27" s="1">
        <v>40848</v>
      </c>
      <c r="B27">
        <v>51.71</v>
      </c>
      <c r="C27">
        <v>54.39</v>
      </c>
      <c r="D27">
        <v>75.349999999999994</v>
      </c>
      <c r="E27">
        <v>52.83</v>
      </c>
      <c r="F27">
        <v>28.49</v>
      </c>
      <c r="G27">
        <v>192.29</v>
      </c>
      <c r="I27">
        <f t="shared" si="1"/>
        <v>-5.5697589481373218E-2</v>
      </c>
      <c r="J27">
        <f t="shared" si="0"/>
        <v>3.8373424971363077E-2</v>
      </c>
      <c r="K27">
        <f t="shared" si="0"/>
        <v>3.2757675438596499E-2</v>
      </c>
      <c r="L27">
        <f t="shared" si="0"/>
        <v>4.6138613861386103E-2</v>
      </c>
      <c r="M27">
        <f t="shared" si="0"/>
        <v>-0.10885204879574603</v>
      </c>
      <c r="N27">
        <f t="shared" si="0"/>
        <v>-9.9386445599737722E-2</v>
      </c>
      <c r="R27" s="3"/>
      <c r="S27" s="3"/>
      <c r="T27" s="3"/>
      <c r="U27" s="3"/>
      <c r="V27" s="3"/>
      <c r="W27" s="3"/>
      <c r="X27" s="35"/>
      <c r="Y27" s="35"/>
    </row>
    <row r="28" spans="1:34">
      <c r="A28" s="1">
        <v>40819</v>
      </c>
      <c r="B28">
        <v>54.76</v>
      </c>
      <c r="C28">
        <v>52.38</v>
      </c>
      <c r="D28">
        <v>72.959999999999994</v>
      </c>
      <c r="E28">
        <v>50.5</v>
      </c>
      <c r="F28">
        <v>31.97</v>
      </c>
      <c r="G28">
        <v>213.51</v>
      </c>
      <c r="I28">
        <f t="shared" si="1"/>
        <v>6.1446016669897158E-2</v>
      </c>
      <c r="J28">
        <f t="shared" si="0"/>
        <v>9.2843730440225383E-2</v>
      </c>
      <c r="K28">
        <f t="shared" si="0"/>
        <v>0.10078455039227509</v>
      </c>
      <c r="L28">
        <f t="shared" si="0"/>
        <v>9.0712742980561617E-2</v>
      </c>
      <c r="M28">
        <f t="shared" si="0"/>
        <v>0.16423889293517838</v>
      </c>
      <c r="N28">
        <f t="shared" si="0"/>
        <v>-1.2579198076122643E-2</v>
      </c>
      <c r="S28" t="s">
        <v>15</v>
      </c>
      <c r="T28" t="s">
        <v>16</v>
      </c>
    </row>
    <row r="29" spans="1:34">
      <c r="A29" s="1">
        <v>40787</v>
      </c>
      <c r="B29">
        <v>51.59</v>
      </c>
      <c r="C29">
        <v>47.93</v>
      </c>
      <c r="D29">
        <v>66.28</v>
      </c>
      <c r="E29">
        <v>46.3</v>
      </c>
      <c r="F29">
        <v>27.46</v>
      </c>
      <c r="G29">
        <v>216.23</v>
      </c>
      <c r="I29">
        <f t="shared" si="1"/>
        <v>-9.0280445639646344E-3</v>
      </c>
      <c r="J29">
        <f t="shared" si="0"/>
        <v>-2.4226384364820802E-2</v>
      </c>
      <c r="K29">
        <f t="shared" si="0"/>
        <v>-0.1348387938911369</v>
      </c>
      <c r="L29">
        <f t="shared" si="0"/>
        <v>-9.1622523052776184E-2</v>
      </c>
      <c r="M29">
        <f t="shared" si="0"/>
        <v>-0.19824817518248172</v>
      </c>
      <c r="N29">
        <f t="shared" si="0"/>
        <v>4.6461924452910839E-3</v>
      </c>
      <c r="P29" s="31"/>
      <c r="Q29" s="31"/>
      <c r="R29" s="24"/>
      <c r="S29" s="24">
        <f t="shared" ref="S29:S54" si="4">SQRT((B*($T29)^2-2*C.*$T29+A)/D)</f>
        <v>3.8321016766257564E-2</v>
      </c>
      <c r="T29" s="30">
        <f>0.65%</f>
        <v>6.5000000000000006E-3</v>
      </c>
      <c r="U29" s="24"/>
      <c r="V29" s="24"/>
      <c r="W29" s="24"/>
      <c r="Z29" s="31"/>
      <c r="AA29" s="31"/>
    </row>
    <row r="30" spans="1:34">
      <c r="A30" s="1">
        <v>40756</v>
      </c>
      <c r="B30">
        <v>52.06</v>
      </c>
      <c r="C30">
        <v>49.12</v>
      </c>
      <c r="D30">
        <v>76.61</v>
      </c>
      <c r="E30">
        <v>50.97</v>
      </c>
      <c r="F30">
        <v>34.25</v>
      </c>
      <c r="G30">
        <v>215.23</v>
      </c>
      <c r="I30">
        <f t="shared" si="1"/>
        <v>-1.4575052053757261E-2</v>
      </c>
      <c r="J30">
        <f t="shared" si="0"/>
        <v>1.6345954893440911E-2</v>
      </c>
      <c r="K30">
        <f t="shared" si="0"/>
        <v>-4.1296458515830275E-2</v>
      </c>
      <c r="L30">
        <f t="shared" si="0"/>
        <v>2.9281098546041915E-2</v>
      </c>
      <c r="M30">
        <f t="shared" si="0"/>
        <v>-7.1312364425162755E-2</v>
      </c>
      <c r="N30">
        <f t="shared" si="0"/>
        <v>-3.2761100125831479E-2</v>
      </c>
      <c r="P30" s="31"/>
      <c r="Q30" s="31"/>
      <c r="R30" s="24"/>
      <c r="S30" s="24">
        <f t="shared" si="4"/>
        <v>3.8101547789597144E-2</v>
      </c>
      <c r="T30" s="3">
        <f>T29+0.03%</f>
        <v>6.8000000000000005E-3</v>
      </c>
      <c r="Z30" s="31"/>
      <c r="AA30" s="31"/>
    </row>
    <row r="31" spans="1:34">
      <c r="A31" s="1">
        <v>40725</v>
      </c>
      <c r="B31">
        <v>52.83</v>
      </c>
      <c r="C31">
        <v>48.33</v>
      </c>
      <c r="D31">
        <v>79.91</v>
      </c>
      <c r="E31">
        <v>49.52</v>
      </c>
      <c r="F31">
        <v>36.880000000000003</v>
      </c>
      <c r="G31">
        <v>222.52</v>
      </c>
      <c r="I31">
        <f t="shared" si="1"/>
        <v>0.16340013212948695</v>
      </c>
      <c r="J31">
        <f t="shared" si="0"/>
        <v>-8.0049261083743953E-3</v>
      </c>
      <c r="K31">
        <f t="shared" si="0"/>
        <v>-8.1283053575534683E-2</v>
      </c>
      <c r="L31">
        <f t="shared" si="0"/>
        <v>-3.9379243452958179E-2</v>
      </c>
      <c r="M31">
        <f t="shared" si="0"/>
        <v>-5.9299191374662767E-3</v>
      </c>
      <c r="N31">
        <f t="shared" si="0"/>
        <v>8.8170570688053201E-2</v>
      </c>
      <c r="P31" s="31"/>
      <c r="Q31" s="31"/>
      <c r="R31" s="24"/>
      <c r="S31" s="24">
        <f t="shared" si="4"/>
        <v>3.790431595760025E-2</v>
      </c>
      <c r="T31" s="3">
        <f t="shared" ref="T31:T54" si="5">T30+0.03%</f>
        <v>7.1000000000000004E-3</v>
      </c>
      <c r="Z31" s="31"/>
      <c r="AA31" s="31"/>
    </row>
    <row r="32" spans="1:34">
      <c r="A32" s="1">
        <v>40695</v>
      </c>
      <c r="B32">
        <v>45.41</v>
      </c>
      <c r="C32">
        <v>48.72</v>
      </c>
      <c r="D32">
        <v>86.98</v>
      </c>
      <c r="E32">
        <v>51.55</v>
      </c>
      <c r="F32">
        <v>37.1</v>
      </c>
      <c r="G32">
        <v>204.49</v>
      </c>
      <c r="I32">
        <f t="shared" si="1"/>
        <v>-3.5061623459413632E-2</v>
      </c>
      <c r="J32">
        <f t="shared" si="0"/>
        <v>-3.7724669168477255E-2</v>
      </c>
      <c r="K32">
        <f t="shared" si="0"/>
        <v>4.9682264586944757E-3</v>
      </c>
      <c r="L32">
        <f t="shared" si="0"/>
        <v>-1.5494867325199573E-3</v>
      </c>
      <c r="M32">
        <f t="shared" si="0"/>
        <v>-5.33299311048736E-2</v>
      </c>
      <c r="N32">
        <f t="shared" si="0"/>
        <v>3.9656311962987502E-2</v>
      </c>
      <c r="S32" s="24">
        <f t="shared" si="4"/>
        <v>3.7729670005867987E-2</v>
      </c>
      <c r="T32" s="3">
        <f t="shared" si="5"/>
        <v>7.4000000000000003E-3</v>
      </c>
    </row>
    <row r="33" spans="1:20">
      <c r="A33" s="1">
        <v>40665</v>
      </c>
      <c r="B33">
        <v>47.06</v>
      </c>
      <c r="C33">
        <v>50.63</v>
      </c>
      <c r="D33">
        <v>86.55</v>
      </c>
      <c r="E33">
        <v>51.63</v>
      </c>
      <c r="F33">
        <v>39.19</v>
      </c>
      <c r="G33">
        <v>196.69</v>
      </c>
      <c r="I33">
        <f t="shared" si="1"/>
        <v>-6.5442263035675576E-3</v>
      </c>
      <c r="J33">
        <f t="shared" si="0"/>
        <v>1.098242811501606E-2</v>
      </c>
      <c r="K33">
        <f t="shared" si="0"/>
        <v>-2.3468351573959139E-2</v>
      </c>
      <c r="L33">
        <f t="shared" si="0"/>
        <v>3.1362365161805836E-2</v>
      </c>
      <c r="M33">
        <f t="shared" si="0"/>
        <v>-5.2237001209189927E-2</v>
      </c>
      <c r="N33">
        <f t="shared" si="0"/>
        <v>4.4941524947653107E-3</v>
      </c>
      <c r="S33" s="24">
        <f t="shared" si="4"/>
        <v>3.7577924843946231E-2</v>
      </c>
      <c r="T33" s="3">
        <f t="shared" si="5"/>
        <v>7.7000000000000002E-3</v>
      </c>
    </row>
    <row r="34" spans="1:20">
      <c r="A34" s="1">
        <v>40634</v>
      </c>
      <c r="B34">
        <v>47.37</v>
      </c>
      <c r="C34">
        <v>50.08</v>
      </c>
      <c r="D34">
        <v>88.63</v>
      </c>
      <c r="E34">
        <v>50.06</v>
      </c>
      <c r="F34">
        <v>41.35</v>
      </c>
      <c r="G34">
        <v>195.81</v>
      </c>
      <c r="I34">
        <f t="shared" si="1"/>
        <v>4.665959703075268E-3</v>
      </c>
      <c r="J34">
        <f t="shared" si="0"/>
        <v>5.6317232651339422E-2</v>
      </c>
      <c r="K34">
        <f t="shared" si="0"/>
        <v>3.9770061004223381E-2</v>
      </c>
      <c r="L34">
        <f t="shared" si="0"/>
        <v>4.9255921190526124E-2</v>
      </c>
      <c r="M34">
        <f t="shared" si="0"/>
        <v>-4.8134777376653611E-3</v>
      </c>
      <c r="N34">
        <f t="shared" si="0"/>
        <v>8.7048242935657619E-2</v>
      </c>
      <c r="S34" s="24">
        <f t="shared" si="4"/>
        <v>3.7449358855530752E-2</v>
      </c>
      <c r="T34" s="3">
        <f t="shared" si="5"/>
        <v>8.0000000000000002E-3</v>
      </c>
    </row>
    <row r="35" spans="1:20">
      <c r="A35" s="1">
        <v>40603</v>
      </c>
      <c r="B35">
        <v>47.15</v>
      </c>
      <c r="C35">
        <v>47.41</v>
      </c>
      <c r="D35">
        <v>85.24</v>
      </c>
      <c r="E35">
        <v>47.71</v>
      </c>
      <c r="F35">
        <v>41.55</v>
      </c>
      <c r="G35">
        <v>180.13</v>
      </c>
      <c r="I35">
        <f t="shared" si="1"/>
        <v>-1.3185433235663511E-2</v>
      </c>
      <c r="J35">
        <f t="shared" si="0"/>
        <v>8.2943428328369519E-3</v>
      </c>
      <c r="K35">
        <f t="shared" si="0"/>
        <v>1.3675823522416357E-2</v>
      </c>
      <c r="L35">
        <f t="shared" si="0"/>
        <v>2.0753102267864757E-2</v>
      </c>
      <c r="M35">
        <f t="shared" si="0"/>
        <v>-1.2829650748396442E-2</v>
      </c>
      <c r="N35">
        <f t="shared" si="0"/>
        <v>3.9471406313116762E-2</v>
      </c>
      <c r="S35" s="24">
        <f t="shared" si="4"/>
        <v>3.734421144020636E-2</v>
      </c>
      <c r="T35" s="3">
        <f t="shared" si="5"/>
        <v>8.3000000000000001E-3</v>
      </c>
    </row>
    <row r="36" spans="1:20">
      <c r="A36" s="1">
        <v>40575</v>
      </c>
      <c r="B36">
        <v>47.78</v>
      </c>
      <c r="C36">
        <v>47.02</v>
      </c>
      <c r="D36">
        <v>84.09</v>
      </c>
      <c r="E36">
        <v>46.74</v>
      </c>
      <c r="F36">
        <v>42.09</v>
      </c>
      <c r="G36">
        <v>173.29</v>
      </c>
      <c r="I36">
        <f t="shared" si="1"/>
        <v>4.0958605664488078E-2</v>
      </c>
      <c r="J36">
        <f t="shared" si="0"/>
        <v>-7.2766712679944737E-2</v>
      </c>
      <c r="K36">
        <f t="shared" si="0"/>
        <v>5.5346385542168627E-2</v>
      </c>
      <c r="L36">
        <f t="shared" si="0"/>
        <v>7.6462459695992635E-2</v>
      </c>
      <c r="M36">
        <f t="shared" si="0"/>
        <v>3.9002715378918917E-2</v>
      </c>
      <c r="N36">
        <f t="shared" si="0"/>
        <v>2.1516151850978577E-2</v>
      </c>
      <c r="S36" s="24">
        <f t="shared" si="4"/>
        <v>3.7262680845301932E-2</v>
      </c>
      <c r="T36" s="3">
        <f t="shared" si="5"/>
        <v>8.6E-3</v>
      </c>
    </row>
    <row r="37" spans="1:20">
      <c r="A37" s="1">
        <v>40546</v>
      </c>
      <c r="B37">
        <v>45.9</v>
      </c>
      <c r="C37">
        <v>50.71</v>
      </c>
      <c r="D37">
        <v>79.680000000000007</v>
      </c>
      <c r="E37">
        <v>43.42</v>
      </c>
      <c r="F37">
        <v>40.51</v>
      </c>
      <c r="G37">
        <v>169.64</v>
      </c>
      <c r="I37">
        <f t="shared" si="1"/>
        <v>5.1787351054078778E-2</v>
      </c>
      <c r="J37">
        <f t="shared" si="0"/>
        <v>3.9565395653956531E-2</v>
      </c>
      <c r="K37">
        <f t="shared" si="0"/>
        <v>1.8795550441120232E-2</v>
      </c>
      <c r="L37">
        <f t="shared" si="0"/>
        <v>-4.1924095322153541E-2</v>
      </c>
      <c r="M37">
        <f t="shared" si="0"/>
        <v>6.074888714323122E-2</v>
      </c>
      <c r="N37">
        <f t="shared" si="0"/>
        <v>-5.7555555555555631E-2</v>
      </c>
      <c r="S37" s="24">
        <f t="shared" si="4"/>
        <v>3.7204922332324447E-2</v>
      </c>
      <c r="T37" s="3">
        <f t="shared" si="5"/>
        <v>8.8999999999999999E-3</v>
      </c>
    </row>
    <row r="38" spans="1:20">
      <c r="A38" s="1">
        <v>40513</v>
      </c>
      <c r="B38">
        <v>43.64</v>
      </c>
      <c r="C38">
        <v>48.78</v>
      </c>
      <c r="D38">
        <v>78.209999999999994</v>
      </c>
      <c r="E38">
        <v>45.32</v>
      </c>
      <c r="F38">
        <v>38.19</v>
      </c>
      <c r="G38">
        <v>180</v>
      </c>
      <c r="I38">
        <f t="shared" si="1"/>
        <v>3.68258493703967E-2</v>
      </c>
      <c r="J38">
        <f t="shared" si="0"/>
        <v>2.6721479958890558E-3</v>
      </c>
      <c r="K38">
        <f t="shared" si="0"/>
        <v>2.7591643673630196E-2</v>
      </c>
      <c r="L38">
        <f t="shared" si="0"/>
        <v>-2.0531661984006976E-2</v>
      </c>
      <c r="M38">
        <f t="shared" si="0"/>
        <v>0.13424413424413412</v>
      </c>
      <c r="N38">
        <f t="shared" si="0"/>
        <v>2.6225769669327218E-2</v>
      </c>
      <c r="P38" s="31"/>
      <c r="Q38" s="31"/>
      <c r="S38" s="24">
        <f t="shared" si="4"/>
        <v>3.7171046716728724E-2</v>
      </c>
      <c r="T38" s="3">
        <f t="shared" si="5"/>
        <v>9.1999999999999998E-3</v>
      </c>
    </row>
    <row r="39" spans="1:20">
      <c r="A39" s="1">
        <v>40483</v>
      </c>
      <c r="B39">
        <v>42.09</v>
      </c>
      <c r="C39">
        <v>48.65</v>
      </c>
      <c r="D39">
        <v>76.11</v>
      </c>
      <c r="E39">
        <v>46.27</v>
      </c>
      <c r="F39">
        <v>33.67</v>
      </c>
      <c r="G39">
        <v>175.4</v>
      </c>
      <c r="I39">
        <f t="shared" si="1"/>
        <v>3.3644400785854726E-2</v>
      </c>
      <c r="J39">
        <f t="shared" si="0"/>
        <v>-1.6416991586291462E-3</v>
      </c>
      <c r="K39">
        <f t="shared" si="0"/>
        <v>3.4278180619644713E-3</v>
      </c>
      <c r="L39">
        <f t="shared" si="0"/>
        <v>1.0482638130596288E-2</v>
      </c>
      <c r="M39">
        <f t="shared" si="0"/>
        <v>-6.198347107438041E-3</v>
      </c>
      <c r="N39">
        <f t="shared" si="0"/>
        <v>6.1550565877867315E-2</v>
      </c>
      <c r="P39" s="31"/>
      <c r="Q39" s="31"/>
      <c r="S39" s="24">
        <f t="shared" si="4"/>
        <v>3.7161031064078739E-2</v>
      </c>
      <c r="T39" s="44">
        <v>9.4740797928011405E-3</v>
      </c>
    </row>
    <row r="40" spans="1:20">
      <c r="A40" s="1">
        <v>40452</v>
      </c>
      <c r="B40">
        <v>40.72</v>
      </c>
      <c r="C40">
        <v>48.73</v>
      </c>
      <c r="D40">
        <v>75.849999999999994</v>
      </c>
      <c r="E40">
        <v>45.79</v>
      </c>
      <c r="F40">
        <v>33.880000000000003</v>
      </c>
      <c r="G40">
        <v>165.23</v>
      </c>
      <c r="I40">
        <f t="shared" si="1"/>
        <v>6.0692888773117952E-2</v>
      </c>
      <c r="J40">
        <f t="shared" si="0"/>
        <v>1.225592023265468E-2</v>
      </c>
      <c r="K40">
        <f t="shared" si="0"/>
        <v>-2.8684850813164412E-2</v>
      </c>
      <c r="L40">
        <f t="shared" si="0"/>
        <v>8.1738719584219258E-2</v>
      </c>
      <c r="M40">
        <f t="shared" si="0"/>
        <v>-9.9357101110460633E-3</v>
      </c>
      <c r="N40">
        <f t="shared" si="0"/>
        <v>5.2018336941296241E-2</v>
      </c>
      <c r="P40" s="31"/>
      <c r="Q40" s="31"/>
      <c r="S40" s="24">
        <f t="shared" si="4"/>
        <v>3.717300066674166E-2</v>
      </c>
      <c r="T40" s="3">
        <f t="shared" si="5"/>
        <v>9.7740797928011405E-3</v>
      </c>
    </row>
    <row r="41" spans="1:20">
      <c r="A41" s="1">
        <v>40422</v>
      </c>
      <c r="B41">
        <v>38.39</v>
      </c>
      <c r="C41">
        <v>48.14</v>
      </c>
      <c r="D41">
        <v>78.09</v>
      </c>
      <c r="E41">
        <v>42.33</v>
      </c>
      <c r="F41">
        <v>34.22</v>
      </c>
      <c r="G41">
        <v>157.06</v>
      </c>
      <c r="I41">
        <f t="shared" si="1"/>
        <v>0.16722408026755853</v>
      </c>
      <c r="J41">
        <f t="shared" si="0"/>
        <v>6.7405764966740556E-2</v>
      </c>
      <c r="K41">
        <f t="shared" si="0"/>
        <v>0.10390161153519945</v>
      </c>
      <c r="L41">
        <f t="shared" si="0"/>
        <v>0.10464509394572019</v>
      </c>
      <c r="M41">
        <f t="shared" si="0"/>
        <v>4.6803303762618577E-2</v>
      </c>
      <c r="N41">
        <f t="shared" si="0"/>
        <v>0.25819113995033249</v>
      </c>
      <c r="S41" s="24">
        <f t="shared" si="4"/>
        <v>3.7208914707112843E-2</v>
      </c>
      <c r="T41" s="3">
        <f t="shared" si="5"/>
        <v>1.007407979280114E-2</v>
      </c>
    </row>
    <row r="42" spans="1:20">
      <c r="A42" s="1">
        <v>40392</v>
      </c>
      <c r="B42">
        <v>32.89</v>
      </c>
      <c r="C42">
        <v>45.1</v>
      </c>
      <c r="D42">
        <v>70.739999999999995</v>
      </c>
      <c r="E42">
        <v>38.32</v>
      </c>
      <c r="F42">
        <v>32.69</v>
      </c>
      <c r="G42">
        <v>124.83</v>
      </c>
      <c r="I42">
        <f t="shared" si="1"/>
        <v>-5.4885057471264272E-2</v>
      </c>
      <c r="J42">
        <f t="shared" si="0"/>
        <v>-1.4853647881170811E-2</v>
      </c>
      <c r="K42">
        <f t="shared" si="0"/>
        <v>-7.6018808777429558E-2</v>
      </c>
      <c r="L42">
        <f t="shared" si="0"/>
        <v>9.4836670179135781E-3</v>
      </c>
      <c r="M42">
        <f t="shared" si="0"/>
        <v>-9.7459966869133108E-2</v>
      </c>
      <c r="N42">
        <f t="shared" si="0"/>
        <v>5.8868436678259375E-2</v>
      </c>
      <c r="S42" s="24">
        <f t="shared" si="4"/>
        <v>3.7268703962980688E-2</v>
      </c>
      <c r="T42" s="3">
        <f t="shared" si="5"/>
        <v>1.037407979280114E-2</v>
      </c>
    </row>
    <row r="43" spans="1:20">
      <c r="A43" s="1">
        <v>40360</v>
      </c>
      <c r="B43">
        <v>34.799999999999997</v>
      </c>
      <c r="C43">
        <v>45.78</v>
      </c>
      <c r="D43">
        <v>76.56</v>
      </c>
      <c r="E43">
        <v>37.96</v>
      </c>
      <c r="F43">
        <v>36.22</v>
      </c>
      <c r="G43">
        <v>117.89</v>
      </c>
      <c r="I43">
        <f t="shared" si="1"/>
        <v>2.2627093740816808E-2</v>
      </c>
      <c r="J43">
        <f t="shared" si="0"/>
        <v>6.4898813677599421E-2</v>
      </c>
      <c r="K43">
        <f t="shared" si="0"/>
        <v>8.3038619323808238E-2</v>
      </c>
      <c r="L43">
        <f t="shared" si="0"/>
        <v>6.3305322128851482E-2</v>
      </c>
      <c r="M43">
        <f t="shared" si="0"/>
        <v>0.10191664131426838</v>
      </c>
      <c r="N43">
        <f t="shared" si="0"/>
        <v>7.8985905180303823E-2</v>
      </c>
      <c r="S43" s="24">
        <f t="shared" si="4"/>
        <v>3.7352253784301397E-2</v>
      </c>
      <c r="T43" s="3">
        <f t="shared" si="5"/>
        <v>1.067407979280114E-2</v>
      </c>
    </row>
    <row r="44" spans="1:20">
      <c r="A44" s="1">
        <v>40330</v>
      </c>
      <c r="B44">
        <v>34.03</v>
      </c>
      <c r="C44">
        <v>42.99</v>
      </c>
      <c r="D44">
        <v>70.69</v>
      </c>
      <c r="E44">
        <v>35.700000000000003</v>
      </c>
      <c r="F44">
        <v>32.869999999999997</v>
      </c>
      <c r="G44">
        <v>109.26</v>
      </c>
      <c r="I44">
        <f t="shared" si="1"/>
        <v>-2.0719424460431624E-2</v>
      </c>
      <c r="J44">
        <f t="shared" si="0"/>
        <v>-4.931446262715606E-2</v>
      </c>
      <c r="K44">
        <f t="shared" si="0"/>
        <v>-4.0856579318118659E-3</v>
      </c>
      <c r="L44">
        <f t="shared" si="0"/>
        <v>-4.6728971962616821E-2</v>
      </c>
      <c r="M44">
        <f t="shared" si="0"/>
        <v>-7.5126617895329262E-2</v>
      </c>
      <c r="N44">
        <f t="shared" si="0"/>
        <v>-0.12912482065997122</v>
      </c>
      <c r="S44" s="24">
        <f t="shared" si="4"/>
        <v>3.7459405184024144E-2</v>
      </c>
      <c r="T44" s="3">
        <f t="shared" si="5"/>
        <v>1.097407979280114E-2</v>
      </c>
    </row>
    <row r="45" spans="1:20">
      <c r="A45" s="1">
        <v>40301</v>
      </c>
      <c r="B45">
        <v>34.75</v>
      </c>
      <c r="C45">
        <v>45.22</v>
      </c>
      <c r="D45">
        <v>70.98</v>
      </c>
      <c r="E45">
        <v>37.450000000000003</v>
      </c>
      <c r="F45">
        <v>35.54</v>
      </c>
      <c r="G45">
        <v>125.46</v>
      </c>
      <c r="I45">
        <f t="shared" si="1"/>
        <v>-1.6138165345413371E-2</v>
      </c>
      <c r="J45">
        <f t="shared" si="0"/>
        <v>-5.1792828685258946E-2</v>
      </c>
      <c r="K45">
        <f t="shared" si="0"/>
        <v>-9.9923915800152113E-2</v>
      </c>
      <c r="L45">
        <f t="shared" si="0"/>
        <v>-3.4544985821087816E-2</v>
      </c>
      <c r="M45">
        <f t="shared" si="0"/>
        <v>-7.0606694560669522E-2</v>
      </c>
      <c r="N45">
        <f t="shared" si="0"/>
        <v>-8.4901531728665214E-2</v>
      </c>
      <c r="S45" s="24">
        <f t="shared" si="4"/>
        <v>3.7589956331477749E-2</v>
      </c>
      <c r="T45" s="3">
        <f t="shared" si="5"/>
        <v>1.127407979280114E-2</v>
      </c>
    </row>
    <row r="46" spans="1:20">
      <c r="A46" s="1">
        <v>40269</v>
      </c>
      <c r="B46">
        <v>35.32</v>
      </c>
      <c r="C46">
        <v>47.69</v>
      </c>
      <c r="D46">
        <v>78.86</v>
      </c>
      <c r="E46">
        <v>38.79</v>
      </c>
      <c r="F46">
        <v>38.24</v>
      </c>
      <c r="G46">
        <v>137.1</v>
      </c>
      <c r="I46">
        <f t="shared" si="1"/>
        <v>0.11104120792702112</v>
      </c>
      <c r="J46">
        <f t="shared" si="0"/>
        <v>-3.5396440129449841E-2</v>
      </c>
      <c r="K46">
        <f t="shared" si="0"/>
        <v>6.0944436970267739E-2</v>
      </c>
      <c r="L46">
        <f t="shared" si="0"/>
        <v>0.11241755090335538</v>
      </c>
      <c r="M46">
        <f t="shared" si="0"/>
        <v>-4.7334329845540569E-2</v>
      </c>
      <c r="N46">
        <f t="shared" si="0"/>
        <v>9.7959784930395817E-3</v>
      </c>
      <c r="S46" s="24">
        <f t="shared" si="4"/>
        <v>3.7743664416049802E-2</v>
      </c>
      <c r="T46" s="3">
        <f t="shared" si="5"/>
        <v>1.157407979280114E-2</v>
      </c>
    </row>
    <row r="47" spans="1:20">
      <c r="A47" s="1">
        <v>40238</v>
      </c>
      <c r="B47">
        <v>31.79</v>
      </c>
      <c r="C47">
        <v>49.44</v>
      </c>
      <c r="D47">
        <v>74.33</v>
      </c>
      <c r="E47">
        <v>34.869999999999997</v>
      </c>
      <c r="F47">
        <v>40.14</v>
      </c>
      <c r="G47">
        <v>135.77000000000001</v>
      </c>
      <c r="I47">
        <f t="shared" si="1"/>
        <v>0.14848265895953755</v>
      </c>
      <c r="J47">
        <f t="shared" si="0"/>
        <v>3.4093285923446882E-2</v>
      </c>
      <c r="K47">
        <f t="shared" si="0"/>
        <v>4.2789001122334414E-2</v>
      </c>
      <c r="L47">
        <f t="shared" si="0"/>
        <v>0.13657105606258141</v>
      </c>
      <c r="M47">
        <f t="shared" si="0"/>
        <v>6.6135458167330727E-2</v>
      </c>
      <c r="N47">
        <f t="shared" si="0"/>
        <v>0.1467060810810811</v>
      </c>
      <c r="S47" s="24">
        <f t="shared" si="4"/>
        <v>3.7920247841856672E-2</v>
      </c>
      <c r="T47" s="3">
        <f t="shared" si="5"/>
        <v>1.187407979280114E-2</v>
      </c>
    </row>
    <row r="48" spans="1:20">
      <c r="A48" s="1">
        <v>40210</v>
      </c>
      <c r="B48">
        <v>27.68</v>
      </c>
      <c r="C48">
        <v>47.81</v>
      </c>
      <c r="D48">
        <v>71.28</v>
      </c>
      <c r="E48">
        <v>30.68</v>
      </c>
      <c r="F48">
        <v>37.65</v>
      </c>
      <c r="G48">
        <v>118.4</v>
      </c>
      <c r="I48">
        <f t="shared" si="1"/>
        <v>6.5434949961508823E-2</v>
      </c>
      <c r="J48">
        <f t="shared" si="0"/>
        <v>1.2066045723962748E-2</v>
      </c>
      <c r="K48">
        <f t="shared" si="0"/>
        <v>2.2497187851518081E-3</v>
      </c>
      <c r="L48">
        <f t="shared" si="0"/>
        <v>-1.4138817480719835E-2</v>
      </c>
      <c r="M48">
        <f t="shared" si="0"/>
        <v>7.7870025765817322E-2</v>
      </c>
      <c r="N48">
        <f t="shared" si="0"/>
        <v>-5.5896658958615668E-2</v>
      </c>
      <c r="S48" s="24">
        <f t="shared" si="4"/>
        <v>3.8119388708526783E-2</v>
      </c>
      <c r="T48" s="3">
        <f t="shared" si="5"/>
        <v>1.217407979280114E-2</v>
      </c>
    </row>
    <row r="49" spans="1:20">
      <c r="A49" s="1">
        <v>40182</v>
      </c>
      <c r="B49">
        <v>25.98</v>
      </c>
      <c r="C49">
        <v>47.24</v>
      </c>
      <c r="D49">
        <v>71.12</v>
      </c>
      <c r="E49">
        <v>31.12</v>
      </c>
      <c r="F49">
        <v>34.93</v>
      </c>
      <c r="G49">
        <v>125.41</v>
      </c>
      <c r="I49">
        <f t="shared" si="1"/>
        <v>-8.8740792704314314E-2</v>
      </c>
      <c r="J49">
        <f t="shared" si="0"/>
        <v>-4.2319085907735975E-4</v>
      </c>
      <c r="K49">
        <f t="shared" si="0"/>
        <v>-2.6420260095824679E-2</v>
      </c>
      <c r="L49">
        <f t="shared" si="0"/>
        <v>-1.6123932975023649E-2</v>
      </c>
      <c r="M49">
        <f t="shared" si="0"/>
        <v>-6.4291454594160163E-2</v>
      </c>
      <c r="N49">
        <f t="shared" si="0"/>
        <v>-6.7722271781147883E-2</v>
      </c>
      <c r="S49" s="24">
        <f t="shared" si="4"/>
        <v>3.8340735529240361E-2</v>
      </c>
      <c r="T49" s="3">
        <f t="shared" si="5"/>
        <v>1.247407979280114E-2</v>
      </c>
    </row>
    <row r="50" spans="1:20">
      <c r="A50" s="1">
        <v>40148</v>
      </c>
      <c r="B50">
        <v>28.51</v>
      </c>
      <c r="C50">
        <v>47.26</v>
      </c>
      <c r="D50">
        <v>73.05</v>
      </c>
      <c r="E50">
        <v>31.63</v>
      </c>
      <c r="F50">
        <v>37.33</v>
      </c>
      <c r="G50">
        <v>134.52000000000001</v>
      </c>
      <c r="I50">
        <f t="shared" si="1"/>
        <v>5.4363905325443877E-2</v>
      </c>
      <c r="J50">
        <f t="shared" si="0"/>
        <v>-1.5211502396332651E-2</v>
      </c>
      <c r="K50">
        <f t="shared" si="0"/>
        <v>6.7670271850336097E-2</v>
      </c>
      <c r="L50">
        <f t="shared" si="0"/>
        <v>-8.4639498432601754E-3</v>
      </c>
      <c r="M50">
        <f t="shared" si="0"/>
        <v>-1.9437877593906014E-2</v>
      </c>
      <c r="N50">
        <f t="shared" si="0"/>
        <v>-1.0227356338753487E-2</v>
      </c>
      <c r="S50" s="24">
        <f t="shared" si="4"/>
        <v>3.8583906134838405E-2</v>
      </c>
      <c r="T50" s="3">
        <f t="shared" si="5"/>
        <v>1.277407979280114E-2</v>
      </c>
    </row>
    <row r="51" spans="1:20">
      <c r="A51" s="1">
        <v>40119</v>
      </c>
      <c r="B51">
        <v>27.04</v>
      </c>
      <c r="C51">
        <v>47.99</v>
      </c>
      <c r="D51">
        <v>68.42</v>
      </c>
      <c r="E51">
        <v>31.9</v>
      </c>
      <c r="F51">
        <v>38.07</v>
      </c>
      <c r="G51">
        <v>135.91</v>
      </c>
      <c r="I51">
        <f t="shared" si="1"/>
        <v>6.0392156862745065E-2</v>
      </c>
      <c r="J51">
        <f t="shared" si="0"/>
        <v>9.8169336384439337E-2</v>
      </c>
      <c r="K51">
        <f t="shared" si="0"/>
        <v>5.9461133477856976E-2</v>
      </c>
      <c r="L51">
        <f t="shared" si="0"/>
        <v>7.0469798657718047E-2</v>
      </c>
      <c r="M51">
        <f t="shared" si="0"/>
        <v>1.7370390165686759E-2</v>
      </c>
      <c r="N51">
        <f t="shared" si="0"/>
        <v>0.14392727884858172</v>
      </c>
      <c r="S51" s="24">
        <f t="shared" si="4"/>
        <v>3.884849071210307E-2</v>
      </c>
      <c r="T51" s="3">
        <f t="shared" si="5"/>
        <v>1.307407979280114E-2</v>
      </c>
    </row>
    <row r="52" spans="1:20">
      <c r="A52" s="1">
        <v>40087</v>
      </c>
      <c r="B52">
        <v>25.5</v>
      </c>
      <c r="C52">
        <v>43.7</v>
      </c>
      <c r="D52">
        <v>64.58</v>
      </c>
      <c r="E52">
        <v>29.8</v>
      </c>
      <c r="F52">
        <v>37.42</v>
      </c>
      <c r="G52">
        <v>118.81</v>
      </c>
      <c r="I52">
        <f t="shared" si="1"/>
        <v>1.7151974471479845E-2</v>
      </c>
      <c r="J52">
        <f t="shared" si="0"/>
        <v>1.2042612320518831E-2</v>
      </c>
      <c r="K52">
        <f t="shared" si="0"/>
        <v>-3.2412409322427524E-3</v>
      </c>
      <c r="L52">
        <f t="shared" si="0"/>
        <v>-1.8121911037891292E-2</v>
      </c>
      <c r="M52">
        <f t="shared" si="0"/>
        <v>-4.5651619484825275E-2</v>
      </c>
      <c r="N52">
        <f t="shared" si="0"/>
        <v>0.27260068551842331</v>
      </c>
      <c r="S52" s="24">
        <f t="shared" si="4"/>
        <v>3.9134054925118192E-2</v>
      </c>
      <c r="T52" s="3">
        <f t="shared" si="5"/>
        <v>1.3374079792801139E-2</v>
      </c>
    </row>
    <row r="53" spans="1:20">
      <c r="A53" s="1">
        <v>40057</v>
      </c>
      <c r="B53">
        <v>25.07</v>
      </c>
      <c r="C53">
        <v>43.18</v>
      </c>
      <c r="D53">
        <v>64.790000000000006</v>
      </c>
      <c r="E53">
        <v>30.35</v>
      </c>
      <c r="F53">
        <v>39.21</v>
      </c>
      <c r="G53">
        <v>93.36</v>
      </c>
      <c r="I53">
        <f t="shared" si="1"/>
        <v>0.10149384885764492</v>
      </c>
      <c r="J53">
        <f t="shared" si="1"/>
        <v>-3.5083798882681573E-2</v>
      </c>
      <c r="K53">
        <f t="shared" si="1"/>
        <v>2.370042660767905E-2</v>
      </c>
      <c r="L53">
        <f t="shared" si="1"/>
        <v>-1.4290354011042472E-2</v>
      </c>
      <c r="M53">
        <f t="shared" si="1"/>
        <v>8.2283363332476284E-3</v>
      </c>
      <c r="N53">
        <f t="shared" si="1"/>
        <v>0.14989530730385517</v>
      </c>
      <c r="S53" s="24">
        <f t="shared" si="4"/>
        <v>3.9440143070778144E-2</v>
      </c>
      <c r="T53" s="3">
        <f t="shared" si="5"/>
        <v>1.3674079792801139E-2</v>
      </c>
    </row>
    <row r="54" spans="1:20">
      <c r="A54" s="1">
        <v>40028</v>
      </c>
      <c r="B54">
        <v>22.76</v>
      </c>
      <c r="C54">
        <v>44.75</v>
      </c>
      <c r="D54">
        <v>63.29</v>
      </c>
      <c r="E54">
        <v>30.79</v>
      </c>
      <c r="F54">
        <v>38.89</v>
      </c>
      <c r="G54">
        <v>81.19</v>
      </c>
      <c r="I54">
        <f t="shared" si="1"/>
        <v>2.9864253393665163E-2</v>
      </c>
      <c r="J54">
        <f t="shared" si="1"/>
        <v>2.5435380384967905E-2</v>
      </c>
      <c r="K54">
        <f t="shared" si="1"/>
        <v>2.9775463716238175E-2</v>
      </c>
      <c r="L54">
        <f t="shared" si="1"/>
        <v>-3.4190715181932244E-2</v>
      </c>
      <c r="M54">
        <f t="shared" si="1"/>
        <v>0.12463851937536155</v>
      </c>
      <c r="N54">
        <f t="shared" si="1"/>
        <v>-5.3288246268656803E-2</v>
      </c>
      <c r="S54" s="24">
        <f t="shared" si="4"/>
        <v>3.9766281222817425E-2</v>
      </c>
      <c r="T54" s="3">
        <f t="shared" si="5"/>
        <v>1.3974079792801139E-2</v>
      </c>
    </row>
    <row r="55" spans="1:20">
      <c r="A55" s="1">
        <v>39995</v>
      </c>
      <c r="B55">
        <v>22.1</v>
      </c>
      <c r="C55">
        <v>43.64</v>
      </c>
      <c r="D55">
        <v>61.46</v>
      </c>
      <c r="E55">
        <v>31.88</v>
      </c>
      <c r="F55">
        <v>34.58</v>
      </c>
      <c r="G55">
        <v>85.76</v>
      </c>
      <c r="I55">
        <f t="shared" si="1"/>
        <v>0.1468604047742606</v>
      </c>
      <c r="J55">
        <f t="shared" si="1"/>
        <v>2.9731005191127841E-2</v>
      </c>
      <c r="K55">
        <f t="shared" si="1"/>
        <v>0.17334860633829702</v>
      </c>
      <c r="L55">
        <f t="shared" si="1"/>
        <v>6.9081153588195804E-2</v>
      </c>
      <c r="M55">
        <f t="shared" si="1"/>
        <v>0.13451443569553798</v>
      </c>
      <c r="N55">
        <f t="shared" si="1"/>
        <v>2.5101601721252791E-2</v>
      </c>
    </row>
    <row r="56" spans="1:20">
      <c r="A56" s="1">
        <v>39965</v>
      </c>
      <c r="B56">
        <v>19.27</v>
      </c>
      <c r="C56">
        <v>42.38</v>
      </c>
      <c r="D56">
        <v>52.38</v>
      </c>
      <c r="E56">
        <v>29.82</v>
      </c>
      <c r="F56">
        <v>30.48</v>
      </c>
      <c r="G56">
        <v>83.66</v>
      </c>
      <c r="I56">
        <f t="shared" si="1"/>
        <v>4.8992923244420172E-2</v>
      </c>
      <c r="J56">
        <f t="shared" si="1"/>
        <v>-2.6194852941176482E-2</v>
      </c>
      <c r="K56">
        <f t="shared" si="1"/>
        <v>5.2652733118971153E-2</v>
      </c>
      <c r="L56">
        <f t="shared" si="1"/>
        <v>-3.7132709073296695E-2</v>
      </c>
      <c r="M56">
        <f t="shared" si="1"/>
        <v>-7.5523202911737905E-2</v>
      </c>
      <c r="N56">
        <f t="shared" si="1"/>
        <v>7.2701628413899239E-2</v>
      </c>
    </row>
    <row r="57" spans="1:20">
      <c r="A57" s="1">
        <v>39934</v>
      </c>
      <c r="B57">
        <v>18.37</v>
      </c>
      <c r="C57">
        <v>43.52</v>
      </c>
      <c r="D57">
        <v>49.76</v>
      </c>
      <c r="E57">
        <v>30.97</v>
      </c>
      <c r="F57">
        <v>32.97</v>
      </c>
      <c r="G57">
        <v>77.989999999999995</v>
      </c>
      <c r="I57">
        <f t="shared" si="1"/>
        <v>7.9318448883666362E-2</v>
      </c>
      <c r="J57">
        <f t="shared" si="1"/>
        <v>-7.7519379844960398E-3</v>
      </c>
      <c r="K57">
        <f t="shared" si="1"/>
        <v>0</v>
      </c>
      <c r="L57">
        <f t="shared" si="1"/>
        <v>3.8216560509554159E-2</v>
      </c>
      <c r="M57">
        <f t="shared" si="1"/>
        <v>0.11800610376398782</v>
      </c>
      <c r="N57">
        <f t="shared" si="1"/>
        <v>-3.1420765027322418E-2</v>
      </c>
    </row>
    <row r="58" spans="1:20">
      <c r="A58" s="1">
        <v>39904</v>
      </c>
      <c r="B58">
        <v>17.02</v>
      </c>
      <c r="C58">
        <v>43.86</v>
      </c>
      <c r="D58">
        <v>49.76</v>
      </c>
      <c r="E58">
        <v>29.83</v>
      </c>
      <c r="F58">
        <v>29.49</v>
      </c>
      <c r="G58">
        <v>80.52</v>
      </c>
      <c r="I58">
        <f t="shared" si="1"/>
        <v>0.1969057665260196</v>
      </c>
      <c r="J58">
        <f t="shared" si="1"/>
        <v>-3.2642258491398408E-2</v>
      </c>
      <c r="K58">
        <f t="shared" si="1"/>
        <v>0.15828677839851019</v>
      </c>
      <c r="L58">
        <f t="shared" si="1"/>
        <v>0.22153972153972137</v>
      </c>
      <c r="M58">
        <f t="shared" si="1"/>
        <v>0.24377899620413315</v>
      </c>
      <c r="N58">
        <f t="shared" si="1"/>
        <v>9.6405228758169911E-2</v>
      </c>
    </row>
    <row r="59" spans="1:20">
      <c r="A59" s="1">
        <v>39874</v>
      </c>
      <c r="B59">
        <v>14.22</v>
      </c>
      <c r="C59">
        <v>45.34</v>
      </c>
      <c r="D59">
        <v>42.96</v>
      </c>
      <c r="E59">
        <v>24.42</v>
      </c>
      <c r="F59">
        <v>23.71</v>
      </c>
      <c r="G59">
        <v>73.44</v>
      </c>
      <c r="I59">
        <f t="shared" si="1"/>
        <v>0.17715231788079475</v>
      </c>
      <c r="J59">
        <f t="shared" si="1"/>
        <v>6.4069467261206381E-2</v>
      </c>
      <c r="K59">
        <f t="shared" si="1"/>
        <v>9.3686354378818726E-2</v>
      </c>
      <c r="L59">
        <f t="shared" si="1"/>
        <v>4.5824411134903646E-2</v>
      </c>
      <c r="M59">
        <f t="shared" si="1"/>
        <v>0.1633954857703632</v>
      </c>
      <c r="N59">
        <f t="shared" si="1"/>
        <v>0.13350825744713676</v>
      </c>
    </row>
    <row r="60" spans="1:20">
      <c r="A60" s="1">
        <v>39846</v>
      </c>
      <c r="B60">
        <v>12.08</v>
      </c>
      <c r="C60">
        <v>42.61</v>
      </c>
      <c r="D60">
        <v>39.28</v>
      </c>
      <c r="E60">
        <v>23.35</v>
      </c>
      <c r="F60">
        <v>20.38</v>
      </c>
      <c r="G60">
        <v>64.790000000000006</v>
      </c>
      <c r="I60">
        <f t="shared" si="1"/>
        <v>-9.0237899917965086E-3</v>
      </c>
      <c r="J60">
        <f t="shared" si="1"/>
        <v>4.5131223939170864E-2</v>
      </c>
      <c r="K60">
        <f t="shared" si="1"/>
        <v>-0.14552969327822488</v>
      </c>
      <c r="L60">
        <f t="shared" si="1"/>
        <v>-8.179315768777029E-2</v>
      </c>
      <c r="M60">
        <f t="shared" si="1"/>
        <v>-0.10417582417582422</v>
      </c>
      <c r="N60">
        <f t="shared" si="1"/>
        <v>0.10149608976538603</v>
      </c>
    </row>
    <row r="61" spans="1:20">
      <c r="A61" s="1">
        <v>39815</v>
      </c>
      <c r="B61">
        <v>12.19</v>
      </c>
      <c r="C61">
        <v>40.770000000000003</v>
      </c>
      <c r="D61">
        <v>45.97</v>
      </c>
      <c r="E61">
        <v>25.43</v>
      </c>
      <c r="F61">
        <v>22.75</v>
      </c>
      <c r="G61">
        <v>58.82</v>
      </c>
      <c r="I61">
        <f t="shared" si="1"/>
        <v>5.54112554112553E-2</v>
      </c>
      <c r="J61">
        <f t="shared" si="1"/>
        <v>-0.15955473098330231</v>
      </c>
      <c r="K61">
        <f t="shared" si="1"/>
        <v>-6.5270435136234262E-2</v>
      </c>
      <c r="L61">
        <f t="shared" si="1"/>
        <v>-8.5580726357425349E-2</v>
      </c>
      <c r="M61">
        <f t="shared" si="1"/>
        <v>-0.18106551475881932</v>
      </c>
      <c r="N61">
        <f t="shared" si="1"/>
        <v>0.14703588143525739</v>
      </c>
    </row>
    <row r="62" spans="1:20">
      <c r="A62" s="1">
        <v>39783</v>
      </c>
      <c r="B62">
        <v>11.55</v>
      </c>
      <c r="C62">
        <v>48.51</v>
      </c>
      <c r="D62">
        <v>49.18</v>
      </c>
      <c r="E62">
        <v>27.81</v>
      </c>
      <c r="F62">
        <v>27.78</v>
      </c>
      <c r="G62">
        <v>51.28</v>
      </c>
      <c r="I62">
        <f t="shared" si="1"/>
        <v>-7.8947368421052516E-2</v>
      </c>
      <c r="J62">
        <f t="shared" si="1"/>
        <v>7.4766355140186798E-3</v>
      </c>
      <c r="K62">
        <f t="shared" si="1"/>
        <v>-0.14020979020979027</v>
      </c>
      <c r="L62">
        <f t="shared" si="1"/>
        <v>0.16897856242118536</v>
      </c>
      <c r="M62">
        <f t="shared" si="1"/>
        <v>-4.3010752688171132E-3</v>
      </c>
      <c r="N62">
        <f t="shared" si="1"/>
        <v>0.20093676814988284</v>
      </c>
    </row>
    <row r="63" spans="1:20">
      <c r="A63" s="1">
        <v>39755</v>
      </c>
      <c r="B63">
        <v>12.54</v>
      </c>
      <c r="C63">
        <v>48.15</v>
      </c>
      <c r="D63">
        <v>57.2</v>
      </c>
      <c r="E63">
        <v>23.79</v>
      </c>
      <c r="F63">
        <v>27.9</v>
      </c>
      <c r="G63">
        <v>42.7</v>
      </c>
      <c r="I63">
        <f t="shared" si="1"/>
        <v>-0.13873626373626383</v>
      </c>
      <c r="J63">
        <f t="shared" si="1"/>
        <v>1.2476606363068239E-3</v>
      </c>
      <c r="K63">
        <f t="shared" si="1"/>
        <v>4.9348743349844154E-2</v>
      </c>
      <c r="L63">
        <f t="shared" si="1"/>
        <v>-7.1065989847715755E-2</v>
      </c>
      <c r="M63">
        <f t="shared" si="1"/>
        <v>-0.23246217331499319</v>
      </c>
      <c r="N63">
        <f t="shared" si="1"/>
        <v>-0.25401816911250868</v>
      </c>
    </row>
    <row r="64" spans="1:20">
      <c r="A64" s="1">
        <v>39722</v>
      </c>
      <c r="B64">
        <v>14.56</v>
      </c>
      <c r="C64">
        <v>48.09</v>
      </c>
      <c r="D64">
        <v>54.51</v>
      </c>
      <c r="E64">
        <v>25.61</v>
      </c>
      <c r="F64">
        <v>36.35</v>
      </c>
      <c r="G64">
        <v>57.24</v>
      </c>
      <c r="I64">
        <f t="shared" si="1"/>
        <v>-5.3315994798439549E-2</v>
      </c>
      <c r="J64">
        <f t="shared" si="1"/>
        <v>-6.8023255813953451E-2</v>
      </c>
      <c r="K64">
        <f t="shared" si="1"/>
        <v>-5.8711794163356909E-2</v>
      </c>
      <c r="L64">
        <f t="shared" si="1"/>
        <v>-0.10454545454545461</v>
      </c>
      <c r="M64">
        <f t="shared" si="1"/>
        <v>-0.10972324271369084</v>
      </c>
      <c r="N64">
        <f t="shared" si="1"/>
        <v>-0.2133040131940627</v>
      </c>
    </row>
    <row r="65" spans="1:14">
      <c r="A65" s="1">
        <v>39693</v>
      </c>
      <c r="B65">
        <v>15.38</v>
      </c>
      <c r="C65">
        <v>51.6</v>
      </c>
      <c r="D65">
        <v>57.91</v>
      </c>
      <c r="E65">
        <v>28.6</v>
      </c>
      <c r="F65">
        <v>40.83</v>
      </c>
      <c r="G65">
        <v>72.760000000000005</v>
      </c>
      <c r="I65">
        <f t="shared" si="1"/>
        <v>-0.3292629742695159</v>
      </c>
      <c r="J65">
        <f t="shared" si="1"/>
        <v>1.3752455795677855E-2</v>
      </c>
      <c r="K65">
        <f t="shared" si="1"/>
        <v>-4.5963756177924316E-2</v>
      </c>
      <c r="L65">
        <f t="shared" si="1"/>
        <v>-8.6261980830670895E-2</v>
      </c>
      <c r="M65">
        <f t="shared" si="1"/>
        <v>0.21301247771836015</v>
      </c>
      <c r="N65">
        <f t="shared" si="1"/>
        <v>-9.9616384110877323E-2</v>
      </c>
    </row>
    <row r="66" spans="1:14">
      <c r="A66" s="1">
        <v>39661</v>
      </c>
      <c r="B66">
        <v>22.93</v>
      </c>
      <c r="C66">
        <v>50.9</v>
      </c>
      <c r="D66">
        <v>60.7</v>
      </c>
      <c r="E66">
        <v>31.3</v>
      </c>
      <c r="F66">
        <v>33.659999999999997</v>
      </c>
      <c r="G66">
        <v>80.81</v>
      </c>
      <c r="I66">
        <f t="shared" si="1"/>
        <v>6.6511627906976734E-2</v>
      </c>
      <c r="J66">
        <f t="shared" si="1"/>
        <v>1.1928429423459274E-2</v>
      </c>
      <c r="K66">
        <f t="shared" si="1"/>
        <v>2.429969625379691E-2</v>
      </c>
      <c r="L66">
        <f t="shared" si="1"/>
        <v>-3.8192234245703689E-3</v>
      </c>
      <c r="M66">
        <f t="shared" si="1"/>
        <v>-5.263157894736855E-2</v>
      </c>
      <c r="N66">
        <f t="shared" si="1"/>
        <v>5.8553838092742977E-2</v>
      </c>
    </row>
    <row r="67" spans="1:14">
      <c r="A67" s="1">
        <v>39630</v>
      </c>
      <c r="B67">
        <v>21.5</v>
      </c>
      <c r="C67">
        <v>50.3</v>
      </c>
      <c r="D67">
        <v>59.26</v>
      </c>
      <c r="E67">
        <v>31.42</v>
      </c>
      <c r="F67">
        <v>35.53</v>
      </c>
      <c r="G67">
        <v>76.34</v>
      </c>
      <c r="I67">
        <f t="shared" ref="I67:N109" si="6">(B67-B68)/B68</f>
        <v>-5.0772626931567269E-2</v>
      </c>
      <c r="J67">
        <f t="shared" si="6"/>
        <v>4.2919344806137266E-2</v>
      </c>
      <c r="K67">
        <f t="shared" si="6"/>
        <v>1.1608057357459879E-2</v>
      </c>
      <c r="L67">
        <f t="shared" si="6"/>
        <v>2.6126714565643392E-2</v>
      </c>
      <c r="M67">
        <f t="shared" si="6"/>
        <v>0.19750589821368383</v>
      </c>
      <c r="N67">
        <f t="shared" si="6"/>
        <v>4.1047320332742471E-2</v>
      </c>
    </row>
    <row r="68" spans="1:14">
      <c r="A68" s="1">
        <v>39601</v>
      </c>
      <c r="B68">
        <v>22.65</v>
      </c>
      <c r="C68">
        <v>48.23</v>
      </c>
      <c r="D68">
        <v>58.58</v>
      </c>
      <c r="E68">
        <v>30.62</v>
      </c>
      <c r="F68">
        <v>29.67</v>
      </c>
      <c r="G68">
        <v>73.33</v>
      </c>
      <c r="I68">
        <f t="shared" si="6"/>
        <v>-0.11280846063454769</v>
      </c>
      <c r="J68">
        <f t="shared" si="6"/>
        <v>-2.6639757820383459E-2</v>
      </c>
      <c r="K68">
        <f t="shared" si="6"/>
        <v>-0.10277224689845317</v>
      </c>
      <c r="L68">
        <f t="shared" si="6"/>
        <v>-0.11605080831408775</v>
      </c>
      <c r="M68">
        <f t="shared" si="6"/>
        <v>-0.2019903173749327</v>
      </c>
      <c r="N68">
        <f t="shared" si="6"/>
        <v>-0.10156824307767712</v>
      </c>
    </row>
    <row r="69" spans="1:14">
      <c r="A69" s="1">
        <v>39569</v>
      </c>
      <c r="B69">
        <v>25.53</v>
      </c>
      <c r="C69">
        <v>49.55</v>
      </c>
      <c r="D69">
        <v>65.290000000000006</v>
      </c>
      <c r="E69">
        <v>34.64</v>
      </c>
      <c r="F69">
        <v>37.18</v>
      </c>
      <c r="G69">
        <v>81.62</v>
      </c>
      <c r="I69">
        <f t="shared" si="6"/>
        <v>8.4997875053123673E-2</v>
      </c>
      <c r="J69">
        <f t="shared" si="6"/>
        <v>0</v>
      </c>
      <c r="K69">
        <f t="shared" si="6"/>
        <v>1.5080845771144484E-2</v>
      </c>
      <c r="L69">
        <f t="shared" si="6"/>
        <v>-2.3950408565793221E-2</v>
      </c>
      <c r="M69">
        <f t="shared" si="6"/>
        <v>-9.7572815533980659E-2</v>
      </c>
      <c r="N69">
        <f t="shared" si="6"/>
        <v>3.8026198651914145E-2</v>
      </c>
    </row>
    <row r="70" spans="1:14">
      <c r="A70" s="1">
        <v>39539</v>
      </c>
      <c r="B70">
        <v>23.53</v>
      </c>
      <c r="C70">
        <v>49.55</v>
      </c>
      <c r="D70">
        <v>64.319999999999993</v>
      </c>
      <c r="E70">
        <v>35.49</v>
      </c>
      <c r="F70">
        <v>41.2</v>
      </c>
      <c r="G70">
        <v>78.63</v>
      </c>
      <c r="I70">
        <f t="shared" si="6"/>
        <v>0.21226172076249361</v>
      </c>
      <c r="J70">
        <f t="shared" si="6"/>
        <v>0.1006219458018657</v>
      </c>
      <c r="K70">
        <f t="shared" si="6"/>
        <v>-2.8398791540785642E-2</v>
      </c>
      <c r="L70">
        <f t="shared" si="6"/>
        <v>9.7402597402597352E-2</v>
      </c>
      <c r="M70">
        <f t="shared" si="6"/>
        <v>0.11834961997828444</v>
      </c>
      <c r="N70">
        <f t="shared" si="6"/>
        <v>0.10280504908835902</v>
      </c>
    </row>
    <row r="71" spans="1:14">
      <c r="A71" s="1">
        <v>39510</v>
      </c>
      <c r="B71">
        <v>19.41</v>
      </c>
      <c r="C71">
        <v>45.02</v>
      </c>
      <c r="D71">
        <v>66.2</v>
      </c>
      <c r="E71">
        <v>32.340000000000003</v>
      </c>
      <c r="F71">
        <v>36.840000000000003</v>
      </c>
      <c r="G71">
        <v>71.3</v>
      </c>
      <c r="I71">
        <f t="shared" si="6"/>
        <v>0.14784151389710232</v>
      </c>
      <c r="J71">
        <f t="shared" si="6"/>
        <v>6.7330488383120043E-2</v>
      </c>
      <c r="K71">
        <f t="shared" si="6"/>
        <v>9.4541018603233381E-3</v>
      </c>
      <c r="L71">
        <f t="shared" si="6"/>
        <v>8.0160320641282631E-2</v>
      </c>
      <c r="M71">
        <f t="shared" si="6"/>
        <v>5.6495554918268027E-2</v>
      </c>
      <c r="N71">
        <f t="shared" si="6"/>
        <v>0.10594074763455869</v>
      </c>
    </row>
    <row r="72" spans="1:14">
      <c r="A72" s="1">
        <v>39479</v>
      </c>
      <c r="B72">
        <v>16.91</v>
      </c>
      <c r="C72">
        <v>42.18</v>
      </c>
      <c r="D72">
        <v>65.58</v>
      </c>
      <c r="E72">
        <v>29.94</v>
      </c>
      <c r="F72">
        <v>34.869999999999997</v>
      </c>
      <c r="G72">
        <v>64.47</v>
      </c>
      <c r="I72">
        <f t="shared" si="6"/>
        <v>-7.6460950300382233E-2</v>
      </c>
      <c r="J72">
        <f t="shared" si="6"/>
        <v>-2.24797219003476E-2</v>
      </c>
      <c r="K72">
        <f t="shared" si="6"/>
        <v>-9.365558912386775E-3</v>
      </c>
      <c r="L72">
        <f t="shared" si="6"/>
        <v>8.4203435500168396E-3</v>
      </c>
      <c r="M72">
        <f t="shared" si="6"/>
        <v>-0.14240039350713229</v>
      </c>
      <c r="N72">
        <f t="shared" si="6"/>
        <v>-0.17027027027027031</v>
      </c>
    </row>
    <row r="73" spans="1:14">
      <c r="A73" s="1">
        <v>39449</v>
      </c>
      <c r="B73">
        <v>18.309999999999999</v>
      </c>
      <c r="C73">
        <v>43.15</v>
      </c>
      <c r="D73">
        <v>66.2</v>
      </c>
      <c r="E73">
        <v>29.69</v>
      </c>
      <c r="F73">
        <v>40.659999999999997</v>
      </c>
      <c r="G73">
        <v>77.7</v>
      </c>
      <c r="I73">
        <f t="shared" si="6"/>
        <v>-0.31679104477611947</v>
      </c>
      <c r="J73">
        <f t="shared" si="6"/>
        <v>6.7540821375556573E-2</v>
      </c>
      <c r="K73">
        <f t="shared" si="6"/>
        <v>-5.550007133685262E-2</v>
      </c>
      <c r="L73">
        <f t="shared" si="6"/>
        <v>-0.10383338364020528</v>
      </c>
      <c r="M73">
        <f t="shared" si="6"/>
        <v>9.5661546752896717E-2</v>
      </c>
      <c r="N73">
        <f t="shared" si="6"/>
        <v>-0.16126943005181343</v>
      </c>
    </row>
    <row r="74" spans="1:14">
      <c r="A74" s="1">
        <v>39419</v>
      </c>
      <c r="B74">
        <v>26.8</v>
      </c>
      <c r="C74">
        <v>40.42</v>
      </c>
      <c r="D74">
        <v>70.09</v>
      </c>
      <c r="E74">
        <v>33.130000000000003</v>
      </c>
      <c r="F74">
        <v>37.11</v>
      </c>
      <c r="G74">
        <v>92.64</v>
      </c>
      <c r="I74">
        <f t="shared" si="6"/>
        <v>8.7221095334685694E-2</v>
      </c>
      <c r="J74">
        <f t="shared" si="6"/>
        <v>-3.4516765285996192E-3</v>
      </c>
      <c r="K74">
        <f t="shared" si="6"/>
        <v>1.2714925588787888E-2</v>
      </c>
      <c r="L74">
        <f t="shared" si="6"/>
        <v>3.0161691542288746E-2</v>
      </c>
      <c r="M74">
        <f t="shared" si="6"/>
        <v>-4.3310131477184835E-2</v>
      </c>
      <c r="N74">
        <f t="shared" si="6"/>
        <v>2.2968197879858637E-2</v>
      </c>
    </row>
    <row r="75" spans="1:14">
      <c r="A75" s="1">
        <v>39387</v>
      </c>
      <c r="B75">
        <v>24.65</v>
      </c>
      <c r="C75">
        <v>40.56</v>
      </c>
      <c r="D75">
        <v>69.209999999999994</v>
      </c>
      <c r="E75">
        <v>32.159999999999997</v>
      </c>
      <c r="F75">
        <v>38.79</v>
      </c>
      <c r="G75">
        <v>90.56</v>
      </c>
      <c r="I75">
        <f t="shared" si="6"/>
        <v>-4.0856031128404698E-2</v>
      </c>
      <c r="J75">
        <f t="shared" si="6"/>
        <v>5.9561128526645794E-2</v>
      </c>
      <c r="K75">
        <f t="shared" si="6"/>
        <v>-3.0128923766816224E-2</v>
      </c>
      <c r="L75">
        <f t="shared" si="6"/>
        <v>-7.7452667814113682E-2</v>
      </c>
      <c r="M75">
        <f t="shared" si="6"/>
        <v>-2.927927927927932E-2</v>
      </c>
      <c r="N75">
        <f t="shared" si="6"/>
        <v>1.5816040381379657E-2</v>
      </c>
    </row>
    <row r="76" spans="1:14">
      <c r="A76" s="1">
        <v>39356</v>
      </c>
      <c r="B76">
        <v>25.7</v>
      </c>
      <c r="C76">
        <v>38.28</v>
      </c>
      <c r="D76">
        <v>71.36</v>
      </c>
      <c r="E76">
        <v>34.86</v>
      </c>
      <c r="F76">
        <v>39.96</v>
      </c>
      <c r="G76">
        <v>89.15</v>
      </c>
      <c r="I76">
        <f t="shared" si="6"/>
        <v>0.23795761078998059</v>
      </c>
      <c r="J76">
        <f t="shared" si="6"/>
        <v>3.5714285714285719E-2</v>
      </c>
      <c r="K76">
        <f t="shared" si="6"/>
        <v>-7.7201603517392983E-2</v>
      </c>
      <c r="L76">
        <f t="shared" si="6"/>
        <v>0.19506342132327725</v>
      </c>
      <c r="M76">
        <f t="shared" si="6"/>
        <v>3.3893919793014288E-2</v>
      </c>
      <c r="N76">
        <f t="shared" si="6"/>
        <v>-4.2941492216854532E-2</v>
      </c>
    </row>
    <row r="77" spans="1:14">
      <c r="A77" s="1">
        <v>39329</v>
      </c>
      <c r="B77">
        <v>20.76</v>
      </c>
      <c r="C77">
        <v>36.96</v>
      </c>
      <c r="D77">
        <v>77.33</v>
      </c>
      <c r="E77">
        <v>29.17</v>
      </c>
      <c r="F77">
        <v>38.65</v>
      </c>
      <c r="G77">
        <v>93.15</v>
      </c>
      <c r="I77">
        <f t="shared" si="6"/>
        <v>0.10838227442605451</v>
      </c>
      <c r="J77">
        <f t="shared" si="6"/>
        <v>5.4141851651334945E-4</v>
      </c>
      <c r="K77">
        <f t="shared" si="6"/>
        <v>2.8461231546748247E-2</v>
      </c>
      <c r="L77">
        <f t="shared" si="6"/>
        <v>3.4030485643388897E-2</v>
      </c>
      <c r="M77">
        <f t="shared" si="6"/>
        <v>2.9294274300932132E-2</v>
      </c>
      <c r="N77">
        <f t="shared" si="6"/>
        <v>0.16568639719684658</v>
      </c>
    </row>
    <row r="78" spans="1:14">
      <c r="A78" s="1">
        <v>39295</v>
      </c>
      <c r="B78">
        <v>18.73</v>
      </c>
      <c r="C78">
        <v>36.94</v>
      </c>
      <c r="D78">
        <v>75.19</v>
      </c>
      <c r="E78">
        <v>28.21</v>
      </c>
      <c r="F78">
        <v>37.549999999999997</v>
      </c>
      <c r="G78">
        <v>79.91</v>
      </c>
      <c r="I78">
        <f t="shared" si="6"/>
        <v>5.106621773288441E-2</v>
      </c>
      <c r="J78">
        <f t="shared" si="6"/>
        <v>-4.5724618961508735E-2</v>
      </c>
      <c r="K78">
        <f t="shared" si="6"/>
        <v>2.8872468527640933E-2</v>
      </c>
      <c r="L78">
        <f t="shared" si="6"/>
        <v>2.136133236784938E-2</v>
      </c>
      <c r="M78">
        <f t="shared" si="6"/>
        <v>1.1584051724137925E-2</v>
      </c>
      <c r="N78">
        <f t="shared" si="6"/>
        <v>1.7443340972752613E-2</v>
      </c>
    </row>
    <row r="79" spans="1:14">
      <c r="A79" s="1">
        <v>39265</v>
      </c>
      <c r="B79">
        <v>17.82</v>
      </c>
      <c r="C79">
        <v>38.71</v>
      </c>
      <c r="D79">
        <v>73.08</v>
      </c>
      <c r="E79">
        <v>27.62</v>
      </c>
      <c r="F79">
        <v>37.119999999999997</v>
      </c>
      <c r="G79">
        <v>78.540000000000006</v>
      </c>
      <c r="I79">
        <f t="shared" si="6"/>
        <v>7.9345850999394216E-2</v>
      </c>
      <c r="J79">
        <f t="shared" si="6"/>
        <v>-4.4905008635578593E-2</v>
      </c>
      <c r="K79">
        <f t="shared" si="6"/>
        <v>2.4533856722276742E-2</v>
      </c>
      <c r="L79">
        <f t="shared" si="6"/>
        <v>-1.6381766381766288E-2</v>
      </c>
      <c r="M79">
        <f t="shared" si="6"/>
        <v>-8.45869297163995E-2</v>
      </c>
      <c r="N79">
        <f t="shared" si="6"/>
        <v>0.14807776640841996</v>
      </c>
    </row>
    <row r="80" spans="1:14">
      <c r="A80" s="1">
        <v>39234</v>
      </c>
      <c r="B80">
        <v>16.510000000000002</v>
      </c>
      <c r="C80">
        <v>40.53</v>
      </c>
      <c r="D80">
        <v>71.33</v>
      </c>
      <c r="E80">
        <v>28.08</v>
      </c>
      <c r="F80">
        <v>40.549999999999997</v>
      </c>
      <c r="G80">
        <v>68.41</v>
      </c>
      <c r="I80">
        <f t="shared" si="6"/>
        <v>7.3215375228798656E-3</v>
      </c>
      <c r="J80">
        <f t="shared" si="6"/>
        <v>1.0723192019950117E-2</v>
      </c>
      <c r="K80">
        <f t="shared" si="6"/>
        <v>-1.327984506847431E-2</v>
      </c>
      <c r="L80">
        <f t="shared" si="6"/>
        <v>-3.3723331039229199E-2</v>
      </c>
      <c r="M80">
        <f t="shared" si="6"/>
        <v>-6.5237436606731328E-2</v>
      </c>
      <c r="N80">
        <f t="shared" si="6"/>
        <v>-1.0558287532542725E-2</v>
      </c>
    </row>
    <row r="81" spans="1:14">
      <c r="A81" s="1">
        <v>39203</v>
      </c>
      <c r="B81">
        <v>16.39</v>
      </c>
      <c r="C81">
        <v>40.1</v>
      </c>
      <c r="D81">
        <v>72.290000000000006</v>
      </c>
      <c r="E81">
        <v>29.06</v>
      </c>
      <c r="F81">
        <v>43.38</v>
      </c>
      <c r="G81">
        <v>69.14</v>
      </c>
      <c r="I81">
        <f t="shared" si="6"/>
        <v>0.21407407407407411</v>
      </c>
      <c r="J81">
        <f t="shared" si="6"/>
        <v>-1.9910403185664084E-3</v>
      </c>
      <c r="K81">
        <f t="shared" si="6"/>
        <v>6.8746303962152658E-2</v>
      </c>
      <c r="L81">
        <f t="shared" si="6"/>
        <v>9.4538606403013106E-2</v>
      </c>
      <c r="M81">
        <f t="shared" si="6"/>
        <v>-5.0458715596330009E-3</v>
      </c>
      <c r="N81">
        <f t="shared" si="6"/>
        <v>0.12734387738464051</v>
      </c>
    </row>
    <row r="82" spans="1:14">
      <c r="A82" s="1">
        <v>39174</v>
      </c>
      <c r="B82">
        <v>13.5</v>
      </c>
      <c r="C82">
        <v>40.18</v>
      </c>
      <c r="D82">
        <v>67.64</v>
      </c>
      <c r="E82">
        <v>26.55</v>
      </c>
      <c r="F82">
        <v>43.6</v>
      </c>
      <c r="G82">
        <v>61.33</v>
      </c>
      <c r="I82">
        <f t="shared" si="6"/>
        <v>7.3985680190930769E-2</v>
      </c>
      <c r="J82">
        <f t="shared" si="6"/>
        <v>2.0574041148082357E-2</v>
      </c>
      <c r="K82">
        <f t="shared" si="6"/>
        <v>8.29330771693884E-2</v>
      </c>
      <c r="L82">
        <f t="shared" si="6"/>
        <v>7.0996369503832257E-2</v>
      </c>
      <c r="M82">
        <f t="shared" si="6"/>
        <v>8.4577114427860658E-2</v>
      </c>
      <c r="N82">
        <f t="shared" si="6"/>
        <v>0.54134204574013567</v>
      </c>
    </row>
    <row r="83" spans="1:14">
      <c r="A83" s="1">
        <v>39142</v>
      </c>
      <c r="B83">
        <v>12.57</v>
      </c>
      <c r="C83">
        <v>39.369999999999997</v>
      </c>
      <c r="D83">
        <v>62.46</v>
      </c>
      <c r="E83">
        <v>24.79</v>
      </c>
      <c r="F83">
        <v>40.200000000000003</v>
      </c>
      <c r="G83">
        <v>39.79</v>
      </c>
      <c r="I83">
        <f t="shared" si="6"/>
        <v>9.781659388646298E-2</v>
      </c>
      <c r="J83">
        <f t="shared" si="6"/>
        <v>-2.3561507936508005E-2</v>
      </c>
      <c r="K83">
        <f t="shared" si="6"/>
        <v>3.1714568880079314E-2</v>
      </c>
      <c r="L83">
        <f t="shared" si="6"/>
        <v>2.4262029923169722E-3</v>
      </c>
      <c r="M83">
        <f t="shared" si="6"/>
        <v>-2.0467836257309854E-2</v>
      </c>
      <c r="N83">
        <f t="shared" si="6"/>
        <v>1.6607051609606505E-2</v>
      </c>
    </row>
    <row r="84" spans="1:14">
      <c r="A84" s="1">
        <v>39114</v>
      </c>
      <c r="B84">
        <v>11.45</v>
      </c>
      <c r="C84">
        <v>40.32</v>
      </c>
      <c r="D84">
        <v>60.54</v>
      </c>
      <c r="E84">
        <v>24.73</v>
      </c>
      <c r="F84">
        <v>41.04</v>
      </c>
      <c r="G84">
        <v>39.14</v>
      </c>
      <c r="I84">
        <f t="shared" si="6"/>
        <v>-1.2931034482758652E-2</v>
      </c>
      <c r="J84">
        <f t="shared" si="6"/>
        <v>1.3065326633165909E-2</v>
      </c>
      <c r="K84">
        <f t="shared" si="6"/>
        <v>3.3145508783559118E-3</v>
      </c>
      <c r="L84">
        <f t="shared" si="6"/>
        <v>-3.4738485558157707E-2</v>
      </c>
      <c r="M84">
        <f t="shared" si="6"/>
        <v>-3.0245746691871481E-2</v>
      </c>
      <c r="N84">
        <f t="shared" si="6"/>
        <v>3.9023095301300735E-2</v>
      </c>
    </row>
    <row r="85" spans="1:14">
      <c r="A85" s="1">
        <v>39085</v>
      </c>
      <c r="B85">
        <v>11.6</v>
      </c>
      <c r="C85">
        <v>39.799999999999997</v>
      </c>
      <c r="D85">
        <v>60.34</v>
      </c>
      <c r="E85">
        <v>25.62</v>
      </c>
      <c r="F85">
        <v>42.32</v>
      </c>
      <c r="G85">
        <v>37.67</v>
      </c>
      <c r="I85">
        <f t="shared" si="6"/>
        <v>1.0452961672473799E-2</v>
      </c>
      <c r="J85">
        <f t="shared" si="6"/>
        <v>3.2693305656460767E-2</v>
      </c>
      <c r="K85">
        <f t="shared" si="6"/>
        <v>-4.6610838995101843E-2</v>
      </c>
      <c r="L85">
        <f t="shared" si="6"/>
        <v>2.3162939297124676E-2</v>
      </c>
      <c r="M85">
        <f t="shared" si="6"/>
        <v>6.1982434127979893E-2</v>
      </c>
      <c r="N85">
        <f t="shared" si="6"/>
        <v>-4.5362392295995924E-2</v>
      </c>
    </row>
    <row r="86" spans="1:14">
      <c r="A86" s="1">
        <v>39052</v>
      </c>
      <c r="B86">
        <v>11.48</v>
      </c>
      <c r="C86">
        <v>38.54</v>
      </c>
      <c r="D86">
        <v>63.29</v>
      </c>
      <c r="E86">
        <v>25.04</v>
      </c>
      <c r="F86">
        <v>39.85</v>
      </c>
      <c r="G86">
        <v>39.46</v>
      </c>
      <c r="I86">
        <f t="shared" si="6"/>
        <v>-7.4193548387096769E-2</v>
      </c>
      <c r="J86">
        <f t="shared" si="6"/>
        <v>5.4787372815027621E-3</v>
      </c>
      <c r="K86">
        <f t="shared" si="6"/>
        <v>-4.3379685610640831E-2</v>
      </c>
      <c r="L86">
        <f t="shared" si="6"/>
        <v>-3.8771593090211193E-2</v>
      </c>
      <c r="M86">
        <f t="shared" si="6"/>
        <v>4.3466876145587953E-2</v>
      </c>
      <c r="N86">
        <f t="shared" si="6"/>
        <v>-2.1814576103123512E-2</v>
      </c>
    </row>
    <row r="87" spans="1:14">
      <c r="A87" s="1">
        <v>39022</v>
      </c>
      <c r="B87">
        <v>12.4</v>
      </c>
      <c r="C87">
        <v>38.33</v>
      </c>
      <c r="D87">
        <v>66.16</v>
      </c>
      <c r="E87">
        <v>26.05</v>
      </c>
      <c r="F87">
        <v>38.19</v>
      </c>
      <c r="G87">
        <v>40.340000000000003</v>
      </c>
      <c r="I87">
        <f t="shared" si="6"/>
        <v>0.13035551504102094</v>
      </c>
      <c r="J87">
        <f t="shared" si="6"/>
        <v>-6.4437393214547251E-2</v>
      </c>
      <c r="K87">
        <f t="shared" si="6"/>
        <v>3.9107900109941807E-2</v>
      </c>
      <c r="L87">
        <f t="shared" si="6"/>
        <v>2.8830963665086903E-2</v>
      </c>
      <c r="M87">
        <f t="shared" si="6"/>
        <v>-2.4271844660194247E-2</v>
      </c>
      <c r="N87">
        <f t="shared" si="6"/>
        <v>5.9070622210553946E-2</v>
      </c>
    </row>
    <row r="88" spans="1:14">
      <c r="A88" s="1">
        <v>38992</v>
      </c>
      <c r="B88">
        <v>10.97</v>
      </c>
      <c r="C88">
        <v>40.97</v>
      </c>
      <c r="D88">
        <v>63.67</v>
      </c>
      <c r="E88">
        <v>25.32</v>
      </c>
      <c r="F88">
        <v>39.14</v>
      </c>
      <c r="G88">
        <v>38.090000000000003</v>
      </c>
      <c r="I88">
        <f t="shared" si="6"/>
        <v>5.3794428434197933E-2</v>
      </c>
      <c r="J88">
        <f t="shared" si="6"/>
        <v>-9.7537186052180317E-4</v>
      </c>
      <c r="K88">
        <f t="shared" si="6"/>
        <v>5.9400998336106493E-2</v>
      </c>
      <c r="L88">
        <f t="shared" si="6"/>
        <v>0.14570135746606327</v>
      </c>
      <c r="M88">
        <f t="shared" si="6"/>
        <v>1.7416168442942598E-2</v>
      </c>
      <c r="N88">
        <f t="shared" si="6"/>
        <v>0.18586550435865523</v>
      </c>
    </row>
    <row r="89" spans="1:14">
      <c r="A89" s="1">
        <v>38961</v>
      </c>
      <c r="B89">
        <v>10.41</v>
      </c>
      <c r="C89">
        <v>41.01</v>
      </c>
      <c r="D89">
        <v>60.1</v>
      </c>
      <c r="E89">
        <v>22.1</v>
      </c>
      <c r="F89">
        <v>38.47</v>
      </c>
      <c r="G89">
        <v>32.119999999999997</v>
      </c>
      <c r="I89">
        <f t="shared" si="6"/>
        <v>0.13398692810457521</v>
      </c>
      <c r="J89">
        <f t="shared" si="6"/>
        <v>0.10301237224314143</v>
      </c>
      <c r="K89">
        <f t="shared" si="6"/>
        <v>3.7996545768566543E-2</v>
      </c>
      <c r="L89">
        <f t="shared" si="6"/>
        <v>6.5060240963855487E-2</v>
      </c>
      <c r="M89">
        <f t="shared" si="6"/>
        <v>2.8334669874365205E-2</v>
      </c>
      <c r="N89">
        <f t="shared" si="6"/>
        <v>4.1842361336360663E-2</v>
      </c>
    </row>
    <row r="90" spans="1:14">
      <c r="A90" s="1">
        <v>38930</v>
      </c>
      <c r="B90">
        <v>9.18</v>
      </c>
      <c r="C90">
        <v>37.18</v>
      </c>
      <c r="D90">
        <v>57.9</v>
      </c>
      <c r="E90">
        <v>20.75</v>
      </c>
      <c r="F90">
        <v>37.409999999999997</v>
      </c>
      <c r="G90">
        <v>30.83</v>
      </c>
      <c r="I90">
        <f t="shared" si="6"/>
        <v>-1.0881392818280508E-3</v>
      </c>
      <c r="J90">
        <f t="shared" si="6"/>
        <v>8.6814975583288188E-3</v>
      </c>
      <c r="K90">
        <f t="shared" si="6"/>
        <v>2.5141643059490116E-2</v>
      </c>
      <c r="L90">
        <f t="shared" si="6"/>
        <v>8.5818942961800135E-2</v>
      </c>
      <c r="M90">
        <f t="shared" si="6"/>
        <v>1.0703773080010476E-3</v>
      </c>
      <c r="N90">
        <f t="shared" si="6"/>
        <v>0.14652287095574554</v>
      </c>
    </row>
    <row r="91" spans="1:14">
      <c r="A91" s="1">
        <v>38901</v>
      </c>
      <c r="B91">
        <v>9.19</v>
      </c>
      <c r="C91">
        <v>36.86</v>
      </c>
      <c r="D91">
        <v>56.48</v>
      </c>
      <c r="E91">
        <v>19.11</v>
      </c>
      <c r="F91">
        <v>37.369999999999997</v>
      </c>
      <c r="G91">
        <v>26.89</v>
      </c>
      <c r="I91">
        <f t="shared" si="6"/>
        <v>0.18580645161290316</v>
      </c>
      <c r="J91">
        <f t="shared" si="6"/>
        <v>-7.619047619047617E-2</v>
      </c>
      <c r="K91">
        <f t="shared" si="6"/>
        <v>-0.12839506172839507</v>
      </c>
      <c r="L91">
        <f t="shared" si="6"/>
        <v>-0.1019736842105264</v>
      </c>
      <c r="M91">
        <f t="shared" si="6"/>
        <v>9.4931145619689267E-2</v>
      </c>
      <c r="N91">
        <f t="shared" si="6"/>
        <v>-0.30480868665977245</v>
      </c>
    </row>
    <row r="92" spans="1:14">
      <c r="A92" s="1">
        <v>38869</v>
      </c>
      <c r="B92">
        <v>7.75</v>
      </c>
      <c r="C92">
        <v>39.9</v>
      </c>
      <c r="D92">
        <v>64.8</v>
      </c>
      <c r="E92">
        <v>21.28</v>
      </c>
      <c r="F92">
        <v>34.130000000000003</v>
      </c>
      <c r="G92">
        <v>38.68</v>
      </c>
      <c r="I92">
        <f t="shared" si="6"/>
        <v>-4.2027194066749055E-2</v>
      </c>
      <c r="J92">
        <f t="shared" si="6"/>
        <v>-5.7313730376278085E-3</v>
      </c>
      <c r="K92">
        <f t="shared" si="6"/>
        <v>-3.4564958283671142E-2</v>
      </c>
      <c r="L92">
        <f t="shared" si="6"/>
        <v>-2.8116213683223395E-3</v>
      </c>
      <c r="M92">
        <f t="shared" si="6"/>
        <v>-1.5007215007214893E-2</v>
      </c>
      <c r="N92">
        <f t="shared" si="6"/>
        <v>0.11759607049985554</v>
      </c>
    </row>
    <row r="93" spans="1:14">
      <c r="A93" s="1">
        <v>38838</v>
      </c>
      <c r="B93">
        <v>8.09</v>
      </c>
      <c r="C93">
        <v>40.130000000000003</v>
      </c>
      <c r="D93">
        <v>67.12</v>
      </c>
      <c r="E93">
        <v>21.34</v>
      </c>
      <c r="F93">
        <v>34.65</v>
      </c>
      <c r="G93">
        <v>34.61</v>
      </c>
      <c r="I93">
        <f t="shared" si="6"/>
        <v>-0.15021008403361341</v>
      </c>
      <c r="J93">
        <f t="shared" si="6"/>
        <v>7.9634113532418643E-2</v>
      </c>
      <c r="K93">
        <f t="shared" si="6"/>
        <v>-1.5547081255500179E-2</v>
      </c>
      <c r="L93">
        <f t="shared" si="6"/>
        <v>-2.4680073126142558E-2</v>
      </c>
      <c r="M93">
        <f t="shared" si="6"/>
        <v>-6.0466377440347177E-2</v>
      </c>
      <c r="N93">
        <f t="shared" si="6"/>
        <v>-1.7040613462084676E-2</v>
      </c>
    </row>
    <row r="94" spans="1:14">
      <c r="A94" s="1">
        <v>38810</v>
      </c>
      <c r="B94">
        <v>9.52</v>
      </c>
      <c r="C94">
        <v>37.17</v>
      </c>
      <c r="D94">
        <v>68.180000000000007</v>
      </c>
      <c r="E94">
        <v>21.88</v>
      </c>
      <c r="F94">
        <v>36.880000000000003</v>
      </c>
      <c r="G94">
        <v>35.21</v>
      </c>
      <c r="I94">
        <f t="shared" si="6"/>
        <v>0.12264150943396215</v>
      </c>
      <c r="J94">
        <f t="shared" si="6"/>
        <v>-4.6678635547576307E-2</v>
      </c>
      <c r="K94">
        <f t="shared" si="6"/>
        <v>0.12862108922363866</v>
      </c>
      <c r="L94">
        <f t="shared" si="6"/>
        <v>6.0591371788657297E-2</v>
      </c>
      <c r="M94">
        <f t="shared" si="6"/>
        <v>9.8927294398092974E-2</v>
      </c>
      <c r="N94">
        <f t="shared" si="6"/>
        <v>-3.6134683821516571E-2</v>
      </c>
    </row>
    <row r="95" spans="1:14">
      <c r="A95" s="1">
        <v>38777</v>
      </c>
      <c r="B95">
        <v>8.48</v>
      </c>
      <c r="C95">
        <v>38.99</v>
      </c>
      <c r="D95">
        <v>60.41</v>
      </c>
      <c r="E95">
        <v>20.63</v>
      </c>
      <c r="F95">
        <v>33.56</v>
      </c>
      <c r="G95">
        <v>36.53</v>
      </c>
      <c r="I95">
        <f t="shared" si="6"/>
        <v>-8.5221143473570571E-2</v>
      </c>
      <c r="J95">
        <f t="shared" si="6"/>
        <v>4.5308310991957236E-2</v>
      </c>
      <c r="K95">
        <f t="shared" si="6"/>
        <v>2.8605482717520853E-2</v>
      </c>
      <c r="L95">
        <f t="shared" si="6"/>
        <v>2.4329692154915511E-2</v>
      </c>
      <c r="M95">
        <f t="shared" si="6"/>
        <v>1.2062726176115975E-2</v>
      </c>
      <c r="N95">
        <f t="shared" si="6"/>
        <v>-2.4305555555555466E-2</v>
      </c>
    </row>
    <row r="96" spans="1:14">
      <c r="A96" s="1">
        <v>38749</v>
      </c>
      <c r="B96">
        <v>9.27</v>
      </c>
      <c r="C96">
        <v>37.299999999999997</v>
      </c>
      <c r="D96">
        <v>58.73</v>
      </c>
      <c r="E96">
        <v>20.14</v>
      </c>
      <c r="F96">
        <v>33.159999999999997</v>
      </c>
      <c r="G96">
        <v>37.44</v>
      </c>
      <c r="I96">
        <f t="shared" si="6"/>
        <v>-9.295499021526428E-2</v>
      </c>
      <c r="J96">
        <f t="shared" si="6"/>
        <v>-1.6350210970464255E-2</v>
      </c>
      <c r="K96">
        <f t="shared" si="6"/>
        <v>1.802738776217714E-2</v>
      </c>
      <c r="L96">
        <f t="shared" si="6"/>
        <v>-3.5902345619913831E-2</v>
      </c>
      <c r="M96">
        <f t="shared" si="6"/>
        <v>3.4956304619225886E-2</v>
      </c>
      <c r="N96">
        <f t="shared" si="6"/>
        <v>-0.16465863453815266</v>
      </c>
    </row>
    <row r="97" spans="1:14">
      <c r="A97" s="1">
        <v>38720</v>
      </c>
      <c r="B97">
        <v>10.220000000000001</v>
      </c>
      <c r="C97">
        <v>37.92</v>
      </c>
      <c r="D97">
        <v>57.69</v>
      </c>
      <c r="E97">
        <v>20.89</v>
      </c>
      <c r="F97">
        <v>32.04</v>
      </c>
      <c r="G97">
        <v>44.82</v>
      </c>
      <c r="I97">
        <f t="shared" si="6"/>
        <v>5.0359712230215847E-2</v>
      </c>
      <c r="J97">
        <f t="shared" si="6"/>
        <v>-1.4809041309431028E-2</v>
      </c>
      <c r="K97">
        <f t="shared" si="6"/>
        <v>-6.1340709404490774E-2</v>
      </c>
      <c r="L97">
        <f t="shared" si="6"/>
        <v>5.7721518987341798E-2</v>
      </c>
      <c r="M97">
        <f t="shared" si="6"/>
        <v>1.0088272383354359E-2</v>
      </c>
      <c r="N97">
        <f t="shared" si="6"/>
        <v>-4.9416755037115553E-2</v>
      </c>
    </row>
    <row r="98" spans="1:14">
      <c r="A98" s="1">
        <v>38687</v>
      </c>
      <c r="B98">
        <v>9.73</v>
      </c>
      <c r="C98">
        <v>38.49</v>
      </c>
      <c r="D98">
        <v>61.46</v>
      </c>
      <c r="E98">
        <v>19.75</v>
      </c>
      <c r="F98">
        <v>31.72</v>
      </c>
      <c r="G98">
        <v>47.15</v>
      </c>
      <c r="I98">
        <f t="shared" si="6"/>
        <v>6.1068702290076389E-2</v>
      </c>
      <c r="J98">
        <f t="shared" si="6"/>
        <v>-3.3157498116051246E-2</v>
      </c>
      <c r="K98">
        <f t="shared" si="6"/>
        <v>-1.2532133676092563E-2</v>
      </c>
      <c r="L98">
        <f t="shared" si="6"/>
        <v>-3.9396887159533017E-2</v>
      </c>
      <c r="M98">
        <f t="shared" si="6"/>
        <v>3.7618580307490955E-2</v>
      </c>
      <c r="N98">
        <f t="shared" si="6"/>
        <v>-2.7032604209657494E-2</v>
      </c>
    </row>
    <row r="99" spans="1:14">
      <c r="A99" s="1">
        <v>38657</v>
      </c>
      <c r="B99">
        <v>9.17</v>
      </c>
      <c r="C99">
        <v>39.81</v>
      </c>
      <c r="D99">
        <v>62.24</v>
      </c>
      <c r="E99">
        <v>20.56</v>
      </c>
      <c r="F99">
        <v>30.57</v>
      </c>
      <c r="G99">
        <v>48.46</v>
      </c>
      <c r="I99">
        <f t="shared" si="6"/>
        <v>0.17715019255455711</v>
      </c>
      <c r="J99">
        <f t="shared" si="6"/>
        <v>2.6295436968290876E-2</v>
      </c>
      <c r="K99">
        <f t="shared" si="6"/>
        <v>3.8371705038371777E-2</v>
      </c>
      <c r="L99">
        <f t="shared" si="6"/>
        <v>-4.0597293513765793E-2</v>
      </c>
      <c r="M99">
        <f t="shared" si="6"/>
        <v>4.4414075845575697E-2</v>
      </c>
      <c r="N99">
        <f t="shared" si="6"/>
        <v>0.2157551430005018</v>
      </c>
    </row>
    <row r="100" spans="1:14">
      <c r="A100" s="1">
        <v>38628</v>
      </c>
      <c r="B100">
        <v>7.79</v>
      </c>
      <c r="C100">
        <v>38.79</v>
      </c>
      <c r="D100">
        <v>59.94</v>
      </c>
      <c r="E100">
        <v>21.43</v>
      </c>
      <c r="F100">
        <v>29.27</v>
      </c>
      <c r="G100">
        <v>39.86</v>
      </c>
      <c r="I100">
        <f t="shared" si="6"/>
        <v>7.4482758620689662E-2</v>
      </c>
      <c r="J100">
        <f t="shared" si="6"/>
        <v>7.9599220706930124E-2</v>
      </c>
      <c r="K100">
        <f t="shared" si="6"/>
        <v>3.5769828926905139E-2</v>
      </c>
      <c r="L100">
        <f t="shared" si="6"/>
        <v>5.3071253071252981E-2</v>
      </c>
      <c r="M100">
        <f t="shared" si="6"/>
        <v>9.0130353817504588E-2</v>
      </c>
      <c r="N100">
        <f t="shared" si="6"/>
        <v>-0.12008830022075051</v>
      </c>
    </row>
    <row r="101" spans="1:14">
      <c r="A101" s="1">
        <v>38596</v>
      </c>
      <c r="B101">
        <v>7.25</v>
      </c>
      <c r="C101">
        <v>35.93</v>
      </c>
      <c r="D101">
        <v>57.87</v>
      </c>
      <c r="E101">
        <v>20.350000000000001</v>
      </c>
      <c r="F101">
        <v>26.85</v>
      </c>
      <c r="G101">
        <v>45.3</v>
      </c>
      <c r="I101">
        <f t="shared" si="6"/>
        <v>0.14353312302839119</v>
      </c>
      <c r="J101">
        <f t="shared" si="6"/>
        <v>-2.5230602278893101E-2</v>
      </c>
      <c r="K101">
        <f t="shared" si="6"/>
        <v>3.0999465526456348E-2</v>
      </c>
      <c r="L101">
        <f t="shared" si="6"/>
        <v>2.1586345381526088E-2</v>
      </c>
      <c r="M101">
        <f t="shared" si="6"/>
        <v>1.1185682326622349E-3</v>
      </c>
      <c r="N101">
        <f t="shared" si="6"/>
        <v>6.0889929742388618E-2</v>
      </c>
    </row>
    <row r="102" spans="1:14">
      <c r="A102" s="1">
        <v>38565</v>
      </c>
      <c r="B102">
        <v>6.34</v>
      </c>
      <c r="C102">
        <v>36.86</v>
      </c>
      <c r="D102">
        <v>56.13</v>
      </c>
      <c r="E102">
        <v>19.920000000000002</v>
      </c>
      <c r="F102">
        <v>26.82</v>
      </c>
      <c r="G102">
        <v>42.7</v>
      </c>
      <c r="I102">
        <f t="shared" si="6"/>
        <v>9.8786828422877004E-2</v>
      </c>
      <c r="J102">
        <f t="shared" si="6"/>
        <v>-8.6040168608975925E-2</v>
      </c>
      <c r="K102">
        <f t="shared" si="6"/>
        <v>-4.5732743964637841E-2</v>
      </c>
      <c r="L102">
        <f t="shared" si="6"/>
        <v>-9.4956837800999533E-2</v>
      </c>
      <c r="M102">
        <f t="shared" si="6"/>
        <v>-3.5251798561151092E-2</v>
      </c>
      <c r="N102">
        <f t="shared" si="6"/>
        <v>-5.4263565891472777E-2</v>
      </c>
    </row>
    <row r="103" spans="1:14">
      <c r="A103" s="1">
        <v>38534</v>
      </c>
      <c r="B103">
        <v>5.77</v>
      </c>
      <c r="C103">
        <v>40.33</v>
      </c>
      <c r="D103">
        <v>58.82</v>
      </c>
      <c r="E103">
        <v>22.01</v>
      </c>
      <c r="F103">
        <v>27.8</v>
      </c>
      <c r="G103">
        <v>45.15</v>
      </c>
      <c r="I103">
        <f t="shared" si="6"/>
        <v>0.15863453815261025</v>
      </c>
      <c r="J103">
        <f t="shared" si="6"/>
        <v>2.3863924854023805E-2</v>
      </c>
      <c r="K103">
        <f t="shared" si="6"/>
        <v>3.738977072310401E-2</v>
      </c>
      <c r="L103">
        <f t="shared" si="6"/>
        <v>7.783882783882862E-3</v>
      </c>
      <c r="M103">
        <f t="shared" si="6"/>
        <v>4.3352601156069724E-3</v>
      </c>
      <c r="N103">
        <f t="shared" si="6"/>
        <v>0.36446056210335431</v>
      </c>
    </row>
    <row r="104" spans="1:14">
      <c r="A104" s="1">
        <v>38504</v>
      </c>
      <c r="B104">
        <v>4.9800000000000004</v>
      </c>
      <c r="C104">
        <v>39.39</v>
      </c>
      <c r="D104">
        <v>56.7</v>
      </c>
      <c r="E104">
        <v>21.84</v>
      </c>
      <c r="F104">
        <v>27.68</v>
      </c>
      <c r="G104">
        <v>33.090000000000003</v>
      </c>
      <c r="I104">
        <f t="shared" si="6"/>
        <v>-7.4349442379182062E-2</v>
      </c>
      <c r="J104">
        <f t="shared" si="6"/>
        <v>2.0466321243523294E-2</v>
      </c>
      <c r="K104">
        <f t="shared" si="6"/>
        <v>-5.6729329562468754E-2</v>
      </c>
      <c r="L104">
        <f t="shared" si="6"/>
        <v>1.5341701534170074E-2</v>
      </c>
      <c r="M104">
        <f t="shared" si="6"/>
        <v>-1.2134189864382579E-2</v>
      </c>
      <c r="N104">
        <f t="shared" si="6"/>
        <v>-6.8149816952970843E-2</v>
      </c>
    </row>
    <row r="105" spans="1:14">
      <c r="A105" s="1">
        <v>38474</v>
      </c>
      <c r="B105">
        <v>5.38</v>
      </c>
      <c r="C105">
        <v>38.6</v>
      </c>
      <c r="D105">
        <v>60.11</v>
      </c>
      <c r="E105">
        <v>21.51</v>
      </c>
      <c r="F105">
        <v>28.02</v>
      </c>
      <c r="G105">
        <v>35.51</v>
      </c>
      <c r="I105">
        <f t="shared" si="6"/>
        <v>0.10245901639344263</v>
      </c>
      <c r="J105">
        <f t="shared" si="6"/>
        <v>4.9466284821662286E-3</v>
      </c>
      <c r="K105">
        <f t="shared" si="6"/>
        <v>7.8806170355465947E-3</v>
      </c>
      <c r="L105">
        <f t="shared" si="6"/>
        <v>9.1878172588832602E-2</v>
      </c>
      <c r="M105">
        <f t="shared" si="6"/>
        <v>7.5512405609493303E-3</v>
      </c>
      <c r="N105">
        <f t="shared" si="6"/>
        <v>9.7342398022249643E-2</v>
      </c>
    </row>
    <row r="106" spans="1:14">
      <c r="A106" s="1">
        <v>38443</v>
      </c>
      <c r="B106">
        <v>4.88</v>
      </c>
      <c r="C106">
        <v>38.409999999999997</v>
      </c>
      <c r="D106">
        <v>59.64</v>
      </c>
      <c r="E106">
        <v>19.7</v>
      </c>
      <c r="F106">
        <v>27.81</v>
      </c>
      <c r="G106">
        <v>32.36</v>
      </c>
      <c r="I106">
        <f t="shared" si="6"/>
        <v>-0.13475177304964536</v>
      </c>
      <c r="J106">
        <f t="shared" si="6"/>
        <v>-5.9039686428221549E-2</v>
      </c>
      <c r="K106">
        <f t="shared" si="6"/>
        <v>-0.10758641328744573</v>
      </c>
      <c r="L106">
        <f t="shared" si="6"/>
        <v>-9.1747349008759888E-2</v>
      </c>
      <c r="M106">
        <f t="shared" si="6"/>
        <v>3.6140089418777901E-2</v>
      </c>
      <c r="N106">
        <f t="shared" si="6"/>
        <v>-5.5733878027429344E-2</v>
      </c>
    </row>
    <row r="107" spans="1:14">
      <c r="A107" s="1">
        <v>38412</v>
      </c>
      <c r="B107">
        <v>5.64</v>
      </c>
      <c r="C107">
        <v>40.82</v>
      </c>
      <c r="D107">
        <v>66.83</v>
      </c>
      <c r="E107">
        <v>21.69</v>
      </c>
      <c r="F107">
        <v>26.84</v>
      </c>
      <c r="G107">
        <v>34.270000000000003</v>
      </c>
      <c r="I107">
        <f t="shared" si="6"/>
        <v>-7.0840197693575052E-2</v>
      </c>
      <c r="J107">
        <f t="shared" si="6"/>
        <v>-2.6240458015267209E-2</v>
      </c>
      <c r="K107">
        <f t="shared" si="6"/>
        <v>2.0772873071635854E-2</v>
      </c>
      <c r="L107">
        <f t="shared" si="6"/>
        <v>6.2193927522037194E-2</v>
      </c>
      <c r="M107">
        <f t="shared" si="6"/>
        <v>-5.3596614950634683E-2</v>
      </c>
      <c r="N107">
        <f t="shared" si="6"/>
        <v>-2.5866969869243792E-2</v>
      </c>
    </row>
    <row r="108" spans="1:14">
      <c r="A108" s="1">
        <v>38384</v>
      </c>
      <c r="B108">
        <v>6.07</v>
      </c>
      <c r="C108">
        <v>41.92</v>
      </c>
      <c r="D108">
        <v>65.47</v>
      </c>
      <c r="E108">
        <v>20.420000000000002</v>
      </c>
      <c r="F108">
        <v>28.36</v>
      </c>
      <c r="G108">
        <v>35.18</v>
      </c>
      <c r="I108">
        <f t="shared" si="6"/>
        <v>0.16730769230769232</v>
      </c>
      <c r="J108">
        <f t="shared" si="6"/>
        <v>-1.5268968757340818E-2</v>
      </c>
      <c r="K108">
        <f t="shared" si="6"/>
        <v>0</v>
      </c>
      <c r="L108">
        <f t="shared" si="6"/>
        <v>5.2577319587629033E-2</v>
      </c>
      <c r="M108">
        <f t="shared" si="6"/>
        <v>-2.0718232044198943E-2</v>
      </c>
      <c r="N108">
        <f t="shared" si="6"/>
        <v>-0.18602498843128179</v>
      </c>
    </row>
    <row r="109" spans="1:14">
      <c r="A109" s="1">
        <v>38355</v>
      </c>
      <c r="B109">
        <v>5.2</v>
      </c>
      <c r="C109">
        <v>42.57</v>
      </c>
      <c r="D109">
        <v>65.47</v>
      </c>
      <c r="E109">
        <v>19.399999999999999</v>
      </c>
      <c r="F109">
        <v>28.96</v>
      </c>
      <c r="G109">
        <v>43.22</v>
      </c>
      <c r="I109">
        <f t="shared" si="6"/>
        <v>0.19266055045871555</v>
      </c>
      <c r="J109">
        <f t="shared" si="6"/>
        <v>-7.9235609415053906E-3</v>
      </c>
      <c r="K109">
        <f t="shared" si="6"/>
        <v>2.7947872507458019E-2</v>
      </c>
      <c r="L109">
        <f t="shared" ref="L109:N120" si="7">(E109-E110)/E110</f>
        <v>-1.5728056823947349E-2</v>
      </c>
      <c r="M109">
        <f t="shared" si="7"/>
        <v>-3.4666666666666637E-2</v>
      </c>
      <c r="N109">
        <f t="shared" si="7"/>
        <v>-2.4158952359449093E-2</v>
      </c>
    </row>
    <row r="110" spans="1:14">
      <c r="A110" s="1">
        <v>38322</v>
      </c>
      <c r="B110">
        <v>4.3600000000000003</v>
      </c>
      <c r="C110">
        <v>42.91</v>
      </c>
      <c r="D110">
        <v>63.69</v>
      </c>
      <c r="E110">
        <v>19.71</v>
      </c>
      <c r="F110">
        <v>30</v>
      </c>
      <c r="G110">
        <v>44.29</v>
      </c>
      <c r="I110">
        <f t="shared" ref="I110:K120" si="8">(B110-B111)/B111</f>
        <v>-3.9647577092510954E-2</v>
      </c>
      <c r="J110">
        <f t="shared" si="8"/>
        <v>1.7065655368570725E-2</v>
      </c>
      <c r="K110">
        <f t="shared" si="8"/>
        <v>3.1083050024283545E-2</v>
      </c>
      <c r="L110">
        <f t="shared" si="7"/>
        <v>3.9556962025316451E-2</v>
      </c>
      <c r="M110">
        <f t="shared" si="7"/>
        <v>3.5911602209944722E-2</v>
      </c>
      <c r="N110">
        <f t="shared" si="7"/>
        <v>0.11617943548387095</v>
      </c>
    </row>
    <row r="111" spans="1:14">
      <c r="A111" s="1">
        <v>38292</v>
      </c>
      <c r="B111">
        <v>4.54</v>
      </c>
      <c r="C111">
        <v>42.19</v>
      </c>
      <c r="D111">
        <v>61.77</v>
      </c>
      <c r="E111">
        <v>18.96</v>
      </c>
      <c r="F111">
        <v>28.96</v>
      </c>
      <c r="G111">
        <v>39.68</v>
      </c>
      <c r="I111">
        <f t="shared" si="8"/>
        <v>0.2824858757062147</v>
      </c>
      <c r="J111">
        <f t="shared" si="8"/>
        <v>-3.4332799267566952E-2</v>
      </c>
      <c r="K111">
        <f t="shared" si="8"/>
        <v>3.0702486233939653E-2</v>
      </c>
      <c r="L111">
        <f t="shared" si="7"/>
        <v>4.3478260869565168E-2</v>
      </c>
      <c r="M111">
        <f t="shared" si="7"/>
        <v>-2.4587403166049189E-2</v>
      </c>
      <c r="N111">
        <f t="shared" si="7"/>
        <v>0.16261353647817159</v>
      </c>
    </row>
    <row r="112" spans="1:14">
      <c r="A112" s="1">
        <v>38261</v>
      </c>
      <c r="B112">
        <v>3.54</v>
      </c>
      <c r="C112">
        <v>43.69</v>
      </c>
      <c r="D112">
        <v>59.93</v>
      </c>
      <c r="E112">
        <v>18.170000000000002</v>
      </c>
      <c r="F112">
        <v>29.69</v>
      </c>
      <c r="G112">
        <v>34.130000000000003</v>
      </c>
      <c r="I112">
        <f t="shared" si="8"/>
        <v>0.35114503816793891</v>
      </c>
      <c r="J112">
        <f t="shared" si="8"/>
        <v>1.3453954998840136E-2</v>
      </c>
      <c r="K112">
        <f t="shared" si="8"/>
        <v>-3.0101958245670812E-2</v>
      </c>
      <c r="L112">
        <f t="shared" si="7"/>
        <v>7.2609208972845354E-2</v>
      </c>
      <c r="M112">
        <f t="shared" si="7"/>
        <v>-2.0132013201320114E-2</v>
      </c>
      <c r="N112">
        <f t="shared" si="7"/>
        <v>-0.16470876162506112</v>
      </c>
    </row>
    <row r="113" spans="1:14">
      <c r="A113" s="1">
        <v>38231</v>
      </c>
      <c r="B113">
        <v>2.62</v>
      </c>
      <c r="C113">
        <v>43.11</v>
      </c>
      <c r="D113">
        <v>61.79</v>
      </c>
      <c r="E113">
        <v>16.940000000000001</v>
      </c>
      <c r="F113">
        <v>30.3</v>
      </c>
      <c r="G113">
        <v>40.86</v>
      </c>
      <c r="I113">
        <f t="shared" si="8"/>
        <v>0.12446351931330474</v>
      </c>
      <c r="J113">
        <f t="shared" si="8"/>
        <v>1.0074976569821923E-2</v>
      </c>
      <c r="K113">
        <f t="shared" si="8"/>
        <v>-2.891717743202897E-2</v>
      </c>
      <c r="L113">
        <f t="shared" si="7"/>
        <v>2.3564954682779488E-2</v>
      </c>
      <c r="M113">
        <f t="shared" si="7"/>
        <v>3.643590592911541E-3</v>
      </c>
      <c r="N113">
        <f t="shared" si="7"/>
        <v>7.1316203460933369E-2</v>
      </c>
    </row>
    <row r="114" spans="1:14">
      <c r="A114" s="1">
        <v>38201</v>
      </c>
      <c r="B114">
        <v>2.33</v>
      </c>
      <c r="C114">
        <v>42.68</v>
      </c>
      <c r="D114">
        <v>63.63</v>
      </c>
      <c r="E114">
        <v>16.55</v>
      </c>
      <c r="F114">
        <v>30.19</v>
      </c>
      <c r="G114">
        <v>38.14</v>
      </c>
      <c r="I114">
        <f t="shared" si="8"/>
        <v>6.3926940639269458E-2</v>
      </c>
      <c r="J114">
        <f t="shared" si="8"/>
        <v>-3.9673278879813695E-3</v>
      </c>
      <c r="K114">
        <f t="shared" si="8"/>
        <v>4.5784654246921238E-3</v>
      </c>
      <c r="L114">
        <f t="shared" si="7"/>
        <v>3.4375000000000044E-2</v>
      </c>
      <c r="M114">
        <f t="shared" si="7"/>
        <v>6.0414471373375571E-2</v>
      </c>
      <c r="N114">
        <f t="shared" si="7"/>
        <v>-2.0041109969167553E-2</v>
      </c>
    </row>
    <row r="115" spans="1:14">
      <c r="A115" s="1">
        <v>38169</v>
      </c>
      <c r="B115">
        <v>2.19</v>
      </c>
      <c r="C115">
        <v>42.85</v>
      </c>
      <c r="D115">
        <v>63.34</v>
      </c>
      <c r="E115">
        <v>16</v>
      </c>
      <c r="F115">
        <v>28.47</v>
      </c>
      <c r="G115">
        <v>38.92</v>
      </c>
      <c r="I115">
        <f t="shared" si="8"/>
        <v>-4.5454545454546502E-3</v>
      </c>
      <c r="J115">
        <f t="shared" si="8"/>
        <v>9.6606974552310015E-3</v>
      </c>
      <c r="K115">
        <f t="shared" si="8"/>
        <v>-8.5078723096923298E-2</v>
      </c>
      <c r="L115">
        <f t="shared" si="7"/>
        <v>3.4259857789269509E-2</v>
      </c>
      <c r="M115">
        <f t="shared" si="7"/>
        <v>-2.8659160696008185E-2</v>
      </c>
      <c r="N115">
        <f t="shared" si="7"/>
        <v>-0.2845588235294117</v>
      </c>
    </row>
    <row r="116" spans="1:14">
      <c r="A116" s="1">
        <v>38139</v>
      </c>
      <c r="B116">
        <v>2.2000000000000002</v>
      </c>
      <c r="C116">
        <v>42.44</v>
      </c>
      <c r="D116">
        <v>69.23</v>
      </c>
      <c r="E116">
        <v>15.47</v>
      </c>
      <c r="F116">
        <v>29.31</v>
      </c>
      <c r="G116">
        <v>54.4</v>
      </c>
      <c r="I116">
        <f t="shared" si="8"/>
        <v>0.15789473684210542</v>
      </c>
      <c r="J116">
        <f t="shared" si="8"/>
        <v>-5.7935627081021082E-2</v>
      </c>
      <c r="K116">
        <f t="shared" si="8"/>
        <v>6.442189421894215E-2</v>
      </c>
      <c r="L116">
        <f t="shared" si="7"/>
        <v>-7.0603337612323127E-3</v>
      </c>
      <c r="M116">
        <f t="shared" si="7"/>
        <v>5.2423698384200974E-2</v>
      </c>
      <c r="N116">
        <f t="shared" si="7"/>
        <v>0.12164948453608244</v>
      </c>
    </row>
    <row r="117" spans="1:14">
      <c r="A117" s="1">
        <v>38110</v>
      </c>
      <c r="B117">
        <v>1.9</v>
      </c>
      <c r="C117">
        <v>45.05</v>
      </c>
      <c r="D117">
        <v>65.040000000000006</v>
      </c>
      <c r="E117">
        <v>15.58</v>
      </c>
      <c r="F117">
        <v>27.85</v>
      </c>
      <c r="G117">
        <v>48.5</v>
      </c>
      <c r="I117">
        <f t="shared" si="8"/>
        <v>9.1954022988505704E-2</v>
      </c>
      <c r="J117">
        <f t="shared" si="8"/>
        <v>-2.0013051990428576E-2</v>
      </c>
      <c r="K117">
        <f t="shared" si="8"/>
        <v>-1.7819389912413056E-2</v>
      </c>
      <c r="L117">
        <f t="shared" si="7"/>
        <v>-3.3498759305210971E-2</v>
      </c>
      <c r="M117">
        <f t="shared" si="7"/>
        <v>-2.0056298381421544E-2</v>
      </c>
      <c r="N117">
        <f t="shared" si="7"/>
        <v>0.1123853211009174</v>
      </c>
    </row>
    <row r="118" spans="1:14">
      <c r="A118" s="1">
        <v>38078</v>
      </c>
      <c r="B118">
        <v>1.74</v>
      </c>
      <c r="C118">
        <v>45.97</v>
      </c>
      <c r="D118">
        <v>66.22</v>
      </c>
      <c r="E118">
        <v>16.12</v>
      </c>
      <c r="F118">
        <v>28.42</v>
      </c>
      <c r="G118">
        <v>43.6</v>
      </c>
      <c r="I118">
        <f t="shared" si="8"/>
        <v>-4.91803278688525E-2</v>
      </c>
      <c r="J118">
        <f t="shared" si="8"/>
        <v>-4.5076859160781087E-2</v>
      </c>
      <c r="K118">
        <f t="shared" si="8"/>
        <v>5.6308821183601872E-2</v>
      </c>
      <c r="L118">
        <f t="shared" si="7"/>
        <v>2.0899303356554901E-2</v>
      </c>
      <c r="M118">
        <f t="shared" si="7"/>
        <v>-9.6630642085187513E-2</v>
      </c>
      <c r="N118">
        <f t="shared" si="7"/>
        <v>7.3937153419593405E-3</v>
      </c>
    </row>
    <row r="119" spans="1:14">
      <c r="A119" s="1">
        <v>38047</v>
      </c>
      <c r="B119">
        <v>1.83</v>
      </c>
      <c r="C119">
        <v>48.14</v>
      </c>
      <c r="D119">
        <v>62.69</v>
      </c>
      <c r="E119">
        <v>15.79</v>
      </c>
      <c r="F119">
        <v>31.46</v>
      </c>
      <c r="G119">
        <v>43.28</v>
      </c>
      <c r="I119">
        <f t="shared" si="8"/>
        <v>0.12962962962962959</v>
      </c>
      <c r="J119">
        <f t="shared" si="8"/>
        <v>4.3813895263926737E-3</v>
      </c>
      <c r="K119">
        <f t="shared" si="8"/>
        <v>4.9205020920502052E-2</v>
      </c>
      <c r="L119">
        <f t="shared" si="7"/>
        <v>2.5990903183885548E-2</v>
      </c>
      <c r="M119">
        <f t="shared" si="7"/>
        <v>2.2756827048114409E-2</v>
      </c>
      <c r="N119">
        <f t="shared" si="7"/>
        <v>6.2776098581725911E-3</v>
      </c>
    </row>
    <row r="120" spans="1:14">
      <c r="A120" s="1">
        <v>38019</v>
      </c>
      <c r="B120">
        <v>1.62</v>
      </c>
      <c r="C120">
        <v>47.93</v>
      </c>
      <c r="D120">
        <v>59.75</v>
      </c>
      <c r="E120">
        <v>15.39</v>
      </c>
      <c r="F120">
        <v>30.76</v>
      </c>
      <c r="G120">
        <v>43.01</v>
      </c>
      <c r="I120">
        <f t="shared" si="8"/>
        <v>5.8823529411764754E-2</v>
      </c>
      <c r="J120">
        <f t="shared" si="8"/>
        <v>0.10616201246249715</v>
      </c>
      <c r="K120">
        <f t="shared" si="8"/>
        <v>-8.9567092386797012E-3</v>
      </c>
      <c r="L120">
        <f t="shared" si="7"/>
        <v>9.2264017033357043E-2</v>
      </c>
      <c r="M120">
        <f t="shared" si="7"/>
        <v>5.4869684499314175E-2</v>
      </c>
      <c r="N120">
        <f t="shared" si="7"/>
        <v>-0.14662698412698413</v>
      </c>
    </row>
    <row r="121" spans="1:14">
      <c r="A121" s="1">
        <v>37988</v>
      </c>
      <c r="B121">
        <v>1.53</v>
      </c>
      <c r="C121">
        <v>43.33</v>
      </c>
      <c r="D121">
        <v>60.29</v>
      </c>
      <c r="E121">
        <v>14.09</v>
      </c>
      <c r="F121">
        <v>29.16</v>
      </c>
      <c r="G121">
        <v>50.4</v>
      </c>
    </row>
  </sheetData>
  <mergeCells count="24">
    <mergeCell ref="X16:Y16"/>
    <mergeCell ref="X11:Y11"/>
    <mergeCell ref="X12:Y12"/>
    <mergeCell ref="X13:Y13"/>
    <mergeCell ref="X14:Y14"/>
    <mergeCell ref="X15:Y15"/>
    <mergeCell ref="X26:Y26"/>
    <mergeCell ref="X27:Y27"/>
    <mergeCell ref="P29:Q29"/>
    <mergeCell ref="Z29:AA29"/>
    <mergeCell ref="X17:Y17"/>
    <mergeCell ref="Z30:AA30"/>
    <mergeCell ref="P31:Q31"/>
    <mergeCell ref="Z31:AA31"/>
    <mergeCell ref="P38:Q38"/>
    <mergeCell ref="P39:Q39"/>
    <mergeCell ref="P40:Q40"/>
    <mergeCell ref="S20:U20"/>
    <mergeCell ref="Q9:S9"/>
    <mergeCell ref="U21:V21"/>
    <mergeCell ref="U22:V22"/>
    <mergeCell ref="U23:V23"/>
    <mergeCell ref="P30:Q30"/>
    <mergeCell ref="Q26:R2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K13" workbookViewId="0">
      <selection activeCell="C14" sqref="C14"/>
    </sheetView>
  </sheetViews>
  <sheetFormatPr defaultRowHeight="15"/>
  <cols>
    <col min="1" max="1" width="18.42578125" customWidth="1"/>
    <col min="3" max="3" width="10.140625" customWidth="1"/>
    <col min="4" max="4" width="10.5703125" customWidth="1"/>
    <col min="6" max="6" width="16.85546875" customWidth="1"/>
    <col min="7" max="7" width="9.5703125" bestFit="1" customWidth="1"/>
    <col min="10" max="10" width="16.28515625" customWidth="1"/>
  </cols>
  <sheetData>
    <row r="1" spans="1:12">
      <c r="B1" t="s">
        <v>23</v>
      </c>
      <c r="C1" t="s">
        <v>24</v>
      </c>
    </row>
    <row r="2" spans="1:12">
      <c r="A2" t="s">
        <v>6</v>
      </c>
      <c r="B2">
        <v>0.03</v>
      </c>
      <c r="C2">
        <v>0.02</v>
      </c>
    </row>
    <row r="3" spans="1:12">
      <c r="A3" t="s">
        <v>8</v>
      </c>
      <c r="B3">
        <v>0.25</v>
      </c>
      <c r="C3">
        <v>0.15</v>
      </c>
    </row>
    <row r="4" spans="1:12">
      <c r="A4" t="s">
        <v>9</v>
      </c>
      <c r="B4">
        <f>B3^2</f>
        <v>6.25E-2</v>
      </c>
      <c r="C4">
        <f>C3^2</f>
        <v>2.2499999999999999E-2</v>
      </c>
    </row>
    <row r="5" spans="1:12" ht="22.5">
      <c r="A5" s="19" t="s">
        <v>10</v>
      </c>
      <c r="B5" s="21">
        <v>0.54</v>
      </c>
      <c r="F5" s="19" t="s">
        <v>10</v>
      </c>
      <c r="G5" s="22">
        <f>-1</f>
        <v>-1</v>
      </c>
      <c r="J5" s="19" t="s">
        <v>10</v>
      </c>
      <c r="K5" s="22">
        <f>1</f>
        <v>1</v>
      </c>
    </row>
    <row r="8" spans="1:12">
      <c r="A8" t="s">
        <v>7</v>
      </c>
      <c r="B8" s="20">
        <f>50%</f>
        <v>0.5</v>
      </c>
      <c r="C8" s="20">
        <f>1-B8</f>
        <v>0.5</v>
      </c>
    </row>
    <row r="10" spans="1:12">
      <c r="A10" t="s">
        <v>12</v>
      </c>
      <c r="B10" s="3">
        <f>$B$8*$B$2+$C$8*$C$2</f>
        <v>2.5000000000000001E-2</v>
      </c>
    </row>
    <row r="11" spans="1:12">
      <c r="A11" t="s">
        <v>13</v>
      </c>
      <c r="B11" s="3">
        <f>$B$8^2*$B$4+$C$8^2*$C$4+2*$B$8*$C$8*$B$3*$C$3*B5</f>
        <v>3.1375E-2</v>
      </c>
    </row>
    <row r="13" spans="1:12">
      <c r="B13" t="s">
        <v>23</v>
      </c>
      <c r="C13" t="s">
        <v>15</v>
      </c>
      <c r="D13" t="s">
        <v>16</v>
      </c>
      <c r="G13" t="s">
        <v>15</v>
      </c>
      <c r="H13" t="s">
        <v>16</v>
      </c>
      <c r="K13" t="s">
        <v>15</v>
      </c>
      <c r="L13" t="s">
        <v>16</v>
      </c>
    </row>
    <row r="14" spans="1:12">
      <c r="A14" t="s">
        <v>25</v>
      </c>
      <c r="B14" s="2">
        <f>0%</f>
        <v>0</v>
      </c>
      <c r="C14">
        <f>SQRT($B14^2*$B$4+(1-$B14)^2*$C$4+2*$B14*(1-$B14)*$B$3*$C$3*$B$5)</f>
        <v>0.15</v>
      </c>
      <c r="D14" s="15">
        <f>$B14*$B$2+(1-$B14)*$C$2</f>
        <v>0.02</v>
      </c>
      <c r="G14" s="3">
        <f>ABS($B14*$B$3-(1-$B14)*$C$3)</f>
        <v>0.15</v>
      </c>
      <c r="H14" s="15">
        <f>$B14*$B$2+(1-$B14)*$C$2</f>
        <v>0.02</v>
      </c>
      <c r="K14" s="15">
        <f>$B14*$B$3+(1-$B14)*$C$3</f>
        <v>0.15</v>
      </c>
      <c r="L14" s="15">
        <f>$B14*$B$2+(1-$B14)*$C$2</f>
        <v>0.02</v>
      </c>
    </row>
    <row r="15" spans="1:12">
      <c r="B15" s="15">
        <f>B14+2%</f>
        <v>0.02</v>
      </c>
      <c r="C15">
        <f t="shared" ref="C15:C64" si="0">SQRT($B15^2*$B$4+(1-$B15)^2*$C$4+2*$B15*(1-$B15)*$B$3*$C$3*$B$5)</f>
        <v>0.14975913995479539</v>
      </c>
      <c r="D15" s="15">
        <f t="shared" ref="D15:D64" si="1">$B15*$B$2+(1-$B15)*$C$2</f>
        <v>2.0199999999999999E-2</v>
      </c>
      <c r="G15" s="3">
        <f t="shared" ref="G15:G64" si="2">ABS($B15*$B$3-(1-$B15)*$C$3)</f>
        <v>0.14199999999999999</v>
      </c>
      <c r="H15" s="15">
        <f t="shared" ref="H15:H64" si="3">$B15*$B$2+(1-$B15)*$C$2</f>
        <v>2.0199999999999999E-2</v>
      </c>
      <c r="K15" s="15">
        <f t="shared" ref="K15:K64" si="4">$B15*$B$3+(1-$B15)*$C$3</f>
        <v>0.152</v>
      </c>
      <c r="L15" s="15">
        <f t="shared" ref="L15:L64" si="5">$B15*$B$2+(1-$B15)*$C$2</f>
        <v>2.0199999999999999E-2</v>
      </c>
    </row>
    <row r="16" spans="1:12">
      <c r="B16" s="15">
        <f t="shared" ref="B16:B64" si="6">B15+2%</f>
        <v>0.04</v>
      </c>
      <c r="C16">
        <f t="shared" si="0"/>
        <v>0.14963689384640405</v>
      </c>
      <c r="D16" s="15">
        <f t="shared" si="1"/>
        <v>2.0399999999999998E-2</v>
      </c>
      <c r="G16" s="3">
        <f t="shared" si="2"/>
        <v>0.13399999999999998</v>
      </c>
      <c r="H16" s="15">
        <f t="shared" si="3"/>
        <v>2.0399999999999998E-2</v>
      </c>
      <c r="K16" s="15">
        <f t="shared" si="4"/>
        <v>0.154</v>
      </c>
      <c r="L16" s="15">
        <f t="shared" si="5"/>
        <v>2.0399999999999998E-2</v>
      </c>
    </row>
    <row r="17" spans="2:13">
      <c r="B17" s="15">
        <f t="shared" si="6"/>
        <v>0.06</v>
      </c>
      <c r="C17">
        <f t="shared" si="0"/>
        <v>0.14963355238715681</v>
      </c>
      <c r="D17" s="15">
        <f t="shared" si="1"/>
        <v>2.06E-2</v>
      </c>
      <c r="G17" s="3">
        <f t="shared" si="2"/>
        <v>0.126</v>
      </c>
      <c r="H17" s="15">
        <f t="shared" si="3"/>
        <v>2.06E-2</v>
      </c>
      <c r="K17" s="15">
        <f t="shared" si="4"/>
        <v>0.15599999999999997</v>
      </c>
      <c r="L17" s="15">
        <f t="shared" si="5"/>
        <v>2.06E-2</v>
      </c>
    </row>
    <row r="18" spans="2:13">
      <c r="B18" s="15">
        <f t="shared" si="6"/>
        <v>0.08</v>
      </c>
      <c r="C18">
        <f t="shared" si="0"/>
        <v>0.14974912353666717</v>
      </c>
      <c r="D18" s="15">
        <f t="shared" si="1"/>
        <v>2.0799999999999999E-2</v>
      </c>
      <c r="G18" s="3">
        <f t="shared" si="2"/>
        <v>0.11800000000000001</v>
      </c>
      <c r="H18" s="15">
        <f t="shared" si="3"/>
        <v>2.0799999999999999E-2</v>
      </c>
      <c r="K18" s="15">
        <f t="shared" si="4"/>
        <v>0.158</v>
      </c>
      <c r="L18" s="15">
        <f t="shared" si="5"/>
        <v>2.0799999999999999E-2</v>
      </c>
    </row>
    <row r="19" spans="2:13">
      <c r="B19" s="15">
        <f t="shared" si="6"/>
        <v>0.1</v>
      </c>
      <c r="C19">
        <f t="shared" si="0"/>
        <v>0.14998333240730452</v>
      </c>
      <c r="D19" s="15">
        <f t="shared" si="1"/>
        <v>2.1000000000000001E-2</v>
      </c>
      <c r="G19" s="3">
        <f t="shared" si="2"/>
        <v>0.11000000000000001</v>
      </c>
      <c r="H19" s="15">
        <f t="shared" si="3"/>
        <v>2.1000000000000001E-2</v>
      </c>
      <c r="K19" s="15">
        <f t="shared" si="4"/>
        <v>0.16</v>
      </c>
      <c r="L19" s="15">
        <f t="shared" si="5"/>
        <v>2.1000000000000001E-2</v>
      </c>
    </row>
    <row r="20" spans="2:13">
      <c r="B20" s="15">
        <f t="shared" si="6"/>
        <v>0.12000000000000001</v>
      </c>
      <c r="C20">
        <f t="shared" si="0"/>
        <v>0.15033562452060389</v>
      </c>
      <c r="D20" s="15">
        <f t="shared" si="1"/>
        <v>2.12E-2</v>
      </c>
      <c r="G20" s="3">
        <f t="shared" si="2"/>
        <v>0.10200000000000001</v>
      </c>
      <c r="H20" s="15">
        <f t="shared" si="3"/>
        <v>2.12E-2</v>
      </c>
      <c r="K20" s="15">
        <f t="shared" si="4"/>
        <v>0.16200000000000001</v>
      </c>
      <c r="L20" s="15">
        <f t="shared" si="5"/>
        <v>2.12E-2</v>
      </c>
    </row>
    <row r="21" spans="2:13">
      <c r="B21" s="15">
        <f t="shared" si="6"/>
        <v>0.14000000000000001</v>
      </c>
      <c r="C21">
        <f t="shared" si="0"/>
        <v>0.15080517232508969</v>
      </c>
      <c r="D21" s="15">
        <f t="shared" si="1"/>
        <v>2.1400000000000002E-2</v>
      </c>
      <c r="G21" s="3">
        <f t="shared" si="2"/>
        <v>9.4E-2</v>
      </c>
      <c r="H21" s="15">
        <f t="shared" si="3"/>
        <v>2.1400000000000002E-2</v>
      </c>
      <c r="K21" s="15">
        <f t="shared" si="4"/>
        <v>0.16400000000000001</v>
      </c>
      <c r="L21" s="15">
        <f t="shared" si="5"/>
        <v>2.1400000000000002E-2</v>
      </c>
      <c r="M21" t="s">
        <v>26</v>
      </c>
    </row>
    <row r="22" spans="2:13">
      <c r="B22" s="15">
        <f t="shared" si="6"/>
        <v>0.16</v>
      </c>
      <c r="C22">
        <f>SQRT($B22^2*$B$4+(1-$B22)^2*$C$4+2*$B22*(1-$B22)*$B$3*$C$3*$B$5)</f>
        <v>0.15139088479825988</v>
      </c>
      <c r="D22" s="15">
        <f t="shared" si="1"/>
        <v>2.1599999999999998E-2</v>
      </c>
      <c r="G22" s="3">
        <f t="shared" si="2"/>
        <v>8.5999999999999993E-2</v>
      </c>
      <c r="H22" s="15">
        <f t="shared" si="3"/>
        <v>2.1599999999999998E-2</v>
      </c>
      <c r="K22" s="15">
        <f t="shared" si="4"/>
        <v>0.16600000000000001</v>
      </c>
      <c r="L22" s="15">
        <f t="shared" si="5"/>
        <v>2.1599999999999998E-2</v>
      </c>
    </row>
    <row r="23" spans="2:13">
      <c r="B23" s="15">
        <f t="shared" si="6"/>
        <v>0.18</v>
      </c>
      <c r="C23">
        <f t="shared" si="0"/>
        <v>0.15209141987633623</v>
      </c>
      <c r="D23" s="15">
        <f t="shared" si="1"/>
        <v>2.18E-2</v>
      </c>
      <c r="G23" s="3">
        <f t="shared" si="2"/>
        <v>7.8E-2</v>
      </c>
      <c r="H23" s="15">
        <f t="shared" si="3"/>
        <v>2.18E-2</v>
      </c>
      <c r="K23" s="15">
        <f t="shared" si="4"/>
        <v>0.16799999999999998</v>
      </c>
      <c r="L23" s="15">
        <f t="shared" si="5"/>
        <v>2.18E-2</v>
      </c>
    </row>
    <row r="24" spans="2:13">
      <c r="B24" s="15">
        <f t="shared" si="6"/>
        <v>0.19999999999999998</v>
      </c>
      <c r="C24">
        <f t="shared" si="0"/>
        <v>0.15290519938837921</v>
      </c>
      <c r="D24" s="15">
        <f t="shared" si="1"/>
        <v>2.1999999999999999E-2</v>
      </c>
      <c r="G24" s="3">
        <f t="shared" si="2"/>
        <v>7.0000000000000007E-2</v>
      </c>
      <c r="H24" s="15">
        <f t="shared" si="3"/>
        <v>2.1999999999999999E-2</v>
      </c>
      <c r="K24" s="15">
        <f t="shared" si="4"/>
        <v>0.16999999999999998</v>
      </c>
      <c r="L24" s="15">
        <f t="shared" si="5"/>
        <v>2.1999999999999999E-2</v>
      </c>
    </row>
    <row r="25" spans="2:13">
      <c r="B25" s="15">
        <f t="shared" si="6"/>
        <v>0.21999999999999997</v>
      </c>
      <c r="C25">
        <f t="shared" si="0"/>
        <v>0.15383042611915237</v>
      </c>
      <c r="D25" s="15">
        <f t="shared" si="1"/>
        <v>2.2200000000000001E-2</v>
      </c>
      <c r="G25" s="3">
        <f t="shared" si="2"/>
        <v>6.2E-2</v>
      </c>
      <c r="H25" s="15">
        <f t="shared" si="3"/>
        <v>2.2200000000000001E-2</v>
      </c>
      <c r="K25" s="15">
        <f t="shared" si="4"/>
        <v>0.17199999999999999</v>
      </c>
      <c r="L25" s="15">
        <f t="shared" si="5"/>
        <v>2.2200000000000001E-2</v>
      </c>
    </row>
    <row r="26" spans="2:13">
      <c r="B26" s="15">
        <f t="shared" si="6"/>
        <v>0.23999999999999996</v>
      </c>
      <c r="C26">
        <f t="shared" si="0"/>
        <v>0.15486510258931804</v>
      </c>
      <c r="D26" s="15">
        <f t="shared" si="1"/>
        <v>2.24E-2</v>
      </c>
      <c r="G26" s="3">
        <f t="shared" si="2"/>
        <v>5.3999999999999999E-2</v>
      </c>
      <c r="H26" s="15">
        <f t="shared" si="3"/>
        <v>2.24E-2</v>
      </c>
      <c r="K26" s="15">
        <f t="shared" si="4"/>
        <v>0.17399999999999999</v>
      </c>
      <c r="L26" s="15">
        <f t="shared" si="5"/>
        <v>2.24E-2</v>
      </c>
    </row>
    <row r="27" spans="2:13">
      <c r="B27" s="15">
        <f t="shared" si="6"/>
        <v>0.25999999999999995</v>
      </c>
      <c r="C27">
        <f t="shared" si="0"/>
        <v>0.15600705112269764</v>
      </c>
      <c r="D27" s="15">
        <f t="shared" si="1"/>
        <v>2.2599999999999999E-2</v>
      </c>
      <c r="G27" s="3">
        <f t="shared" si="2"/>
        <v>4.6000000000000013E-2</v>
      </c>
      <c r="H27" s="15">
        <f t="shared" si="3"/>
        <v>2.2599999999999999E-2</v>
      </c>
      <c r="K27" s="15">
        <f t="shared" si="4"/>
        <v>0.17599999999999999</v>
      </c>
      <c r="L27" s="15">
        <f t="shared" si="5"/>
        <v>2.2599999999999999E-2</v>
      </c>
    </row>
    <row r="28" spans="2:13">
      <c r="B28" s="15">
        <f t="shared" si="6"/>
        <v>0.27999999999999997</v>
      </c>
      <c r="C28">
        <f t="shared" si="0"/>
        <v>0.1572539347679415</v>
      </c>
      <c r="D28" s="15">
        <f t="shared" si="1"/>
        <v>2.2800000000000001E-2</v>
      </c>
      <c r="G28" s="3">
        <f t="shared" si="2"/>
        <v>3.8000000000000006E-2</v>
      </c>
      <c r="H28" s="15">
        <f t="shared" si="3"/>
        <v>2.2800000000000001E-2</v>
      </c>
      <c r="K28" s="15">
        <f t="shared" si="4"/>
        <v>0.17799999999999999</v>
      </c>
      <c r="L28" s="15">
        <f t="shared" si="5"/>
        <v>2.2800000000000001E-2</v>
      </c>
    </row>
    <row r="29" spans="2:13">
      <c r="B29" s="15">
        <f t="shared" si="6"/>
        <v>0.3</v>
      </c>
      <c r="C29">
        <f t="shared" si="0"/>
        <v>0.15860327865463564</v>
      </c>
      <c r="D29" s="15">
        <f t="shared" si="1"/>
        <v>2.3E-2</v>
      </c>
      <c r="G29" s="3">
        <f t="shared" si="2"/>
        <v>0.03</v>
      </c>
      <c r="H29" s="15">
        <f t="shared" si="3"/>
        <v>2.3E-2</v>
      </c>
      <c r="K29" s="15">
        <f t="shared" si="4"/>
        <v>0.18</v>
      </c>
      <c r="L29" s="15">
        <f t="shared" si="5"/>
        <v>2.3E-2</v>
      </c>
    </row>
    <row r="30" spans="2:13">
      <c r="B30" s="15">
        <f t="shared" si="6"/>
        <v>0.32</v>
      </c>
      <c r="C30">
        <f t="shared" si="0"/>
        <v>0.16005249138954383</v>
      </c>
      <c r="D30" s="15">
        <f t="shared" si="1"/>
        <v>2.3199999999999998E-2</v>
      </c>
      <c r="G30" s="3">
        <f t="shared" si="2"/>
        <v>2.1999999999999992E-2</v>
      </c>
      <c r="H30" s="15">
        <f t="shared" si="3"/>
        <v>2.3199999999999998E-2</v>
      </c>
      <c r="K30" s="15">
        <f t="shared" si="4"/>
        <v>0.182</v>
      </c>
      <c r="L30" s="15">
        <f t="shared" si="5"/>
        <v>2.3199999999999998E-2</v>
      </c>
    </row>
    <row r="31" spans="2:13">
      <c r="B31" s="15">
        <f t="shared" si="6"/>
        <v>0.34</v>
      </c>
      <c r="C31">
        <f t="shared" si="0"/>
        <v>0.16159888613477508</v>
      </c>
      <c r="D31" s="15">
        <f t="shared" si="1"/>
        <v>2.3399999999999997E-2</v>
      </c>
      <c r="G31" s="3">
        <f t="shared" si="2"/>
        <v>1.3999999999999985E-2</v>
      </c>
      <c r="H31" s="15">
        <f t="shared" si="3"/>
        <v>2.3399999999999997E-2</v>
      </c>
      <c r="K31" s="15">
        <f t="shared" si="4"/>
        <v>0.184</v>
      </c>
      <c r="L31" s="15">
        <f t="shared" si="5"/>
        <v>2.3399999999999997E-2</v>
      </c>
    </row>
    <row r="32" spans="2:13">
      <c r="B32" s="15">
        <f t="shared" si="6"/>
        <v>0.36000000000000004</v>
      </c>
      <c r="C32">
        <f t="shared" si="0"/>
        <v>0.16323970105338959</v>
      </c>
      <c r="D32" s="15">
        <f t="shared" si="1"/>
        <v>2.3599999999999999E-2</v>
      </c>
      <c r="G32" s="3">
        <f t="shared" si="2"/>
        <v>5.9999999999999776E-3</v>
      </c>
      <c r="H32" s="15">
        <f t="shared" si="3"/>
        <v>2.3599999999999999E-2</v>
      </c>
      <c r="K32" s="15">
        <f t="shared" si="4"/>
        <v>0.186</v>
      </c>
      <c r="L32" s="15">
        <f t="shared" si="5"/>
        <v>2.3599999999999999E-2</v>
      </c>
    </row>
    <row r="33" spans="2:12">
      <c r="B33" s="15">
        <f t="shared" si="6"/>
        <v>0.38000000000000006</v>
      </c>
      <c r="C33">
        <f t="shared" si="0"/>
        <v>0.16497211885649041</v>
      </c>
      <c r="D33" s="15">
        <f t="shared" si="1"/>
        <v>2.3800000000000002E-2</v>
      </c>
      <c r="G33" s="3">
        <f t="shared" si="2"/>
        <v>2.0000000000000295E-3</v>
      </c>
      <c r="H33" s="15">
        <f t="shared" si="3"/>
        <v>2.3800000000000002E-2</v>
      </c>
      <c r="K33" s="15">
        <f t="shared" si="4"/>
        <v>0.188</v>
      </c>
      <c r="L33" s="15">
        <f t="shared" si="5"/>
        <v>2.3800000000000002E-2</v>
      </c>
    </row>
    <row r="34" spans="2:12">
      <c r="B34" s="15">
        <f t="shared" si="6"/>
        <v>0.40000000000000008</v>
      </c>
      <c r="C34">
        <f t="shared" si="0"/>
        <v>0.1667932852365466</v>
      </c>
      <c r="D34" s="15">
        <f t="shared" si="1"/>
        <v>2.4E-2</v>
      </c>
      <c r="G34" s="3">
        <f t="shared" si="2"/>
        <v>1.0000000000000037E-2</v>
      </c>
      <c r="H34" s="15">
        <f t="shared" si="3"/>
        <v>2.4E-2</v>
      </c>
      <c r="K34" s="15">
        <f t="shared" si="4"/>
        <v>0.19</v>
      </c>
      <c r="L34" s="15">
        <f t="shared" si="5"/>
        <v>2.4E-2</v>
      </c>
    </row>
    <row r="35" spans="2:12">
      <c r="B35" s="15">
        <f t="shared" si="6"/>
        <v>0.4200000000000001</v>
      </c>
      <c r="C35">
        <f t="shared" si="0"/>
        <v>0.16870032602221016</v>
      </c>
      <c r="D35" s="15">
        <f t="shared" si="1"/>
        <v>2.4199999999999999E-2</v>
      </c>
      <c r="G35" s="3">
        <f t="shared" si="2"/>
        <v>1.8000000000000044E-2</v>
      </c>
      <c r="H35" s="15">
        <f t="shared" si="3"/>
        <v>2.4199999999999999E-2</v>
      </c>
      <c r="K35" s="15">
        <f t="shared" si="4"/>
        <v>0.192</v>
      </c>
      <c r="L35" s="15">
        <f t="shared" si="5"/>
        <v>2.4199999999999999E-2</v>
      </c>
    </row>
    <row r="36" spans="2:12">
      <c r="B36" s="15">
        <f t="shared" si="6"/>
        <v>0.44000000000000011</v>
      </c>
      <c r="C36">
        <f t="shared" si="0"/>
        <v>0.17069036293827486</v>
      </c>
      <c r="D36" s="15">
        <f t="shared" si="1"/>
        <v>2.4399999999999998E-2</v>
      </c>
      <c r="G36" s="3">
        <f t="shared" si="2"/>
        <v>2.6000000000000051E-2</v>
      </c>
      <c r="H36" s="15">
        <f t="shared" si="3"/>
        <v>2.4399999999999998E-2</v>
      </c>
      <c r="K36" s="15">
        <f t="shared" si="4"/>
        <v>0.19400000000000001</v>
      </c>
      <c r="L36" s="15">
        <f t="shared" si="5"/>
        <v>2.4399999999999998E-2</v>
      </c>
    </row>
    <row r="37" spans="2:12">
      <c r="B37" s="15">
        <f t="shared" si="6"/>
        <v>0.46000000000000013</v>
      </c>
      <c r="C37">
        <f t="shared" si="0"/>
        <v>0.17276052789917032</v>
      </c>
      <c r="D37" s="15">
        <f t="shared" si="1"/>
        <v>2.46E-2</v>
      </c>
      <c r="G37" s="3">
        <f t="shared" si="2"/>
        <v>3.4000000000000058E-2</v>
      </c>
      <c r="H37" s="15">
        <f t="shared" si="3"/>
        <v>2.46E-2</v>
      </c>
      <c r="K37" s="15">
        <f t="shared" si="4"/>
        <v>0.19600000000000001</v>
      </c>
      <c r="L37" s="15">
        <f t="shared" si="5"/>
        <v>2.46E-2</v>
      </c>
    </row>
    <row r="38" spans="2:12">
      <c r="B38" s="15">
        <f t="shared" si="6"/>
        <v>0.48000000000000015</v>
      </c>
      <c r="C38">
        <f t="shared" si="0"/>
        <v>0.17490797580442125</v>
      </c>
      <c r="D38" s="15">
        <f t="shared" si="1"/>
        <v>2.4799999999999999E-2</v>
      </c>
      <c r="G38" s="3">
        <f t="shared" si="2"/>
        <v>4.2000000000000065E-2</v>
      </c>
      <c r="H38" s="15">
        <f t="shared" si="3"/>
        <v>2.4799999999999999E-2</v>
      </c>
      <c r="K38" s="15">
        <f t="shared" si="4"/>
        <v>0.19800000000000001</v>
      </c>
      <c r="L38" s="15">
        <f t="shared" si="5"/>
        <v>2.4799999999999999E-2</v>
      </c>
    </row>
    <row r="39" spans="2:12">
      <c r="B39" s="15">
        <f t="shared" si="6"/>
        <v>0.50000000000000011</v>
      </c>
      <c r="C39">
        <f t="shared" si="0"/>
        <v>0.17712989583918354</v>
      </c>
      <c r="D39" s="15">
        <f t="shared" si="1"/>
        <v>2.5000000000000001E-2</v>
      </c>
      <c r="G39" s="3">
        <f t="shared" si="2"/>
        <v>5.0000000000000044E-2</v>
      </c>
      <c r="H39" s="15">
        <f t="shared" si="3"/>
        <v>2.5000000000000001E-2</v>
      </c>
      <c r="K39" s="15">
        <f t="shared" si="4"/>
        <v>0.2</v>
      </c>
      <c r="L39" s="15">
        <f t="shared" si="5"/>
        <v>2.5000000000000001E-2</v>
      </c>
    </row>
    <row r="40" spans="2:12">
      <c r="B40" s="15">
        <f t="shared" si="6"/>
        <v>0.52000000000000013</v>
      </c>
      <c r="C40">
        <f t="shared" si="0"/>
        <v>0.17942352131200637</v>
      </c>
      <c r="D40" s="15">
        <f t="shared" si="1"/>
        <v>2.52E-2</v>
      </c>
      <c r="G40" s="3">
        <f t="shared" si="2"/>
        <v>5.8000000000000052E-2</v>
      </c>
      <c r="H40" s="15">
        <f t="shared" si="3"/>
        <v>2.52E-2</v>
      </c>
      <c r="K40" s="15">
        <f t="shared" si="4"/>
        <v>0.20200000000000001</v>
      </c>
      <c r="L40" s="15">
        <f t="shared" si="5"/>
        <v>2.52E-2</v>
      </c>
    </row>
    <row r="41" spans="2:12">
      <c r="B41" s="15">
        <f t="shared" si="6"/>
        <v>0.54000000000000015</v>
      </c>
      <c r="C41">
        <f t="shared" si="0"/>
        <v>0.18178613808538868</v>
      </c>
      <c r="D41" s="15">
        <f t="shared" si="1"/>
        <v>2.5399999999999999E-2</v>
      </c>
      <c r="G41" s="3">
        <f t="shared" si="2"/>
        <v>6.6000000000000059E-2</v>
      </c>
      <c r="H41" s="15">
        <f t="shared" si="3"/>
        <v>2.5399999999999999E-2</v>
      </c>
      <c r="K41" s="15">
        <f t="shared" si="4"/>
        <v>0.20400000000000001</v>
      </c>
      <c r="L41" s="15">
        <f t="shared" si="5"/>
        <v>2.5399999999999999E-2</v>
      </c>
    </row>
    <row r="42" spans="2:12">
      <c r="B42" s="15">
        <f t="shared" si="6"/>
        <v>0.56000000000000016</v>
      </c>
      <c r="C42">
        <f t="shared" si="0"/>
        <v>0.18421509167275088</v>
      </c>
      <c r="D42" s="15">
        <f t="shared" si="1"/>
        <v>2.5600000000000005E-2</v>
      </c>
      <c r="G42" s="3">
        <f t="shared" si="2"/>
        <v>7.4000000000000066E-2</v>
      </c>
      <c r="H42" s="15">
        <f t="shared" si="3"/>
        <v>2.5600000000000005E-2</v>
      </c>
      <c r="K42" s="15">
        <f t="shared" si="4"/>
        <v>0.20600000000000002</v>
      </c>
      <c r="L42" s="15">
        <f t="shared" si="5"/>
        <v>2.5600000000000005E-2</v>
      </c>
    </row>
    <row r="43" spans="2:12">
      <c r="B43" s="15">
        <f t="shared" si="6"/>
        <v>0.58000000000000018</v>
      </c>
      <c r="C43">
        <f t="shared" si="0"/>
        <v>0.18670779308855859</v>
      </c>
      <c r="D43" s="15">
        <f t="shared" si="1"/>
        <v>2.5800000000000003E-2</v>
      </c>
      <c r="G43" s="3">
        <f t="shared" si="2"/>
        <v>8.2000000000000073E-2</v>
      </c>
      <c r="H43" s="15">
        <f t="shared" si="3"/>
        <v>2.5800000000000003E-2</v>
      </c>
      <c r="K43" s="15">
        <f t="shared" si="4"/>
        <v>0.20800000000000002</v>
      </c>
      <c r="L43" s="15">
        <f t="shared" si="5"/>
        <v>2.5800000000000003E-2</v>
      </c>
    </row>
    <row r="44" spans="2:12">
      <c r="B44" s="15">
        <f t="shared" si="6"/>
        <v>0.6000000000000002</v>
      </c>
      <c r="C44">
        <f t="shared" si="0"/>
        <v>0.18926172354705009</v>
      </c>
      <c r="D44" s="15">
        <f t="shared" si="1"/>
        <v>2.6000000000000002E-2</v>
      </c>
      <c r="G44" s="3">
        <f t="shared" si="2"/>
        <v>9.000000000000008E-2</v>
      </c>
      <c r="H44" s="15">
        <f t="shared" si="3"/>
        <v>2.6000000000000002E-2</v>
      </c>
      <c r="K44" s="15">
        <f t="shared" si="4"/>
        <v>0.21000000000000002</v>
      </c>
      <c r="L44" s="15">
        <f t="shared" si="5"/>
        <v>2.6000000000000002E-2</v>
      </c>
    </row>
    <row r="45" spans="2:12">
      <c r="B45" s="15">
        <f t="shared" si="6"/>
        <v>0.62000000000000022</v>
      </c>
      <c r="C45">
        <f t="shared" si="0"/>
        <v>0.19187443810992649</v>
      </c>
      <c r="D45" s="15">
        <f t="shared" si="1"/>
        <v>2.6200000000000001E-2</v>
      </c>
      <c r="G45" s="3">
        <f t="shared" si="2"/>
        <v>9.8000000000000087E-2</v>
      </c>
      <c r="H45" s="15">
        <f t="shared" si="3"/>
        <v>2.6200000000000001E-2</v>
      </c>
      <c r="K45" s="15">
        <f t="shared" si="4"/>
        <v>0.21200000000000002</v>
      </c>
      <c r="L45" s="15">
        <f t="shared" si="5"/>
        <v>2.6200000000000001E-2</v>
      </c>
    </row>
    <row r="46" spans="2:12">
      <c r="B46" s="15">
        <f t="shared" si="6"/>
        <v>0.64000000000000024</v>
      </c>
      <c r="C46">
        <f t="shared" si="0"/>
        <v>0.19454356838507927</v>
      </c>
      <c r="D46" s="15">
        <f t="shared" si="1"/>
        <v>2.64E-2</v>
      </c>
      <c r="G46" s="3">
        <f t="shared" si="2"/>
        <v>0.10600000000000009</v>
      </c>
      <c r="H46" s="15">
        <f t="shared" si="3"/>
        <v>2.64E-2</v>
      </c>
      <c r="K46" s="15">
        <f t="shared" si="4"/>
        <v>0.21400000000000002</v>
      </c>
      <c r="L46" s="15">
        <f t="shared" si="5"/>
        <v>2.64E-2</v>
      </c>
    </row>
    <row r="47" spans="2:12">
      <c r="B47" s="15">
        <f t="shared" si="6"/>
        <v>0.66000000000000025</v>
      </c>
      <c r="C47">
        <f t="shared" si="0"/>
        <v>0.19726682437754203</v>
      </c>
      <c r="D47" s="15">
        <f t="shared" si="1"/>
        <v>2.6600000000000006E-2</v>
      </c>
      <c r="G47" s="3">
        <f t="shared" si="2"/>
        <v>0.1140000000000001</v>
      </c>
      <c r="H47" s="15">
        <f t="shared" si="3"/>
        <v>2.6600000000000006E-2</v>
      </c>
      <c r="K47" s="15">
        <f t="shared" si="4"/>
        <v>0.21600000000000003</v>
      </c>
      <c r="L47" s="15">
        <f t="shared" si="5"/>
        <v>2.6600000000000006E-2</v>
      </c>
    </row>
    <row r="48" spans="2:12">
      <c r="B48" s="15">
        <f t="shared" si="6"/>
        <v>0.68000000000000027</v>
      </c>
      <c r="C48">
        <f t="shared" si="0"/>
        <v>0.20004199559092589</v>
      </c>
      <c r="D48" s="15">
        <f t="shared" si="1"/>
        <v>2.6800000000000004E-2</v>
      </c>
      <c r="G48" s="3">
        <f t="shared" si="2"/>
        <v>0.12200000000000011</v>
      </c>
      <c r="H48" s="15">
        <f t="shared" si="3"/>
        <v>2.6800000000000004E-2</v>
      </c>
      <c r="K48" s="15">
        <f t="shared" si="4"/>
        <v>0.21800000000000003</v>
      </c>
      <c r="L48" s="15">
        <f t="shared" si="5"/>
        <v>2.6800000000000004E-2</v>
      </c>
    </row>
    <row r="49" spans="2:12">
      <c r="B49" s="15">
        <f t="shared" si="6"/>
        <v>0.70000000000000029</v>
      </c>
      <c r="C49">
        <f t="shared" si="0"/>
        <v>0.20286695147312686</v>
      </c>
      <c r="D49" s="15">
        <f t="shared" si="1"/>
        <v>2.7000000000000003E-2</v>
      </c>
      <c r="G49" s="3">
        <f t="shared" si="2"/>
        <v>0.13000000000000012</v>
      </c>
      <c r="H49" s="15">
        <f t="shared" si="3"/>
        <v>2.7000000000000003E-2</v>
      </c>
      <c r="K49" s="15">
        <f t="shared" si="4"/>
        <v>0.22000000000000003</v>
      </c>
      <c r="L49" s="15">
        <f t="shared" si="5"/>
        <v>2.7000000000000003E-2</v>
      </c>
    </row>
    <row r="50" spans="2:12">
      <c r="B50" s="15">
        <f t="shared" si="6"/>
        <v>0.72000000000000031</v>
      </c>
      <c r="C50">
        <f t="shared" si="0"/>
        <v>0.20573964129452549</v>
      </c>
      <c r="D50" s="15">
        <f t="shared" si="1"/>
        <v>2.7200000000000002E-2</v>
      </c>
      <c r="G50" s="3">
        <f t="shared" si="2"/>
        <v>0.13800000000000012</v>
      </c>
      <c r="H50" s="15">
        <f t="shared" si="3"/>
        <v>2.7200000000000002E-2</v>
      </c>
      <c r="K50" s="15">
        <f t="shared" si="4"/>
        <v>0.22200000000000003</v>
      </c>
      <c r="L50" s="15">
        <f t="shared" si="5"/>
        <v>2.7200000000000002E-2</v>
      </c>
    </row>
    <row r="51" spans="2:12">
      <c r="B51" s="15">
        <f t="shared" si="6"/>
        <v>0.74000000000000032</v>
      </c>
      <c r="C51">
        <f t="shared" si="0"/>
        <v>0.20865809354060535</v>
      </c>
      <c r="D51" s="15">
        <f t="shared" si="1"/>
        <v>2.7400000000000001E-2</v>
      </c>
      <c r="G51" s="3">
        <f t="shared" si="2"/>
        <v>0.14600000000000013</v>
      </c>
      <c r="H51" s="15">
        <f t="shared" si="3"/>
        <v>2.7400000000000001E-2</v>
      </c>
      <c r="K51" s="15">
        <f t="shared" si="4"/>
        <v>0.22400000000000003</v>
      </c>
      <c r="L51" s="15">
        <f t="shared" si="5"/>
        <v>2.7400000000000001E-2</v>
      </c>
    </row>
    <row r="52" spans="2:12">
      <c r="B52" s="15">
        <f t="shared" si="6"/>
        <v>0.76000000000000034</v>
      </c>
      <c r="C52">
        <f t="shared" si="0"/>
        <v>0.21162041489421579</v>
      </c>
      <c r="D52" s="15">
        <f t="shared" si="1"/>
        <v>2.76E-2</v>
      </c>
      <c r="G52" s="3">
        <f t="shared" si="2"/>
        <v>0.15400000000000014</v>
      </c>
      <c r="H52" s="15">
        <f t="shared" si="3"/>
        <v>2.76E-2</v>
      </c>
      <c r="K52" s="15">
        <f t="shared" si="4"/>
        <v>0.22600000000000003</v>
      </c>
      <c r="L52" s="15">
        <f t="shared" si="5"/>
        <v>2.76E-2</v>
      </c>
    </row>
    <row r="53" spans="2:12">
      <c r="B53" s="15">
        <f t="shared" si="6"/>
        <v>0.78000000000000036</v>
      </c>
      <c r="C53">
        <f t="shared" si="0"/>
        <v>0.21462478887584266</v>
      </c>
      <c r="D53" s="15">
        <f t="shared" si="1"/>
        <v>2.7800000000000005E-2</v>
      </c>
      <c r="G53" s="3">
        <f t="shared" si="2"/>
        <v>0.16200000000000014</v>
      </c>
      <c r="H53" s="15">
        <f t="shared" si="3"/>
        <v>2.7800000000000005E-2</v>
      </c>
      <c r="K53" s="15">
        <f t="shared" si="4"/>
        <v>0.22800000000000004</v>
      </c>
      <c r="L53" s="15">
        <f t="shared" si="5"/>
        <v>2.7800000000000005E-2</v>
      </c>
    </row>
    <row r="54" spans="2:12">
      <c r="B54" s="15">
        <f t="shared" si="6"/>
        <v>0.80000000000000038</v>
      </c>
      <c r="C54">
        <f t="shared" si="0"/>
        <v>0.21766947420343538</v>
      </c>
      <c r="D54" s="15">
        <f t="shared" si="1"/>
        <v>2.8000000000000004E-2</v>
      </c>
      <c r="G54" s="3">
        <f t="shared" si="2"/>
        <v>0.17000000000000015</v>
      </c>
      <c r="H54" s="15">
        <f t="shared" si="3"/>
        <v>2.8000000000000004E-2</v>
      </c>
      <c r="K54" s="15">
        <f t="shared" si="4"/>
        <v>0.23000000000000004</v>
      </c>
      <c r="L54" s="15">
        <f t="shared" si="5"/>
        <v>2.8000000000000004E-2</v>
      </c>
    </row>
    <row r="55" spans="2:12">
      <c r="B55" s="15">
        <f t="shared" si="6"/>
        <v>0.8200000000000004</v>
      </c>
      <c r="C55">
        <f t="shared" si="0"/>
        <v>0.22075280292671262</v>
      </c>
      <c r="D55" s="15">
        <f t="shared" si="1"/>
        <v>2.8200000000000003E-2</v>
      </c>
      <c r="G55" s="3">
        <f t="shared" si="2"/>
        <v>0.17800000000000016</v>
      </c>
      <c r="H55" s="15">
        <f t="shared" si="3"/>
        <v>2.8200000000000003E-2</v>
      </c>
      <c r="K55" s="15">
        <f t="shared" si="4"/>
        <v>0.23200000000000004</v>
      </c>
      <c r="L55" s="15">
        <f t="shared" si="5"/>
        <v>2.8200000000000003E-2</v>
      </c>
    </row>
    <row r="56" spans="2:12">
      <c r="B56" s="15">
        <f t="shared" si="6"/>
        <v>0.84000000000000041</v>
      </c>
      <c r="C56">
        <f t="shared" si="0"/>
        <v>0.22387317838454884</v>
      </c>
      <c r="D56" s="15">
        <f t="shared" si="1"/>
        <v>2.8400000000000002E-2</v>
      </c>
      <c r="G56" s="3">
        <f t="shared" si="2"/>
        <v>0.18600000000000017</v>
      </c>
      <c r="H56" s="15">
        <f t="shared" si="3"/>
        <v>2.8400000000000002E-2</v>
      </c>
      <c r="K56" s="15">
        <f t="shared" si="4"/>
        <v>0.23400000000000004</v>
      </c>
      <c r="L56" s="15">
        <f t="shared" si="5"/>
        <v>2.8400000000000002E-2</v>
      </c>
    </row>
    <row r="57" spans="2:12">
      <c r="B57" s="15">
        <f t="shared" si="6"/>
        <v>0.86000000000000043</v>
      </c>
      <c r="C57">
        <f t="shared" si="0"/>
        <v>0.22702907302810366</v>
      </c>
      <c r="D57" s="15">
        <f t="shared" si="1"/>
        <v>2.86E-2</v>
      </c>
      <c r="G57" s="3">
        <f t="shared" si="2"/>
        <v>0.19400000000000017</v>
      </c>
      <c r="H57" s="15">
        <f t="shared" si="3"/>
        <v>2.86E-2</v>
      </c>
      <c r="K57" s="15">
        <f t="shared" si="4"/>
        <v>0.23600000000000004</v>
      </c>
      <c r="L57" s="15">
        <f t="shared" si="5"/>
        <v>2.86E-2</v>
      </c>
    </row>
    <row r="58" spans="2:12">
      <c r="B58" s="15">
        <f t="shared" si="6"/>
        <v>0.88000000000000045</v>
      </c>
      <c r="C58">
        <f>SQRT($B58^2*$B$4+(1-$B58)^2*$C$4+2*$B58*(1-$B58)*$B$3*$C$3*$B$5)</f>
        <v>0.23021902614684137</v>
      </c>
      <c r="D58" s="15">
        <f t="shared" si="1"/>
        <v>2.8800000000000006E-2</v>
      </c>
      <c r="G58" s="3">
        <f t="shared" si="2"/>
        <v>0.20200000000000018</v>
      </c>
      <c r="H58" s="15">
        <f t="shared" si="3"/>
        <v>2.8800000000000006E-2</v>
      </c>
      <c r="K58" s="15">
        <f t="shared" si="4"/>
        <v>0.23800000000000004</v>
      </c>
      <c r="L58" s="15">
        <f t="shared" si="5"/>
        <v>2.8800000000000006E-2</v>
      </c>
    </row>
    <row r="59" spans="2:12">
      <c r="B59" s="15">
        <f t="shared" si="6"/>
        <v>0.90000000000000047</v>
      </c>
      <c r="C59">
        <f t="shared" si="0"/>
        <v>0.23344164152952668</v>
      </c>
      <c r="D59" s="15">
        <f t="shared" si="1"/>
        <v>2.9000000000000005E-2</v>
      </c>
      <c r="G59" s="3">
        <f t="shared" si="2"/>
        <v>0.21000000000000019</v>
      </c>
      <c r="H59" s="15">
        <f t="shared" si="3"/>
        <v>2.9000000000000005E-2</v>
      </c>
      <c r="K59" s="15">
        <f t="shared" si="4"/>
        <v>0.24000000000000005</v>
      </c>
      <c r="L59" s="15">
        <f t="shared" si="5"/>
        <v>2.9000000000000005E-2</v>
      </c>
    </row>
    <row r="60" spans="2:12">
      <c r="B60" s="15">
        <f t="shared" si="6"/>
        <v>0.92000000000000048</v>
      </c>
      <c r="C60">
        <f t="shared" si="0"/>
        <v>0.23669558508768185</v>
      </c>
      <c r="D60" s="15">
        <f t="shared" si="1"/>
        <v>2.9200000000000004E-2</v>
      </c>
      <c r="G60" s="3">
        <f t="shared" si="2"/>
        <v>0.21800000000000019</v>
      </c>
      <c r="H60" s="15">
        <f t="shared" si="3"/>
        <v>2.9200000000000004E-2</v>
      </c>
      <c r="K60" s="15">
        <f t="shared" si="4"/>
        <v>0.24200000000000005</v>
      </c>
      <c r="L60" s="15">
        <f t="shared" si="5"/>
        <v>2.9200000000000004E-2</v>
      </c>
    </row>
    <row r="61" spans="2:12">
      <c r="B61" s="15">
        <f t="shared" si="6"/>
        <v>0.9400000000000005</v>
      </c>
      <c r="C61">
        <f t="shared" si="0"/>
        <v>0.23997958246484227</v>
      </c>
      <c r="D61" s="15">
        <f t="shared" si="1"/>
        <v>2.9400000000000003E-2</v>
      </c>
      <c r="G61" s="3">
        <f t="shared" si="2"/>
        <v>0.2260000000000002</v>
      </c>
      <c r="H61" s="15">
        <f t="shared" si="3"/>
        <v>2.9400000000000003E-2</v>
      </c>
      <c r="K61" s="15">
        <f t="shared" si="4"/>
        <v>0.24400000000000005</v>
      </c>
      <c r="L61" s="15">
        <f t="shared" si="5"/>
        <v>2.9400000000000003E-2</v>
      </c>
    </row>
    <row r="62" spans="2:12">
      <c r="B62" s="15">
        <f t="shared" si="6"/>
        <v>0.96000000000000052</v>
      </c>
      <c r="C62">
        <f t="shared" si="0"/>
        <v>0.24329241665123894</v>
      </c>
      <c r="D62" s="15">
        <f t="shared" si="1"/>
        <v>2.9600000000000001E-2</v>
      </c>
      <c r="G62" s="3">
        <f t="shared" si="2"/>
        <v>0.23400000000000021</v>
      </c>
      <c r="H62" s="15">
        <f t="shared" si="3"/>
        <v>2.9600000000000001E-2</v>
      </c>
      <c r="K62" s="15">
        <f t="shared" si="4"/>
        <v>0.24600000000000005</v>
      </c>
      <c r="L62" s="15">
        <f t="shared" si="5"/>
        <v>2.9600000000000001E-2</v>
      </c>
    </row>
    <row r="63" spans="2:12">
      <c r="B63" s="15">
        <f t="shared" si="6"/>
        <v>0.98000000000000054</v>
      </c>
      <c r="C63">
        <f t="shared" si="0"/>
        <v>0.24663292562024244</v>
      </c>
      <c r="D63" s="15">
        <f t="shared" si="1"/>
        <v>2.9800000000000007E-2</v>
      </c>
      <c r="G63" s="3">
        <f t="shared" si="2"/>
        <v>0.24200000000000021</v>
      </c>
      <c r="H63" s="15">
        <f t="shared" si="3"/>
        <v>2.9800000000000007E-2</v>
      </c>
      <c r="K63" s="15">
        <f t="shared" si="4"/>
        <v>0.24800000000000005</v>
      </c>
      <c r="L63" s="15">
        <f t="shared" si="5"/>
        <v>2.9800000000000007E-2</v>
      </c>
    </row>
    <row r="64" spans="2:12">
      <c r="B64" s="15">
        <f t="shared" si="6"/>
        <v>1.0000000000000004</v>
      </c>
      <c r="C64">
        <f t="shared" si="0"/>
        <v>0.25000000000000011</v>
      </c>
      <c r="D64" s="15">
        <f t="shared" si="1"/>
        <v>3.0000000000000002E-2</v>
      </c>
      <c r="G64" s="3">
        <f t="shared" si="2"/>
        <v>0.25000000000000017</v>
      </c>
      <c r="H64" s="15">
        <f t="shared" si="3"/>
        <v>3.0000000000000002E-2</v>
      </c>
      <c r="K64" s="15">
        <f t="shared" si="4"/>
        <v>0.25000000000000006</v>
      </c>
      <c r="L64" s="15">
        <f t="shared" si="5"/>
        <v>3.0000000000000002E-2</v>
      </c>
    </row>
    <row r="65" spans="2:2">
      <c r="B65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56</vt:i4>
      </vt:variant>
    </vt:vector>
  </HeadingPairs>
  <TitlesOfParts>
    <vt:vector size="61" baseType="lpstr">
      <vt:lpstr>Two</vt:lpstr>
      <vt:lpstr>Six</vt:lpstr>
      <vt:lpstr>Matrix Method</vt:lpstr>
      <vt:lpstr>Calculus Method</vt:lpstr>
      <vt:lpstr>Frontier</vt:lpstr>
      <vt:lpstr>_3M</vt:lpstr>
      <vt:lpstr>'Calculus Method'!A</vt:lpstr>
      <vt:lpstr>'Matrix Method'!A</vt:lpstr>
      <vt:lpstr>AAPL</vt:lpstr>
      <vt:lpstr>'Calculus Method'!ap</vt:lpstr>
      <vt:lpstr>'Matrix Method'!ap</vt:lpstr>
      <vt:lpstr>Six!ap</vt:lpstr>
      <vt:lpstr>app</vt:lpstr>
      <vt:lpstr>'Calculus Method'!B</vt:lpstr>
      <vt:lpstr>'Matrix Method'!B</vt:lpstr>
      <vt:lpstr>'Calculus Method'!C.</vt:lpstr>
      <vt:lpstr>'Matrix Method'!C.</vt:lpstr>
      <vt:lpstr>'Calculus Method'!D</vt:lpstr>
      <vt:lpstr>'Matrix Method'!D</vt:lpstr>
      <vt:lpstr>dfa</vt:lpstr>
      <vt:lpstr>GM</vt:lpstr>
      <vt:lpstr>'Calculus Method'!i</vt:lpstr>
      <vt:lpstr>'Matrix Method'!i</vt:lpstr>
      <vt:lpstr>idf</vt:lpstr>
      <vt:lpstr>'Calculus Method'!j</vt:lpstr>
      <vt:lpstr>'Matrix Method'!j</vt:lpstr>
      <vt:lpstr>Six!j</vt:lpstr>
      <vt:lpstr>jadsfi</vt:lpstr>
      <vt:lpstr>jdfi</vt:lpstr>
      <vt:lpstr>jiafods</vt:lpstr>
      <vt:lpstr>jio</vt:lpstr>
      <vt:lpstr>jioasdf</vt:lpstr>
      <vt:lpstr>jiof</vt:lpstr>
      <vt:lpstr>JP</vt:lpstr>
      <vt:lpstr>Six!JPM</vt:lpstr>
      <vt:lpstr>JPM</vt:lpstr>
      <vt:lpstr>'Calculus Method'!m</vt:lpstr>
      <vt:lpstr>'Matrix Method'!m</vt:lpstr>
      <vt:lpstr>Six!m</vt:lpstr>
      <vt:lpstr>mm</vt:lpstr>
      <vt:lpstr>'Calculus Method'!mu</vt:lpstr>
      <vt:lpstr>'Matrix Method'!mu</vt:lpstr>
      <vt:lpstr>ofj</vt:lpstr>
      <vt:lpstr>ORCL</vt:lpstr>
      <vt:lpstr>'Calculus Method'!s</vt:lpstr>
      <vt:lpstr>'Matrix Method'!s</vt:lpstr>
      <vt:lpstr>'Calculus Method'!Sigma</vt:lpstr>
      <vt:lpstr>'Matrix Method'!Sigma</vt:lpstr>
      <vt:lpstr>'Calculus Method'!w</vt:lpstr>
      <vt:lpstr>'Matrix Method'!w</vt:lpstr>
      <vt:lpstr>Six!w</vt:lpstr>
      <vt:lpstr>WMT</vt:lpstr>
      <vt:lpstr>ww</vt:lpstr>
      <vt:lpstr>'Calculus Method'!y</vt:lpstr>
      <vt:lpstr>'Matrix Method'!y</vt:lpstr>
      <vt:lpstr>Six!y</vt:lpstr>
      <vt:lpstr>'Calculus Method'!ym</vt:lpstr>
      <vt:lpstr>'Matrix Method'!ym</vt:lpstr>
      <vt:lpstr>Six!ym</vt:lpstr>
      <vt:lpstr>YMZN</vt:lpstr>
      <vt:lpstr>YUM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2014-12-01T08:25:29Z</dcterms:created>
  <dcterms:modified xsi:type="dcterms:W3CDTF">2014-12-29T03:37:36Z</dcterms:modified>
</cp:coreProperties>
</file>