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zhang\Downloads\"/>
    </mc:Choice>
  </mc:AlternateContent>
  <xr:revisionPtr revIDLastSave="0" documentId="13_ncr:40009_{AF1D6BF1-0B01-4FD9-9A8F-C44DF6D3FAFF}" xr6:coauthVersionLast="47" xr6:coauthVersionMax="47" xr10:uidLastSave="{00000000-0000-0000-0000-000000000000}"/>
  <bookViews>
    <workbookView xWindow="-120" yWindow="-120" windowWidth="29040" windowHeight="15840"/>
  </bookViews>
  <sheets>
    <sheet name="Sheet1" sheetId="1" r:id="rId1"/>
    <sheet name="Location" sheetId="2" r:id="rId2"/>
  </sheets>
  <externalReferences>
    <externalReference r:id="rId3"/>
  </externalReferences>
  <definedNames>
    <definedName name="_xlnm._FilterDatabase" localSheetId="1" hidden="1">Location!$A$1:$C$80</definedName>
    <definedName name="_xlnm._FilterDatabase" localSheetId="0" hidden="1">Sheet1!$A$1:$BZ$337</definedName>
    <definedName name="Premises">'[1]Forecast $ per  sqft'!$E$2:$E$39</definedName>
  </definedNames>
  <calcPr calcId="0"/>
</workbook>
</file>

<file path=xl/calcChain.xml><?xml version="1.0" encoding="utf-8"?>
<calcChain xmlns="http://schemas.openxmlformats.org/spreadsheetml/2006/main">
  <c r="AA2" i="1" l="1"/>
  <c r="AE2" i="1"/>
  <c r="AO2" i="1"/>
  <c r="BV2" i="1"/>
  <c r="AA3" i="1"/>
  <c r="AE3" i="1"/>
  <c r="BV3" i="1"/>
  <c r="AA4" i="1"/>
  <c r="AE4" i="1"/>
  <c r="AN4" i="1"/>
  <c r="AO4" i="1"/>
  <c r="BV4" i="1"/>
  <c r="AA5" i="1"/>
  <c r="AE5" i="1"/>
  <c r="AN5" i="1"/>
  <c r="AO5" i="1"/>
  <c r="BV5" i="1"/>
  <c r="AA6" i="1"/>
  <c r="AE6" i="1"/>
  <c r="BV6" i="1"/>
  <c r="AA7" i="1"/>
  <c r="AE7" i="1"/>
  <c r="AN7" i="1"/>
  <c r="AO7" i="1"/>
  <c r="BV7" i="1"/>
  <c r="AA8" i="1"/>
  <c r="AE8" i="1"/>
  <c r="BV8" i="1"/>
  <c r="AA9" i="1"/>
  <c r="AE9" i="1"/>
  <c r="BV9" i="1"/>
  <c r="AA10" i="1"/>
  <c r="AE10" i="1"/>
  <c r="AN10" i="1"/>
  <c r="AA11" i="1"/>
  <c r="AE11" i="1"/>
  <c r="BV11" i="1"/>
  <c r="AA12" i="1"/>
  <c r="AE12" i="1"/>
  <c r="BV12" i="1"/>
  <c r="AA13" i="1"/>
  <c r="AE13" i="1"/>
  <c r="BV13" i="1"/>
  <c r="AA14" i="1"/>
  <c r="AE14" i="1"/>
  <c r="BV14" i="1"/>
  <c r="AA15" i="1"/>
  <c r="AE15" i="1"/>
  <c r="BV15" i="1"/>
  <c r="AA16" i="1"/>
  <c r="AE16" i="1"/>
  <c r="BV16" i="1"/>
  <c r="AE17" i="1"/>
  <c r="BV17" i="1"/>
  <c r="AA18" i="1"/>
  <c r="AE18" i="1"/>
  <c r="BV18" i="1"/>
  <c r="AA19" i="1"/>
  <c r="AE19" i="1"/>
  <c r="BV19" i="1"/>
  <c r="AA20" i="1"/>
  <c r="AE20" i="1"/>
  <c r="BV20" i="1"/>
  <c r="AA21" i="1"/>
  <c r="AE21" i="1"/>
  <c r="BV21" i="1"/>
  <c r="AA22" i="1"/>
  <c r="AE22" i="1"/>
  <c r="BV22" i="1"/>
  <c r="AA23" i="1"/>
  <c r="AE23" i="1"/>
  <c r="AN23" i="1"/>
  <c r="BV23" i="1"/>
  <c r="AA24" i="1"/>
  <c r="AE24" i="1"/>
  <c r="BV24" i="1"/>
  <c r="AA25" i="1"/>
  <c r="AE25" i="1"/>
  <c r="BV25" i="1"/>
  <c r="AA26" i="1"/>
  <c r="AE26" i="1"/>
  <c r="BV26" i="1"/>
  <c r="AA27" i="1"/>
  <c r="AE27" i="1"/>
  <c r="BV27" i="1"/>
  <c r="AA28" i="1"/>
  <c r="AE28" i="1"/>
  <c r="BV28" i="1"/>
  <c r="AA29" i="1"/>
  <c r="AE29" i="1"/>
  <c r="BV29" i="1"/>
  <c r="AA30" i="1"/>
  <c r="AE30" i="1"/>
  <c r="BV30" i="1"/>
  <c r="AA31" i="1"/>
  <c r="AE31" i="1"/>
  <c r="BV31" i="1"/>
  <c r="AA32" i="1"/>
  <c r="AE32" i="1"/>
  <c r="AN32" i="1"/>
  <c r="BV32" i="1"/>
  <c r="AA33" i="1"/>
  <c r="AE33" i="1"/>
  <c r="BV33" i="1"/>
  <c r="AA34" i="1"/>
  <c r="AE34" i="1"/>
  <c r="BV34" i="1"/>
  <c r="AA35" i="1"/>
  <c r="AE35" i="1"/>
  <c r="BV35" i="1"/>
  <c r="AA36" i="1"/>
  <c r="AE36" i="1"/>
  <c r="BV36" i="1"/>
  <c r="AA37" i="1"/>
  <c r="AE37" i="1"/>
  <c r="BV37" i="1"/>
  <c r="AA38" i="1"/>
  <c r="AE38" i="1"/>
  <c r="AN38" i="1"/>
  <c r="AO38" i="1"/>
  <c r="BV38" i="1"/>
  <c r="AA39" i="1"/>
  <c r="AE39" i="1"/>
  <c r="BV39" i="1"/>
  <c r="AA40" i="1"/>
  <c r="AE40" i="1"/>
  <c r="BV40" i="1"/>
  <c r="AA41" i="1"/>
  <c r="AE41" i="1"/>
  <c r="BV41" i="1"/>
  <c r="AA42" i="1"/>
  <c r="AE42" i="1"/>
  <c r="AA43" i="1"/>
  <c r="AE43" i="1"/>
  <c r="BV43" i="1"/>
  <c r="AA44" i="1"/>
  <c r="AE44" i="1"/>
  <c r="BV44" i="1"/>
  <c r="AA45" i="1"/>
  <c r="AE45" i="1"/>
  <c r="BV45" i="1"/>
  <c r="AA46" i="1"/>
  <c r="AE46" i="1"/>
  <c r="AA47" i="1"/>
  <c r="AE47" i="1"/>
  <c r="BV47" i="1"/>
  <c r="AA48" i="1"/>
  <c r="AE48" i="1"/>
  <c r="BV48" i="1"/>
  <c r="AA49" i="1"/>
  <c r="AE49" i="1"/>
  <c r="BV49" i="1"/>
  <c r="AA50" i="1"/>
  <c r="AE50" i="1"/>
  <c r="BV50" i="1"/>
  <c r="AA51" i="1"/>
  <c r="AE51" i="1"/>
  <c r="BV51" i="1"/>
  <c r="AA52" i="1"/>
  <c r="AE52" i="1"/>
  <c r="BV52" i="1"/>
  <c r="AA53" i="1"/>
  <c r="AE53" i="1"/>
  <c r="AN53" i="1"/>
  <c r="AO53" i="1"/>
  <c r="BV53" i="1"/>
  <c r="AA54" i="1"/>
  <c r="AE54" i="1"/>
  <c r="AN54" i="1"/>
  <c r="BV54" i="1"/>
  <c r="AA55" i="1"/>
  <c r="AE55" i="1"/>
  <c r="AN55" i="1"/>
  <c r="AO55" i="1"/>
  <c r="BV55" i="1"/>
  <c r="AA56" i="1"/>
  <c r="AE56" i="1"/>
  <c r="BV56" i="1"/>
  <c r="AA57" i="1"/>
  <c r="AE57" i="1"/>
  <c r="BV57" i="1"/>
  <c r="AA58" i="1"/>
  <c r="AE58" i="1"/>
  <c r="BV58" i="1"/>
  <c r="AA59" i="1"/>
  <c r="AE59" i="1"/>
  <c r="BV59" i="1"/>
  <c r="AA60" i="1"/>
  <c r="AE60" i="1"/>
  <c r="BV60" i="1"/>
  <c r="AA61" i="1"/>
  <c r="AE61" i="1"/>
  <c r="AA62" i="1"/>
  <c r="AE62" i="1"/>
  <c r="BV62" i="1"/>
  <c r="AA63" i="1"/>
  <c r="AE63" i="1"/>
  <c r="AN63" i="1"/>
  <c r="BV63" i="1"/>
  <c r="AA64" i="1"/>
  <c r="AE64" i="1"/>
  <c r="BV64" i="1"/>
  <c r="AA65" i="1"/>
  <c r="AE65" i="1"/>
  <c r="AO65" i="1"/>
  <c r="BV65" i="1"/>
  <c r="AA66" i="1"/>
  <c r="AE66" i="1"/>
  <c r="BV66" i="1"/>
  <c r="AA67" i="1"/>
  <c r="AE67" i="1"/>
  <c r="BV67" i="1"/>
  <c r="AA68" i="1"/>
  <c r="AE68" i="1"/>
  <c r="BV68" i="1"/>
  <c r="AA69" i="1"/>
  <c r="AE69" i="1"/>
  <c r="BV69" i="1"/>
  <c r="AA70" i="1"/>
  <c r="AE70" i="1"/>
  <c r="AO70" i="1"/>
  <c r="BV70" i="1"/>
  <c r="AA71" i="1"/>
  <c r="AE71" i="1"/>
  <c r="BV71" i="1"/>
  <c r="AA72" i="1"/>
  <c r="AE72" i="1"/>
  <c r="AN72" i="1"/>
  <c r="AA73" i="1"/>
  <c r="AE73" i="1"/>
  <c r="AA74" i="1"/>
  <c r="AE74" i="1"/>
  <c r="BV74" i="1"/>
  <c r="AA75" i="1"/>
  <c r="AE75" i="1"/>
  <c r="BV75" i="1"/>
  <c r="AA76" i="1"/>
  <c r="AE76" i="1"/>
  <c r="BV76" i="1"/>
  <c r="AA77" i="1"/>
  <c r="AE77" i="1"/>
  <c r="AN77" i="1"/>
  <c r="AO77" i="1"/>
  <c r="BV77" i="1"/>
  <c r="AA78" i="1"/>
  <c r="AE78" i="1"/>
  <c r="BV78" i="1"/>
  <c r="AA79" i="1"/>
  <c r="AE79" i="1"/>
  <c r="AA80" i="1"/>
  <c r="AE80" i="1"/>
  <c r="BV80" i="1"/>
  <c r="AA81" i="1"/>
  <c r="AE81" i="1"/>
  <c r="BV81" i="1"/>
  <c r="AA82" i="1"/>
  <c r="AE82" i="1"/>
  <c r="BV82" i="1"/>
  <c r="AA83" i="1"/>
  <c r="AE83" i="1"/>
  <c r="AN83" i="1"/>
  <c r="BV83" i="1"/>
  <c r="AA84" i="1"/>
  <c r="AE84" i="1"/>
  <c r="BV84" i="1"/>
  <c r="AA85" i="1"/>
  <c r="AE85" i="1"/>
  <c r="BV85" i="1"/>
  <c r="AA86" i="1"/>
  <c r="AE86" i="1"/>
  <c r="AN86" i="1"/>
  <c r="AO86" i="1"/>
  <c r="BV86" i="1"/>
  <c r="AA87" i="1"/>
  <c r="AE87" i="1"/>
  <c r="BV87" i="1"/>
  <c r="AA88" i="1"/>
  <c r="AE88" i="1"/>
  <c r="BV88" i="1"/>
  <c r="AA89" i="1"/>
  <c r="AE89" i="1"/>
  <c r="BV89" i="1"/>
  <c r="AA90" i="1"/>
  <c r="AE90" i="1"/>
  <c r="AN90" i="1"/>
  <c r="AO90" i="1"/>
  <c r="BV90" i="1"/>
  <c r="AA91" i="1"/>
  <c r="AE91" i="1"/>
  <c r="BV91" i="1"/>
  <c r="AA92" i="1"/>
  <c r="AE92" i="1"/>
  <c r="BV92" i="1"/>
  <c r="AA93" i="1"/>
  <c r="AE93" i="1"/>
  <c r="BV93" i="1"/>
  <c r="AA94" i="1"/>
  <c r="AE94" i="1"/>
  <c r="AN94" i="1"/>
  <c r="AO94" i="1"/>
  <c r="BV94" i="1"/>
  <c r="AA95" i="1"/>
  <c r="AE95" i="1"/>
  <c r="BV95" i="1"/>
  <c r="AA96" i="1"/>
  <c r="AE96" i="1"/>
  <c r="BV96" i="1"/>
  <c r="AA97" i="1"/>
  <c r="AE97" i="1"/>
  <c r="BV97" i="1"/>
  <c r="AA98" i="1"/>
  <c r="AE98" i="1"/>
  <c r="BV98" i="1"/>
  <c r="AA99" i="1"/>
  <c r="AE99" i="1"/>
  <c r="BV99" i="1"/>
  <c r="AA100" i="1"/>
  <c r="AE100" i="1"/>
  <c r="BV100" i="1"/>
  <c r="AA101" i="1"/>
  <c r="AE101" i="1"/>
  <c r="BV101" i="1"/>
  <c r="AA102" i="1"/>
  <c r="AE102" i="1"/>
  <c r="BV102" i="1"/>
  <c r="AA103" i="1"/>
  <c r="AE103" i="1"/>
  <c r="BV103" i="1"/>
  <c r="AA104" i="1"/>
  <c r="AE104" i="1"/>
  <c r="AA105" i="1"/>
  <c r="AE105" i="1"/>
  <c r="AN105" i="1"/>
  <c r="AO105" i="1"/>
  <c r="BV105" i="1"/>
  <c r="AA106" i="1"/>
  <c r="AE106" i="1"/>
  <c r="AA107" i="1"/>
  <c r="AE107" i="1"/>
  <c r="AO107" i="1"/>
  <c r="BV107" i="1"/>
  <c r="AA108" i="1"/>
  <c r="AE108" i="1"/>
  <c r="BV108" i="1"/>
  <c r="AA109" i="1"/>
  <c r="AE109" i="1"/>
  <c r="AA110" i="1"/>
  <c r="AE110" i="1"/>
  <c r="BV110" i="1"/>
  <c r="AA111" i="1"/>
  <c r="AE111" i="1"/>
  <c r="BV111" i="1"/>
  <c r="AA112" i="1"/>
  <c r="AE112" i="1"/>
  <c r="BV112" i="1"/>
  <c r="AA113" i="1"/>
  <c r="AE113" i="1"/>
  <c r="BV113" i="1"/>
  <c r="AA114" i="1"/>
  <c r="AE114" i="1"/>
  <c r="AN114" i="1"/>
  <c r="AO114" i="1"/>
  <c r="BV114" i="1"/>
  <c r="AA115" i="1"/>
  <c r="AE115" i="1"/>
  <c r="BV115" i="1"/>
  <c r="AA116" i="1"/>
  <c r="AE116" i="1"/>
  <c r="BV116" i="1"/>
  <c r="AA117" i="1"/>
  <c r="AE117" i="1"/>
  <c r="AN117" i="1"/>
  <c r="AO117" i="1"/>
  <c r="BV117" i="1"/>
  <c r="AA118" i="1"/>
  <c r="AE118" i="1"/>
  <c r="BV118" i="1"/>
  <c r="AA119" i="1"/>
  <c r="AE119" i="1"/>
  <c r="BV119" i="1"/>
  <c r="AA120" i="1"/>
  <c r="AE120" i="1"/>
  <c r="AN120" i="1"/>
  <c r="BV120" i="1"/>
  <c r="AA121" i="1"/>
  <c r="AE121" i="1"/>
  <c r="AN121" i="1"/>
  <c r="BV121" i="1"/>
  <c r="AA122" i="1"/>
  <c r="AE122" i="1"/>
  <c r="BV122" i="1"/>
  <c r="AA123" i="1"/>
  <c r="AE123" i="1"/>
  <c r="BV123" i="1"/>
  <c r="AA124" i="1"/>
  <c r="AE124" i="1"/>
  <c r="BV124" i="1"/>
  <c r="AA125" i="1"/>
  <c r="AE125" i="1"/>
  <c r="BV125" i="1"/>
  <c r="AA126" i="1"/>
  <c r="AE126" i="1"/>
  <c r="BV126" i="1"/>
  <c r="AA127" i="1"/>
  <c r="AE127" i="1"/>
  <c r="AA128" i="1"/>
  <c r="AE128" i="1"/>
  <c r="BV128" i="1"/>
  <c r="AA129" i="1"/>
  <c r="AE129" i="1"/>
  <c r="AO129" i="1"/>
  <c r="BV129" i="1"/>
  <c r="AA130" i="1"/>
  <c r="AE130" i="1"/>
  <c r="BV130" i="1"/>
  <c r="AA131" i="1"/>
  <c r="AE131" i="1"/>
  <c r="AN131" i="1"/>
  <c r="AA132" i="1"/>
  <c r="AE132" i="1"/>
  <c r="AN132" i="1"/>
  <c r="AO132" i="1"/>
  <c r="BV132" i="1"/>
  <c r="AA133" i="1"/>
  <c r="AE133" i="1"/>
  <c r="BV133" i="1"/>
  <c r="AA134" i="1"/>
  <c r="AE134" i="1"/>
  <c r="BV134" i="1"/>
  <c r="AA135" i="1"/>
  <c r="AE135" i="1"/>
  <c r="BV135" i="1"/>
  <c r="AA136" i="1"/>
  <c r="AE136" i="1"/>
  <c r="AO136" i="1"/>
  <c r="BV136" i="1"/>
  <c r="AA137" i="1"/>
  <c r="AE137" i="1"/>
  <c r="AN137" i="1"/>
  <c r="AO137" i="1"/>
  <c r="BV137" i="1"/>
  <c r="AA138" i="1"/>
  <c r="AE138" i="1"/>
  <c r="BV138" i="1"/>
  <c r="AA139" i="1"/>
  <c r="AE139" i="1"/>
  <c r="AN139" i="1"/>
  <c r="AO139" i="1"/>
  <c r="BV139" i="1"/>
  <c r="AA140" i="1"/>
  <c r="AE140" i="1"/>
  <c r="BV140" i="1"/>
  <c r="AA141" i="1"/>
  <c r="AE141" i="1"/>
  <c r="AA142" i="1"/>
  <c r="AE142" i="1"/>
  <c r="BV142" i="1"/>
  <c r="AA143" i="1"/>
  <c r="AE143" i="1"/>
  <c r="BV143" i="1"/>
  <c r="AA144" i="1"/>
  <c r="AE144" i="1"/>
  <c r="BV144" i="1"/>
  <c r="AA145" i="1"/>
  <c r="AE145" i="1"/>
  <c r="BV145" i="1"/>
  <c r="AA146" i="1"/>
  <c r="AE146" i="1"/>
  <c r="BV146" i="1"/>
  <c r="AA147" i="1"/>
  <c r="AE147" i="1"/>
  <c r="BV147" i="1"/>
  <c r="AA148" i="1"/>
  <c r="AE148" i="1"/>
  <c r="BV148" i="1"/>
  <c r="AA149" i="1"/>
  <c r="AE149" i="1"/>
  <c r="BV149" i="1"/>
  <c r="AA150" i="1"/>
  <c r="AE150" i="1"/>
  <c r="BV150" i="1"/>
  <c r="AA151" i="1"/>
  <c r="AE151" i="1"/>
  <c r="BV151" i="1"/>
  <c r="AA152" i="1"/>
  <c r="AE152" i="1"/>
  <c r="BV152" i="1"/>
  <c r="AA153" i="1"/>
  <c r="AE153" i="1"/>
  <c r="AO153" i="1"/>
  <c r="BV153" i="1"/>
  <c r="AA154" i="1"/>
  <c r="AE154" i="1"/>
  <c r="AN154" i="1"/>
  <c r="AO154" i="1"/>
  <c r="BV154" i="1"/>
  <c r="AA155" i="1"/>
  <c r="AE155" i="1"/>
  <c r="BV155" i="1"/>
  <c r="AA156" i="1"/>
  <c r="AE156" i="1"/>
  <c r="BV156" i="1"/>
  <c r="AA157" i="1"/>
  <c r="AE157" i="1"/>
  <c r="BV157" i="1"/>
  <c r="AA158" i="1"/>
  <c r="AE158" i="1"/>
  <c r="BV158" i="1"/>
  <c r="AA159" i="1"/>
  <c r="AE159" i="1"/>
  <c r="AN159" i="1"/>
  <c r="AO159" i="1"/>
  <c r="BV159" i="1"/>
  <c r="AA160" i="1"/>
  <c r="AE160" i="1"/>
  <c r="AN160" i="1"/>
  <c r="AO160" i="1"/>
  <c r="BV160" i="1"/>
  <c r="AA161" i="1"/>
  <c r="AE161" i="1"/>
  <c r="BV161" i="1"/>
  <c r="AA162" i="1"/>
  <c r="AE162" i="1"/>
  <c r="BV162" i="1"/>
  <c r="AA163" i="1"/>
  <c r="AE163" i="1"/>
  <c r="AA164" i="1"/>
  <c r="AE164" i="1"/>
  <c r="AA165" i="1"/>
  <c r="AE165" i="1"/>
  <c r="AA166" i="1"/>
  <c r="AE166" i="1"/>
  <c r="AA167" i="1"/>
  <c r="AE167" i="1"/>
  <c r="BV167" i="1"/>
  <c r="AA168" i="1"/>
  <c r="AE168" i="1"/>
  <c r="BV168" i="1"/>
  <c r="AA169" i="1"/>
  <c r="AE169" i="1"/>
  <c r="BV169" i="1"/>
  <c r="AA170" i="1"/>
  <c r="AE170" i="1"/>
  <c r="BV170" i="1"/>
  <c r="AA171" i="1"/>
  <c r="AE171" i="1"/>
  <c r="AA172" i="1"/>
  <c r="AE172" i="1"/>
  <c r="BV172" i="1"/>
  <c r="AA173" i="1"/>
  <c r="AE173" i="1"/>
  <c r="AA174" i="1"/>
  <c r="AE174" i="1"/>
  <c r="BV174" i="1"/>
  <c r="AA175" i="1"/>
  <c r="AE175" i="1"/>
  <c r="BV175" i="1"/>
  <c r="AA176" i="1"/>
  <c r="AE176" i="1"/>
  <c r="BV176" i="1"/>
  <c r="AA177" i="1"/>
  <c r="AE177" i="1"/>
  <c r="AA178" i="1"/>
  <c r="AE178" i="1"/>
  <c r="BV178" i="1"/>
  <c r="AA179" i="1"/>
  <c r="AE179" i="1"/>
  <c r="BV179" i="1"/>
  <c r="AA180" i="1"/>
  <c r="AE180" i="1"/>
  <c r="AO180" i="1"/>
  <c r="BV180" i="1"/>
  <c r="AA181" i="1"/>
  <c r="AE181" i="1"/>
  <c r="AN181" i="1"/>
  <c r="BV181" i="1"/>
  <c r="AA182" i="1"/>
  <c r="AE182" i="1"/>
  <c r="BV182" i="1"/>
  <c r="AA183" i="1"/>
  <c r="AE183" i="1"/>
  <c r="BV183" i="1"/>
  <c r="AA184" i="1"/>
  <c r="AE184" i="1"/>
  <c r="AA185" i="1"/>
  <c r="AE185" i="1"/>
  <c r="AN185" i="1"/>
  <c r="BV185" i="1"/>
  <c r="AA186" i="1"/>
  <c r="AE186" i="1"/>
  <c r="AN186" i="1"/>
  <c r="BV186" i="1"/>
  <c r="AA187" i="1"/>
  <c r="AE187" i="1"/>
  <c r="AN187" i="1"/>
  <c r="AO187" i="1"/>
  <c r="BV187" i="1"/>
  <c r="AA188" i="1"/>
  <c r="AE188" i="1"/>
  <c r="BV188" i="1"/>
  <c r="AA189" i="1"/>
  <c r="AE189" i="1"/>
  <c r="AO189" i="1"/>
  <c r="BV189" i="1"/>
  <c r="AA190" i="1"/>
  <c r="AE190" i="1"/>
  <c r="BV190" i="1"/>
  <c r="AA191" i="1"/>
  <c r="AE191" i="1"/>
  <c r="BV191" i="1"/>
  <c r="AA192" i="1"/>
  <c r="AE192" i="1"/>
  <c r="BV192" i="1"/>
  <c r="AA193" i="1"/>
  <c r="AE193" i="1"/>
  <c r="BV193" i="1"/>
  <c r="AA194" i="1"/>
  <c r="AE194" i="1"/>
  <c r="BV194" i="1"/>
  <c r="AA195" i="1"/>
  <c r="AE195" i="1"/>
  <c r="BV195" i="1"/>
  <c r="AA196" i="1"/>
  <c r="AE196" i="1"/>
  <c r="BV196" i="1"/>
  <c r="AA197" i="1"/>
  <c r="AE197" i="1"/>
  <c r="BV197" i="1"/>
  <c r="AA198" i="1"/>
  <c r="AE198" i="1"/>
  <c r="BV198" i="1"/>
  <c r="AA199" i="1"/>
  <c r="AE199" i="1"/>
  <c r="AN199" i="1"/>
  <c r="AO199" i="1"/>
  <c r="BV199" i="1"/>
  <c r="AA200" i="1"/>
  <c r="AE200" i="1"/>
  <c r="BV200" i="1"/>
  <c r="AA201" i="1"/>
  <c r="AE201" i="1"/>
  <c r="BV201" i="1"/>
  <c r="AA202" i="1"/>
  <c r="AE202" i="1"/>
  <c r="BV202" i="1"/>
  <c r="AA203" i="1"/>
  <c r="AE203" i="1"/>
  <c r="AA204" i="1"/>
  <c r="AE204" i="1"/>
  <c r="AA205" i="1"/>
  <c r="AE205" i="1"/>
  <c r="AA206" i="1"/>
  <c r="AE206" i="1"/>
  <c r="AO206" i="1"/>
  <c r="BV206" i="1"/>
  <c r="AA207" i="1"/>
  <c r="AE207" i="1"/>
  <c r="BV207" i="1"/>
  <c r="AA208" i="1"/>
  <c r="AE208" i="1"/>
  <c r="AN208" i="1"/>
  <c r="AO208" i="1"/>
  <c r="AA209" i="1"/>
  <c r="AE209" i="1"/>
  <c r="BV209" i="1"/>
  <c r="AA210" i="1"/>
  <c r="AE210" i="1"/>
  <c r="BV210" i="1"/>
  <c r="AA211" i="1"/>
  <c r="AE211" i="1"/>
  <c r="AA212" i="1"/>
  <c r="AE212" i="1"/>
  <c r="BV212" i="1"/>
  <c r="AA213" i="1"/>
  <c r="AE213" i="1"/>
  <c r="BV213" i="1"/>
  <c r="AA214" i="1"/>
  <c r="AE214" i="1"/>
  <c r="AO214" i="1"/>
  <c r="BV214" i="1"/>
  <c r="AA215" i="1"/>
  <c r="AE215" i="1"/>
  <c r="AN215" i="1"/>
  <c r="AO215" i="1"/>
  <c r="BV215" i="1"/>
  <c r="AA216" i="1"/>
  <c r="AE216" i="1"/>
  <c r="BV216" i="1"/>
  <c r="AA217" i="1"/>
  <c r="AE217" i="1"/>
  <c r="BV217" i="1"/>
  <c r="AA218" i="1"/>
  <c r="AE218" i="1"/>
  <c r="BV218" i="1"/>
  <c r="AA219" i="1"/>
  <c r="AE219" i="1"/>
  <c r="BV219" i="1"/>
  <c r="AA220" i="1"/>
  <c r="AE220" i="1"/>
  <c r="AO220" i="1"/>
  <c r="BV220" i="1"/>
  <c r="AA221" i="1"/>
  <c r="AE221" i="1"/>
  <c r="AN221" i="1"/>
  <c r="AO221" i="1"/>
  <c r="BV221" i="1"/>
  <c r="AA222" i="1"/>
  <c r="AE222" i="1"/>
  <c r="BV222" i="1"/>
  <c r="AA223" i="1"/>
  <c r="AE223" i="1"/>
  <c r="BV223" i="1"/>
  <c r="AA224" i="1"/>
  <c r="AE224" i="1"/>
  <c r="AA225" i="1"/>
  <c r="AE225" i="1"/>
  <c r="BV225" i="1"/>
  <c r="AA226" i="1"/>
  <c r="AE226" i="1"/>
  <c r="BV226" i="1"/>
  <c r="AA227" i="1"/>
  <c r="AE227" i="1"/>
  <c r="AA228" i="1"/>
  <c r="AE228" i="1"/>
  <c r="BV228" i="1"/>
  <c r="AA229" i="1"/>
  <c r="AE229" i="1"/>
  <c r="BV229" i="1"/>
  <c r="AA230" i="1"/>
  <c r="AE230" i="1"/>
  <c r="AN230" i="1"/>
  <c r="BV230" i="1"/>
  <c r="AA231" i="1"/>
  <c r="AE231" i="1"/>
  <c r="BV231" i="1"/>
  <c r="AA232" i="1"/>
  <c r="AE232" i="1"/>
  <c r="AO232" i="1"/>
  <c r="BV232" i="1"/>
  <c r="AA233" i="1"/>
  <c r="AE233" i="1"/>
  <c r="BV233" i="1"/>
  <c r="AA234" i="1"/>
  <c r="AE234" i="1"/>
  <c r="BV234" i="1"/>
  <c r="AA235" i="1"/>
  <c r="AE235" i="1"/>
  <c r="AN235" i="1"/>
  <c r="AO235" i="1"/>
  <c r="BV235" i="1"/>
  <c r="AA236" i="1"/>
  <c r="AE236" i="1"/>
  <c r="BV236" i="1"/>
  <c r="AA237" i="1"/>
  <c r="AE237" i="1"/>
  <c r="BV237" i="1"/>
  <c r="AA238" i="1"/>
  <c r="AE238" i="1"/>
  <c r="AN238" i="1"/>
  <c r="AO238" i="1"/>
  <c r="BV238" i="1"/>
  <c r="AA239" i="1"/>
  <c r="AE239" i="1"/>
  <c r="BV239" i="1"/>
  <c r="AA240" i="1"/>
  <c r="AE240" i="1"/>
  <c r="BV240" i="1"/>
  <c r="AA241" i="1"/>
  <c r="AE241" i="1"/>
  <c r="BV241" i="1"/>
  <c r="AA242" i="1"/>
  <c r="AE242" i="1"/>
  <c r="BV242" i="1"/>
  <c r="AA243" i="1"/>
  <c r="AE243" i="1"/>
  <c r="AN243" i="1"/>
  <c r="AO243" i="1"/>
  <c r="BV243" i="1"/>
  <c r="AA244" i="1"/>
  <c r="AE244" i="1"/>
  <c r="BV244" i="1"/>
  <c r="AE245" i="1"/>
  <c r="BV245" i="1"/>
  <c r="AA246" i="1"/>
  <c r="AE246" i="1"/>
  <c r="BV246" i="1"/>
  <c r="AA247" i="1"/>
  <c r="AE247" i="1"/>
  <c r="AN247" i="1"/>
  <c r="AO247" i="1"/>
  <c r="BV247" i="1"/>
  <c r="AA248" i="1"/>
  <c r="AE248" i="1"/>
  <c r="BV248" i="1"/>
  <c r="AA249" i="1"/>
  <c r="AE249" i="1"/>
  <c r="BV249" i="1"/>
  <c r="AA250" i="1"/>
  <c r="AE250" i="1"/>
  <c r="BV250" i="1"/>
  <c r="AE251" i="1"/>
  <c r="BV251" i="1"/>
  <c r="AA252" i="1"/>
  <c r="AE252" i="1"/>
  <c r="BV252" i="1"/>
  <c r="AA253" i="1"/>
  <c r="AE253" i="1"/>
  <c r="BV253" i="1"/>
  <c r="AA254" i="1"/>
  <c r="AE254" i="1"/>
  <c r="BV254" i="1"/>
  <c r="AA255" i="1"/>
  <c r="AE255" i="1"/>
  <c r="BV255" i="1"/>
  <c r="AA256" i="1"/>
  <c r="AE256" i="1"/>
  <c r="BV256" i="1"/>
  <c r="AA257" i="1"/>
  <c r="AE257" i="1"/>
  <c r="AN257" i="1"/>
  <c r="AO257" i="1"/>
  <c r="BV257" i="1"/>
  <c r="AA258" i="1"/>
  <c r="AE258" i="1"/>
  <c r="BV258" i="1"/>
  <c r="AA259" i="1"/>
  <c r="AE259" i="1"/>
  <c r="BV259" i="1"/>
  <c r="AA260" i="1"/>
  <c r="AE260" i="1"/>
  <c r="BV260" i="1"/>
  <c r="AA261" i="1"/>
  <c r="AE261" i="1"/>
  <c r="BV261" i="1"/>
  <c r="AA262" i="1"/>
  <c r="AE262" i="1"/>
  <c r="BV262" i="1"/>
  <c r="AA263" i="1"/>
  <c r="AE263" i="1"/>
  <c r="AN263" i="1"/>
  <c r="AO263" i="1"/>
  <c r="BV263" i="1"/>
  <c r="AA264" i="1"/>
  <c r="AE264" i="1"/>
  <c r="AN264" i="1"/>
  <c r="AO264" i="1"/>
  <c r="BV264" i="1"/>
  <c r="AA265" i="1"/>
  <c r="AE265" i="1"/>
  <c r="AN265" i="1"/>
  <c r="AO265" i="1"/>
  <c r="BV265" i="1"/>
  <c r="AA266" i="1"/>
  <c r="AE266" i="1"/>
  <c r="AN266" i="1"/>
  <c r="BV266" i="1"/>
  <c r="AA267" i="1"/>
  <c r="AE267" i="1"/>
  <c r="BV267" i="1"/>
  <c r="AA268" i="1"/>
  <c r="AE268" i="1"/>
  <c r="BV268" i="1"/>
  <c r="AA269" i="1"/>
  <c r="AE269" i="1"/>
  <c r="AN269" i="1"/>
  <c r="BV269" i="1"/>
  <c r="AA270" i="1"/>
  <c r="AE270" i="1"/>
  <c r="AN270" i="1"/>
  <c r="AO270" i="1"/>
  <c r="BV270" i="1"/>
  <c r="AA271" i="1"/>
  <c r="AE271" i="1"/>
  <c r="AN271" i="1"/>
  <c r="AO271" i="1"/>
  <c r="BV271" i="1"/>
  <c r="AA272" i="1"/>
  <c r="AE272" i="1"/>
  <c r="AO272" i="1"/>
  <c r="BV272" i="1"/>
  <c r="AA273" i="1"/>
  <c r="AE273" i="1"/>
  <c r="BV273" i="1"/>
  <c r="AA274" i="1"/>
  <c r="AE274" i="1"/>
  <c r="AN274" i="1"/>
  <c r="AO274" i="1"/>
  <c r="BV274" i="1"/>
  <c r="AA275" i="1"/>
  <c r="AE275" i="1"/>
  <c r="BV275" i="1"/>
  <c r="AA276" i="1"/>
  <c r="AE276" i="1"/>
  <c r="AN276" i="1"/>
  <c r="AO276" i="1"/>
  <c r="BV276" i="1"/>
  <c r="AA277" i="1"/>
  <c r="AE277" i="1"/>
  <c r="BV277" i="1"/>
  <c r="AA278" i="1"/>
  <c r="AE278" i="1"/>
  <c r="BV278" i="1"/>
  <c r="AA279" i="1"/>
  <c r="AE279" i="1"/>
  <c r="BV279" i="1"/>
  <c r="AA280" i="1"/>
  <c r="AE280" i="1"/>
  <c r="BV280" i="1"/>
  <c r="AA281" i="1"/>
  <c r="AE281" i="1"/>
  <c r="BV281" i="1"/>
  <c r="AA282" i="1"/>
  <c r="AE282" i="1"/>
  <c r="BV282" i="1"/>
  <c r="AA283" i="1"/>
  <c r="AE283" i="1"/>
  <c r="BV283" i="1"/>
  <c r="AA284" i="1"/>
  <c r="AE284" i="1"/>
  <c r="BV284" i="1"/>
  <c r="AA285" i="1"/>
  <c r="AE285" i="1"/>
  <c r="AO285" i="1"/>
  <c r="BV285" i="1"/>
  <c r="AA286" i="1"/>
  <c r="AE286" i="1"/>
  <c r="AN286" i="1"/>
  <c r="BV286" i="1"/>
  <c r="AA287" i="1"/>
  <c r="AE287" i="1"/>
  <c r="BV287" i="1"/>
  <c r="AA288" i="1"/>
  <c r="AE288" i="1"/>
  <c r="BV288" i="1"/>
  <c r="AA289" i="1"/>
  <c r="AE289" i="1"/>
  <c r="AN289" i="1"/>
  <c r="AO289" i="1"/>
  <c r="BV289" i="1"/>
  <c r="AA290" i="1"/>
  <c r="AE290" i="1"/>
  <c r="BV290" i="1"/>
  <c r="AA291" i="1"/>
  <c r="AE291" i="1"/>
  <c r="BV291" i="1"/>
  <c r="AA292" i="1"/>
  <c r="AE292" i="1"/>
  <c r="BV292" i="1"/>
  <c r="AA293" i="1"/>
  <c r="AE293" i="1"/>
  <c r="BV293" i="1"/>
  <c r="AA294" i="1"/>
  <c r="AE294" i="1"/>
  <c r="BV294" i="1"/>
  <c r="AA295" i="1"/>
  <c r="AE295" i="1"/>
  <c r="BV295" i="1"/>
  <c r="AA296" i="1"/>
  <c r="AE296" i="1"/>
  <c r="BV296" i="1"/>
  <c r="AA297" i="1"/>
  <c r="AE297" i="1"/>
  <c r="BV297" i="1"/>
  <c r="AA298" i="1"/>
  <c r="AE298" i="1"/>
  <c r="BV298" i="1"/>
  <c r="AA299" i="1"/>
  <c r="AE299" i="1"/>
  <c r="BV299" i="1"/>
  <c r="AA300" i="1"/>
  <c r="AE300" i="1"/>
  <c r="BV300" i="1"/>
  <c r="AA301" i="1"/>
  <c r="AE301" i="1"/>
  <c r="BV301" i="1"/>
  <c r="AA302" i="1"/>
  <c r="AE302" i="1"/>
  <c r="AN302" i="1"/>
  <c r="AO302" i="1"/>
  <c r="BV302" i="1"/>
  <c r="AA303" i="1"/>
  <c r="AE303" i="1"/>
  <c r="AN303" i="1"/>
  <c r="AO303" i="1"/>
  <c r="BV303" i="1"/>
  <c r="AA304" i="1"/>
  <c r="AE304" i="1"/>
  <c r="AN304" i="1"/>
  <c r="BV304" i="1"/>
  <c r="AA305" i="1"/>
  <c r="AE305" i="1"/>
  <c r="AN305" i="1"/>
  <c r="AO305" i="1"/>
  <c r="BV305" i="1"/>
  <c r="AA306" i="1"/>
  <c r="AE306" i="1"/>
  <c r="AN306" i="1"/>
  <c r="AO306" i="1"/>
  <c r="BV306" i="1"/>
  <c r="AA307" i="1"/>
  <c r="AE307" i="1"/>
  <c r="BV307" i="1"/>
  <c r="AA308" i="1"/>
  <c r="AE308" i="1"/>
  <c r="AN308" i="1"/>
  <c r="AO308" i="1"/>
  <c r="BV308" i="1"/>
  <c r="AA309" i="1"/>
  <c r="AE309" i="1"/>
  <c r="AN309" i="1"/>
  <c r="AO309" i="1"/>
  <c r="BV309" i="1"/>
  <c r="AA310" i="1"/>
  <c r="AE310" i="1"/>
  <c r="AN310" i="1"/>
  <c r="BV310" i="1"/>
  <c r="AA311" i="1"/>
  <c r="AE311" i="1"/>
  <c r="BV311" i="1"/>
  <c r="AA312" i="1"/>
  <c r="AE312" i="1"/>
  <c r="AN312" i="1"/>
  <c r="AO312" i="1"/>
  <c r="BV312" i="1"/>
  <c r="AA313" i="1"/>
  <c r="AE313" i="1"/>
  <c r="BV313" i="1"/>
  <c r="AA314" i="1"/>
  <c r="AE314" i="1"/>
  <c r="AN314" i="1"/>
  <c r="AO314" i="1"/>
  <c r="BV314" i="1"/>
  <c r="AA315" i="1"/>
  <c r="AE315" i="1"/>
  <c r="BV315" i="1"/>
  <c r="AA316" i="1"/>
  <c r="AE316" i="1"/>
  <c r="AO316" i="1"/>
  <c r="BV316" i="1"/>
  <c r="AA317" i="1"/>
  <c r="AE317" i="1"/>
  <c r="BV317" i="1"/>
  <c r="AA318" i="1"/>
  <c r="AE318" i="1"/>
  <c r="BV318" i="1"/>
  <c r="AA319" i="1"/>
  <c r="AE319" i="1"/>
  <c r="BV319" i="1"/>
  <c r="AA320" i="1"/>
  <c r="AE320" i="1"/>
  <c r="AN320" i="1"/>
  <c r="AO320" i="1"/>
  <c r="BV320" i="1"/>
  <c r="AA321" i="1"/>
  <c r="AE321" i="1"/>
  <c r="BV321" i="1"/>
  <c r="AA322" i="1"/>
  <c r="AE322" i="1"/>
  <c r="BV322" i="1"/>
  <c r="AA323" i="1"/>
  <c r="AE323" i="1"/>
  <c r="BV323" i="1"/>
  <c r="AA324" i="1"/>
  <c r="AE324" i="1"/>
  <c r="BV324" i="1"/>
  <c r="AA325" i="1"/>
  <c r="AE325" i="1"/>
  <c r="BV325" i="1"/>
  <c r="AA326" i="1"/>
  <c r="AE326" i="1"/>
  <c r="AA327" i="1"/>
  <c r="AE327" i="1"/>
  <c r="BV327" i="1"/>
  <c r="AA328" i="1"/>
  <c r="AE328" i="1"/>
  <c r="BV328" i="1"/>
  <c r="AA329" i="1"/>
  <c r="AE329" i="1"/>
  <c r="AA330" i="1"/>
  <c r="AE330" i="1"/>
  <c r="BV330" i="1"/>
  <c r="AA331" i="1"/>
  <c r="AE331" i="1"/>
  <c r="BV331" i="1"/>
  <c r="AA332" i="1"/>
  <c r="AE332" i="1"/>
  <c r="BV332" i="1"/>
  <c r="AA333" i="1"/>
  <c r="AE333" i="1"/>
  <c r="AN333" i="1"/>
  <c r="AO333" i="1"/>
  <c r="BV333" i="1"/>
  <c r="AA334" i="1"/>
  <c r="AE334" i="1"/>
  <c r="AN334" i="1"/>
  <c r="AO334" i="1"/>
  <c r="BV334" i="1"/>
  <c r="AA335" i="1"/>
  <c r="AE335" i="1"/>
  <c r="BV335" i="1"/>
  <c r="AA336" i="1"/>
  <c r="AE336" i="1"/>
  <c r="BV336" i="1"/>
  <c r="AA337" i="1"/>
  <c r="AE337" i="1"/>
  <c r="BV337" i="1"/>
</calcChain>
</file>

<file path=xl/sharedStrings.xml><?xml version="1.0" encoding="utf-8"?>
<sst xmlns="http://schemas.openxmlformats.org/spreadsheetml/2006/main" count="12478" uniqueCount="2762">
  <si>
    <t>Order Date</t>
  </si>
  <si>
    <t>Order ID</t>
  </si>
  <si>
    <t>Account Group</t>
  </si>
  <si>
    <t>PO Number</t>
  </si>
  <si>
    <t>Order Quantity</t>
  </si>
  <si>
    <t>Currency</t>
  </si>
  <si>
    <t>Order Subtotal</t>
  </si>
  <si>
    <t>Order Shipping &amp; Handling</t>
  </si>
  <si>
    <t>Order Promotion</t>
  </si>
  <si>
    <t>Order Tax</t>
  </si>
  <si>
    <t>Order Net Total</t>
  </si>
  <si>
    <t>Order Status</t>
  </si>
  <si>
    <t>Approver</t>
  </si>
  <si>
    <t>Order Receiving Status</t>
  </si>
  <si>
    <t>Order Received Quantity</t>
  </si>
  <si>
    <t>Account User</t>
  </si>
  <si>
    <t>Account User Email</t>
  </si>
  <si>
    <t>Invoice Status</t>
  </si>
  <si>
    <t>Total Amount</t>
  </si>
  <si>
    <t>Invoice Due Amount</t>
  </si>
  <si>
    <t>Invoice Issue Date</t>
  </si>
  <si>
    <t>Invoice Due Date</t>
  </si>
  <si>
    <t>Payment Reference ID</t>
  </si>
  <si>
    <t>Payment Date</t>
  </si>
  <si>
    <t>Payment Amount</t>
  </si>
  <si>
    <t>Payment Instrument Type</t>
  </si>
  <si>
    <t>Payment Identifier</t>
  </si>
  <si>
    <t>Amazon-Internal Product Category</t>
  </si>
  <si>
    <t>ASIN</t>
  </si>
  <si>
    <t>Title</t>
  </si>
  <si>
    <t>UNSPSC</t>
  </si>
  <si>
    <t>Segment</t>
  </si>
  <si>
    <t>Family</t>
  </si>
  <si>
    <t>Class</t>
  </si>
  <si>
    <t>Commodity</t>
  </si>
  <si>
    <t>Brand Code</t>
  </si>
  <si>
    <t>Brand</t>
  </si>
  <si>
    <t>Manufacturer</t>
  </si>
  <si>
    <t>National Stock Number</t>
  </si>
  <si>
    <t>Item model number</t>
  </si>
  <si>
    <t>Part number</t>
  </si>
  <si>
    <t>Product Condition</t>
  </si>
  <si>
    <t>Company Compliance</t>
  </si>
  <si>
    <t>Listed PPU</t>
  </si>
  <si>
    <t>Purchase PPU</t>
  </si>
  <si>
    <t>Item Quantity</t>
  </si>
  <si>
    <t>Item Subtotal</t>
  </si>
  <si>
    <t>Item Shipping &amp; Handling</t>
  </si>
  <si>
    <t>Item Promotion</t>
  </si>
  <si>
    <t>Item Tax</t>
  </si>
  <si>
    <t>Item Net Total</t>
  </si>
  <si>
    <t>PO Line Item Id</t>
  </si>
  <si>
    <t>Tax Exemption Applied</t>
  </si>
  <si>
    <t>Tax Exemption Type</t>
  </si>
  <si>
    <t>Tax Exemption Opt Out</t>
  </si>
  <si>
    <t>Discount Program</t>
  </si>
  <si>
    <t>Pricing Discount applied ($ off)</t>
  </si>
  <si>
    <t>Pricing Discount applied (% off)</t>
  </si>
  <si>
    <t>Receiving Status</t>
  </si>
  <si>
    <t>Received Quantity</t>
  </si>
  <si>
    <t>Received Date</t>
  </si>
  <si>
    <t>Receiver Name</t>
  </si>
  <si>
    <t>Receiver Email</t>
  </si>
  <si>
    <t>GL Code</t>
  </si>
  <si>
    <t>Department</t>
  </si>
  <si>
    <t>Cost Center</t>
  </si>
  <si>
    <t>Project Code</t>
  </si>
  <si>
    <t>Location</t>
  </si>
  <si>
    <t>Custom Field 1</t>
  </si>
  <si>
    <t>Seller Name</t>
  </si>
  <si>
    <t>Seller Credentials</t>
  </si>
  <si>
    <t>Seller City</t>
  </si>
  <si>
    <t>Seller State</t>
  </si>
  <si>
    <t>Seller ZipCode</t>
  </si>
  <si>
    <t>111-1968965-0237043</t>
  </si>
  <si>
    <t>UF-IN</t>
  </si>
  <si>
    <t>USD</t>
  </si>
  <si>
    <t>Closed</t>
  </si>
  <si>
    <t>Kyle Brandt</t>
  </si>
  <si>
    <t>kyle.brandt@unisco.com</t>
  </si>
  <si>
    <t>N/A</t>
  </si>
  <si>
    <t>4OOLALD13ULP</t>
  </si>
  <si>
    <t>American Express</t>
  </si>
  <si>
    <t>Personal Computer</t>
  </si>
  <si>
    <t>B0BDDJS5PR</t>
  </si>
  <si>
    <t>1TB USB Flash Drive 3.0, SXINDE USB 3.0 Flash Memory Stick 1000GB for PC/Laptop, Ultra High-Speed USB 3.0 Data Storage Drive 1000GB - Read Speeds up t</t>
  </si>
  <si>
    <t>Information Technology Broadcasting and Telecommunications</t>
  </si>
  <si>
    <t>Components for information technology or broadcasting or telecommunications</t>
  </si>
  <si>
    <t>Removable storage media</t>
  </si>
  <si>
    <t>Pen or flash drive</t>
  </si>
  <si>
    <t>SXINDE</t>
  </si>
  <si>
    <t>USB Flash drive</t>
  </si>
  <si>
    <t>New</t>
  </si>
  <si>
    <t>No</t>
  </si>
  <si>
    <t>2200: Warehouse</t>
  </si>
  <si>
    <t>51: UF (Warehouse)</t>
  </si>
  <si>
    <t>806: 650 Commerce</t>
  </si>
  <si>
    <t>深圳</t>
  </si>
  <si>
    <t>广东省</t>
  </si>
  <si>
    <t>113-7934290-6750636</t>
  </si>
  <si>
    <t>UNIS</t>
  </si>
  <si>
    <t>UF6804GNW-IN</t>
  </si>
  <si>
    <t>Priscila Herrera</t>
  </si>
  <si>
    <t>purchasing@unisco.com</t>
  </si>
  <si>
    <t>5HURXGAQF9LS</t>
  </si>
  <si>
    <t>CE</t>
  </si>
  <si>
    <t>B086R7QGLM</t>
  </si>
  <si>
    <t>Acroprint Electronic Time Recorder, Accommodates Right or Left-Hand Time Cards, Selectable Hour Format (RM500)</t>
  </si>
  <si>
    <t>Office Equipment and Accessories and Supplies</t>
  </si>
  <si>
    <t>Office machines and their supplies and accessories</t>
  </si>
  <si>
    <t>Acroprint</t>
  </si>
  <si>
    <t>RM500</t>
  </si>
  <si>
    <t>Global Business Solutions</t>
  </si>
  <si>
    <t>Classified Small Business</t>
  </si>
  <si>
    <t>Carlsbad</t>
  </si>
  <si>
    <t>CA</t>
  </si>
  <si>
    <t>113-1739466-9937013</t>
  </si>
  <si>
    <t>UF6812CTN-IN</t>
  </si>
  <si>
    <t>5HXXB58WI4N6</t>
  </si>
  <si>
    <t>Office Product</t>
  </si>
  <si>
    <t>B0052L7KNC</t>
  </si>
  <si>
    <t>Officemate Recycled Desk Tray, Side Load, 15 1/8 x 8 7/8 x 15, Letter/A4, 6/PK (26212)</t>
  </si>
  <si>
    <t>Office and desk accessories</t>
  </si>
  <si>
    <t>Organizers and accessories</t>
  </si>
  <si>
    <t>Desktop trays or organizers</t>
  </si>
  <si>
    <t>OFFJ1</t>
  </si>
  <si>
    <t>Officemate</t>
  </si>
  <si>
    <t>Officemate International</t>
  </si>
  <si>
    <t>Quantity pricing</t>
  </si>
  <si>
    <t>884: 575 S 143rd</t>
  </si>
  <si>
    <t>Amazon</t>
  </si>
  <si>
    <t>Seattle</t>
  </si>
  <si>
    <t>Washington</t>
  </si>
  <si>
    <t>Home Improvement</t>
  </si>
  <si>
    <t>B07WQZ64PP</t>
  </si>
  <si>
    <t>Rapid Care First Aid 81131 Premium 25 Person OSHA/ANSI Compliant Unitized First Aid Kit in Detachable Wall Mountable Poly Case</t>
  </si>
  <si>
    <t>Communications Devices and Accessories</t>
  </si>
  <si>
    <t>Personal communications device accessories or parts</t>
  </si>
  <si>
    <t>Mobile phone face plates</t>
  </si>
  <si>
    <t>RAPNE</t>
  </si>
  <si>
    <t>Rapid Care First Aid</t>
  </si>
  <si>
    <t>Business, Industrial, &amp; Scientific Supplies Basic</t>
  </si>
  <si>
    <t>B083ZWXPF9</t>
  </si>
  <si>
    <t>AmazonCommercial Lobby Dustpan with Broom set - 4-Pack</t>
  </si>
  <si>
    <t>Cleaning Equipment and Supplies</t>
  </si>
  <si>
    <t>Cleaning and janitorial supplies</t>
  </si>
  <si>
    <t>AMZCO</t>
  </si>
  <si>
    <t>AmazonCommercial</t>
  </si>
  <si>
    <t>E205-4</t>
  </si>
  <si>
    <t>B00OILZNIG</t>
  </si>
  <si>
    <t>Fellowes Saturn 3i 125 Thermal Laminator Machine with Self-Adhesive Laminating Pouch Starter Kit, 12.5 inch (5736606)</t>
  </si>
  <si>
    <t>Binding and lamination machines</t>
  </si>
  <si>
    <t>Laminators</t>
  </si>
  <si>
    <t>FELL9</t>
  </si>
  <si>
    <t>Fellowes</t>
  </si>
  <si>
    <t>113-4310761-8597868</t>
  </si>
  <si>
    <t>5IY41D3ZMLT4</t>
  </si>
  <si>
    <t>B09WHBW1MQ</t>
  </si>
  <si>
    <t>INTERGREAT Lateral File Cabinet with 2 Drawer, Black Lateral Filing Cabinet with Lock, Metal Steel Black File Cabinets for Home Office</t>
  </si>
  <si>
    <t>Furniture and Furnishings</t>
  </si>
  <si>
    <t>Accommodation furniture</t>
  </si>
  <si>
    <t>Office furniture</t>
  </si>
  <si>
    <t>Filing cabinets or accesories</t>
  </si>
  <si>
    <t>INTERGREAT</t>
  </si>
  <si>
    <t>Riverside</t>
  </si>
  <si>
    <t>CALIFORNIA</t>
  </si>
  <si>
    <t>113-7426615-6518631</t>
  </si>
  <si>
    <t>1R5PA6YPBH9N</t>
  </si>
  <si>
    <t>Health and Beauty</t>
  </si>
  <si>
    <t>B00MNV8E0C</t>
  </si>
  <si>
    <t>Amazon Basics 48 Pack AA High-Performance Alkaline Batteries, 10-Year Shelf Life, Easy to Open Value Pack</t>
  </si>
  <si>
    <t>Power Generation and Distribution Machinery and Accessories</t>
  </si>
  <si>
    <t>Batteries and generators and kinetic power transmission</t>
  </si>
  <si>
    <t>Batteries and cells and accessories</t>
  </si>
  <si>
    <t>Alkaline batteries</t>
  </si>
  <si>
    <t>AMZSM</t>
  </si>
  <si>
    <t>Amazon Basics</t>
  </si>
  <si>
    <t>AA/LR6/AM3</t>
  </si>
  <si>
    <t>LR6-48PK</t>
  </si>
  <si>
    <t>B0781SKPRZ</t>
  </si>
  <si>
    <t>KMC 6-Outlet Surge Protector Power Strip 2-Pack, 900 Joules, 4-Foot Extension Cord, Overload Protection, Black</t>
  </si>
  <si>
    <t>Electrical Systems and Lighting and Components and Accessories and Supplies</t>
  </si>
  <si>
    <t>Electrical equipment and components and supplies</t>
  </si>
  <si>
    <t>Power conditioning equipment</t>
  </si>
  <si>
    <t>Power distribution units PDUs</t>
  </si>
  <si>
    <t>KMC</t>
  </si>
  <si>
    <t>KT-KMC</t>
  </si>
  <si>
    <t>1606-1404BB</t>
  </si>
  <si>
    <t>111-9319522-9271408</t>
  </si>
  <si>
    <t>UF-TX</t>
  </si>
  <si>
    <t>LAURA NARANJO</t>
  </si>
  <si>
    <t>laura.naranjo@unisco.com</t>
  </si>
  <si>
    <t>5ZALNRJWV5XA</t>
  </si>
  <si>
    <t>B0756SVPMF</t>
  </si>
  <si>
    <t>Address Labels for Inkjet Printers 1" x 2-5/8", Pack of 15000 Labels</t>
  </si>
  <si>
    <t>Published Products</t>
  </si>
  <si>
    <t>Signage and accessories</t>
  </si>
  <si>
    <t>Labels</t>
  </si>
  <si>
    <t>Addressing or mailing labels</t>
  </si>
  <si>
    <t>FungLam</t>
  </si>
  <si>
    <t>A4-30-500.FBA</t>
  </si>
  <si>
    <t>901: 2250 Lion Country</t>
  </si>
  <si>
    <t>FungLam Supply</t>
  </si>
  <si>
    <t>shenzhen</t>
  </si>
  <si>
    <t>guangdong</t>
  </si>
  <si>
    <t>114-0851193-3397835</t>
  </si>
  <si>
    <t>UT6794BNPK-IN</t>
  </si>
  <si>
    <t>Pending</t>
  </si>
  <si>
    <t>Winnie Yeung</t>
  </si>
  <si>
    <t>winnie.yeung@unisco.com</t>
  </si>
  <si>
    <t>GK5M9ML43AM5</t>
  </si>
  <si>
    <t>B019923RZY</t>
  </si>
  <si>
    <t>Hammermill Printer Paper, 20 lb Copy Paper, 8.5 x 11 - 1 Pallet, 40 Cases (200,000 Sheets) - 92 Bright, Made in the USA</t>
  </si>
  <si>
    <t>Paper Materials and Products</t>
  </si>
  <si>
    <t>Paper products</t>
  </si>
  <si>
    <t>Printing and writing paper</t>
  </si>
  <si>
    <t>Printer or copier paper</t>
  </si>
  <si>
    <t>HAMNF</t>
  </si>
  <si>
    <t>Hammermill</t>
  </si>
  <si>
    <t>International Paper</t>
  </si>
  <si>
    <t>150010P</t>
  </si>
  <si>
    <t>889: 6800 Valley View</t>
  </si>
  <si>
    <t>111-2868971-0513068</t>
  </si>
  <si>
    <t>UF-NJ</t>
  </si>
  <si>
    <t>Kimberly Lau</t>
  </si>
  <si>
    <t>Joseph Cloppse</t>
  </si>
  <si>
    <t>joseph.cloppse@unisco.com</t>
  </si>
  <si>
    <t>3WYQ1E1VHN46</t>
  </si>
  <si>
    <t>B09JWQ7YFF</t>
  </si>
  <si>
    <t>CRST Heavy Duty Surge Protector Power Strip Metal Power Bar with Wide Spaced 12-Outlet 1800 Joules Protection 15A Circuit Breaker Mounting Brackets 6F</t>
  </si>
  <si>
    <t>Electrical lugs plugs and connectors</t>
  </si>
  <si>
    <t>Electrical extension cable</t>
  </si>
  <si>
    <t>CRST</t>
  </si>
  <si>
    <t>Ningbo Litesun Electric co., LTD.</t>
  </si>
  <si>
    <t>WD-R1203U</t>
  </si>
  <si>
    <t>909: 3001 Woodbridge</t>
  </si>
  <si>
    <t>Rocket Socket Technology</t>
  </si>
  <si>
    <t>889 certification, Classified Small Business</t>
  </si>
  <si>
    <t>west covina</t>
  </si>
  <si>
    <t>111-3569763-0029819</t>
  </si>
  <si>
    <t>2D1266DUH1JE</t>
  </si>
  <si>
    <t>B00GS8VGP6</t>
  </si>
  <si>
    <t>MedPride Powder-Free Nitrile Exam Gloves, Large, Large (Pack of 100)</t>
  </si>
  <si>
    <t>Medical Equipment and Accessories and Supplies</t>
  </si>
  <si>
    <t>Medical apparel and textiles</t>
  </si>
  <si>
    <t>Medical gloves and accessories</t>
  </si>
  <si>
    <t>Medical exam or non surgical procedure gloves</t>
  </si>
  <si>
    <t>MED PRIDE</t>
  </si>
  <si>
    <t>MPR-50505</t>
  </si>
  <si>
    <t>HLmedical</t>
  </si>
  <si>
    <t>889 certification</t>
  </si>
  <si>
    <t>Jackson</t>
  </si>
  <si>
    <t>New Jersey</t>
  </si>
  <si>
    <t>112-4795931-3153831</t>
  </si>
  <si>
    <t>UF-IL</t>
  </si>
  <si>
    <t>SUPPLIES FOR FEB 2023</t>
  </si>
  <si>
    <t>Mario Martinez</t>
  </si>
  <si>
    <t>mario.martinez@unisco.com</t>
  </si>
  <si>
    <t>5C6DNLOF7GGR</t>
  </si>
  <si>
    <t>B01K1P8Q6S</t>
  </si>
  <si>
    <t>PURELL Foodservice Surface Sanitizer Spray, Fragrance Free, 32 fl oz Capped Bottle with Spray Trigger in Pack (Pack of 6) - 3341-06</t>
  </si>
  <si>
    <t>Cleaning and disinfecting solutions</t>
  </si>
  <si>
    <t>PURLQ</t>
  </si>
  <si>
    <t>Purell</t>
  </si>
  <si>
    <t>GOJO - Commercial</t>
  </si>
  <si>
    <t>3341-06</t>
  </si>
  <si>
    <t>848: 9020 Murphy</t>
  </si>
  <si>
    <t>4KTCFQCBOC8K</t>
  </si>
  <si>
    <t>Kitchen</t>
  </si>
  <si>
    <t>B0BGS4DJT9</t>
  </si>
  <si>
    <t>kelamayi Broom and Dustpan Set for Home?Broom and Dustpan Set, Broom Dustpan Set, Broom and Dustpan Combo for Office, Stand Up Broom and Dustpan (Blac</t>
  </si>
  <si>
    <t>Brooms and mops and brushes and accessories</t>
  </si>
  <si>
    <t>kelamayi</t>
  </si>
  <si>
    <t>Kelamayi</t>
  </si>
  <si>
    <t>KYC Direct</t>
  </si>
  <si>
    <t>深圳市</t>
  </si>
  <si>
    <t>B072BB5Q4X</t>
  </si>
  <si>
    <t>Nine Forty Industrial Strength Ultimate Cotton Floor Dust Mop Refill | Commercial Cleaner Mop Head Replacement (1 Pack, 60" Wide X 5")</t>
  </si>
  <si>
    <t>Nine Forty</t>
  </si>
  <si>
    <t>COMINHKPR145008</t>
  </si>
  <si>
    <t>Scottsdale</t>
  </si>
  <si>
    <t>AZ</t>
  </si>
  <si>
    <t>113-1655469-0891414</t>
  </si>
  <si>
    <t>UF-WA</t>
  </si>
  <si>
    <t>Jennifer Stanek</t>
  </si>
  <si>
    <t>jennifer.stanek@unisco.com</t>
  </si>
  <si>
    <t>1ZXZZBLCWWWM</t>
  </si>
  <si>
    <t>Lawn &amp; Patio</t>
  </si>
  <si>
    <t>B0BDQBYMDN</t>
  </si>
  <si>
    <t>Black History Month Banner Balloons Party Decorations - African BHM Worthwhile Commemoration National Black History Party Balloons Banner Decor Suppli</t>
  </si>
  <si>
    <t>Signage</t>
  </si>
  <si>
    <t>Banners</t>
  </si>
  <si>
    <t>Know me</t>
  </si>
  <si>
    <t>Black History Banner + Balloons</t>
  </si>
  <si>
    <t>879: 3320 Lincoln</t>
  </si>
  <si>
    <t>Guangzhou</t>
  </si>
  <si>
    <t>Guangdong</t>
  </si>
  <si>
    <t>113-1144037-2836227</t>
  </si>
  <si>
    <t>5N08MESEA5VC</t>
  </si>
  <si>
    <t>877: 20024 85th</t>
  </si>
  <si>
    <t>113-4041890-5509821</t>
  </si>
  <si>
    <t>5AES9032RKEL</t>
  </si>
  <si>
    <t>902: 14801 Spring</t>
  </si>
  <si>
    <t>113-3200537-1903421</t>
  </si>
  <si>
    <t>6VGNU6C3HX0R</t>
  </si>
  <si>
    <t>880: 12005 Steele</t>
  </si>
  <si>
    <t>111-7145683-3139433</t>
  </si>
  <si>
    <t>Kelly Malone</t>
  </si>
  <si>
    <t>kelly.malone@unisco.com</t>
  </si>
  <si>
    <t>2RQJQC273C3K</t>
  </si>
  <si>
    <t>B0BPWVQW9R</t>
  </si>
  <si>
    <t>Black History Month Decoration Black History Month Party Theme Banners Latex Balloons Cupcake Toppers for African American Black History Month Party D</t>
  </si>
  <si>
    <t>Ertyjikg</t>
  </si>
  <si>
    <t>Ertyjikg-1</t>
  </si>
  <si>
    <t>868: 10565 Red Bluff</t>
  </si>
  <si>
    <t>Xu An</t>
  </si>
  <si>
    <t>HeFei</t>
  </si>
  <si>
    <t>AnHui</t>
  </si>
  <si>
    <t>111-9581674-3115401</t>
  </si>
  <si>
    <t>1O7XBGOCUIWP</t>
  </si>
  <si>
    <t>Grocery</t>
  </si>
  <si>
    <t>B0017TMTFM</t>
  </si>
  <si>
    <t>N'Joy Sugar Canister | 20 Ounce, Pack of 6 | 100% Pure Granulated Sugar| Easy Pour Lid, Bulk Size</t>
  </si>
  <si>
    <t>Food Beverage and Tobacco Products</t>
  </si>
  <si>
    <t>Chocolate and sugars and sweeteners and confectionary products</t>
  </si>
  <si>
    <t>Chocolate and sugars and sweetening products</t>
  </si>
  <si>
    <t>NJOZ1</t>
  </si>
  <si>
    <t>N'Joy</t>
  </si>
  <si>
    <t>Sugar Foods</t>
  </si>
  <si>
    <t>SUG90585</t>
  </si>
  <si>
    <t>B09HCTXT48</t>
  </si>
  <si>
    <t>Folgers Classic Roast Medium Roast Ground Coffee, 25.9 Ounces (Pack of 6)</t>
  </si>
  <si>
    <t>Beverages</t>
  </si>
  <si>
    <t>Coffee and tea</t>
  </si>
  <si>
    <t>Coffee</t>
  </si>
  <si>
    <t>FOLGB</t>
  </si>
  <si>
    <t>Folgers</t>
  </si>
  <si>
    <t>The J.M. Smucker Co.</t>
  </si>
  <si>
    <t>Amazon.com</t>
  </si>
  <si>
    <t>WA</t>
  </si>
  <si>
    <t>112-5393771-3397819</t>
  </si>
  <si>
    <t>UF-CA</t>
  </si>
  <si>
    <t>Michelle Topete</t>
  </si>
  <si>
    <t>michelle.topete@unisco.com</t>
  </si>
  <si>
    <t>1WSFK51F8KT0</t>
  </si>
  <si>
    <t>931: 10681 Production</t>
  </si>
  <si>
    <t>Toy</t>
  </si>
  <si>
    <t>B0BJDRWWZ6</t>
  </si>
  <si>
    <t>Black History Month Foil Balloons Party Decorations African American Holiday Party Supplies African BHM Party Favors Balloons Decor - African American</t>
  </si>
  <si>
    <t>Musical Instruments and Games and Toys and Arts and Crafts and Educational Equipment and Materials and Accessories and Supplies</t>
  </si>
  <si>
    <t>Toys and games</t>
  </si>
  <si>
    <t>Toys</t>
  </si>
  <si>
    <t>FSHANEE</t>
  </si>
  <si>
    <t>XM0219</t>
  </si>
  <si>
    <t>Tingrui</t>
  </si>
  <si>
    <t>B0BDQVR9KK</t>
  </si>
  <si>
    <t>Black History Month Banner Honeycomb Table Centerpieces, African American Country Festival Black History Honeycomb Centerpieces Party Supplies Decorat</t>
  </si>
  <si>
    <t>Nutritional supplements</t>
  </si>
  <si>
    <t>DragzwS</t>
  </si>
  <si>
    <t>Black History Centerpieces Honeycomb</t>
  </si>
  <si>
    <t>揭阳</t>
  </si>
  <si>
    <t>广东</t>
  </si>
  <si>
    <t>114-5895507-4808258</t>
  </si>
  <si>
    <t>UT-CA</t>
  </si>
  <si>
    <t>Jon Sullivan</t>
  </si>
  <si>
    <t>jon.sullivan@unisco.com</t>
  </si>
  <si>
    <t>8UNEU421UIZI</t>
  </si>
  <si>
    <t>Wireless</t>
  </si>
  <si>
    <t>B08GCHLRYW</t>
  </si>
  <si>
    <t>VICSEED Car Phone Holder Mount, [Upgrade Doesn't Slip &amp; Drop] Air Vent Cell Phone Holder for Car Hands Free Easy Clamp Cradle in Vehicle Compatible wi</t>
  </si>
  <si>
    <t>VIFYV</t>
  </si>
  <si>
    <t>VICSEED</t>
  </si>
  <si>
    <t>2300: Transportation</t>
  </si>
  <si>
    <t>33: UT (Trucking)</t>
  </si>
  <si>
    <t>907: 1931 G</t>
  </si>
  <si>
    <t>Vicseed US Direct</t>
  </si>
  <si>
    <t>shenzhenshi longhuaqu</t>
  </si>
  <si>
    <t>guangdongsheng China</t>
  </si>
  <si>
    <t>114-3500298-4583464</t>
  </si>
  <si>
    <t>6KYZGF0F7ZEH</t>
  </si>
  <si>
    <t>B08ZXW3P6S</t>
  </si>
  <si>
    <t>Foxtop Gold Wall Clock 12 Inch Silent Non-Ticking Battery Operated Round Modern Wall Clock for Living Room Bedroom Kitchen Home Office Decor</t>
  </si>
  <si>
    <t>Timepieces and Jewelry and Gemstone Products</t>
  </si>
  <si>
    <t>Timepieces</t>
  </si>
  <si>
    <t>Clocks</t>
  </si>
  <si>
    <t>Wall clocks</t>
  </si>
  <si>
    <t>Foxtop</t>
  </si>
  <si>
    <t>001: 218 Machlin</t>
  </si>
  <si>
    <t>Foxtop Direct</t>
  </si>
  <si>
    <t>长沙市</t>
  </si>
  <si>
    <t>湖南省</t>
  </si>
  <si>
    <t>114-4256365-7789810</t>
  </si>
  <si>
    <t>UF-GA</t>
  </si>
  <si>
    <t>Demetria Humphrey</t>
  </si>
  <si>
    <t>demetria.humphrey@unisco.com</t>
  </si>
  <si>
    <t>6CTWOF6HF1WZ</t>
  </si>
  <si>
    <t>B0BCNVRLT4</t>
  </si>
  <si>
    <t>VEVOR E Track Ratchet Strap, 18PCS 2" x 15' E-Track Straps 4400 LBS Breaking Strength, with Polyester Webbing &amp; Spring Fitting &amp; Ratchets, Durable Tie</t>
  </si>
  <si>
    <t>Manufacturing Components and Supplies</t>
  </si>
  <si>
    <t>Rope and chain and cable and wire and strap</t>
  </si>
  <si>
    <t>Straps</t>
  </si>
  <si>
    <t>VEVOV</t>
  </si>
  <si>
    <t>VEVOR</t>
  </si>
  <si>
    <t>18PCS 2" x 15' E Track Ratchet Straps</t>
  </si>
  <si>
    <t>ET Ratchet Strap 1815</t>
  </si>
  <si>
    <t>893: 335 Morgan Lakes</t>
  </si>
  <si>
    <t>114-7665481-4156228</t>
  </si>
  <si>
    <t>UF6743RIV2-IN</t>
  </si>
  <si>
    <t>6TAUV9XX8OS2</t>
  </si>
  <si>
    <t>B08TF18HZC</t>
  </si>
  <si>
    <t>Stop Signs, Street Stop Sign, 18x18 Inches, 3M EGP Reflective .063 Aluminum, Fade Resistant, Indoor/Outdoor Use, Made in USA by Sigo Signs</t>
  </si>
  <si>
    <t>Sigo Signs</t>
  </si>
  <si>
    <t>SI-1124-18-R-O</t>
  </si>
  <si>
    <t>882: 2677 Alessandro</t>
  </si>
  <si>
    <t>SIGO SIGNS</t>
  </si>
  <si>
    <t>Elmwood Park</t>
  </si>
  <si>
    <t>NJ</t>
  </si>
  <si>
    <t>113-7381578-1221867</t>
  </si>
  <si>
    <t>Courtney Klein</t>
  </si>
  <si>
    <t>courtney.klein@unisco.com</t>
  </si>
  <si>
    <t>27QSC2PO8PS1</t>
  </si>
  <si>
    <t>B01HSFHACU</t>
  </si>
  <si>
    <t>BAM 3 Pack High Speed 4K HDMI Cables - 10' Long</t>
  </si>
  <si>
    <t>Electrical wire and cable and harness</t>
  </si>
  <si>
    <t>Electrical cable and accessories</t>
  </si>
  <si>
    <t>BAM</t>
  </si>
  <si>
    <t>HC1014 x 3</t>
  </si>
  <si>
    <t>6000: Administration/Executive</t>
  </si>
  <si>
    <t>894: 320 Morgan Lakes</t>
  </si>
  <si>
    <t>Mix Wholesale</t>
  </si>
  <si>
    <t>Savannah</t>
  </si>
  <si>
    <t>GA</t>
  </si>
  <si>
    <t>113-3002315-8209063</t>
  </si>
  <si>
    <t>PR-6761</t>
  </si>
  <si>
    <t>kimberly.lau@unisco.com</t>
  </si>
  <si>
    <t>2QDGWX33V8R6</t>
  </si>
  <si>
    <t>B0B67G74ZY</t>
  </si>
  <si>
    <t>Large Magnetic Whiteboard, maxtek 60 x 36 Magnetic Dry Erase Board Foldable with Marker Tray 1 Eraser 3 Markers and 6 Magnets| Wall-Mounted Aluminum M</t>
  </si>
  <si>
    <t>Boards</t>
  </si>
  <si>
    <t>maxtek</t>
  </si>
  <si>
    <t>SJ-PTL-90150</t>
  </si>
  <si>
    <t>827: 7600 Wood</t>
  </si>
  <si>
    <t>maxtekDirect</t>
  </si>
  <si>
    <t>Shunde District</t>
  </si>
  <si>
    <t>Foshan Guangdong</t>
  </si>
  <si>
    <t>111-7678965-7230633</t>
  </si>
  <si>
    <t>Brenda</t>
  </si>
  <si>
    <t>brenda.salgado@unisco.com</t>
  </si>
  <si>
    <t>2QDXCU0YGIGH</t>
  </si>
  <si>
    <t>B0BSB14QJ2</t>
  </si>
  <si>
    <t>Lion Locks 6 Keyed-Alike Padlocks w/ 2" Long Shackle, 12 Keys, Hardened Steel Case, Pick Resistant Brass Pin Cylinder (6-Pack) for Hasp Latch, Shed, F</t>
  </si>
  <si>
    <t>Defense and Law Enforcement and Security and Safety Equipment and Supplies</t>
  </si>
  <si>
    <t>Security surveillance and detection</t>
  </si>
  <si>
    <t>Locks and security hardware and accessories</t>
  </si>
  <si>
    <t>Lion Locks</t>
  </si>
  <si>
    <t>807: 775 Veterans</t>
  </si>
  <si>
    <t>Shop-Square</t>
  </si>
  <si>
    <t>Miami</t>
  </si>
  <si>
    <t>FL</t>
  </si>
  <si>
    <t>114-5622042-6895429</t>
  </si>
  <si>
    <t>36AHVENNJYEN</t>
  </si>
  <si>
    <t>B01GQO8VAE</t>
  </si>
  <si>
    <t>Jillson Roberts 6 Roll-Count All-Occasion Solid Color Gift Wrap Available in 10 Different Assortments, Crayon Box</t>
  </si>
  <si>
    <t>Novelty paper</t>
  </si>
  <si>
    <t>Gift wrapping paper or bags or boxes</t>
  </si>
  <si>
    <t>JILAP</t>
  </si>
  <si>
    <t>JILLSON &amp; ROBERTS</t>
  </si>
  <si>
    <t>Jillson Roberts</t>
  </si>
  <si>
    <t>SRW005</t>
  </si>
  <si>
    <t>Single Detail Page Misc</t>
  </si>
  <si>
    <t>B09V89NYDX</t>
  </si>
  <si>
    <t>jinlingone HD Black History Famous Quotes Decoration Painting | 4-Pack (20.32 * 25.4 cm)frameless . Including Barack Obama, Nelson Mandela, Martin Lut</t>
  </si>
  <si>
    <t>Arts and crafts equipment and accessories and supplies</t>
  </si>
  <si>
    <t>Art</t>
  </si>
  <si>
    <t>Posters</t>
  </si>
  <si>
    <t>jinlingone</t>
  </si>
  <si>
    <t>Chenjingling</t>
  </si>
  <si>
    <t>广州市</t>
  </si>
  <si>
    <t>B0B1J2HBDF</t>
  </si>
  <si>
    <t>Containlol Christmas Bulletin Board Borders,Winter Shine Glitter Scalloped Border Trim Holiday Border Paper for School Classroom Office Party Wall Dec</t>
  </si>
  <si>
    <t>Containlol</t>
  </si>
  <si>
    <t>Containlol-Board Border-44569</t>
  </si>
  <si>
    <t>Couzerhou</t>
  </si>
  <si>
    <t>合肥市</t>
  </si>
  <si>
    <t>安徽省</t>
  </si>
  <si>
    <t>112-3214390-9250655</t>
  </si>
  <si>
    <t>5NX219MBTLAU</t>
  </si>
  <si>
    <t>B06XRFNYY4</t>
  </si>
  <si>
    <t>Fellowes Thermal Laminating Pouches, 5mil Letter Size Sheets, 9 x 11.5, 100 Pack, Clear (5743501)?</t>
  </si>
  <si>
    <t>Laminating supplies</t>
  </si>
  <si>
    <t>Laminator pouches</t>
  </si>
  <si>
    <t>111-1336170-8193028</t>
  </si>
  <si>
    <t>5I984J4UDYLQ</t>
  </si>
  <si>
    <t>B08524GLQP</t>
  </si>
  <si>
    <t>50 Pcs Clear Plastic Vertical Name Badge ID Card Holders</t>
  </si>
  <si>
    <t>Identification documents</t>
  </si>
  <si>
    <t>Badges or badge holders</t>
  </si>
  <si>
    <t>Orcielo</t>
  </si>
  <si>
    <t>BG6-50pack</t>
  </si>
  <si>
    <t>Xingning</t>
  </si>
  <si>
    <t>111-9411003-7628216</t>
  </si>
  <si>
    <t>1DYJ7VJ661FS</t>
  </si>
  <si>
    <t>B00L47FZ8A</t>
  </si>
  <si>
    <t>Rockwell RK7323 BladeRunner X2 Portable Tabletop Saw with Steel Rip Fence, Miter Gauge &amp; 7 Accessories</t>
  </si>
  <si>
    <t>Tools and General Machinery</t>
  </si>
  <si>
    <t>Hand tools</t>
  </si>
  <si>
    <t>RBRU9</t>
  </si>
  <si>
    <t>Rockwell</t>
  </si>
  <si>
    <t>Positec USA</t>
  </si>
  <si>
    <t>RK7323</t>
  </si>
  <si>
    <t>America's E-Commerce LLC</t>
  </si>
  <si>
    <t>Beaver Falls</t>
  </si>
  <si>
    <t>PA</t>
  </si>
  <si>
    <t>114-4137786-5140207</t>
  </si>
  <si>
    <t>UF6702IL-IN</t>
  </si>
  <si>
    <t>4TXYPZWXBOGA</t>
  </si>
  <si>
    <t>B0B23YZJGF</t>
  </si>
  <si>
    <t>QWORK Fire Extinguisher Wall Hook, Mount, Bracket, Hanger for 15 to 20 Lb. Extinguishers, Universal, 8 Pack</t>
  </si>
  <si>
    <t>Hardware</t>
  </si>
  <si>
    <t>Brackets and braces</t>
  </si>
  <si>
    <t>QWORK</t>
  </si>
  <si>
    <t>WD8057</t>
  </si>
  <si>
    <t>杭州市</t>
  </si>
  <si>
    <t>浙江省</t>
  </si>
  <si>
    <t>111-4129443-8895454</t>
  </si>
  <si>
    <t>Yvette</t>
  </si>
  <si>
    <t>yvette.schreiber@unisco.com</t>
  </si>
  <si>
    <t>4UEZT0H594AD</t>
  </si>
  <si>
    <t>B09QBV82D3</t>
  </si>
  <si>
    <t>Giochem [5-Pack] USB 2.0 to ethernet Adapter USB to RJ45 Adapter Supporting 10/100 Mbps Ethernet Network for Window/Mac OS, Surface Pro/Linux</t>
  </si>
  <si>
    <t>System Cards</t>
  </si>
  <si>
    <t>Giochem</t>
  </si>
  <si>
    <t>825: 175 Cesanek</t>
  </si>
  <si>
    <t>PC Accessory</t>
  </si>
  <si>
    <t>B00C2DLRV4</t>
  </si>
  <si>
    <t>Cable Matters 10Gbps 5-Pack Snagless Cat 6 Ethernet Cable 14 ft (Cat 6 Cable, Cat6 Cable, Internet Cable, Network Cable) in Black</t>
  </si>
  <si>
    <t>Cable Matters</t>
  </si>
  <si>
    <t>160001-BLK-14x5</t>
  </si>
  <si>
    <t>Registered Small Business, 889 certification</t>
  </si>
  <si>
    <t>Southborough</t>
  </si>
  <si>
    <t>MA</t>
  </si>
  <si>
    <t>114-8823430-5738635</t>
  </si>
  <si>
    <t>ACC20230127</t>
  </si>
  <si>
    <t>Henry Lin</t>
  </si>
  <si>
    <t>henry.lin@unisco.com</t>
  </si>
  <si>
    <t>4S3C4W99IZJ9</t>
  </si>
  <si>
    <t>B018OR5AA0</t>
  </si>
  <si>
    <t>Pinwheel Postage Meter Tapes Compatible with All Brands of Mailing Machines. 300 Tapes in a Pack</t>
  </si>
  <si>
    <t>Discount Supply Company</t>
  </si>
  <si>
    <t>na</t>
  </si>
  <si>
    <t>5000: Accounting</t>
  </si>
  <si>
    <t>Discount Supply Co.</t>
  </si>
  <si>
    <t>Paola</t>
  </si>
  <si>
    <t>KS</t>
  </si>
  <si>
    <t>B085VV4TV5</t>
  </si>
  <si>
    <t>#8 Double Window Security Check Envelopes, No.8 Double Window Bussiness Envelopes Designed for QuickBooks Checks - Computer Printed Checks - 3 5/8 X 8</t>
  </si>
  <si>
    <t>Office supplies</t>
  </si>
  <si>
    <t>Mailing supplies</t>
  </si>
  <si>
    <t>HERKKA</t>
  </si>
  <si>
    <t>No8-2Win-Lixing</t>
  </si>
  <si>
    <t>HERKKA US</t>
  </si>
  <si>
    <t>Baoan</t>
  </si>
  <si>
    <t>Guangdong Shenzhen</t>
  </si>
  <si>
    <t>112-8850146-7986613</t>
  </si>
  <si>
    <t>HRUF6698BNPK-IN</t>
  </si>
  <si>
    <t>44UJIWR5OX7S</t>
  </si>
  <si>
    <t>B09SQ485QK</t>
  </si>
  <si>
    <t>Simplified Desk Calendar - Runs from June 2022 until December 2023 - 17"x11" Minimalistic Office Desktop/Wall Calendar for Easy Organizing</t>
  </si>
  <si>
    <t>Planning systems</t>
  </si>
  <si>
    <t>Calendars</t>
  </si>
  <si>
    <t>ZICOTO</t>
  </si>
  <si>
    <t>zic-dof0622-1223-145</t>
  </si>
  <si>
    <t>6100: Human Resources</t>
  </si>
  <si>
    <t>Zicoto US</t>
  </si>
  <si>
    <t>Pissouri</t>
  </si>
  <si>
    <t>Limassol</t>
  </si>
  <si>
    <t>112-9371061-7804206</t>
  </si>
  <si>
    <t>4JS0CT08U0HQ</t>
  </si>
  <si>
    <t>B0B2PC7DF9</t>
  </si>
  <si>
    <t>KIMARS KN95 Face Masks 100 Pack, Breathable Comfortable and Disposable KN95 Mask, Black</t>
  </si>
  <si>
    <t>Personal safety and protection</t>
  </si>
  <si>
    <t>Respiratory protection</t>
  </si>
  <si>
    <t>Masks or accessories</t>
  </si>
  <si>
    <t>KIMARS</t>
  </si>
  <si>
    <t>Guangdong Handi Medical Device Technology Co.,Ltd.</t>
  </si>
  <si>
    <t>HD-488</t>
  </si>
  <si>
    <t>Nanhai Plus</t>
  </si>
  <si>
    <t>Shenzhen</t>
  </si>
  <si>
    <t>B005EE4UG2</t>
  </si>
  <si>
    <t>Pentel EnerGel-X Retractable Liquid Gel Pen, 0.7 mm, Black, Pack of 12</t>
  </si>
  <si>
    <t>Writing instruments</t>
  </si>
  <si>
    <t>Rollerball pens</t>
  </si>
  <si>
    <t>PENAG</t>
  </si>
  <si>
    <t>Pentel</t>
  </si>
  <si>
    <t>BL107-A</t>
  </si>
  <si>
    <t>113-1105709-8581829</t>
  </si>
  <si>
    <t>UF-TN</t>
  </si>
  <si>
    <t>Malinda Hungate</t>
  </si>
  <si>
    <t>malinda.hungate@unisco.com</t>
  </si>
  <si>
    <t>7H4KLR3UFF8P</t>
  </si>
  <si>
    <t>B01A5KLUG2</t>
  </si>
  <si>
    <t>UV Flashlight Black Light, Vansky 51 LED Blacklight Pet Urine Detector for Dog/Cat Urine, Dry Stains, Bed Bug, Matching with Pet Odor Eliminator</t>
  </si>
  <si>
    <t>Lighting Fixtures and Accessories</t>
  </si>
  <si>
    <t>Exterior lighting fixtures and accessories</t>
  </si>
  <si>
    <t>Flashlight</t>
  </si>
  <si>
    <t>VAOA0</t>
  </si>
  <si>
    <t>Vansky</t>
  </si>
  <si>
    <t>UV flashlight</t>
  </si>
  <si>
    <t>VS-FL03-V</t>
  </si>
  <si>
    <t>812: 4400-4500 Quality</t>
  </si>
  <si>
    <t>Vanskytek Direct</t>
  </si>
  <si>
    <t>B07YLTJHH4</t>
  </si>
  <si>
    <t>Amazon Basics Professional Journal, 10.5X7.5 inches, Black, 2-Pack</t>
  </si>
  <si>
    <t>AMZSL</t>
  </si>
  <si>
    <t>NH206267168</t>
  </si>
  <si>
    <t>B07H84CNG9</t>
  </si>
  <si>
    <t>CRAFTSMAN CMXEVBE17595 16 Gallon 6.5 Peak HP Wet/Dry Vac, Heavy-Duty Shop Vacuum with Attachments</t>
  </si>
  <si>
    <t>Janitorial equipment</t>
  </si>
  <si>
    <t>Floor machines and accessories</t>
  </si>
  <si>
    <t>CRBIA</t>
  </si>
  <si>
    <t>Craftsman</t>
  </si>
  <si>
    <t>Emerson Tool Company</t>
  </si>
  <si>
    <t>CMXEVBE17595</t>
  </si>
  <si>
    <t>B08CXL579X</t>
  </si>
  <si>
    <t>JIGA 3 Pack Toilet Brush and Holder Set, Toilet Bowl Brush with Caddy Bathroom Stiff Bristles Toilet Scrub Brush, White</t>
  </si>
  <si>
    <t>JIGA</t>
  </si>
  <si>
    <t>VW-TBS-3-White</t>
  </si>
  <si>
    <t>JIGA Store</t>
  </si>
  <si>
    <t>台州市</t>
  </si>
  <si>
    <t>B07KFNQRYL</t>
  </si>
  <si>
    <t>Mintra Office Spiral Notebooks - Pastel, College Ruled, 6 Pack, For School, Office, Business, Professional,70 Sheets</t>
  </si>
  <si>
    <t>Paper pads or notebooks</t>
  </si>
  <si>
    <t>Mintra Office</t>
  </si>
  <si>
    <t>Mintra Products</t>
  </si>
  <si>
    <t>Marlborough</t>
  </si>
  <si>
    <t>114-6459684-8780251</t>
  </si>
  <si>
    <t>UF6737TN-IN</t>
  </si>
  <si>
    <t>66IGQ9QMEZLH</t>
  </si>
  <si>
    <t>Home</t>
  </si>
  <si>
    <t>B07CNQBPCG</t>
  </si>
  <si>
    <t>Broom and Dustpan/Dustpan with Broom Combo with 52" Long Handle for Home Kitchen Room Office Lobby Floor Use Upright Stand Up Broom and Dustpan Set fo</t>
  </si>
  <si>
    <t>TreeLen</t>
  </si>
  <si>
    <t>unknown</t>
  </si>
  <si>
    <t>811: 4550 Quality</t>
  </si>
  <si>
    <t>HomeBest Direct</t>
  </si>
  <si>
    <t>孝感</t>
  </si>
  <si>
    <t>湖北</t>
  </si>
  <si>
    <t>B0759MFTWP</t>
  </si>
  <si>
    <t>SC Johnson Professional, Glade Air Freshener and Odor Spray- Super Fresh Scent, 13.8 Oz (Pack Of 12)</t>
  </si>
  <si>
    <t>Air freshener</t>
  </si>
  <si>
    <t>GLAAI</t>
  </si>
  <si>
    <t>SC Johnson Professional</t>
  </si>
  <si>
    <t>SCJohnson</t>
  </si>
  <si>
    <t>Furniture</t>
  </si>
  <si>
    <t>B08F9KHKJB</t>
  </si>
  <si>
    <t>TuoxinEM Corner Shelf,Corner Shelves for Living Room,Small Corner Shelf for Corner Storage,Corner Stand Great for Corner Decor Storgage,Small Corner T</t>
  </si>
  <si>
    <t>TuoxinEM</t>
  </si>
  <si>
    <t>J240-TX</t>
  </si>
  <si>
    <t>tuoxinem</t>
  </si>
  <si>
    <t>贵溪市</t>
  </si>
  <si>
    <t>江西省</t>
  </si>
  <si>
    <t>111-1267217-6735414</t>
  </si>
  <si>
    <t>UT-WA</t>
  </si>
  <si>
    <t>Thao Nguyen</t>
  </si>
  <si>
    <t>thao.nguyen@unisco.com</t>
  </si>
  <si>
    <t>60IJHJGL1B0J</t>
  </si>
  <si>
    <t>B097P6TKYH</t>
  </si>
  <si>
    <t>Board2by Cork Board Bulletin Board 36 x 48, Black Wood Framed 4x3 Corkboard, Office Board for Wall Cork, Large Wall Mounted Notice Pin Board with 18 P</t>
  </si>
  <si>
    <t>Board2by</t>
  </si>
  <si>
    <t>NB-CorkB48-BW</t>
  </si>
  <si>
    <t>NB Atlanta</t>
  </si>
  <si>
    <t>Suzhou</t>
  </si>
  <si>
    <t>Jiangsu</t>
  </si>
  <si>
    <t>111-9888175-8734645</t>
  </si>
  <si>
    <t>518ZE4NHZBW5</t>
  </si>
  <si>
    <t>Automotive Parts and Accessories</t>
  </si>
  <si>
    <t>B078BJDCLB</t>
  </si>
  <si>
    <t>Autofonder Ratchet Tie Down Strap - 4 Pack 2" x 27' Heavy Duty Ratchet Straps with Aluminum Handle, Cargo Straps for Moving Appliances, Lawn Equipment</t>
  </si>
  <si>
    <t>Autofonder</t>
  </si>
  <si>
    <t>宁波市</t>
  </si>
  <si>
    <t>111-6120567-1129815</t>
  </si>
  <si>
    <t>145W6RI6N1OD</t>
  </si>
  <si>
    <t>B07GV78ZKK</t>
  </si>
  <si>
    <t>COMFEE' EM720CPL-PM Countertop Microwave Oven with Sound On/Off, ECO Mode and Easy One-Touch Buttons, 0.7 Cu Ft/700W, Pearl White</t>
  </si>
  <si>
    <t>Domestic Appliances and Supplies and Consumer Electronic Products</t>
  </si>
  <si>
    <t>Domestic appliances</t>
  </si>
  <si>
    <t>Domestic kitchen appliances</t>
  </si>
  <si>
    <t>Domestic microwave ovens</t>
  </si>
  <si>
    <t>CO1HZ</t>
  </si>
  <si>
    <t>COMFEE'</t>
  </si>
  <si>
    <t>EM720CPL-PM</t>
  </si>
  <si>
    <t>113-0842616-5898660</t>
  </si>
  <si>
    <t>PR-6751</t>
  </si>
  <si>
    <t>6IVYIZGGOYQZ</t>
  </si>
  <si>
    <t>B085XYGVD8</t>
  </si>
  <si>
    <t>SDS Stickers/MSDS Stickers for Chemical Safty Data 1 X 3 Inches - Chemical Identifying and Labeling Sticker Decals - 250 HIMG Write-in Labels</t>
  </si>
  <si>
    <t>Well Tile</t>
  </si>
  <si>
    <t>We 2020031601</t>
  </si>
  <si>
    <t>839: 6200 St. John</t>
  </si>
  <si>
    <t>Well tile</t>
  </si>
  <si>
    <t>Dongguan tangxia</t>
  </si>
  <si>
    <t>china</t>
  </si>
  <si>
    <t>B08HVSQQQ5</t>
  </si>
  <si>
    <t>Outdoor Extension Cord Cover [Set of 4] Extension Cord Connector - Indoor &amp; Outdoor Water-Tight Cord Lock for Timers, Extension Cables, Reels, Transfo</t>
  </si>
  <si>
    <t>SEWANTA</t>
  </si>
  <si>
    <t>SA sales</t>
  </si>
  <si>
    <t>112-2899680-4523431</t>
  </si>
  <si>
    <t>PR-6698</t>
  </si>
  <si>
    <t>XW4ROSCOJHYT</t>
  </si>
  <si>
    <t>B07DPMY6R9</t>
  </si>
  <si>
    <t>Lanyard 50PCS Lanyards with Swivel Hook Clips for ID Name Badge Holder (Black)</t>
  </si>
  <si>
    <t>Sports and Recreational Equipment and Supplies and Accessories</t>
  </si>
  <si>
    <t>Other sports</t>
  </si>
  <si>
    <t>Physical education classroom equipment</t>
  </si>
  <si>
    <t>Lanyard</t>
  </si>
  <si>
    <t>Beebel</t>
  </si>
  <si>
    <t>BB2018061311</t>
  </si>
  <si>
    <t>B0040ZOF2A</t>
  </si>
  <si>
    <t>Kleenex Professional Facial Tissue for Business (21400), Flat Tissue Boxes, 36 Boxes / Case, 100 Tissues / Box, 3,600 Tissues / Case</t>
  </si>
  <si>
    <t>Personal paper products</t>
  </si>
  <si>
    <t>Facial tissues</t>
  </si>
  <si>
    <t>KLEED</t>
  </si>
  <si>
    <t>Kleenex</t>
  </si>
  <si>
    <t>Kimberly-Clark Professional</t>
  </si>
  <si>
    <t>KCC21400</t>
  </si>
  <si>
    <t>112-6571860-8525815</t>
  </si>
  <si>
    <t>28CBR3FJT5HG</t>
  </si>
  <si>
    <t>B08S1CN5B5</t>
  </si>
  <si>
    <t>Lysol Disinfectant Handi-Pack Wipes, Multi-Surface Antibacterial Cleaning Wipes, for Disinfecting and Cleaning, Lemon and Lime Blossom, 480 Count (Pac</t>
  </si>
  <si>
    <t>Cleaning rags and cloths and wipes</t>
  </si>
  <si>
    <t>Cleaning cloths or wipes</t>
  </si>
  <si>
    <t>LYSOW</t>
  </si>
  <si>
    <t>Lysol</t>
  </si>
  <si>
    <t>AmazonUs/RECAS</t>
  </si>
  <si>
    <t>The Present Moment</t>
  </si>
  <si>
    <t>Garden Grove</t>
  </si>
  <si>
    <t>112-9633649-6259427</t>
  </si>
  <si>
    <t>J5Z8U14XWR61</t>
  </si>
  <si>
    <t>B08GQ9ND1M</t>
  </si>
  <si>
    <t>Zep Freshen Surface Disinfectant Spray 15.5 ounce(Case of 12) EPA Registered Virucidal, Fungicidal and Tuberculocial (1050017)</t>
  </si>
  <si>
    <t>ZEP0L</t>
  </si>
  <si>
    <t>Zep</t>
  </si>
  <si>
    <t>Freshen Disinfectant Spray</t>
  </si>
  <si>
    <t>Storesod</t>
  </si>
  <si>
    <t>SACARMENTO</t>
  </si>
  <si>
    <t>114-6091736-8101806</t>
  </si>
  <si>
    <t>UF6732RIV2-IN</t>
  </si>
  <si>
    <t>34F7NVE9C6VK</t>
  </si>
  <si>
    <t>B08Q4C7YZN</t>
  </si>
  <si>
    <t>Brother P-Touch Home Personal Label Maker - PT-D202</t>
  </si>
  <si>
    <t>Labeling machines</t>
  </si>
  <si>
    <t>BROTG</t>
  </si>
  <si>
    <t>Brother</t>
  </si>
  <si>
    <t>Brother International Corporation</t>
  </si>
  <si>
    <t>PTD202</t>
  </si>
  <si>
    <t>113-6129508-9718665</t>
  </si>
  <si>
    <t>59CD5UXBFXHB</t>
  </si>
  <si>
    <t>B06WGMTMVM</t>
  </si>
  <si>
    <t>BIC Round Stic Xtra Life Ballpoint Ink Pens, Medium Point (1.0mm), Black Pens, Flexible Round Barrel For Writing Comfort, 144-Count</t>
  </si>
  <si>
    <t>Ball point pens</t>
  </si>
  <si>
    <t>BIC5I</t>
  </si>
  <si>
    <t>BIC</t>
  </si>
  <si>
    <t>GSM144AZ BLK</t>
  </si>
  <si>
    <t>B001Q4HUNO</t>
  </si>
  <si>
    <t>BIC Round Stic Xtra Life Blue Ballpoint Pens, Medium Point (1.0mm), 60-Count Pack of Bulk Pens, Flexible Round Barrel for Writing Comfort, No. 1 Selli</t>
  </si>
  <si>
    <t>BGTK9</t>
  </si>
  <si>
    <t>BIC Corporation</t>
  </si>
  <si>
    <t>GSM609-BE</t>
  </si>
  <si>
    <t>GSM609BE</t>
  </si>
  <si>
    <t>B08RNCYW71</t>
  </si>
  <si>
    <t>16 Pack Clipboards Letter Size 9" x 12.5" Eco-Friendly Wood Clip Boards Hardboard for A4 Paper Low Profile Clip for Office, School, Classroom Supplies</t>
  </si>
  <si>
    <t>Folders and binders and indexes</t>
  </si>
  <si>
    <t>Clipboards</t>
  </si>
  <si>
    <t>HappyHapi</t>
  </si>
  <si>
    <t>CS-AC-4</t>
  </si>
  <si>
    <t>HappyHomey</t>
  </si>
  <si>
    <t>Changsha</t>
  </si>
  <si>
    <t>Hunan</t>
  </si>
  <si>
    <t>111-3580957-9236201</t>
  </si>
  <si>
    <t>2X47MCVX53AC</t>
  </si>
  <si>
    <t>B085HLHH51</t>
  </si>
  <si>
    <t>Basic Medical Blue Nitrile Exam Gloves - Latex-Free &amp; Powder-Free - NGPF-7003 (Box of 100), Large</t>
  </si>
  <si>
    <t>BAZEQ</t>
  </si>
  <si>
    <t>Basic</t>
  </si>
  <si>
    <t>INTCO</t>
  </si>
  <si>
    <t>NGPF-7003</t>
  </si>
  <si>
    <t>Supmedic</t>
  </si>
  <si>
    <t>Chino Hills</t>
  </si>
  <si>
    <t>111-7743678-6145817</t>
  </si>
  <si>
    <t>59LJKM2LK3V1</t>
  </si>
  <si>
    <t>B08GQNY82D</t>
  </si>
  <si>
    <t>Yellow highlighter, 24 Pack -bright color, chisel tip, for Adults Kids Highlighting in the Home School Office-Short ...</t>
  </si>
  <si>
    <t>Dabo&amp;Shobo</t>
  </si>
  <si>
    <t>yy-d-huang-24</t>
  </si>
  <si>
    <t>CLOUDRIVER</t>
  </si>
  <si>
    <t>113-0217432-8770609</t>
  </si>
  <si>
    <t>674OD6RKSFHD</t>
  </si>
  <si>
    <t>B07PTSW1M9</t>
  </si>
  <si>
    <t>Flexible Magnetic Tape - 1/2 Inch x 10 Feet Magnetic Strip with Strong Self Adhesive - Ideal Magnetic Roll Tape for DIY and Craft Projects - Sticky Ma</t>
  </si>
  <si>
    <t>Adhesives and sealants</t>
  </si>
  <si>
    <t>Tape</t>
  </si>
  <si>
    <t>X-bet MAGNET</t>
  </si>
  <si>
    <t>X-bet</t>
  </si>
  <si>
    <t>MT2X</t>
  </si>
  <si>
    <t>B078NSNBFF</t>
  </si>
  <si>
    <t>HS Zip Ties 10 Inch White 50 LBS Nylon Medium Clear Cable Ties Straps Strong for Bike/Car/Cord Management,100 Pack</t>
  </si>
  <si>
    <t>Electrical hardware and supplies</t>
  </si>
  <si>
    <t>Cable ties</t>
  </si>
  <si>
    <t>HS</t>
  </si>
  <si>
    <t>HUASU</t>
  </si>
  <si>
    <t>HS4825001</t>
  </si>
  <si>
    <t>HuaSu</t>
  </si>
  <si>
    <t>MONGKOK</t>
  </si>
  <si>
    <t>KL</t>
  </si>
  <si>
    <t>112-2834251-4611424</t>
  </si>
  <si>
    <t>7BBPZBH2MMS6</t>
  </si>
  <si>
    <t>B09L877HFY</t>
  </si>
  <si>
    <t>Gemaxvoled Lockable Box Large Capacity, Clear Locking Box for Medicines, Premium Material Lockable Storage Bin Organizer Box for Fridge Food/Snacks/Ph</t>
  </si>
  <si>
    <t>Material Handling and Conditioning and Storage Machinery and their Accessories and Supplies</t>
  </si>
  <si>
    <t>Containers and storage</t>
  </si>
  <si>
    <t>Bins and baskets</t>
  </si>
  <si>
    <t>Gemaxvoled</t>
  </si>
  <si>
    <t>Guangzhou shi</t>
  </si>
  <si>
    <t>113-8596742-9647435</t>
  </si>
  <si>
    <t>6SZKFFQNUJZX</t>
  </si>
  <si>
    <t>B00PML35RC</t>
  </si>
  <si>
    <t>Amazon Basics VGA to VGA PC Computer Monitor Cable - 6 Feet (1.8 Meters)</t>
  </si>
  <si>
    <t>Sub assemblies for electronic devices</t>
  </si>
  <si>
    <t>Computer cable</t>
  </si>
  <si>
    <t>HL-005040</t>
  </si>
  <si>
    <t>113-1913926-2836239</t>
  </si>
  <si>
    <t>2HLSXQREXZFK</t>
  </si>
  <si>
    <t>B0BN7MVQG8</t>
  </si>
  <si>
    <t>RHINO RESCUE Medical Tourniquets One-Handed, Emergency Hemorrhage First Aid Kit, Combat Outdoor Control Life Saving EMT Mil-Spec Tactical with Windlas</t>
  </si>
  <si>
    <t>Mobile medical services products</t>
  </si>
  <si>
    <t>Mobile medical services kits</t>
  </si>
  <si>
    <t>Mobile medical services first aid kits</t>
  </si>
  <si>
    <t>RHINO RESCUE</t>
  </si>
  <si>
    <t>TN-4PK-Orange</t>
  </si>
  <si>
    <t>Emsrun</t>
  </si>
  <si>
    <t>Wuxi</t>
  </si>
  <si>
    <t>113-9789334-1057026</t>
  </si>
  <si>
    <t>GMCBM1BD7GQ3</t>
  </si>
  <si>
    <t>B01E17HSY8</t>
  </si>
  <si>
    <t>Rapid Care First Aid 80095 4 Shelf ANSI/OSHA Compliant All Purpose First Aid Cabinet Wall Mountable</t>
  </si>
  <si>
    <t>Workplace safety equipment and supplies and training materials</t>
  </si>
  <si>
    <t>Workplace safety training aids and materials</t>
  </si>
  <si>
    <t>Rapid Care, Inc.</t>
  </si>
  <si>
    <t>111-3440959-6428201</t>
  </si>
  <si>
    <t>24FIQFVJY06H</t>
  </si>
  <si>
    <t>112-3926647-9295441</t>
  </si>
  <si>
    <t>UT-IL</t>
  </si>
  <si>
    <t>jill</t>
  </si>
  <si>
    <t>jill.koren@unisco.com</t>
  </si>
  <si>
    <t>3F7840DT1DXC</t>
  </si>
  <si>
    <t>B07KBQ3GZP</t>
  </si>
  <si>
    <t>8 Pack E-Track Ratchet Straps 2"x15' 4400 lbs Tie Down</t>
  </si>
  <si>
    <t>Cargo Control</t>
  </si>
  <si>
    <t>84400215E</t>
  </si>
  <si>
    <t>McGill Tools</t>
  </si>
  <si>
    <t>114-3116626-4183428</t>
  </si>
  <si>
    <t>UF6721PRO-IN</t>
  </si>
  <si>
    <t>73J18JR9P62K</t>
  </si>
  <si>
    <t>B0B9H887Y8</t>
  </si>
  <si>
    <t>SetSail Silicone Toilet Brush Toilet Bowl Brush and Holder Toilet Cleaner Brush with Silicone Bristles Ventilated Toilet Brushes for Bathroom with Hol</t>
  </si>
  <si>
    <t>SetSail</t>
  </si>
  <si>
    <t>k014</t>
  </si>
  <si>
    <t>SetSail US</t>
  </si>
  <si>
    <t>Shenzhen City</t>
  </si>
  <si>
    <t>Guangdong Province</t>
  </si>
  <si>
    <t>114-8033189-9909008</t>
  </si>
  <si>
    <t>37O4ACCF0XLV</t>
  </si>
  <si>
    <t>B083C2DTKX</t>
  </si>
  <si>
    <t>eureka NEU182B PowerSpeed Bagless Upright Vacuum Cleaner, Lite, Purple</t>
  </si>
  <si>
    <t>Vacuum cleaners</t>
  </si>
  <si>
    <t>EURJM</t>
  </si>
  <si>
    <t>EUREKA</t>
  </si>
  <si>
    <t>Eureka</t>
  </si>
  <si>
    <t>NEU182B</t>
  </si>
  <si>
    <t>113-0208408-7958621</t>
  </si>
  <si>
    <t>7FSE0VENYIG1</t>
  </si>
  <si>
    <t>B09DPBHS2C</t>
  </si>
  <si>
    <t>RACETOP Disposable Paper Coffee Cups 12 oz [100 Pack],12 oz White Hot Coffee Paper Cups, Thickened Paper Style</t>
  </si>
  <si>
    <t>Domestic kitchenware and kitchen supplies</t>
  </si>
  <si>
    <t>Domestic drink ware</t>
  </si>
  <si>
    <t>RACETOP</t>
  </si>
  <si>
    <t>112-7041372-0490637</t>
  </si>
  <si>
    <t>Shonna Jones</t>
  </si>
  <si>
    <t>shonna.jones@unisco.com</t>
  </si>
  <si>
    <t>6UGLMKFQZB7Y</t>
  </si>
  <si>
    <t>B0BP67KGXK</t>
  </si>
  <si>
    <t>3 Pack Black History Month Tablecloths Plastic Disposable Rectangular Tablecloths for African American Heritage Festival Party Dining Decoration Suppl</t>
  </si>
  <si>
    <t>Bedclothes and table and kitchen linen and towels</t>
  </si>
  <si>
    <t>Table and kitchen linen and accessories</t>
  </si>
  <si>
    <t>Table cloths</t>
  </si>
  <si>
    <t>823: 300	Seabrook</t>
  </si>
  <si>
    <t>B0B4VCJLCQ</t>
  </si>
  <si>
    <t xml:space="preserve">FreshCut Crafts | Bulletin Board Letters &amp; Numbers, Bright 3 in. Capital Alphabet Letters, Numbers, Punctuation, US Made Card Stock Punch Out Letters </t>
  </si>
  <si>
    <t>FreshCut Crafts</t>
  </si>
  <si>
    <t>3INLNBRT</t>
  </si>
  <si>
    <t>Phoenix</t>
  </si>
  <si>
    <t>MD</t>
  </si>
  <si>
    <t>B097S7R6YZ</t>
  </si>
  <si>
    <t>Black Heroes Poster bulletin board set, 9 charts pack Glossy Paper (9"x19") Young N Refined</t>
  </si>
  <si>
    <t>Young N Refined</t>
  </si>
  <si>
    <t>edu_blackHeroBBset</t>
  </si>
  <si>
    <t>LOS ANGELES</t>
  </si>
  <si>
    <t>6DD39BVIH1SM</t>
  </si>
  <si>
    <t>Art and Craft Supply</t>
  </si>
  <si>
    <t>B0006HXPWC</t>
  </si>
  <si>
    <t>Fadeless Bulletin Board Paper, Fade-Resistant Paper for Classroom Decor, 48" x 12', Black, 1 Roll</t>
  </si>
  <si>
    <t>DASA1</t>
  </si>
  <si>
    <t>Fadeless</t>
  </si>
  <si>
    <t>Darice</t>
  </si>
  <si>
    <t>112-7489262-2391414</t>
  </si>
  <si>
    <t>RTLRQBGU51OV</t>
  </si>
  <si>
    <t>B08DLM473P</t>
  </si>
  <si>
    <t xml:space="preserve">Home Classroom Sweet Motivational Gallery Signs, Confetti and Shine Bulletin Board Motivation Cards with Glue Point Dots for Bulletin Board Classroom </t>
  </si>
  <si>
    <t>Outus</t>
  </si>
  <si>
    <t>Outus-Gallery Sign-T2113</t>
  </si>
  <si>
    <t>Tenjage</t>
  </si>
  <si>
    <t>111-0736300-2651429</t>
  </si>
  <si>
    <t>PR-6667</t>
  </si>
  <si>
    <t>1GGL4DN31W9H</t>
  </si>
  <si>
    <t>B01LXLDBBO</t>
  </si>
  <si>
    <t>Relay MP, Multipurpose Copy Paper, 20lb, 8.5 x 11, 92 Bright - 1 Pallet / 40 cases (013020P)</t>
  </si>
  <si>
    <t>RELYS</t>
  </si>
  <si>
    <t>Relay</t>
  </si>
  <si>
    <t>Sylvamo</t>
  </si>
  <si>
    <t>013020P</t>
  </si>
  <si>
    <t>111-6331536-0947437</t>
  </si>
  <si>
    <t>6RBWIL3AXBXJ</t>
  </si>
  <si>
    <t>B0794VN392</t>
  </si>
  <si>
    <t>Binder Clips Paper Clamp for Paper-130 Pcs Clips Paper Binder Assorted Sizes (Black)</t>
  </si>
  <si>
    <t>Fastening supplies</t>
  </si>
  <si>
    <t>Binder or bulldog clips</t>
  </si>
  <si>
    <t>Apoulin</t>
  </si>
  <si>
    <t>LaDi Ltd.</t>
  </si>
  <si>
    <t>binder120</t>
  </si>
  <si>
    <t>B07V3VZLG1</t>
  </si>
  <si>
    <t>40 Pcs Extra Large Binder Clips 2 Inch for Office</t>
  </si>
  <si>
    <t>Ufmarine</t>
  </si>
  <si>
    <t>HiU.</t>
  </si>
  <si>
    <t>Fuding</t>
  </si>
  <si>
    <t>Fujian</t>
  </si>
  <si>
    <t>113-5609193-8898604</t>
  </si>
  <si>
    <t>7QHVOZJSCXTU</t>
  </si>
  <si>
    <t>B010RFE42W</t>
  </si>
  <si>
    <t xml:space="preserve">Fabuloso All Purpose Cleaner Refill, Lavender, 4 Gallons (1 Gallon, 4 Pack) - Bulk Cleaning Supplies Bundle - Multi-Surface Cleaner, Mopping Solution </t>
  </si>
  <si>
    <t>FABBH</t>
  </si>
  <si>
    <t>Fabuloso</t>
  </si>
  <si>
    <t>Colgate-Palmolive</t>
  </si>
  <si>
    <t>53058CT</t>
  </si>
  <si>
    <t>113-5699408-5567460</t>
  </si>
  <si>
    <t>4GC9KZIJETHE</t>
  </si>
  <si>
    <t>B07XGJQPLJ</t>
  </si>
  <si>
    <t xml:space="preserve">DELUX Microfiber Feather Duster Extendable Duster with 100 inches Extra Long Pole, Bendable Head &amp; Long Handle Dusters for Cleaning Ceiling Fan, High </t>
  </si>
  <si>
    <t>DELUX</t>
  </si>
  <si>
    <t>ZH-DUSTER-01</t>
  </si>
  <si>
    <t>DELUX-US</t>
  </si>
  <si>
    <t>113-8303024-8988213</t>
  </si>
  <si>
    <t>5LOXTBLK4D1C</t>
  </si>
  <si>
    <t>111-5688854-4042623</t>
  </si>
  <si>
    <t>5I4K6F2IOMOS</t>
  </si>
  <si>
    <t>B000TTV2QS</t>
  </si>
  <si>
    <t>Lasko Oscillating Digital Ceramic Tower Heater for Home with Adjustable Thermostat, Timer and Remote Control, 23 Inches, 1500W, Silver, 755320</t>
  </si>
  <si>
    <t>Other domestic household appliances</t>
  </si>
  <si>
    <t>LASY7</t>
  </si>
  <si>
    <t>Lasko</t>
  </si>
  <si>
    <t>112-2858066-0540204</t>
  </si>
  <si>
    <t>UF6715</t>
  </si>
  <si>
    <t>14H1KPZ210FO</t>
  </si>
  <si>
    <t>B09P9VCDSG</t>
  </si>
  <si>
    <t>Laminator, A4 Laminator Machine, 9 Inch Thermal Laminator Machine, 4 in 1 Personal Desktop Cold Laminator with Paper Cutter and Corner Rounder 15 Lami</t>
  </si>
  <si>
    <t>Beixtopopo</t>
  </si>
  <si>
    <t>15 Sheets</t>
  </si>
  <si>
    <t>SL299</t>
  </si>
  <si>
    <t>BEISIJIA Inc</t>
  </si>
  <si>
    <t>惠州</t>
  </si>
  <si>
    <t>114-1614891-1220214</t>
  </si>
  <si>
    <t>4KXN9ZYE5FJW</t>
  </si>
  <si>
    <t>B09995748N</t>
  </si>
  <si>
    <t>Tape Dispenser Desk with 3 Rolls Invisible Tape Dispensers Non-Skid Pad Design Tape with Dispenser, Wide Application for School, Home, Gift Wrapping</t>
  </si>
  <si>
    <t>Desk supplies</t>
  </si>
  <si>
    <t>Tape dispensers</t>
  </si>
  <si>
    <t>Tafomega</t>
  </si>
  <si>
    <t>HQ001</t>
  </si>
  <si>
    <t>DYFUTURE STORE USA</t>
  </si>
  <si>
    <t>114-2084307-4805052</t>
  </si>
  <si>
    <t>7HCARFFMJS5C</t>
  </si>
  <si>
    <t>B07M82ZLQ1</t>
  </si>
  <si>
    <t>Toshiba Brand Name Black Toner 43.9K E20 25 30 35 45 5018A T5018U</t>
  </si>
  <si>
    <t>Printer and facsimile and photocopier supplies</t>
  </si>
  <si>
    <t>Printer or facsimile toner</t>
  </si>
  <si>
    <t>TOSJO</t>
  </si>
  <si>
    <t>Toshiba</t>
  </si>
  <si>
    <t>T5018U</t>
  </si>
  <si>
    <t>Arrowhead Corp</t>
  </si>
  <si>
    <t>CHANDLER</t>
  </si>
  <si>
    <t>114-4672851-1213012</t>
  </si>
  <si>
    <t>KMU29KLKLPPS</t>
  </si>
  <si>
    <t>B07VYJTPL9</t>
  </si>
  <si>
    <t>Amazon Basics Stapler, Full-strip Desktop Stapler, Metal Office Stapler, 20 Sheet Capacity, 3-Pack</t>
  </si>
  <si>
    <t>Staplers</t>
  </si>
  <si>
    <t>KK0327</t>
  </si>
  <si>
    <t>113-5111562-0557023</t>
  </si>
  <si>
    <t>Nikki Crumity</t>
  </si>
  <si>
    <t>nikki.crumity@unisco.com</t>
  </si>
  <si>
    <t>6IMH4TZ1PAK9</t>
  </si>
  <si>
    <t>B08JGCNLFF</t>
  </si>
  <si>
    <t>xydled Wall Mounted Suggestion Box,Ballot Box,Donation Mailbox with 50 Suggestion Cards,Metal Suggestion Box with Lock,Key Drop Box,Collection Box,8.7</t>
  </si>
  <si>
    <t>xydled</t>
  </si>
  <si>
    <t>xyd-direct</t>
  </si>
  <si>
    <t>XYD-SB-BL</t>
  </si>
  <si>
    <t>804: 140 Prosperity</t>
  </si>
  <si>
    <t>wuxi</t>
  </si>
  <si>
    <t>jiangsu</t>
  </si>
  <si>
    <t>B06XSPPJPZ</t>
  </si>
  <si>
    <t>AdirOffice Key Lock Box Cabinet Wall Mount with Keys &amp; 30 Colored Name Tags - Key Safe Organizer for A Mess Free Work Place Such As Car Dealer, Proper</t>
  </si>
  <si>
    <t>AdirOffice</t>
  </si>
  <si>
    <t>ADI681-30-BLK</t>
  </si>
  <si>
    <t>681-30-BLK</t>
  </si>
  <si>
    <t>TigerSupplies</t>
  </si>
  <si>
    <t>IRVINGTON</t>
  </si>
  <si>
    <t>111-3776868-6103425</t>
  </si>
  <si>
    <t>36Y2IBY8QX6O</t>
  </si>
  <si>
    <t>B08NDJ4614</t>
  </si>
  <si>
    <t>AIOPR 4Amp 4-1/2" Mini Circular Saw with Laser Guide, 24T TCT Blade (76602L)</t>
  </si>
  <si>
    <t>Power tools</t>
  </si>
  <si>
    <t>AIOPR</t>
  </si>
  <si>
    <t>BINGYUE</t>
  </si>
  <si>
    <t>Jinhua</t>
  </si>
  <si>
    <t>Zhejiang</t>
  </si>
  <si>
    <t>B07V6RYWW8</t>
  </si>
  <si>
    <t>DEKOPRO 158 Piece Tool Set-General Household Hand Tool Kit,Auto Repair Tool Set, with Plastic Toolbox Storage Case</t>
  </si>
  <si>
    <t>DEKOPRO</t>
  </si>
  <si>
    <t>ewssddf-309</t>
  </si>
  <si>
    <t>Gulin</t>
  </si>
  <si>
    <t>Hangzhou</t>
  </si>
  <si>
    <t>111-6217504-5833842</t>
  </si>
  <si>
    <t>2XJHTXC821TB</t>
  </si>
  <si>
    <t>B08MDGV3DS</t>
  </si>
  <si>
    <t>Premier Pry Bar Junior - Open Angle Heavy Duty Pro Bar | Leverage to Handle any Job | Prying Concrete Forms, Embedded Objects, Aligning Walls or Heavy Pipes | Heavy Duty Construction</t>
  </si>
  <si>
    <t>Clover Products LLC</t>
  </si>
  <si>
    <t>Clover Products</t>
  </si>
  <si>
    <t>CP - 003</t>
  </si>
  <si>
    <t>SIERRA MADRE</t>
  </si>
  <si>
    <t>113-1455809-5097019</t>
  </si>
  <si>
    <t>SCKY4L810V0U</t>
  </si>
  <si>
    <t>B0917GV13P</t>
  </si>
  <si>
    <t>AIRNEX Biodegradable Natural Kitchen Sponge - Compostable Cellulose and Coconut Walnut Scrubber Sponge - Pack of 12 Eco Friendly Sponges for Dishes</t>
  </si>
  <si>
    <t>AIRNEX</t>
  </si>
  <si>
    <t>Bigger &amp; Better Limited</t>
  </si>
  <si>
    <t>AIRNEX USA</t>
  </si>
  <si>
    <t>Hong Kong</t>
  </si>
  <si>
    <t>B073DTWMTR</t>
  </si>
  <si>
    <t>Casabella Sink Sider Solo Kitchen 2-in-1 Soap Pump and Sponge Caddy, Black/Chrome</t>
  </si>
  <si>
    <t>Restroom supplies</t>
  </si>
  <si>
    <t>Institutional soap or lotion dispensers</t>
  </si>
  <si>
    <t>CAWD7</t>
  </si>
  <si>
    <t>Casabella</t>
  </si>
  <si>
    <t>114-6642156-1949000</t>
  </si>
  <si>
    <t>UF6707GRC-IN</t>
  </si>
  <si>
    <t>49JCYNGSZVXK</t>
  </si>
  <si>
    <t>B00TU66NP6</t>
  </si>
  <si>
    <t>Milwaukee Electric Tool 48-32-4006 Shockwave Bit Set (40 Piece)</t>
  </si>
  <si>
    <t>Wrenches and drivers</t>
  </si>
  <si>
    <t>Screwdrivers</t>
  </si>
  <si>
    <t>MIPVY</t>
  </si>
  <si>
    <t>Milwaukee</t>
  </si>
  <si>
    <t>MILWAUKEE ELECTRIC TOOL</t>
  </si>
  <si>
    <t>48-32-4006</t>
  </si>
  <si>
    <t>MARKSON Distribution corporations</t>
  </si>
  <si>
    <t>B07RDMMHNL</t>
  </si>
  <si>
    <t>Pack of 10, 11x14 Self Adhesive Foamboard for Picture and Poster Mounting, Lightweight White Color Foam Board for Crafts, Artworks, School Projects, 3</t>
  </si>
  <si>
    <t>Picture framing</t>
  </si>
  <si>
    <t>MBC MAT BOARD CENTER</t>
  </si>
  <si>
    <t>Mat Board Center</t>
  </si>
  <si>
    <t>W.FB6865_G1_R2834</t>
  </si>
  <si>
    <t>south San Francisco</t>
  </si>
  <si>
    <t>111-2649773-1850652</t>
  </si>
  <si>
    <t>PR-6706</t>
  </si>
  <si>
    <t>6ZPH4N5VUO8D</t>
  </si>
  <si>
    <t>B09BV2TRDD</t>
  </si>
  <si>
    <t>MIIIKO Lateral File Cabinet 4 Drawer, Office Filing Cabinet with Lock, Large Deep Drawers Locked by Keys, Metal Storage File Cabinet for Hanging Files Letter/Legal/F4/A4 Size</t>
  </si>
  <si>
    <t>MIIIKO</t>
  </si>
  <si>
    <t>BMS-US</t>
  </si>
  <si>
    <t>Luo Yang</t>
  </si>
  <si>
    <t>He Nan</t>
  </si>
  <si>
    <t>111-4678586-5468257</t>
  </si>
  <si>
    <t>2GEF9IHJLMHG</t>
  </si>
  <si>
    <t>B07VK1DPPG</t>
  </si>
  <si>
    <t>WeLiu Correction Tape, 12-Pack</t>
  </si>
  <si>
    <t>Correction media</t>
  </si>
  <si>
    <t>WeLiu</t>
  </si>
  <si>
    <t>WeLiu.LLC</t>
  </si>
  <si>
    <t>XZD99</t>
  </si>
  <si>
    <t>111-9775192-5871424</t>
  </si>
  <si>
    <t>51N1L05S7RHE</t>
  </si>
  <si>
    <t>B07BSYKSY6</t>
  </si>
  <si>
    <t>VIZ-PRO Cork Notice Board, 48 X 36 Inches, Pack of 2, Silver Aluminium Frame</t>
  </si>
  <si>
    <t>Bulletin boards or accessories</t>
  </si>
  <si>
    <t>VIZ-PRO</t>
  </si>
  <si>
    <t>Zhengzhou AUCS Co.,Ltd.</t>
  </si>
  <si>
    <t>NB4836CD</t>
  </si>
  <si>
    <t>Tromba-Pro</t>
  </si>
  <si>
    <t>Winsted</t>
  </si>
  <si>
    <t>CT</t>
  </si>
  <si>
    <t>B086W87QLB</t>
  </si>
  <si>
    <t>RollerBall Pens, Shuttle Art 25 Pack Black Fine Point Roller Ball Pens, 0.5mm Liquid Ink Pens for Writing Journaling Taking Notes School Office</t>
  </si>
  <si>
    <t>Shuttle Art</t>
  </si>
  <si>
    <t>RBP25-B</t>
  </si>
  <si>
    <t>B07F7YXXKK</t>
  </si>
  <si>
    <t>MarkDomain Label Maker Tape Replacement for Brother TZe-231 TZ-231 Laminated P Touch Label Tape 12mm 0.47 Inch Black on White Tape, Compatible with Br</t>
  </si>
  <si>
    <t>Label making tapes</t>
  </si>
  <si>
    <t>MarkDomain</t>
  </si>
  <si>
    <t>tze 231</t>
  </si>
  <si>
    <t>AM-TZe231 -4</t>
  </si>
  <si>
    <t>珠海市</t>
  </si>
  <si>
    <t>B07R8D1RHS</t>
  </si>
  <si>
    <t>Amazon Basics Clear Sheet Protectors for 3 Ring Binder, 8.5 x 11 Inch, 100-Pack</t>
  </si>
  <si>
    <t>SHENZHEN COMIX GROUP MFY CO. LTD</t>
  </si>
  <si>
    <t>CL100</t>
  </si>
  <si>
    <t>B074JKK1G6</t>
  </si>
  <si>
    <t>Bankers Box 0071302 STOR/File Storage Boxes, Standard Set-Up, Lift-Off Lid, Letter/Legal, Pack of 20, White</t>
  </si>
  <si>
    <t>File storage boxes or organizers</t>
  </si>
  <si>
    <t>BDRF9</t>
  </si>
  <si>
    <t>Bankers Box</t>
  </si>
  <si>
    <t>B086W5FBN4</t>
  </si>
  <si>
    <t>RollerBall Pens, Shuttle Art 25 Pack Blue Fine Point Roller Ball Pens, 0.5mm Liquid Ink Pens for Writing Journaling Taking Notes School Office</t>
  </si>
  <si>
    <t>RBP25-BL</t>
  </si>
  <si>
    <t>3TRCL724COY9</t>
  </si>
  <si>
    <t>B0889WWM49</t>
  </si>
  <si>
    <t>Germ-X Original Hand Sanitizer, With Pump, 8 Fl Oz (Pack Of 12)</t>
  </si>
  <si>
    <t>Apparel and Luggage and Personal Care Products</t>
  </si>
  <si>
    <t>Personal care products</t>
  </si>
  <si>
    <t>Bath and body</t>
  </si>
  <si>
    <t>Hand sanitizer</t>
  </si>
  <si>
    <t>Germ-X</t>
  </si>
  <si>
    <t>AmazonUs/VIJON</t>
  </si>
  <si>
    <t>113-1521753-0049034</t>
  </si>
  <si>
    <t>6Z3T3NW0BVT5</t>
  </si>
  <si>
    <t>B09KP5PQRX</t>
  </si>
  <si>
    <t>Febreze Car Air Freshener Vent Clip Platinum Ice Scent, .07 oz. Car Vent Clips, Pack of 3 and Stay-Fresh Storage Case</t>
  </si>
  <si>
    <t>FEBTQ</t>
  </si>
  <si>
    <t>Febreze</t>
  </si>
  <si>
    <t>Procter &amp; Gamble</t>
  </si>
  <si>
    <t>113-9510695-9145012</t>
  </si>
  <si>
    <t>76DPLAENWYKF</t>
  </si>
  <si>
    <t>B08XYP6BJV</t>
  </si>
  <si>
    <t>HP DeskJet 2755e Wireless Color All-in-One Printer with bonus 6 months Instant Ink (26K67A)</t>
  </si>
  <si>
    <t>Computer Equipment and Accessories</t>
  </si>
  <si>
    <t>Computer printers</t>
  </si>
  <si>
    <t>Inkjet printers</t>
  </si>
  <si>
    <t>HEWJ9</t>
  </si>
  <si>
    <t>HP</t>
  </si>
  <si>
    <t>HP Printers</t>
  </si>
  <si>
    <t>DJ 2755e</t>
  </si>
  <si>
    <t>26K67A#B1H</t>
  </si>
  <si>
    <t>113-1688471-9821830</t>
  </si>
  <si>
    <t>UT-IN</t>
  </si>
  <si>
    <t>Stephanie Serbin</t>
  </si>
  <si>
    <t>Stephanie.Serbin@unisco.com</t>
  </si>
  <si>
    <t>6IU9E1OA5ZZX</t>
  </si>
  <si>
    <t>B07K91GV6N</t>
  </si>
  <si>
    <t>Amazon Basics Heavy Duty Plastic Folders with 2 Pockets for Letter Size Paper, Pack of 12</t>
  </si>
  <si>
    <t>AMZBL</t>
  </si>
  <si>
    <t>DHBTB010</t>
  </si>
  <si>
    <t>34: UT (Drayage)</t>
  </si>
  <si>
    <t>810: 6515 Ameriplex</t>
  </si>
  <si>
    <t>5US8GMA6NULZ</t>
  </si>
  <si>
    <t>B075P2HM2H</t>
  </si>
  <si>
    <t xml:space="preserve">Viwind Ergonomic Mouse,2.4G Wireless Vertical Optical Mouse with Nano Receiver,4 Adjustable DPI 800/1200/ 1600/2400,Rechargeable Li-Battery,6 Buttons </t>
  </si>
  <si>
    <t>Computer data input devices</t>
  </si>
  <si>
    <t>Computer mouse or trackballs</t>
  </si>
  <si>
    <t>Viwind</t>
  </si>
  <si>
    <t>43235-69148</t>
  </si>
  <si>
    <t>iFun Technology</t>
  </si>
  <si>
    <t>114-2671615-5061021</t>
  </si>
  <si>
    <t>6DF409MUP8TB</t>
  </si>
  <si>
    <t>B0BHQ7731H</t>
  </si>
  <si>
    <t>WATINC Black History Month Backdrop Banner XtraLarge African American Heritage Party Decorations Justice Revolution Movement Supplies Photo Booth Prop</t>
  </si>
  <si>
    <t>WATINC</t>
  </si>
  <si>
    <t>WT-BG Banner-Black History Month</t>
  </si>
  <si>
    <t>WatincDirect</t>
  </si>
  <si>
    <t>WALNUT</t>
  </si>
  <si>
    <t>114-4911614-2533039</t>
  </si>
  <si>
    <t>6A5LUY0UCUNU</t>
  </si>
  <si>
    <t>B0BNBQXFMK</t>
  </si>
  <si>
    <t>12 Pcs Black History Month Party Decorations Black History Month Party Centerpiece Honeycomb Table Toppers for African American BHM Festival Decor Bla</t>
  </si>
  <si>
    <t>Marsui</t>
  </si>
  <si>
    <t>Marsui-Party Centerpiece-531</t>
  </si>
  <si>
    <t>DonSeartSun</t>
  </si>
  <si>
    <t>113-6976807-1156234</t>
  </si>
  <si>
    <t>14HIFF841WFD</t>
  </si>
  <si>
    <t>B07KJBH621</t>
  </si>
  <si>
    <t>NIUBEE 8.5x11 Clear Acrylic Plastic Sign Holders with Removable Hook and Loop, Wall Sign Memo Document Menu Holder for Office, Home, Store, Restaurant</t>
  </si>
  <si>
    <t>NIUBEE</t>
  </si>
  <si>
    <t>NBPN-881K</t>
  </si>
  <si>
    <t>Niu Bee</t>
  </si>
  <si>
    <t>Baoan District, Shenzhen,</t>
  </si>
  <si>
    <t>Guangdong Province, China</t>
  </si>
  <si>
    <t>113-3302204-0305031</t>
  </si>
  <si>
    <t>3ALUHR93606F</t>
  </si>
  <si>
    <t>B0B746GGP9</t>
  </si>
  <si>
    <t>TushGuard Seat Cushion for Office Chair Memory Foam Non-Slip Desk Chair Cushion Back, Coccyx, Sciatica, Tailbone Pain Relief Butt Pillow for Office Ch</t>
  </si>
  <si>
    <t>Bedclothes</t>
  </si>
  <si>
    <t>Pillows</t>
  </si>
  <si>
    <t>TushGuard</t>
  </si>
  <si>
    <t>MPNTG0002-BGE</t>
  </si>
  <si>
    <t>平潭县</t>
  </si>
  <si>
    <t>福建</t>
  </si>
  <si>
    <t>113-0849064-4829006</t>
  </si>
  <si>
    <t>YSCV8QO1MTAD</t>
  </si>
  <si>
    <t>B08C2RFD1B</t>
  </si>
  <si>
    <t>EASEPRES Mesh 6 Pack Wall Mounted File Holder Metal Hanging Vertical Wall File Pocket Organizer for Office and Home, Black</t>
  </si>
  <si>
    <t>EASEPRES</t>
  </si>
  <si>
    <t>EP-6PACK-BK</t>
  </si>
  <si>
    <t>EasePres Direct</t>
  </si>
  <si>
    <t>Nanjing</t>
  </si>
  <si>
    <t>113-0005961-7653026</t>
  </si>
  <si>
    <t>76EFD1FC3CFM</t>
  </si>
  <si>
    <t>B07HF6YDYV</t>
  </si>
  <si>
    <t>AUTOMAN-Garden-Hose-Nozzle,ABS Water Spray Nozzle with Heavy Duty 7 Adjustable Watering Patterns,Slip Resistant for Watering Plants,Lawn&amp; Garden,Washi</t>
  </si>
  <si>
    <t>Distribution and Conditioning Systems and Equipment and Components</t>
  </si>
  <si>
    <t>Fluid and gas distribution</t>
  </si>
  <si>
    <t>Valves</t>
  </si>
  <si>
    <t>AUTOMAN</t>
  </si>
  <si>
    <t>Automan Pro</t>
  </si>
  <si>
    <t>AUTNP0719P</t>
  </si>
  <si>
    <t>Automan Pro⭐️⭐️⭐️⭐️⭐️</t>
  </si>
  <si>
    <t>HongKong</t>
  </si>
  <si>
    <t>113-3965680-6720213</t>
  </si>
  <si>
    <t>49I9ST9TF01U</t>
  </si>
  <si>
    <t>B007R0UHDQ</t>
  </si>
  <si>
    <t>Briggs and Stratton 8BS50 50-Foot Premium Heavy-Duty Rubber Garden Hose</t>
  </si>
  <si>
    <t>Hoses</t>
  </si>
  <si>
    <t>Water hoses</t>
  </si>
  <si>
    <t>Briggs &amp; Stratton</t>
  </si>
  <si>
    <t>8BS50</t>
  </si>
  <si>
    <t>B07VZ179K7</t>
  </si>
  <si>
    <t>Pro HD"Purple" Concentrated Cleaner &amp; Degreaser - Heavy Duty, Professional, Automotive, Restaurant, Grills, Ovens (32 oz Spray @Heavy Strength and 1 G</t>
  </si>
  <si>
    <t>Simple Green</t>
  </si>
  <si>
    <t>Sunshine Makers Inc</t>
  </si>
  <si>
    <t>Huntington Beach</t>
  </si>
  <si>
    <t>111-0429925-1306615</t>
  </si>
  <si>
    <t>1MJYY0SHAL6A</t>
  </si>
  <si>
    <t>B085M1TWYZ</t>
  </si>
  <si>
    <t>File Folder Tabs, 100+200 Sets Hanging File Folder Tabs with Inserts for Hanging Folders, 2 Inch Clear Plastic Hanging File Tabs for Quick Identificat</t>
  </si>
  <si>
    <t>hupos</t>
  </si>
  <si>
    <t>F2-20-Tabs</t>
  </si>
  <si>
    <t>Queenti</t>
  </si>
  <si>
    <t>Longyan</t>
  </si>
  <si>
    <t>B07XH34VM8</t>
  </si>
  <si>
    <t>Adhesive Magnets for Crafts - 100 PCs Flexible Round Magnets with Adhesive Backing - Small Sticky Magnets - Magnetic Dots with Adhesive Back are Alter</t>
  </si>
  <si>
    <t>Magnetic tape</t>
  </si>
  <si>
    <t>MD100</t>
  </si>
  <si>
    <t>111-7304716-6987443</t>
  </si>
  <si>
    <t>5DZW0B8J5AA0</t>
  </si>
  <si>
    <t>B0007893EY</t>
  </si>
  <si>
    <t>Clorox Toilet Bowl Cleaner with Bleach, Fresh Scent - 24 Ounces, 12 Bottles/Case (00031)</t>
  </si>
  <si>
    <t>CLPWX</t>
  </si>
  <si>
    <t>CloroxPro</t>
  </si>
  <si>
    <t>Clorox Professional Products Company</t>
  </si>
  <si>
    <t>111-9356396-2345865</t>
  </si>
  <si>
    <t>YUQ08NICADKY</t>
  </si>
  <si>
    <t>B07B7MBG8P</t>
  </si>
  <si>
    <t>Amazon Basics Office Desk Tape Dispenser - 3-Pack</t>
  </si>
  <si>
    <t>D1410X3</t>
  </si>
  <si>
    <t>B07M74SH62</t>
  </si>
  <si>
    <t>SNOW COOLER Pen Holder Mesh Pencil Holder Metal Pencil Holder for Desk Office Pen Organizer Black, 4 Pack</t>
  </si>
  <si>
    <t>Pen or pencil holders</t>
  </si>
  <si>
    <t>SNOW COOLER</t>
  </si>
  <si>
    <t>SCPH001</t>
  </si>
  <si>
    <t>Snow Cooler</t>
  </si>
  <si>
    <t>qingdao</t>
  </si>
  <si>
    <t>shandong</t>
  </si>
  <si>
    <t>B0012YVGOW</t>
  </si>
  <si>
    <t>BIC Round Stic Xtra Life Ballpoint Pens, Medium Point (1.0mm), Black, 60-Count Pack, Flexible Round Barrel For Writing Comfort (GSM609-BLK)</t>
  </si>
  <si>
    <t>GSM609-Blk</t>
  </si>
  <si>
    <t>B08HW989DZ</t>
  </si>
  <si>
    <t xml:space="preserve">Scissors Bulk Set of 25-Pack, Niutop 8" Multipurpose Sharp Sewing Craft Fabric Scissors for Office Home High/Middle School Student Office Teacher Art </t>
  </si>
  <si>
    <t>Scissors</t>
  </si>
  <si>
    <t>Niutop</t>
  </si>
  <si>
    <t>NIUTOP</t>
  </si>
  <si>
    <t>B079W72LCG</t>
  </si>
  <si>
    <t>Officemate Standard Staples, 5 Boxes General Purpose Staple (91925)</t>
  </si>
  <si>
    <t>111-5711122-3428269</t>
  </si>
  <si>
    <t>6OC1QB22Q0SK</t>
  </si>
  <si>
    <t>B086QGWD2Y</t>
  </si>
  <si>
    <t>Amazon Basics Hanging File Folders, Letter Size, Standard Green, 1/5-Cut Tabs, 75 per box</t>
  </si>
  <si>
    <t>AMZHFF-75</t>
  </si>
  <si>
    <t>112-0685624-8068231</t>
  </si>
  <si>
    <t>UF011923WAL-IN</t>
  </si>
  <si>
    <t>18BIY087LQ2L</t>
  </si>
  <si>
    <t>B09JGPPHB4</t>
  </si>
  <si>
    <t>ForPro Disposable Nitrile Gloves, Chemical Resistant, Powder-Free, Latex-Free, Non-Sterile, Food Safe, 4 Mil, Black, Medium, 100-Count</t>
  </si>
  <si>
    <t>Service Industry Machinery and Equipment and Supplies</t>
  </si>
  <si>
    <t>Institutional food services equipment</t>
  </si>
  <si>
    <t>Storage and handling equipment and supplies</t>
  </si>
  <si>
    <t>Catering gloves or glove dispensers</t>
  </si>
  <si>
    <t>FOULR</t>
  </si>
  <si>
    <t>ForPro Professional Collection</t>
  </si>
  <si>
    <t>TNG Worldwide</t>
  </si>
  <si>
    <t>112-3190356-9406635</t>
  </si>
  <si>
    <t>2GO1Z5077LYZ</t>
  </si>
  <si>
    <t>B085SY8775</t>
  </si>
  <si>
    <t>Uncommon Desks Letter Openers - Bulk 12 Pieces - Sharp and Efficient - Open Envelopes with Ease (Mixed Colors, 12 Pieces)</t>
  </si>
  <si>
    <t>Uncommon Desks</t>
  </si>
  <si>
    <t>UD-12PCS-MIXED</t>
  </si>
  <si>
    <t>J Mark Brands LLC</t>
  </si>
  <si>
    <t>PHOENIX</t>
  </si>
  <si>
    <t>112-5395444-6541042</t>
  </si>
  <si>
    <t>132WU2XB4DIG</t>
  </si>
  <si>
    <t>B09R2J1P9N</t>
  </si>
  <si>
    <t>Number 1 In Service Mr Clean Multi-Purpose Summer Citrus Liquid Cleaner Professional Household Non-Toxic Hardwood Floor Cleaner 128 Fluid Ounce Bottle</t>
  </si>
  <si>
    <t>Number 1 In Service</t>
  </si>
  <si>
    <t>112-9318547-5989809</t>
  </si>
  <si>
    <t>1CLERK52IOXH</t>
  </si>
  <si>
    <t>B00006JNMN</t>
  </si>
  <si>
    <t>Post-it Message "Sign Here" Flags, 30/Dispenser, 4 Dispensers/Pack, .47 in Wide, Assorted Colors (684-SH)</t>
  </si>
  <si>
    <t>Self adhesive flags</t>
  </si>
  <si>
    <t>POSH7</t>
  </si>
  <si>
    <t>Post-it</t>
  </si>
  <si>
    <t>3M Office Products</t>
  </si>
  <si>
    <t>684-SH</t>
  </si>
  <si>
    <t>114-6421761-2343447</t>
  </si>
  <si>
    <t>2YON6KON537Q</t>
  </si>
  <si>
    <t>B07PHP17NZ</t>
  </si>
  <si>
    <t>20 Pack Clear Plastic Ruler 12 Inch Straight Ruler Flexible Ruler with Inches and Metric for School Classroom, Home, or Office (Clear)</t>
  </si>
  <si>
    <t>EBOOT</t>
  </si>
  <si>
    <t>CG-Chengu-0949</t>
  </si>
  <si>
    <t>CHEN GU</t>
  </si>
  <si>
    <t>东莞市</t>
  </si>
  <si>
    <t>113-1191559-4140255</t>
  </si>
  <si>
    <t>3340BB4EJ9OM</t>
  </si>
  <si>
    <t>amazingoutlet23</t>
  </si>
  <si>
    <t>gurnee</t>
  </si>
  <si>
    <t>il</t>
  </si>
  <si>
    <t>113-3525759-8097830</t>
  </si>
  <si>
    <t>UF6679GA-IN</t>
  </si>
  <si>
    <t>44H1GYYNLMW0</t>
  </si>
  <si>
    <t>B08GLSKP63</t>
  </si>
  <si>
    <t>Pataku Metal Lockers for Employees, 5 Tier Storage Locker Cabinet, Steel Lockers 5 Lockable Doors for School, Gym, Office, Home(Grey,5-Tier)</t>
  </si>
  <si>
    <t>Lockers</t>
  </si>
  <si>
    <t>Pataku</t>
  </si>
  <si>
    <t>PTGYG-5G</t>
  </si>
  <si>
    <t>California</t>
  </si>
  <si>
    <t>113-8151149-9283434</t>
  </si>
  <si>
    <t>6ATT35UDLRUY</t>
  </si>
  <si>
    <t>B088T774G2</t>
  </si>
  <si>
    <t>XBoard Magnetic Whiteboard 60 x 40, White Board Dry Erase Board with Detachable Marker Tray</t>
  </si>
  <si>
    <t>XBoard</t>
  </si>
  <si>
    <t>MBGDE6038W</t>
  </si>
  <si>
    <t>苏州</t>
  </si>
  <si>
    <t>江苏</t>
  </si>
  <si>
    <t>113-9701364-9069861</t>
  </si>
  <si>
    <t>3K2T5724O6MF</t>
  </si>
  <si>
    <t>Apparel</t>
  </si>
  <si>
    <t>B0BH8F3QCP</t>
  </si>
  <si>
    <t>ASIPHITU Reflective High Visibility Safety Vest for Men Women Security with Pockets Zipper Front for Work Vest with Reflective Strips Meets ANSI/ISEA</t>
  </si>
  <si>
    <t>Safety apparel</t>
  </si>
  <si>
    <t>Safety vests</t>
  </si>
  <si>
    <t>ASIPHITU</t>
  </si>
  <si>
    <t>H-Vest-Yellow-2XL</t>
  </si>
  <si>
    <t>佛山市</t>
  </si>
  <si>
    <t>B0BH7JZJC2</t>
  </si>
  <si>
    <t>H-Vest-OBlack-3XL</t>
  </si>
  <si>
    <t>H-Vest-Orange Black-3XL</t>
  </si>
  <si>
    <t>113-6999443-0012204</t>
  </si>
  <si>
    <t>4BNP4OMK13PU</t>
  </si>
  <si>
    <t>B076Q7JHR2</t>
  </si>
  <si>
    <t>Dr.WOW 50 Pcs/lot Magic Sponge Eraser Multi-Functional Melamine Foam Cleaner 100x70x30mm</t>
  </si>
  <si>
    <t>Dr.WOW</t>
  </si>
  <si>
    <t>Zhengzhou FoamTech Nano Material Co.,Ltd.</t>
  </si>
  <si>
    <t>DRWOW1073W50</t>
  </si>
  <si>
    <t>Dr. WOW Magic Cleaning Eraser Expert</t>
  </si>
  <si>
    <t>ISO 9001</t>
  </si>
  <si>
    <t>Xinzheng City</t>
  </si>
  <si>
    <t>Henan Province</t>
  </si>
  <si>
    <t>113-5491459-7903402</t>
  </si>
  <si>
    <t>6PZTWT0LHWRV</t>
  </si>
  <si>
    <t>B081ZYNSML</t>
  </si>
  <si>
    <t>TUPARKA 4 Sheets 100Pcs Hearts-Shape Valentine's Day Window Clings for Valentine's Decoration Wedding Party Birthday Party Supplies</t>
  </si>
  <si>
    <t>Decorative stickers</t>
  </si>
  <si>
    <t>TUPARKA</t>
  </si>
  <si>
    <t>B3286TKJJB</t>
  </si>
  <si>
    <t>Tuparka US Direct</t>
  </si>
  <si>
    <t>U3NBKTYE8MU2</t>
  </si>
  <si>
    <t>B0BM8N66H6</t>
  </si>
  <si>
    <t>Valentine's Day Garland Banner Including Glitter Happy Valentine's Day Banner, Valentines Gnomes Garland Banner, XOXO Heart Garland for Valentines Gno</t>
  </si>
  <si>
    <t>Luggage and handbags and packs and cases</t>
  </si>
  <si>
    <t>Purses and handbags and bags</t>
  </si>
  <si>
    <t>KORHONEN</t>
  </si>
  <si>
    <t>Valentine Banner1114</t>
  </si>
  <si>
    <t>义乌市</t>
  </si>
  <si>
    <t>113-7225458-6910608</t>
  </si>
  <si>
    <t>1NBU5536UCJ8</t>
  </si>
  <si>
    <t>B07KXLCCT6</t>
  </si>
  <si>
    <t>255PCS Valentines Day Window Clings Decorations - Gnome Heart Decal Party Decor Ornaments</t>
  </si>
  <si>
    <t>Decals</t>
  </si>
  <si>
    <t>jollylife</t>
  </si>
  <si>
    <t>Jolly-1128valentines cling</t>
  </si>
  <si>
    <t>Jollylife Direct</t>
  </si>
  <si>
    <t>B0BFWLCWMT</t>
  </si>
  <si>
    <t>Valentine's Day Decorations Romantic Tabletop Centerpiece Signs Love Wooden Table Sign Valentines Decorations for Home Decor Gift Dining Room Table We</t>
  </si>
  <si>
    <t>Hommtina</t>
  </si>
  <si>
    <t>DGDFLDGC</t>
  </si>
  <si>
    <t>泉州市</t>
  </si>
  <si>
    <t>福建省</t>
  </si>
  <si>
    <t>B09JKLH1DL</t>
  </si>
  <si>
    <t>Valentines Day Decor 2pcs Valentine Gnomes Plush Valentines Day Decoration Valentines Home Table Decor Scandinavian Tomte Elf Gnomes Ornaments Sweet V</t>
  </si>
  <si>
    <t>Decorative adornments</t>
  </si>
  <si>
    <t>Ceramic adornments</t>
  </si>
  <si>
    <t>Teeker</t>
  </si>
  <si>
    <t>Teeker Fashion</t>
  </si>
  <si>
    <t>miyangxian</t>
  </si>
  <si>
    <t>henansheng</t>
  </si>
  <si>
    <t>B0827G3WZC</t>
  </si>
  <si>
    <t>Felt Heart Garland Banner for Conversation Valentine's Day Decoration NO DIY 2 Pack Valentines Day Banner Decor, Anniversary Wedding Birthday Party De</t>
  </si>
  <si>
    <t>GMAOPHY</t>
  </si>
  <si>
    <t>113-3724894-6831453</t>
  </si>
  <si>
    <t>PH9WH8P94GHP</t>
  </si>
  <si>
    <t>B0BNK97TLC</t>
  </si>
  <si>
    <t xml:space="preserve">Black History Door Cover Happy Black History Month Door Decorations African American February Festival Door Cover Banner for Indoor Outdoor Door Wall </t>
  </si>
  <si>
    <t>Capoda</t>
  </si>
  <si>
    <t>DI-Capoda-11293</t>
  </si>
  <si>
    <t>Hondinmet</t>
  </si>
  <si>
    <t>113-5729275-8881028</t>
  </si>
  <si>
    <t>116390QE4HYA</t>
  </si>
  <si>
    <t>B0BMZT1KH5</t>
  </si>
  <si>
    <t>49 Pcs Black History Month Decorations Including 3 Pcs Black History Month Banner 10 Pcs Black History Month Hanging Swirls 36 Pcs Red Black and Green</t>
  </si>
  <si>
    <t>Deekin</t>
  </si>
  <si>
    <t>KV-Deekin-1123</t>
  </si>
  <si>
    <t>Kinsvenon</t>
  </si>
  <si>
    <t>5QIJPTAVR6HN</t>
  </si>
  <si>
    <t>B0BN3HPQ9N</t>
  </si>
  <si>
    <t xml:space="preserve">6 Pieces Black History Month Tablecloth Decoration,Plastic African American February Festival Holiday Rectangle Table Cover Dining Room Kitchen Table </t>
  </si>
  <si>
    <t>MASHAN</t>
  </si>
  <si>
    <t>Rafaella Online</t>
  </si>
  <si>
    <t>113-7219269-1826644</t>
  </si>
  <si>
    <t>7J9XU72XUPP0</t>
  </si>
  <si>
    <t>B083N8PDT7</t>
  </si>
  <si>
    <t>Black History Quote of The Day - 30 Piece Set - Black History Bulletin Board Set</t>
  </si>
  <si>
    <t>FUOWK</t>
  </si>
  <si>
    <t>Fun Express</t>
  </si>
  <si>
    <t>Oriental Trading Company</t>
  </si>
  <si>
    <t>Fun-Express</t>
  </si>
  <si>
    <t>Omaha</t>
  </si>
  <si>
    <t>NE</t>
  </si>
  <si>
    <t>112-6387513-0385817</t>
  </si>
  <si>
    <t>UT-PA</t>
  </si>
  <si>
    <t>6KREX1OZXRNK</t>
  </si>
  <si>
    <t>HCS1K7SEVH30</t>
  </si>
  <si>
    <t>B083XKTC59</t>
  </si>
  <si>
    <t>Red Packing Tape, Moving Tape, 2" Inch x 110 Yards, 2.0 Mil Thick, (6 Rolls) Heavy Duty Carton Sealing Tape</t>
  </si>
  <si>
    <t>Generic</t>
  </si>
  <si>
    <t>BOXMATE</t>
  </si>
  <si>
    <t>DBAMMPKG-05009</t>
  </si>
  <si>
    <t>MM Packing Supply</t>
  </si>
  <si>
    <t>medley</t>
  </si>
  <si>
    <t>fl</t>
  </si>
  <si>
    <t>111-9635274-8049041</t>
  </si>
  <si>
    <t>72TZV3XKVJRV</t>
  </si>
  <si>
    <t>Photography</t>
  </si>
  <si>
    <t>B0B99NY42V</t>
  </si>
  <si>
    <t>Saneen Digital Camera, 4K Cameras for Photography, 48MP Small Compact Kids Digital Camera for Teens, Elder, Beginners, 32GB SD Card and 2 Rechargeable</t>
  </si>
  <si>
    <t>Printing and Photographic and Audio and Visual Equipment and Supplies</t>
  </si>
  <si>
    <t>Photographic or filming or video equipment</t>
  </si>
  <si>
    <t>Cameras</t>
  </si>
  <si>
    <t>Saneen</t>
  </si>
  <si>
    <t>Saneen Direct</t>
  </si>
  <si>
    <t>113-1653643-7021064</t>
  </si>
  <si>
    <t>40UD94MBX3Q2</t>
  </si>
  <si>
    <t>B081HB5KKK</t>
  </si>
  <si>
    <t>Dib Safety Vest Reflective ANSI Class 2, High Visibility Vest with Pockets and Zipper, Construction Work Vest Hi Vis Orange XL</t>
  </si>
  <si>
    <t>Dib Safety</t>
  </si>
  <si>
    <t>DSV02O-XL</t>
  </si>
  <si>
    <t>113-7449680-8089065</t>
  </si>
  <si>
    <t>FAQSPGIU7FJ9</t>
  </si>
  <si>
    <t>B081H9GFLY</t>
  </si>
  <si>
    <t>Dib Safety Vest Reflective ANSI Class 2, High Visibility Vest with Pockets and Zipper, Construction Work Vest Hi Vis Orange L</t>
  </si>
  <si>
    <t>DSV02O-L</t>
  </si>
  <si>
    <t>B081H8V6FF</t>
  </si>
  <si>
    <t>Dib Safety Vest Reflective ANSI Class 2, High Visibility Vest with Pockets and Zipper, Construction Work Vest Hi Vis Orange 3XL</t>
  </si>
  <si>
    <t>DSV02O-3X</t>
  </si>
  <si>
    <t>113-5464399-4849859</t>
  </si>
  <si>
    <t>1T18QBFPUQXT</t>
  </si>
  <si>
    <t>B00GP57QVU</t>
  </si>
  <si>
    <t>Oil Dri Concentrate Floor Absorbent Bagged 25 Lb.</t>
  </si>
  <si>
    <t>Absorbents</t>
  </si>
  <si>
    <t>Oil-Dri</t>
  </si>
  <si>
    <t>Chemicals</t>
  </si>
  <si>
    <t>I05025</t>
  </si>
  <si>
    <t>R&amp;Ch Store</t>
  </si>
  <si>
    <t>Khmelnytskyi</t>
  </si>
  <si>
    <t>Khmelnytska area</t>
  </si>
  <si>
    <t>113-9683048-5854665</t>
  </si>
  <si>
    <t>PR-6645</t>
  </si>
  <si>
    <t>3N15S5RZU5IJ</t>
  </si>
  <si>
    <t>B004OA6704</t>
  </si>
  <si>
    <t>Hospeco Discreet Seat Half-Fold Toilet Seat Covers (20 Packs of 250) - DS-5000,White</t>
  </si>
  <si>
    <t>HOSAC</t>
  </si>
  <si>
    <t>Hospeco</t>
  </si>
  <si>
    <t>DS-5000</t>
  </si>
  <si>
    <t>111-3237346-7661844</t>
  </si>
  <si>
    <t>1DQFMKUQH32O</t>
  </si>
  <si>
    <t>B07SH5ZCTL</t>
  </si>
  <si>
    <t>800pc Aluminum Crimping Loop Sleeve Ferrule Cable Ferrule Crimping Loop Sleeve Wire Rope Sleeves for 1/16" Diameter Wire Rope and Cable</t>
  </si>
  <si>
    <t>Computer accessories</t>
  </si>
  <si>
    <t>Notebook computer carrying case</t>
  </si>
  <si>
    <t>mifengda</t>
  </si>
  <si>
    <t>MIF-000058</t>
  </si>
  <si>
    <t>Shen zhen</t>
  </si>
  <si>
    <t>Guang dong</t>
  </si>
  <si>
    <t>113-5195131-3409836</t>
  </si>
  <si>
    <t>HGJPJVORLUFJ</t>
  </si>
  <si>
    <t>B075631TKK</t>
  </si>
  <si>
    <t>Hospeco Discreet Seat Half-Fold Toilet Seat Covers (20 Packs of 250) (60 Packs of 250)</t>
  </si>
  <si>
    <t>PJP Marketplace</t>
  </si>
  <si>
    <t>Philadelphia</t>
  </si>
  <si>
    <t>113-7423024-6846602</t>
  </si>
  <si>
    <t>3ZP9Q45RCZ55</t>
  </si>
  <si>
    <t>B0094KE5BC</t>
  </si>
  <si>
    <t>Impact 2600 LobbyMaster Plastic Lobby Dust Pan with PVC Handle, 37" Height x 12" Width x 11" Depth, Black (Case of 6)</t>
  </si>
  <si>
    <t>LOBBG</t>
  </si>
  <si>
    <t>Impact Products</t>
  </si>
  <si>
    <t>2600CS</t>
  </si>
  <si>
    <t>Shoplet</t>
  </si>
  <si>
    <t>New York</t>
  </si>
  <si>
    <t>NY</t>
  </si>
  <si>
    <t>113-6047477-3226611</t>
  </si>
  <si>
    <t>3TGO7U3HPJSY</t>
  </si>
  <si>
    <t>B0BCGZK2PS</t>
  </si>
  <si>
    <t>(30 Set) Report Covers with 3-Prong Fasteners Clear Front - Plastic - 8.5 x 11 - 3 Ring Report Folder - Presentation Folders - Premium Clear Report Co</t>
  </si>
  <si>
    <t>Paper Plan</t>
  </si>
  <si>
    <t>PP-1025</t>
  </si>
  <si>
    <t>113-4477898-3351420</t>
  </si>
  <si>
    <t>1CIVZCETOBU2</t>
  </si>
  <si>
    <t>B075DNHZ6R</t>
  </si>
  <si>
    <t>Pyle Portable Compact PA Megaphone Speaker with Alarm Siren &amp; Adjustable Volume - 50W Handheld Bullhorn - with Mic, AUX-IN for MP3 &amp; Rechargeable Batt</t>
  </si>
  <si>
    <t>Consumer electronics</t>
  </si>
  <si>
    <t>Audio and visual equipment</t>
  </si>
  <si>
    <t>PYLMT</t>
  </si>
  <si>
    <t>Pyle</t>
  </si>
  <si>
    <t>Sound Around</t>
  </si>
  <si>
    <t>PMP561LTB</t>
  </si>
  <si>
    <t>112-8134149-4296225</t>
  </si>
  <si>
    <t>58H5PTFDVBRY</t>
  </si>
  <si>
    <t>B00NOY7IP4</t>
  </si>
  <si>
    <t>TNC Xerox WC5945 Toner Black 50K</t>
  </si>
  <si>
    <t>XERSV</t>
  </si>
  <si>
    <t>The Nekid Cow</t>
  </si>
  <si>
    <t>Xerox</t>
  </si>
  <si>
    <t>006R01605</t>
  </si>
  <si>
    <t>THE TONER EXPERTS</t>
  </si>
  <si>
    <t>114-3195977-9332206</t>
  </si>
  <si>
    <t>KFBD5SQ7Z8VY</t>
  </si>
  <si>
    <t>B0761YKMTV</t>
  </si>
  <si>
    <t>PeerBasics Safety Vests 10 Pack - Yellow Reflective High Visibility, Hi Vis Silver Strip, Men Women, Work, Cycling, Runner, Surveyor, Volunteer, Cross</t>
  </si>
  <si>
    <t>PeerBasics</t>
  </si>
  <si>
    <t>PBSV</t>
  </si>
  <si>
    <t>Chatsworth</t>
  </si>
  <si>
    <t>113-7751802-3568242</t>
  </si>
  <si>
    <t>3KYY1O48WU1A</t>
  </si>
  <si>
    <t>B09Y88H2SJ</t>
  </si>
  <si>
    <t xml:space="preserve">11 Inch Zip Ties (Bulk 1000 Pack Black &amp; 100 Pack White),Heavy Duty Cable Wire Ties 50lbs Tensile Strength with Self-Locking Adjustable Durable Nylon </t>
  </si>
  <si>
    <t>JIANYANG</t>
  </si>
  <si>
    <t>JY-11 INCH 1000</t>
  </si>
  <si>
    <t>JIANYANG-US</t>
  </si>
  <si>
    <t>113-8409701-3749833</t>
  </si>
  <si>
    <t>M7733CTHTXXB</t>
  </si>
  <si>
    <t>B091XZ72NR</t>
  </si>
  <si>
    <t>Gazeer 8 Pack Replacement Microfiber Cleaning Pads Compatible with Bona Wet/Dry Mop, 18 Inch, Hardwood Floor Replacement Cleaning Head,Washable, Reusa</t>
  </si>
  <si>
    <t>Gazeer</t>
  </si>
  <si>
    <t>113-9174446-1892236</t>
  </si>
  <si>
    <t>19HAGKUKOBHD</t>
  </si>
  <si>
    <t>B06Y2MGB75</t>
  </si>
  <si>
    <t xml:space="preserve">Turbo Mops Scrub Mop Pads - Pack of 5 Washable, 18-inch, Scouring and Scrubbing Replacement Attachments - Compatible with Bona, Rubbermaid and Libman </t>
  </si>
  <si>
    <t>Turbo Mops</t>
  </si>
  <si>
    <t>USA Fulfilled</t>
  </si>
  <si>
    <t>113-9567666-8367420</t>
  </si>
  <si>
    <t>HOLT3KDRYG2L</t>
  </si>
  <si>
    <t>B08TN1GX4Q</t>
  </si>
  <si>
    <t>Stardrops - The Pink Stuff - The Miracle Cleaning Paste and Multi-Purpose Spray Bundle ( 2 Cleaning Paste, 1 Multi-Purpose Spray)</t>
  </si>
  <si>
    <t>ST03L</t>
  </si>
  <si>
    <t>Stardrops</t>
  </si>
  <si>
    <t>PS2P1M</t>
  </si>
  <si>
    <t>113-4216761-6123440</t>
  </si>
  <si>
    <t>32IL1H33F88F</t>
  </si>
  <si>
    <t>B07749HCNW</t>
  </si>
  <si>
    <t>MaxGear Clear Business Card Holder 4 Pocket Business Card Display, Acrylic Business Card Stand for Desk or Counter with 4 Tier, 320 Card Capacity, 2 P</t>
  </si>
  <si>
    <t>Business card holders</t>
  </si>
  <si>
    <t>MaxGear</t>
  </si>
  <si>
    <t>MaxGear-clear card holder201801</t>
  </si>
  <si>
    <t>clear card holder201801</t>
  </si>
  <si>
    <t>MaxGear.LLC</t>
  </si>
  <si>
    <t>112-5040427-0113801</t>
  </si>
  <si>
    <t>5C99XQLNSJJ4</t>
  </si>
  <si>
    <t>B07K3P12DC</t>
  </si>
  <si>
    <t>ELD Backup Driver Log Book 5-pk. with Detailed Driver Vehicle Inspection Report &amp; Daily Recap - Book Format, 2-Ply Carbonless, 8.5" x 5.5", 10 Sets of</t>
  </si>
  <si>
    <t>J. J. Keller &amp; Associates, Inc.</t>
  </si>
  <si>
    <t>JJ Keller</t>
  </si>
  <si>
    <t>J. J. Keller &amp; Associates, Inc</t>
  </si>
  <si>
    <t>Neenah</t>
  </si>
  <si>
    <t>WI</t>
  </si>
  <si>
    <t>B00X8BOUJK</t>
  </si>
  <si>
    <t>Trade Quest Letter Size Clipboard Low Profile Clip Hardboard (Pack of 24)</t>
  </si>
  <si>
    <t>Trade Quest</t>
  </si>
  <si>
    <t>Trade Quest Global Corp</t>
  </si>
  <si>
    <t>MLL24</t>
  </si>
  <si>
    <t>Fort Pierce</t>
  </si>
  <si>
    <t>Florida</t>
  </si>
  <si>
    <t>B09KH2JKLF</t>
  </si>
  <si>
    <t xml:space="preserve">6 Pieces Clipboard with Storage Plastic Storage Clipboard Nursing Clipboard Clip Boards Storage Foldable Clipboard with Compartment Clipboard Storage </t>
  </si>
  <si>
    <t>Chinco</t>
  </si>
  <si>
    <t>Chinco-Storage Plastic-542</t>
  </si>
  <si>
    <t>Hentunchuer</t>
  </si>
  <si>
    <t>徐州市</t>
  </si>
  <si>
    <t>江苏省</t>
  </si>
  <si>
    <t>B09QFVS6S6</t>
  </si>
  <si>
    <t>1000 PCS 7"x 10" Clear Self-Adhesive Packing List Envelopes - Plastic Shipping/Mailing Pouch Enclosed Bags for Packing Slips Invoice Label</t>
  </si>
  <si>
    <t>IN SAFE PACK</t>
  </si>
  <si>
    <t>INSAFEPACK</t>
  </si>
  <si>
    <t>B0B4J73HQV</t>
  </si>
  <si>
    <t xml:space="preserve">Truckules Truck Phone Holder Mount Heavy Duty Cell Phone Holder for Truck Dashboard Windshield 16.9" Long Arm, Super Suction Cup &amp; Stable, Compatible </t>
  </si>
  <si>
    <t>Truckules</t>
  </si>
  <si>
    <t>T&amp;T Media Global Creations LTD</t>
  </si>
  <si>
    <t>113-2589835-6473868</t>
  </si>
  <si>
    <t>5NUEOSOBHFEY</t>
  </si>
  <si>
    <t>B007TJGY6O</t>
  </si>
  <si>
    <t>The Original Donut Shop Regular, Single-Serve Keurig K-Cup Pods, Medium Roast Coffee Pods, 24 Count (Pack of 4)</t>
  </si>
  <si>
    <t>ORINE</t>
  </si>
  <si>
    <t>The Original Donut Shop</t>
  </si>
  <si>
    <t>Green Mountain Coffee Roasters</t>
  </si>
  <si>
    <t>5000202614-96</t>
  </si>
  <si>
    <t>113-3842155-1140244</t>
  </si>
  <si>
    <t>A759D8BCKS12</t>
  </si>
  <si>
    <t>B000EMPN8I</t>
  </si>
  <si>
    <t>Nestle Coffee mate Coffee Creamer Original, Pack of 12 (16 Ounce) (11000443)</t>
  </si>
  <si>
    <t>COFAQ</t>
  </si>
  <si>
    <t>Coffee Mate</t>
  </si>
  <si>
    <t>Coffee-mate</t>
  </si>
  <si>
    <t>113-5676768-4460210</t>
  </si>
  <si>
    <t>73MUURIWCGVQ</t>
  </si>
  <si>
    <t>B072ZKTSNX</t>
  </si>
  <si>
    <t>Amazon Brand - Rivet Hairpin Wood and Metal 15.7" Console Table Bench, Walnut and Dark Metal</t>
  </si>
  <si>
    <t>PLUL1</t>
  </si>
  <si>
    <t>Rivet</t>
  </si>
  <si>
    <t>BXVXQ</t>
  </si>
  <si>
    <t>CB-099</t>
  </si>
  <si>
    <t>111-0931342-3678634</t>
  </si>
  <si>
    <t>793S3LKAEK1X</t>
  </si>
  <si>
    <t>B08H7XQZZ2</t>
  </si>
  <si>
    <t>DIYSELF 24 Pack Utility Knife Retractable Box Cutter (18mm Wide Blade Cutter) Retractable, Compact, Extended Use for Heavy Duty Office, Home, Arts Cra</t>
  </si>
  <si>
    <t>DIYSELF</t>
  </si>
  <si>
    <t>SHANG HAI</t>
  </si>
  <si>
    <t>111-8106542-6422665</t>
  </si>
  <si>
    <t>5H4P2WDAR6CN</t>
  </si>
  <si>
    <t>B078168FLV</t>
  </si>
  <si>
    <t>Kyocera 1T02R90US1 Model TK-5222K Black Toner Cartridge, Compatible with ECOSYS P5021cdn, P5021cdw, M5521cdn and M5521cdw Laser Printers; Up to 1200 Pages Yield</t>
  </si>
  <si>
    <t>Kyocera</t>
  </si>
  <si>
    <t>TK-5222K</t>
  </si>
  <si>
    <t>1T02R90US1</t>
  </si>
  <si>
    <t>Rock Bottom Sales</t>
  </si>
  <si>
    <t>Monsey</t>
  </si>
  <si>
    <t>111-1508153-7934659</t>
  </si>
  <si>
    <t>6UQO5RIYFXO3</t>
  </si>
  <si>
    <t>B071VK2VF2</t>
  </si>
  <si>
    <t>Toshiba T3008U e-Studio 2008A 2508A 3008A 3508A 4508A 50008A Toner Cartridge (43900 Yield)</t>
  </si>
  <si>
    <t>Toshiba America</t>
  </si>
  <si>
    <t>T3008U</t>
  </si>
  <si>
    <t>eSwift Supplies</t>
  </si>
  <si>
    <t>Stanton</t>
  </si>
  <si>
    <t>KY</t>
  </si>
  <si>
    <t>113-2989088-5375430</t>
  </si>
  <si>
    <t>P9Q46N1ZT5ZC</t>
  </si>
  <si>
    <t>B0BRJN5Q2R</t>
  </si>
  <si>
    <t>Black History Month Banner Backdrop Black History Month Decorations, 35.4"x70.9"</t>
  </si>
  <si>
    <t>Studio aids</t>
  </si>
  <si>
    <t>Background screens</t>
  </si>
  <si>
    <t>MEHOWON</t>
  </si>
  <si>
    <t>MK-38</t>
  </si>
  <si>
    <t>WONBOW US</t>
  </si>
  <si>
    <t>西安市</t>
  </si>
  <si>
    <t>陕西省</t>
  </si>
  <si>
    <t>113-8448422-2287442</t>
  </si>
  <si>
    <t>490QSN45Q3RL</t>
  </si>
  <si>
    <t>B0BNN5XKDL</t>
  </si>
  <si>
    <t>Black History Month Banner, Black History Month Decorations Honoring The Past Inspiring The Future Banner, African American BHM Festival Decor Black H</t>
  </si>
  <si>
    <t>cocomigo</t>
  </si>
  <si>
    <t>cocomigo-115</t>
  </si>
  <si>
    <t>cocomigo_direct_store</t>
  </si>
  <si>
    <t>quanzhoushi</t>
  </si>
  <si>
    <t>fujian</t>
  </si>
  <si>
    <t>B08QCXKDBQ</t>
  </si>
  <si>
    <t>Happy Valentine's Day Backdrop Banner Polyester Valentines Backdrop Banner Large Valentine's Day Background Banner Decoration for Valentine Party Supp</t>
  </si>
  <si>
    <t>Sumind</t>
  </si>
  <si>
    <t>Sosolun</t>
  </si>
  <si>
    <t>HEFEISHI</t>
  </si>
  <si>
    <t>ANHUISHENG</t>
  </si>
  <si>
    <t>B0BMPG3WFP</t>
  </si>
  <si>
    <t>8Pcs Black History Month Honeycomb Centerpieces,3D Double Side Black History Month Decorations Honeycomb Centerpieces, African American BHM Festival D</t>
  </si>
  <si>
    <t>cocomigo-159</t>
  </si>
  <si>
    <t>B08221YRXY</t>
  </si>
  <si>
    <t xml:space="preserve">14 Pack Premium Red Plastic Tablecloth - 54 x 108 in. Disposable Rectangle Plastic Table Cloth - Decorative Rectangle Table Cover Smooth Tablecloth - </t>
  </si>
  <si>
    <t>HSGUS</t>
  </si>
  <si>
    <t>HSG US LLC</t>
  </si>
  <si>
    <t>Brooklyn</t>
  </si>
  <si>
    <t>B00BYA2LVQ</t>
  </si>
  <si>
    <t>Edupress Black History Events Accents (EP63244)</t>
  </si>
  <si>
    <t>Developmental and professional teaching aids and materials and accessories and supplies</t>
  </si>
  <si>
    <t>Teacher resource materials</t>
  </si>
  <si>
    <t>EDUPE</t>
  </si>
  <si>
    <t>Edupress</t>
  </si>
  <si>
    <t>Teacher Created Resources OS</t>
  </si>
  <si>
    <t>EP63244</t>
  </si>
  <si>
    <t>113-4025304-9273064</t>
  </si>
  <si>
    <t>4SRLIN0RUSJL</t>
  </si>
  <si>
    <t>B08G4R1BJF</t>
  </si>
  <si>
    <t>Veco Spray Bottle (5 Pack,16 Oz) with Measurements and Adjustable Nozzle(Mist &amp; Stream Mode), HDPE Plastic Spray Bottles for Cleaning Solution, Househ</t>
  </si>
  <si>
    <t>Domestic kitchen tools and utensils</t>
  </si>
  <si>
    <t>Domestic mist or trigger sprayers</t>
  </si>
  <si>
    <t>VECO</t>
  </si>
  <si>
    <t>Veco</t>
  </si>
  <si>
    <t>eqrtyuio165</t>
  </si>
  <si>
    <t>zhixiang A</t>
  </si>
  <si>
    <t>111-1505959-2949064</t>
  </si>
  <si>
    <t>5TA2QSV1D7K1</t>
  </si>
  <si>
    <t>B071Y5B63V</t>
  </si>
  <si>
    <t>Lysol Power Toilet Bowl Cleaner Gel, For Cleaning and Disinfecting, Stain Removal, 24oz ( 9 count)</t>
  </si>
  <si>
    <t>Reckitt Benckiser</t>
  </si>
  <si>
    <t>113-2612017-0979409</t>
  </si>
  <si>
    <t>PR-6147</t>
  </si>
  <si>
    <t>730DZLZO1CXG</t>
  </si>
  <si>
    <t>B013SX3T08</t>
  </si>
  <si>
    <t>Tork Multifold Hand Towel Natural H2, Universal, 100% Recycled Fibers, 250 Count (Pack of 16), MK520A</t>
  </si>
  <si>
    <t>Paper towels</t>
  </si>
  <si>
    <t>TORKP</t>
  </si>
  <si>
    <t>Tork</t>
  </si>
  <si>
    <t>Essity</t>
  </si>
  <si>
    <t>MK520a</t>
  </si>
  <si>
    <t>MK520A</t>
  </si>
  <si>
    <t>113-8231163-3137060</t>
  </si>
  <si>
    <t>20Q488QEP2UX</t>
  </si>
  <si>
    <t>B096DY6J4S</t>
  </si>
  <si>
    <t xml:space="preserve">Mr. Pen- Hot Glue Gun Finger Protectors, 24 pcs, Silicone Finger Protectors, Finger Protectors, Finger Protectors for Hot Glue, Silicone Thimble, Hot </t>
  </si>
  <si>
    <t>Mr. Pen</t>
  </si>
  <si>
    <t>Mr. pen</t>
  </si>
  <si>
    <t>FNG24</t>
  </si>
  <si>
    <t>Minority-Owned Business, Registered Small Business, 889 certification</t>
  </si>
  <si>
    <t>Lafayette</t>
  </si>
  <si>
    <t>LA</t>
  </si>
  <si>
    <t>111-3869338-5223455</t>
  </si>
  <si>
    <t>PR-6663</t>
  </si>
  <si>
    <t>1LHA0A12QLTC</t>
  </si>
  <si>
    <t>113-1497903-3966600</t>
  </si>
  <si>
    <t>7GITX9ZRU2FJ</t>
  </si>
  <si>
    <t>B081H96CGS</t>
  </si>
  <si>
    <t>Dib Safety Vest Reflective ANSI Class 2, High Visibility Vest with Pockets and Zipper, Construction Work Vest Hi Vis Orange M</t>
  </si>
  <si>
    <t>DSV02O-M</t>
  </si>
  <si>
    <t>4WNAAO3H0RKN</t>
  </si>
  <si>
    <t>113-2001131-1162601</t>
  </si>
  <si>
    <t>49XM5S2820A9</t>
  </si>
  <si>
    <t>B08Y97YZ4K</t>
  </si>
  <si>
    <t>Med PRIDE NitriPride Nitrile-Vinyl Blend Exam Gloves, X-Large 100 - Powder Free, Latex Free &amp; Rubber Free - Single Use Non-Sterile Protective Gloves f</t>
  </si>
  <si>
    <t>Shield Line</t>
  </si>
  <si>
    <t>113-2878559-1729004</t>
  </si>
  <si>
    <t>4V2ZGR56389P</t>
  </si>
  <si>
    <t>B0030FCG1S</t>
  </si>
  <si>
    <t>BSN32953 - Transparent Tape, 1 Core, 3/4x1000, 12/PK, Clear</t>
  </si>
  <si>
    <t>Transparent tape</t>
  </si>
  <si>
    <t>BUT3T</t>
  </si>
  <si>
    <t>Business Source</t>
  </si>
  <si>
    <t>BestSource OfficeSupplies</t>
  </si>
  <si>
    <t>B07H8QG78V</t>
  </si>
  <si>
    <t>Reli. SuperValue 40-45 Gallon Trash Bags (250 Count Bulk), Made in USA | Black Large Garbage Bags - 40 Gallon - 42 Gallon - 44 Gallon - 45 Gallon Larg</t>
  </si>
  <si>
    <t>Waste containers and accessories</t>
  </si>
  <si>
    <t>Trash bags</t>
  </si>
  <si>
    <t>Reli.</t>
  </si>
  <si>
    <t>Minority-Owned Business</t>
  </si>
  <si>
    <t>Los Angeles</t>
  </si>
  <si>
    <t>111-7070541-7470652</t>
  </si>
  <si>
    <t>32QFNTWWEYOH</t>
  </si>
  <si>
    <t>111-0111469-3667465</t>
  </si>
  <si>
    <t>1BWX3X73PQ3V</t>
  </si>
  <si>
    <t>Beauty</t>
  </si>
  <si>
    <t>B009A53CR4</t>
  </si>
  <si>
    <t>GOJ912812CT - Gojo 800 SRS Disp Refill Pink/Klean Skin Cleanser</t>
  </si>
  <si>
    <t>Hand cleaner</t>
  </si>
  <si>
    <t>GOJS5</t>
  </si>
  <si>
    <t>Gojo</t>
  </si>
  <si>
    <t>9128-12CT</t>
  </si>
  <si>
    <t>GOJ912812CT</t>
  </si>
  <si>
    <t>Fast and Precise by Staples</t>
  </si>
  <si>
    <t>LaVergne</t>
  </si>
  <si>
    <t>TN</t>
  </si>
  <si>
    <t>111-5572947-9430614</t>
  </si>
  <si>
    <t>59VXBPLRYBMH</t>
  </si>
  <si>
    <t>B089KS6N22</t>
  </si>
  <si>
    <t>WizKid Products Splash Hog Vertical Urinal Screen, Clean</t>
  </si>
  <si>
    <t>WIZKO</t>
  </si>
  <si>
    <t>WizKid Products</t>
  </si>
  <si>
    <t>SH-CLN</t>
  </si>
  <si>
    <t>Florida Supply &amp; Cleaning Products</t>
  </si>
  <si>
    <t>Daytona Beach</t>
  </si>
  <si>
    <t>111-9815178-8482621</t>
  </si>
  <si>
    <t>4HKUSM7BTEFE</t>
  </si>
  <si>
    <t>Business, Industrial, &amp; Scientific Supplies</t>
  </si>
  <si>
    <t>B000JK3M0G</t>
  </si>
  <si>
    <t>Dial Professional Gold Antibacterial Liquid Hand Soap, 1 Gallon Refill Bottle</t>
  </si>
  <si>
    <t>DIALE</t>
  </si>
  <si>
    <t>Dial</t>
  </si>
  <si>
    <t>Dial Professional</t>
  </si>
  <si>
    <t>88047EA</t>
  </si>
  <si>
    <t>114-7519885-0527406</t>
  </si>
  <si>
    <t>ACC20130116</t>
  </si>
  <si>
    <t>5P1DCHQ1QDUM</t>
  </si>
  <si>
    <t>B00FP6LTJK</t>
  </si>
  <si>
    <t>Avery File Folder Labels, 6667 x 3.4375", White, Pack of 150 (08593)</t>
  </si>
  <si>
    <t>AVERF</t>
  </si>
  <si>
    <t>AVERY</t>
  </si>
  <si>
    <t>Avery</t>
  </si>
  <si>
    <t>W441C88R2CM7</t>
  </si>
  <si>
    <t>B077MKBDT8</t>
  </si>
  <si>
    <t>Business Source Fold-Back Binder Clips, Mini (65364BX)</t>
  </si>
  <si>
    <t>0ZQQZ</t>
  </si>
  <si>
    <t>SP Richards (Uno)</t>
  </si>
  <si>
    <t>65364BX</t>
  </si>
  <si>
    <t>Atoll</t>
  </si>
  <si>
    <t>HOUSTON</t>
  </si>
  <si>
    <t>TX</t>
  </si>
  <si>
    <t>5XAEHLIEMOZH</t>
  </si>
  <si>
    <t>111-3324274-8113864</t>
  </si>
  <si>
    <t>SB1U0RABK3N4</t>
  </si>
  <si>
    <t>B09193XM2N</t>
  </si>
  <si>
    <t>18inch Push Broom Outdoor - Heavy Duty Broom for Driveways, Sidewalks, Patios and Deck Cleans Dirt, Debris, Sand, Mud, Leaves and Water-18 Wide Bristl</t>
  </si>
  <si>
    <t>B06WWJ9JJD</t>
  </si>
  <si>
    <t>Genuine Joe Heavy-duty Metal Dustpan 58143</t>
  </si>
  <si>
    <t>GEPUJ</t>
  </si>
  <si>
    <t>Genuine Joe</t>
  </si>
  <si>
    <t>GJO58143</t>
  </si>
  <si>
    <t>114-3516539-5588244</t>
  </si>
  <si>
    <t>43JRCZJHAYBK</t>
  </si>
  <si>
    <t>B00VPEMN8W</t>
  </si>
  <si>
    <t>Georgia-Pacific Professional Series Premium 1-Ply Multifold Paper Towels by GP PRO (Georgia-Pacific), White, 2212014, 250 Towels Per Pack, 8 Packs Per</t>
  </si>
  <si>
    <t>GEOBB</t>
  </si>
  <si>
    <t>Georgia-Pacific</t>
  </si>
  <si>
    <t>112-2051798-6531422</t>
  </si>
  <si>
    <t>74F5JFJXFRBK</t>
  </si>
  <si>
    <t>B0822G57DR</t>
  </si>
  <si>
    <t xml:space="preserve">IWISS Swaging Tool, Wire Rope Crimping Tools for Aluminum Copper Duplex Hourglass Sleeves, Stop Buttons and Ferrules with Built-in Cable Cutter Works </t>
  </si>
  <si>
    <t>IWISS</t>
  </si>
  <si>
    <t>ZHEJIANG IWISS ELECTRIC CO.,LTD</t>
  </si>
  <si>
    <t>SWAGER WITH BUILT-IN CUTTER</t>
  </si>
  <si>
    <t>IWS-1608M-C</t>
  </si>
  <si>
    <t>iwiss</t>
  </si>
  <si>
    <t>温州</t>
  </si>
  <si>
    <t>浙江</t>
  </si>
  <si>
    <t>113-0224496-4257077</t>
  </si>
  <si>
    <t>PR-6640</t>
  </si>
  <si>
    <t>22MLHU2TH18W</t>
  </si>
  <si>
    <t>B09KXTVKCS</t>
  </si>
  <si>
    <t xml:space="preserve">Schneider Black Vinyl Exam Gloves, 4mil, Disposable Gloves Latex-Free, Plastic Gloves for Medical, Cooking, Cleaning, and Food Prep, Surgical Gloves, </t>
  </si>
  <si>
    <t>Schneider</t>
  </si>
  <si>
    <t>Schneider Care</t>
  </si>
  <si>
    <t>VSFK3102</t>
  </si>
  <si>
    <t>A2eshop</t>
  </si>
  <si>
    <t>IRWINDALE</t>
  </si>
  <si>
    <t>113-0968294-7464234</t>
  </si>
  <si>
    <t>55R61HXGL0XB</t>
  </si>
  <si>
    <t>Stelli Products</t>
  </si>
  <si>
    <t>113-9763777-7959423</t>
  </si>
  <si>
    <t>465R7HWQ5GJN</t>
  </si>
  <si>
    <t>B0000AXNO5</t>
  </si>
  <si>
    <t>Simple Green 13005CT Industrial Cleaner and Degreaser, Concentrated, 127.8 Fl Oz, Pack of 1</t>
  </si>
  <si>
    <t>SIMYA</t>
  </si>
  <si>
    <t>7930-01-306-8369</t>
  </si>
  <si>
    <t>SMP13005CT</t>
  </si>
  <si>
    <t>114-1689449-1161817</t>
  </si>
  <si>
    <t>UF6639PSTX2-IN</t>
  </si>
  <si>
    <t>53MZKR0I0KW0</t>
  </si>
  <si>
    <t>B09VGNFM98</t>
  </si>
  <si>
    <t>Hybsk 3x2 inch Direct Thermal Labels for Barcodes, Address, Compatible with Rollo Label Printer &amp; Zebra Desktop Printers (3"x2",4 Rolls White)</t>
  </si>
  <si>
    <t>HYBSK</t>
  </si>
  <si>
    <t>Hybsk</t>
  </si>
  <si>
    <t>TZ000679-pp</t>
  </si>
  <si>
    <t>HANGZHOU</t>
  </si>
  <si>
    <t>ZHEJIANG</t>
  </si>
  <si>
    <t>113-2990433-8629038</t>
  </si>
  <si>
    <t>1CQE5DHUPJKT</t>
  </si>
  <si>
    <t>B0925V4XYZ</t>
  </si>
  <si>
    <t>Knodel Non-Slip Desk Mat, Mouse Pad, Waterproof Desk Pad for Desktop, Leather Desk Pad for Keyboard and Mouse, Desk Pad Protector, Desk Writing Pad fo</t>
  </si>
  <si>
    <t>Desk pads or its accessories</t>
  </si>
  <si>
    <t>K KNODEL</t>
  </si>
  <si>
    <t>GZ</t>
  </si>
  <si>
    <t>Knodel</t>
  </si>
  <si>
    <t>111-1301363-4997008</t>
  </si>
  <si>
    <t>Emergency while other arrive</t>
  </si>
  <si>
    <t>1HBV17RXD8QS</t>
  </si>
  <si>
    <t>B0B7Q8BPZL</t>
  </si>
  <si>
    <t xml:space="preserve">[Made in USA] Reli. 33 Gallon Trash Bags Heavy Duty (50 Bags) | Black Trash Bags | Large Garbage Bags 30+ Gallon (32 Gal - 33 Gal) | Large, Trash Can </t>
  </si>
  <si>
    <t>Reli</t>
  </si>
  <si>
    <t>114-2644875-8821851</t>
  </si>
  <si>
    <t>6DPDRWVDSFO0</t>
  </si>
  <si>
    <t>B0BJ7117VX</t>
  </si>
  <si>
    <t>HATAUNKI High Visibility Reflection Black Mesh Safety Vests with 8 Pockets and Front Zipper, hi vis safety vest for Men and Women, Meets ANSI/ISEA Sta</t>
  </si>
  <si>
    <t>HATAUNKI</t>
  </si>
  <si>
    <t>HAOTAI</t>
  </si>
  <si>
    <t>P07MXVC3-BL160-01</t>
  </si>
  <si>
    <t>Hatus</t>
  </si>
  <si>
    <t>Zhuzhou City</t>
  </si>
  <si>
    <t>Hunan Province</t>
  </si>
  <si>
    <t>114-6928816-7687413</t>
  </si>
  <si>
    <t>79497WI92LLH</t>
  </si>
  <si>
    <t>B00CHTWPXM</t>
  </si>
  <si>
    <t>SKITTLES &amp; STARBURST Candy Fun Size Variety Mix 31.9-Ounce Bag, 65 Pieces</t>
  </si>
  <si>
    <t>Confectionary products</t>
  </si>
  <si>
    <t>SKITD</t>
  </si>
  <si>
    <t>Cavalrywolf</t>
  </si>
  <si>
    <t>Wrigley</t>
  </si>
  <si>
    <t>ASINPPOSPRME21571</t>
  </si>
  <si>
    <t>113-0859519-2165007</t>
  </si>
  <si>
    <t>PR-6617</t>
  </si>
  <si>
    <t>2KHC8390GTW6</t>
  </si>
  <si>
    <t>B081DHV2PW</t>
  </si>
  <si>
    <t>JIKIOU 2 Pack Mouse Pad, Ergonomic Mouse Pad with Gel Wrist Rest Support, Comfortable Wrist Rest Mouse Pad with Non-Slip PU Base for Computer Laptop H</t>
  </si>
  <si>
    <t>Computer data input device accessories</t>
  </si>
  <si>
    <t>Mouse pads</t>
  </si>
  <si>
    <t>JIKIOU</t>
  </si>
  <si>
    <t>Gel-mousepads-2pack</t>
  </si>
  <si>
    <t>109: 14600 Innovation</t>
  </si>
  <si>
    <t>JIKIOU Direct</t>
  </si>
  <si>
    <t>ShenZhen</t>
  </si>
  <si>
    <t>GuangDong</t>
  </si>
  <si>
    <t>113-6244059-1325830</t>
  </si>
  <si>
    <t>2JN2138YBGLH</t>
  </si>
  <si>
    <t>B07C4QRYB6</t>
  </si>
  <si>
    <t>Sharpie 44001 Oversized Chisel Tip Extra Wide Magnum Permanent Marker (2 Boxes), Black, Sturdy Extra-wide Felt Chisel Tip, Quick-drying Ink is Fade-an</t>
  </si>
  <si>
    <t>Markers</t>
  </si>
  <si>
    <t>SHARPIE</t>
  </si>
  <si>
    <t>Sharpie</t>
  </si>
  <si>
    <t>SG_B07C4QRYB6_US</t>
  </si>
  <si>
    <t>Active Deal</t>
  </si>
  <si>
    <t>111-5674299-1474638</t>
  </si>
  <si>
    <t>8TLYQZWDTDNK</t>
  </si>
  <si>
    <t>B0876VM4KH</t>
  </si>
  <si>
    <t xml:space="preserve">BOMEI PACK 48 Rolls Crystal Clear Transparent Tape, Stationery Tape Refills Rolls for Dispenser, 3/4 in x 1000 in,1 inch Core, Gift Wrapping Tape for </t>
  </si>
  <si>
    <t>BOMEI PACK</t>
  </si>
  <si>
    <t>Dongguan Kaidi Adhesive Technology CO.,LTD</t>
  </si>
  <si>
    <t>Stationery tape: 02</t>
  </si>
  <si>
    <t>dongguan</t>
  </si>
  <si>
    <t>B07885MBMB</t>
  </si>
  <si>
    <t>FABULOSO Professional All Purpose Cleaner &amp; Degreaser, Ocean Cool, Concentrated Formula, Bathroom Cleaner, Toilet Cleaner, Floor Cleaner, Shower Clean</t>
  </si>
  <si>
    <t>FABUA</t>
  </si>
  <si>
    <t>Colgate-Palmolive Commercial</t>
  </si>
  <si>
    <t>US05252A</t>
  </si>
  <si>
    <t>B08MVDH9NT</t>
  </si>
  <si>
    <t>Glade Automatic Spray Refill, Air Freshener for Home and Bathroom, Aqua Waves, 6.2 Oz, 3 Count</t>
  </si>
  <si>
    <t>Glade</t>
  </si>
  <si>
    <t>AmazonUs/9M6TO</t>
  </si>
  <si>
    <t>B079KL4C91</t>
  </si>
  <si>
    <t>Amazon Basics Clear Thermal Laminating Plastic Paper Laminator Sheets - 9 x 11.5-Inch, 200-Pack, 3mil</t>
  </si>
  <si>
    <t>Industrial use papers</t>
  </si>
  <si>
    <t>Laminated papers</t>
  </si>
  <si>
    <t>89201P</t>
  </si>
  <si>
    <t>111-6380575-2577867</t>
  </si>
  <si>
    <t>1KSRIQTZ81O3</t>
  </si>
  <si>
    <t>114-7119648-4700207</t>
  </si>
  <si>
    <t>PR-6515</t>
  </si>
  <si>
    <t>BX2M4KWFKTWF</t>
  </si>
  <si>
    <t>B008I7TNDW</t>
  </si>
  <si>
    <t>Scott® Professional 100% Recycled Fiber Standard Roll Bathroom Tissue (13217), 2-Ply, White, 80 Rolls / Case, 473 Sheets / Roll, 37,840 Sheets / Case</t>
  </si>
  <si>
    <t>Toilet tissue</t>
  </si>
  <si>
    <t>SCOBR</t>
  </si>
  <si>
    <t>Scott</t>
  </si>
  <si>
    <t>111-4889213-9997034</t>
  </si>
  <si>
    <t>3TAW9VR2PDZB</t>
  </si>
  <si>
    <t>B077Q2JT1B</t>
  </si>
  <si>
    <t>FOL20421CT - Coffee Classic Roast</t>
  </si>
  <si>
    <t>Smuckers</t>
  </si>
  <si>
    <t>FOL20421CT</t>
  </si>
  <si>
    <t>HYW Worldwide, LLC</t>
  </si>
  <si>
    <t>north bay village</t>
  </si>
  <si>
    <t>florida</t>
  </si>
  <si>
    <t>112-0808916-7460258</t>
  </si>
  <si>
    <t>January Cleaning supplies</t>
  </si>
  <si>
    <t>1FJETVZ5ZY4W</t>
  </si>
  <si>
    <t>B06W2HD8B9</t>
  </si>
  <si>
    <t>BIC Round Stic Xtra Life Blue Ballpoint Pens, Medium Point (1.0mm), 144-Count Pack of Bulk Pens, Flexible Round Barrel for Writing Comfort, No. 1 Sell</t>
  </si>
  <si>
    <t>BIC1X</t>
  </si>
  <si>
    <t>GSM144AZ BLU</t>
  </si>
  <si>
    <t>BSM144AZ-BLU</t>
  </si>
  <si>
    <t>B00OJ79UK6</t>
  </si>
  <si>
    <t>SABRENT 60 Watt (12 Amp) 10 Port [UL Certified] Family Sized Desktop USB Rapid Charger. Smart USB Ports with Auto Detect Technology [Black] (AX-TPCS)</t>
  </si>
  <si>
    <t>SABTJ</t>
  </si>
  <si>
    <t>SABRENT</t>
  </si>
  <si>
    <t>Sabrent</t>
  </si>
  <si>
    <t>AX-TPCS</t>
  </si>
  <si>
    <t>B08HCNPPM3</t>
  </si>
  <si>
    <t>interhasa! Soap Dispenser, Touchless Hand Sanitizer Dispenser Wall Mount Automatic Kitchen Soap Dispenser for Commercial Home, Office, 600ml/20oz</t>
  </si>
  <si>
    <t>interhasa!</t>
  </si>
  <si>
    <t>bertreno</t>
  </si>
  <si>
    <t>Wenzhou City</t>
  </si>
  <si>
    <t>Zhejiang Province</t>
  </si>
  <si>
    <t>112-2802606-8993841</t>
  </si>
  <si>
    <t>1I7CP6FF4EMJ</t>
  </si>
  <si>
    <t>B0014C440U</t>
  </si>
  <si>
    <t>Cottonelle Professional Bulk Toilet Paper for Business (92145), Standard Toilet Paper Rolls, 2-Ply, White, 60 Rolls/Case, 451 Sheets/Roll</t>
  </si>
  <si>
    <t>CO6DW</t>
  </si>
  <si>
    <t>Cottonelle</t>
  </si>
  <si>
    <t>112-6446502-1741014</t>
  </si>
  <si>
    <t>1LI5A6UCWDNE</t>
  </si>
  <si>
    <t>B007VR5ETC</t>
  </si>
  <si>
    <t>SHOWA 730 Nitrile Cotton Flock-lined Chemical Resistant Glove, Large (Pack of 12 Pairs)</t>
  </si>
  <si>
    <t>607R1</t>
  </si>
  <si>
    <t>SHOWA</t>
  </si>
  <si>
    <t>Showa Best Glove Inc</t>
  </si>
  <si>
    <t>730-09</t>
  </si>
  <si>
    <t>B07ZH5DHL3</t>
  </si>
  <si>
    <t>Leadseals(R) 100 Blue Tite-Lock Plastic Tractor Truck Door Seal Tamper Proof Security Tags Numbered Safty Disposable Locks for Trailer Logistics Shipping Transport, Tamper Resistant</t>
  </si>
  <si>
    <t>LeadSeals</t>
  </si>
  <si>
    <t>Fujian Leadseals security seals company</t>
  </si>
  <si>
    <t>LS-25FF</t>
  </si>
  <si>
    <t>LS-25F</t>
  </si>
  <si>
    <t>TaiJiang District</t>
  </si>
  <si>
    <t>Fuzhou</t>
  </si>
  <si>
    <t>112-9743759-3138633</t>
  </si>
  <si>
    <t>2FWT3CCZEJ36</t>
  </si>
  <si>
    <t>B0833VW43J</t>
  </si>
  <si>
    <t>amoolo Clear Safety Glasses Bulk of 24, Protective Eyewear for Men Women, Scratch &amp; Impact Resistant Eye Protection for Work, Lab, Construction</t>
  </si>
  <si>
    <t>Vision protection and accessories</t>
  </si>
  <si>
    <t>Safety glasses</t>
  </si>
  <si>
    <t>amoolo</t>
  </si>
  <si>
    <t>ASG1920-24-Clear-Adult</t>
  </si>
  <si>
    <t>Amoolo Direct</t>
  </si>
  <si>
    <t>Shanghai</t>
  </si>
  <si>
    <t>111-3343284-5798669</t>
  </si>
  <si>
    <t>780JWHDYUA3Y</t>
  </si>
  <si>
    <t>B0788BN75J</t>
  </si>
  <si>
    <t>FABULOSO Professional All Purpose Cleaner &amp; Degreaser Gallon Refill, Lavender, 4 Gallons Total (128 oz Bottle | Case of 4), Multi Purpose Cleaner, Bul</t>
  </si>
  <si>
    <t>FABAY</t>
  </si>
  <si>
    <t>111-0428812-4081006</t>
  </si>
  <si>
    <t>5W2BIB71RJ5V</t>
  </si>
  <si>
    <t>B01BRGU8R0</t>
  </si>
  <si>
    <t>Amazon Basics Multipurpose, Comfort Grip, PVD coated, Stainless Steel Office Scissors - Pack of 3</t>
  </si>
  <si>
    <t>SCR002</t>
  </si>
  <si>
    <t>B0006HUQME</t>
  </si>
  <si>
    <t>Swingline Stapler, Light Duty Desktop Stapler, 20 Sheet Capacity, Black (S7040501)</t>
  </si>
  <si>
    <t>SWIND</t>
  </si>
  <si>
    <t>Swingline</t>
  </si>
  <si>
    <t>ACCO Brands</t>
  </si>
  <si>
    <t>S7040501</t>
  </si>
  <si>
    <t>SWI40501</t>
  </si>
  <si>
    <t>111-5301633-0649052</t>
  </si>
  <si>
    <t>17LZAN9RYFHH</t>
  </si>
  <si>
    <t>B07KYWVCP6</t>
  </si>
  <si>
    <t>Med PRIDE Medical Vinyl Examination Gloves (Large, 100-Count) Latex Free Rubber | Disposable, Ultra-Strong, Clear | Fluid, Blood, Exam, Healthcare, Fo</t>
  </si>
  <si>
    <t>50905 - Box</t>
  </si>
  <si>
    <t>114-6339615-9768266</t>
  </si>
  <si>
    <t>PR-6629</t>
  </si>
  <si>
    <t>3PB4XEDYCA9M</t>
  </si>
  <si>
    <t>114-7526437-3878603</t>
  </si>
  <si>
    <t>PR-6624</t>
  </si>
  <si>
    <t>66O2NCPKOIQ3</t>
  </si>
  <si>
    <t>112-2103280-7290633</t>
  </si>
  <si>
    <t>UF6630KS2-IN</t>
  </si>
  <si>
    <t>3TMDL6FOVSLF</t>
  </si>
  <si>
    <t>B01DBN94B8</t>
  </si>
  <si>
    <t>VIZ-PRO Double-Sided Magnetic Mobile Whiteboard,72 x 48 Inches Aluminium Frame and Stand</t>
  </si>
  <si>
    <t>Zhengzhou Aucs Co.,Ltd.</t>
  </si>
  <si>
    <t>RM7248L</t>
  </si>
  <si>
    <t>113-2116192-7521062</t>
  </si>
  <si>
    <t>R5PW7A1T2H8F</t>
  </si>
  <si>
    <t>B009S750LA</t>
  </si>
  <si>
    <t>VIVO Dual Monitor Desk Mount, Heavy Duty Fully Adjustable Stand, Fits 2 LCD LED Screens up to 30 inches, Black, STAND-V002</t>
  </si>
  <si>
    <t>Computer display accessories</t>
  </si>
  <si>
    <t>Monitor arms or stands</t>
  </si>
  <si>
    <t>VIVO</t>
  </si>
  <si>
    <t>STAND-V002</t>
  </si>
  <si>
    <t>FBA_STAND-V002</t>
  </si>
  <si>
    <t>V I V O</t>
  </si>
  <si>
    <t>SBA-Certified 8(a) Firm, Registered Small Business</t>
  </si>
  <si>
    <t>Goodfield</t>
  </si>
  <si>
    <t>IL</t>
  </si>
  <si>
    <t>111-7020940-9999458</t>
  </si>
  <si>
    <t>65K920X2K50Z</t>
  </si>
  <si>
    <t>B09W9XJ2K9</t>
  </si>
  <si>
    <t>Gorilla Tough &amp; Clear Double Sided Adhesive Mounting Tape, Extra Large, 1" x 150", Clear, (Pack of 2)</t>
  </si>
  <si>
    <t>GORQ2</t>
  </si>
  <si>
    <t>Gorilla</t>
  </si>
  <si>
    <t>The Gorilla Glue Company</t>
  </si>
  <si>
    <t>111-8587007-1236200</t>
  </si>
  <si>
    <t>4GPMHTWG8D5Y</t>
  </si>
  <si>
    <t>B07VNTC9LH</t>
  </si>
  <si>
    <t>Lichamp 10-Pack Black Electrical Tape Waterproof, 3/4 in x 66ft, Industrial Grade UL/CSA Listed High Temp Electrical Tape Electric Super Vinyl</t>
  </si>
  <si>
    <t>Lichamp</t>
  </si>
  <si>
    <t>QIUHUA</t>
  </si>
  <si>
    <t>BRIGHTON</t>
  </si>
  <si>
    <t>CO</t>
  </si>
  <si>
    <t>113-2979972-2255443</t>
  </si>
  <si>
    <t>UT-TX</t>
  </si>
  <si>
    <t>Jennifer Boyd</t>
  </si>
  <si>
    <t>jennifer.boyd@unisco.com</t>
  </si>
  <si>
    <t>2JWOLHA98X8L</t>
  </si>
  <si>
    <t>B0B7R99M4W</t>
  </si>
  <si>
    <t>RACETOP Hot Paper Coffee Cups 12 oz [300 Pack], Disposable Coffee Cups 12 oz, Upgraded Weight Of Paper, White</t>
  </si>
  <si>
    <t>895: 10535 Red Bluff</t>
  </si>
  <si>
    <t>B0137969AA</t>
  </si>
  <si>
    <t>Victor Allen's Coffee Variety Pack, Light-Dark Roasts, 96 Count, Single Serve Coffee Pods for Keurig K-Cup Brewers</t>
  </si>
  <si>
    <t>VIGXP</t>
  </si>
  <si>
    <t>Victor Allen</t>
  </si>
  <si>
    <t>Trilliant Food &amp; Nutrition LLC</t>
  </si>
  <si>
    <t>FG014319</t>
  </si>
  <si>
    <t>114-2187393-7038644</t>
  </si>
  <si>
    <t>PR-6622</t>
  </si>
  <si>
    <t>74RTOY49FD1M</t>
  </si>
  <si>
    <t>B0013CBC5Q</t>
  </si>
  <si>
    <t>Avery Marks A Lot Permanent Markers, Large Desk-Style Size, Chisel Tip, Water and Wear Resistant, 12 Orange Markers (08883)</t>
  </si>
  <si>
    <t>114-2864354-1380212</t>
  </si>
  <si>
    <t>2LPFP88H0B41</t>
  </si>
  <si>
    <t>B0000DBMMO</t>
  </si>
  <si>
    <t>Fellowes 60112 Workstation Letter Desk Tray Organizer, Wire, Black</t>
  </si>
  <si>
    <t>B005KQ95Q4</t>
  </si>
  <si>
    <t>Avery Marks-A-Lot Permanent Markers, Large Desk-Style Size, Chisel Tip, Water and Wear Resistant, 12 Green Markers (08885)</t>
  </si>
  <si>
    <t>112-5076046-6511460</t>
  </si>
  <si>
    <t>UF6614GNW-IN</t>
  </si>
  <si>
    <t>15TKFXKASY4J</t>
  </si>
  <si>
    <t>B0179POZ4K</t>
  </si>
  <si>
    <t>5.5" x 10" Clear Packing List Back Side Loading Plain Face Envelopes Pouches (1000 Pieces)</t>
  </si>
  <si>
    <t>Standard envelopes</t>
  </si>
  <si>
    <t>PackagingSuppliesByMail</t>
  </si>
  <si>
    <t>PLE-PF510-1</t>
  </si>
  <si>
    <t>Cleveland</t>
  </si>
  <si>
    <t>OH</t>
  </si>
  <si>
    <t>112-0874945-1234633</t>
  </si>
  <si>
    <t>UF6619TN2-IN</t>
  </si>
  <si>
    <t>5YHT81XZM0FZ</t>
  </si>
  <si>
    <t>B00C2LAXKC</t>
  </si>
  <si>
    <t>Packing List Enclosed Envelope Panel Face Back Side Load 4.5" x 6" 1000 Pieces</t>
  </si>
  <si>
    <t>PLE-PP406-1</t>
  </si>
  <si>
    <t>113-2981682-6789018</t>
  </si>
  <si>
    <t>469TYA74LQKF</t>
  </si>
  <si>
    <t>B0077D1DC2</t>
  </si>
  <si>
    <t>"On Hands" Propane Cylinder Handling Gloves, Colors May Vary (1 Pair)</t>
  </si>
  <si>
    <t>IROR2</t>
  </si>
  <si>
    <t>Ideal Warehouse Innovations, Inc.</t>
  </si>
  <si>
    <t>70-1020</t>
  </si>
  <si>
    <t>113-6091915-0439452</t>
  </si>
  <si>
    <t>2HUJNV7QBO1P</t>
  </si>
  <si>
    <t>B00004SQF5</t>
  </si>
  <si>
    <t>Southwire 25890002 2589SW0002 Outdoor Cord-12/3 SJTW Heavy Duty 3 Prong Extension Cord, Water Resistant Vinyl Jacket, for Commercial Use and Major App</t>
  </si>
  <si>
    <t>Electrical wire</t>
  </si>
  <si>
    <t>SOUGW</t>
  </si>
  <si>
    <t>Southwire</t>
  </si>
  <si>
    <t>Coleman Cable</t>
  </si>
  <si>
    <t>6150-01-226-2057</t>
  </si>
  <si>
    <t>111-4104157-1866665</t>
  </si>
  <si>
    <t>33L15P7ONTZ1</t>
  </si>
  <si>
    <t>B003U7O34E</t>
  </si>
  <si>
    <t>Commercial Zone-73290199 PolyTec 42 Gallon Square Waste Container with Dome Lid Color: Black</t>
  </si>
  <si>
    <t>CO6MA</t>
  </si>
  <si>
    <t>Commercial Zone</t>
  </si>
  <si>
    <t>Commercial Zone Products</t>
  </si>
  <si>
    <t>114-0548827-2127426</t>
  </si>
  <si>
    <t>2E40MA547RJM</t>
  </si>
  <si>
    <t>B00168CPYO</t>
  </si>
  <si>
    <t>Post-it Notes, 1.5x2 in, 24 Pads, America's #1 Favorite Sticky Notes, Beachside Café Collection, Pastel Colors, Clean Removal, Recyclable (654-14AU)</t>
  </si>
  <si>
    <t>Self adhesive note paper</t>
  </si>
  <si>
    <t>653-24APVAD</t>
  </si>
  <si>
    <t>6VA4JG3EWAPL</t>
  </si>
  <si>
    <t>B07K8WHH5J</t>
  </si>
  <si>
    <t>Amazon Basics Multipurpose Copy Printer Paper, 8.5 x 11 Inch 20Lb Paper - 8 Ream Case (4,000 Sheets), 92 GE Bright White</t>
  </si>
  <si>
    <t>Multipurpose paper</t>
  </si>
  <si>
    <t>AMZN8RM</t>
  </si>
  <si>
    <t>113-0737465-3579445</t>
  </si>
  <si>
    <t>5W32GYZ11S7E</t>
  </si>
  <si>
    <t>B00IZC4ZJC</t>
  </si>
  <si>
    <t>Dixie Everyday Paper Plates, 8 1/2", 480 Count, 10 Packs of 48 Plates, Lunch or Light Dinner Size Printed Disposable Plates</t>
  </si>
  <si>
    <t>Domestic disposable kitchenware</t>
  </si>
  <si>
    <t>Domestic disposable dishes</t>
  </si>
  <si>
    <t>DIXD7</t>
  </si>
  <si>
    <t>Dixie</t>
  </si>
  <si>
    <t>Yah Ecomm</t>
  </si>
  <si>
    <t>Las Vegas</t>
  </si>
  <si>
    <t>NEVADA</t>
  </si>
  <si>
    <t>113-2546845-5109861</t>
  </si>
  <si>
    <t>10VCSQO6LEA3</t>
  </si>
  <si>
    <t>B09QRN64T1</t>
  </si>
  <si>
    <t>2023 Desk Calendar - 12 Months Large Monthly Desk Calendar 2023, 17" x 12", Jan 2023 - Dec 2023, Desk Pad, Ruled Blocks, To-do List &amp; Notes, Tear Off,</t>
  </si>
  <si>
    <t>Youthamazing</t>
  </si>
  <si>
    <t>YAMBCZLBSZL32H18</t>
  </si>
  <si>
    <t>Polipo</t>
  </si>
  <si>
    <t>Shenzhenshi</t>
  </si>
  <si>
    <t>Guangdongsheng</t>
  </si>
  <si>
    <t>114-3813727-7614645</t>
  </si>
  <si>
    <t>1V6P0AYOG3PF</t>
  </si>
  <si>
    <t>B01DCG0GPC</t>
  </si>
  <si>
    <t>Lysol Disinfectant Spray, Sanitizing and Antibacterial Spray, For Disinfecting and Deodorizing, Crisp Linen, 19 Fl. Oz (Pack of 2)</t>
  </si>
  <si>
    <t>Household disinfectants</t>
  </si>
  <si>
    <t>LYSI9</t>
  </si>
  <si>
    <t>908: 1500 Overland</t>
  </si>
  <si>
    <t>114-5298302-5837033</t>
  </si>
  <si>
    <t>1T3FJO6ODZJE</t>
  </si>
  <si>
    <t>B00NTCH52W</t>
  </si>
  <si>
    <t>Amazon Basics 20 Pack AA High-Performance Alkaline Batteries, 10-Year Shelf Life, Easy to Open Value Pack</t>
  </si>
  <si>
    <t>ALK AA20FFP-U AMZ</t>
  </si>
  <si>
    <t>LR6-20PK</t>
  </si>
  <si>
    <t>B07CZ96P1S</t>
  </si>
  <si>
    <t>MR.SIGA Toilet Brush with Holder, Pack of 3, Black</t>
  </si>
  <si>
    <t>MR.SIGA</t>
  </si>
  <si>
    <t>Ningbo Shijia Cleaning Tools Co., Ltd.</t>
  </si>
  <si>
    <t>SJ21626</t>
  </si>
  <si>
    <t>Mr SIGA USA</t>
  </si>
  <si>
    <t>B078HNBF1H</t>
  </si>
  <si>
    <t>Bright Air Solid Air Freshener and Odor Eliminator, Cool and Clean Scent, 14 Oz Each, 6 Pack</t>
  </si>
  <si>
    <t>BRLKB</t>
  </si>
  <si>
    <t>Bright Air</t>
  </si>
  <si>
    <t>BPG International, Inc</t>
  </si>
  <si>
    <t>900090CT</t>
  </si>
  <si>
    <t>brightair®</t>
  </si>
  <si>
    <t>Willmington</t>
  </si>
  <si>
    <t>DE</t>
  </si>
  <si>
    <t>58TI1YP7EUWO</t>
  </si>
  <si>
    <t>B08D74JPZB</t>
  </si>
  <si>
    <t>Besli 10 Gallon Drawstring Trash Bag Garbage Bag Trash Can Liner,0.9 Mil,90 Counts</t>
  </si>
  <si>
    <t>Besli</t>
  </si>
  <si>
    <t>B09KSBYHVH</t>
  </si>
  <si>
    <t>[200 Count] Black Nitrile Disposable Gloves 6 Mil. Extra Strength Latex &amp; Powder Free, Chemical Resistance, Textured Fingertips Gloves - X-Large</t>
  </si>
  <si>
    <t>Comfy Package</t>
  </si>
  <si>
    <t>COMFY PACKAGE</t>
  </si>
  <si>
    <t>Newark</t>
  </si>
  <si>
    <t>114-9056348-3196260</t>
  </si>
  <si>
    <t>4FHSH4PR5QT0</t>
  </si>
  <si>
    <t>B000J05ETS</t>
  </si>
  <si>
    <t>Boise® X-9® Multi-Use Print &amp; Copy Paper, Letter Size (8 1/2" x 11"), 92 (U.S.) Brightness, 20 Lb, White, 500 Sheets Per Ream, Case Of 10 Reams</t>
  </si>
  <si>
    <t>BOIUL</t>
  </si>
  <si>
    <t>Boise</t>
  </si>
  <si>
    <t>Boise Paper</t>
  </si>
  <si>
    <t>OX9001-CTN</t>
  </si>
  <si>
    <t>The Office Tex</t>
  </si>
  <si>
    <t>Women-Owned Business Enterprise, Women-Owned Small Business, Economically Disadvantaged Women-Owned Small Business, Registered Small Business, TX: HUB - Historically Underutilized Business, 889 certification</t>
  </si>
  <si>
    <t>katy</t>
  </si>
  <si>
    <t>texas</t>
  </si>
  <si>
    <t>113-6909054-3205012</t>
  </si>
  <si>
    <t>2RF6HM8XNU15</t>
  </si>
  <si>
    <t>B07WQZYQC2</t>
  </si>
  <si>
    <t>Board2by Cork Board Bulletin Board 36 x 48, Silver Aluminium Framed 4x3 Corkboard, Office Board for Wall Cork, Large Wall Mounted Notice Pin Board</t>
  </si>
  <si>
    <t>B2y-BB48</t>
  </si>
  <si>
    <t>113-2920055-4951467</t>
  </si>
  <si>
    <t>Paige Fee</t>
  </si>
  <si>
    <t>paige.fee@unisco.com</t>
  </si>
  <si>
    <t>2UOWMDIRS4J3</t>
  </si>
  <si>
    <t>B07QGXBR33</t>
  </si>
  <si>
    <t>TORQUE 12ft 3 in 1 ABS &amp; Power Air Line Hose Kit Airline Air Hose Wrap 7 Way Electrical Cable Air Lines with Handle Grip Airlines for Semi Truck Trail</t>
  </si>
  <si>
    <t>Commercial and Military and Private Vehicles and their Accessories and Components</t>
  </si>
  <si>
    <t>Transportation components and systems</t>
  </si>
  <si>
    <t>Torque</t>
  </si>
  <si>
    <t>TR813212</t>
  </si>
  <si>
    <t>803: 403 Stocker</t>
  </si>
  <si>
    <t>AftermarketUS</t>
  </si>
  <si>
    <t>Streamwood</t>
  </si>
  <si>
    <t>Illinois</t>
  </si>
  <si>
    <t>113-4204759-1530613</t>
  </si>
  <si>
    <t>4YRBL1IX8NA5</t>
  </si>
  <si>
    <t>B004A1WX8W</t>
  </si>
  <si>
    <t>Rain-X 5061320 Windshield Washer Fluid 1 Gallon - 6 PACK</t>
  </si>
  <si>
    <t>Rain-X</t>
  </si>
  <si>
    <t>Elite Tool Center</t>
  </si>
  <si>
    <t>Seminole</t>
  </si>
  <si>
    <t>113-8758574-8292204</t>
  </si>
  <si>
    <t>63TWEB5UOPA3</t>
  </si>
  <si>
    <t>B00MG03VN0</t>
  </si>
  <si>
    <t>Power Service Clear Diesel - 6/80oz. Bottles</t>
  </si>
  <si>
    <t>Power Service</t>
  </si>
  <si>
    <t>cgthds-875</t>
  </si>
  <si>
    <t>Duragard Oil</t>
  </si>
  <si>
    <t>ROCHESTER</t>
  </si>
  <si>
    <t>MN</t>
  </si>
  <si>
    <t>113-9419603-0167449</t>
  </si>
  <si>
    <t>2S9VKZ695PHC</t>
  </si>
  <si>
    <t>B095KRMJD4</t>
  </si>
  <si>
    <t>Hot Shot's Secret 750,000 Mile 50/50 Prediluted Red Antifreeze/Coolant 4 Pack of 1 Gallon</t>
  </si>
  <si>
    <t>Hot Shot's Secret</t>
  </si>
  <si>
    <t>1G750KR</t>
  </si>
  <si>
    <t>1G750KR4</t>
  </si>
  <si>
    <t>Lubrication Specialties, Inc.</t>
  </si>
  <si>
    <t>Mount Gilead</t>
  </si>
  <si>
    <t>114-7535789-3252237</t>
  </si>
  <si>
    <t>1FM5O3T6O1U6</t>
  </si>
  <si>
    <t>B002MCZA40</t>
  </si>
  <si>
    <t>Officemate Giant Paper Clips, Pack of 10 Boxes of 100 Clips Each (1,000 Clips Total) (99914)</t>
  </si>
  <si>
    <t>OFFVZ</t>
  </si>
  <si>
    <t>OfficemateOIC</t>
  </si>
  <si>
    <t>7510-00-958-0743</t>
  </si>
  <si>
    <t>Every Day Low Business Pricing</t>
  </si>
  <si>
    <t>B004IKXTHE</t>
  </si>
  <si>
    <t>Post-it Mini Notes, 1 3/8 in x 1 7/8 in, 18 Pads, America's #1 Favorite Sticky Notes, Poptimistic Collection, Bright Colors (Blue, Orange, Pink, Green</t>
  </si>
  <si>
    <t>3M</t>
  </si>
  <si>
    <t>653-18AU</t>
  </si>
  <si>
    <t>B09173KRRR</t>
  </si>
  <si>
    <t>cloudriver Jumbo Size Permanent Markers, Black, 20 Pack, Large Permanent Markers, King Permanent Marker, 0.078" Bullet Tip, 3 times larger capacity, W</t>
  </si>
  <si>
    <t>cloudriver</t>
  </si>
  <si>
    <t>B01H2OR8QA</t>
  </si>
  <si>
    <t>Clipboards (Set of 10) by Office Solutions Direct! ECO Friendly Hardboard Clipboard, Low Profile Clip Standard A4 Letter Size</t>
  </si>
  <si>
    <t>Office Solutions Direct</t>
  </si>
  <si>
    <t>OSD-14</t>
  </si>
  <si>
    <t>Clip10</t>
  </si>
  <si>
    <t>maxfind</t>
  </si>
  <si>
    <t>Rohnert Park</t>
  </si>
  <si>
    <t>1CTMHRPTEL8G</t>
  </si>
  <si>
    <t>113-8735111-2809047</t>
  </si>
  <si>
    <t>19KU6PVUNJIS</t>
  </si>
  <si>
    <t>Sports</t>
  </si>
  <si>
    <t>B008133KB4</t>
  </si>
  <si>
    <t>Escolite UV Flashlight Black Light 51 LED 395 nM Ultraviolet Blacklight Flashlite for Pet Urine Detection,Dry Stains,Bed Bug,Scorpion,Dog/Cat Urine Li</t>
  </si>
  <si>
    <t>ESCO LITE</t>
  </si>
  <si>
    <t>Esco-Lite</t>
  </si>
  <si>
    <t>00F-51UV-001A</t>
  </si>
  <si>
    <t>Escolite Design</t>
  </si>
  <si>
    <t>ROSEMEAD</t>
  </si>
  <si>
    <t>112-2844097-2424265</t>
  </si>
  <si>
    <t>18SLJC67MXOO</t>
  </si>
  <si>
    <t>B0BNNQF218</t>
  </si>
  <si>
    <t>9 Pcs Black History Month Decorations Hanging Paper Fans Kente Classroom Decorations Juneteenth Background Wall Fans for Garland Ceilings African Amer</t>
  </si>
  <si>
    <t>TJRW-Outus-4882</t>
  </si>
  <si>
    <t>112-4302504-9145868</t>
  </si>
  <si>
    <t>1XV07EDFN062</t>
  </si>
  <si>
    <t>B0BP7JNRQ2</t>
  </si>
  <si>
    <t>Black History Month Decorations Include 8pcs Black History Month Honeycomb Centerpieces for African American Black History Month Holiday Party Honeyco</t>
  </si>
  <si>
    <t>LARRAZABAL</t>
  </si>
  <si>
    <t>Black History1206</t>
  </si>
  <si>
    <t>B0BM3FR4RW</t>
  </si>
  <si>
    <t>Hafangry Black History Month Table Cloth African American Heritage Festival Holiday Party Tablecloth Decoration Celebration Kitchen Dining Room Home T</t>
  </si>
  <si>
    <t>Hafangry</t>
  </si>
  <si>
    <t>郑州</t>
  </si>
  <si>
    <t>河南</t>
  </si>
  <si>
    <t>B07X8NDGZ3</t>
  </si>
  <si>
    <t>48 Pieces Silicone Bracelets Inspirational Silicone Wristbands Motivational Rubber Stretch Bracelets for Men Women (Assorted Color)</t>
  </si>
  <si>
    <t>Jewelry</t>
  </si>
  <si>
    <t>BBTO</t>
  </si>
  <si>
    <t>BBTO-Rubber Stretch-05</t>
  </si>
  <si>
    <t>Nuanchu</t>
  </si>
  <si>
    <t>B0BNMCPDP2</t>
  </si>
  <si>
    <t xml:space="preserve">Nepnuser Black History Month Photo Booth Backdrop Afro African American Heritage Festival Party Decoration Equality Social Celebration Indoor Outdoor </t>
  </si>
  <si>
    <t>Nepnuser</t>
  </si>
  <si>
    <t>GXJ494</t>
  </si>
  <si>
    <t>114-5074490-9383431</t>
  </si>
  <si>
    <t>ACC20130109</t>
  </si>
  <si>
    <t>408VAXDOR2TN</t>
  </si>
  <si>
    <t>B009X9ZADQ</t>
  </si>
  <si>
    <t>Officemate Mini Binder Clips, Black, 144 Pack (12 Boxes of 1 Dozen Each) (99010)</t>
  </si>
  <si>
    <t>113-3804201-0221800</t>
  </si>
  <si>
    <t>7F582A6SHL9F</t>
  </si>
  <si>
    <t>113-9561814-5561802</t>
  </si>
  <si>
    <t>4OEAU28EGX5O</t>
  </si>
  <si>
    <t>B009GDBNF8</t>
  </si>
  <si>
    <t>Starbucks K-Cup Coffee Pods-Medium Roast Coffee-Pike Place Roast for Keurig Brewers-100% Arabica-4 boxes (96 pods total)</t>
  </si>
  <si>
    <t>STBXP</t>
  </si>
  <si>
    <t>Starbucks</t>
  </si>
  <si>
    <t>Starbucks Coffee</t>
  </si>
  <si>
    <t>111-2361043-1302617</t>
  </si>
  <si>
    <t>4QA06VTHMXZ2</t>
  </si>
  <si>
    <t>B00ATZJBBK</t>
  </si>
  <si>
    <t>Zebra Pen Z-Grip Flight Retractable Ballpoint Pen, Bold Point, 1.2mm, Black Ink, 12-Count</t>
  </si>
  <si>
    <t>ZEBRB</t>
  </si>
  <si>
    <t>Zebra Pen</t>
  </si>
  <si>
    <t>112-4420340-1446662</t>
  </si>
  <si>
    <t>UF6596TN-IN</t>
  </si>
  <si>
    <t>3KKBQVG0IL23</t>
  </si>
  <si>
    <t>B07C4BMSH4</t>
  </si>
  <si>
    <t>Reli. Easy Grab Trash Bags, 55-60 Gallon (150 Count), Made in USA | Star Seal Super High Density Rolls (Heavy Duty Can Liners, Garbage Bags, Bulk Cont</t>
  </si>
  <si>
    <t>CP386022</t>
  </si>
  <si>
    <t>B07BKVN8S4</t>
  </si>
  <si>
    <t>Bankers Box STOR/File Storage Boxes, Standard Set-Up, Lift-Off Lid, Letter/Legal, Case of 30 (0071304) , white</t>
  </si>
  <si>
    <t>113-3939254-9120231</t>
  </si>
  <si>
    <t>5F1LSZT4W8MK</t>
  </si>
  <si>
    <t>B01N2KFHRS</t>
  </si>
  <si>
    <t>Peet's Coffee, Dark Roast K-Cup Pods for Keurig Brewers - Major Dickason's Blend 75 Count (1 Box of 75 K-Cup Pods) Packaging May Vary</t>
  </si>
  <si>
    <t>PEETU</t>
  </si>
  <si>
    <t>Peet's Coffee</t>
  </si>
  <si>
    <t>113-0945138-4285005</t>
  </si>
  <si>
    <t>UF01062023WAL-IN</t>
  </si>
  <si>
    <t>20K6QTUMWZM7</t>
  </si>
  <si>
    <t>B00IUHMGD4</t>
  </si>
  <si>
    <t>Lysol Power Toilet Bowl Cleaner Gel, For Cleaning and Disinfecting, Stain Removal, 24oz (Pack of 12)</t>
  </si>
  <si>
    <t>LYSAA</t>
  </si>
  <si>
    <t>43217-11918</t>
  </si>
  <si>
    <t>flipcost</t>
  </si>
  <si>
    <t>Fairfield</t>
  </si>
  <si>
    <t>113-4120596-6413011</t>
  </si>
  <si>
    <t>4F9RXGQM777Q</t>
  </si>
  <si>
    <t>B08BKR9YT6</t>
  </si>
  <si>
    <t>Clorox Disinfecting Wipes, Bleach Free Cleaning Wipes, Fresh Scent, Moisture Seal Lid, 75 Count (Pack of 3)(New Packaging)</t>
  </si>
  <si>
    <t>CLORD</t>
  </si>
  <si>
    <t>Clorox</t>
  </si>
  <si>
    <t>AmazonUs/CLOO7</t>
  </si>
  <si>
    <t>B07VZNSYQG</t>
  </si>
  <si>
    <t>Amazon Basics File Folders, Letter Size, Heavyweight 1/3-Cut Tab Manila, Assorted color, 50-Pack</t>
  </si>
  <si>
    <t>Folders</t>
  </si>
  <si>
    <t>AMZF001</t>
  </si>
  <si>
    <t>B07ZGHZVRY</t>
  </si>
  <si>
    <t>Clorox ToiletWand Disposable Toilet Cleaning System - ToiletWand, Storage Caddy and 16 Disinfecting ToiletWand Refill Heads (Package May Vary)</t>
  </si>
  <si>
    <t>CTW99</t>
  </si>
  <si>
    <t>113-6095279-5369024</t>
  </si>
  <si>
    <t>3BE9PUCYYXA5</t>
  </si>
  <si>
    <t>B08R17N9VV</t>
  </si>
  <si>
    <t>Amazon Brand - Solimo Disinfecting Wipes, Lemon &amp; Fresh Scent, Sanitizes/Cleans/Disinfects/Deodorizes, 75 Count (Pack of 4)</t>
  </si>
  <si>
    <t>S0LIM</t>
  </si>
  <si>
    <t>Solimo</t>
  </si>
  <si>
    <t>CPB - VPC -Rockline Industries</t>
  </si>
  <si>
    <t>89-300LLFF851J</t>
  </si>
  <si>
    <t>113-1795535-8332240</t>
  </si>
  <si>
    <t>6AV0LYZTUJBA</t>
  </si>
  <si>
    <t>B07CTK4TH4</t>
  </si>
  <si>
    <t>BENFEI HDMI to VGA, Gold-Plated HDMI to VGA 6 Feet Cable (Male to Male) Compatible for Computer, Desktop, Laptop, PC, Monitor, Projector, HDTV, Raspbe</t>
  </si>
  <si>
    <t>BENFEI</t>
  </si>
  <si>
    <t>000181black</t>
  </si>
  <si>
    <t>BenfeiDirect</t>
  </si>
  <si>
    <t>BanTian Street, LongGang District, Shenzhen</t>
  </si>
  <si>
    <t>113-3991032-7150609</t>
  </si>
  <si>
    <t>68FRFW7WJJLZ</t>
  </si>
  <si>
    <t>Speakers</t>
  </si>
  <si>
    <t>B00BKD738I</t>
  </si>
  <si>
    <t>Jabra Speak 510+ UC Wireless Bluetooth/USB Speaker for Softphone and Mobile Phone</t>
  </si>
  <si>
    <t>Loudspeakers</t>
  </si>
  <si>
    <t>JABZH</t>
  </si>
  <si>
    <t>Jabra</t>
  </si>
  <si>
    <t>7510-409</t>
  </si>
  <si>
    <t>Jabra Company Store</t>
  </si>
  <si>
    <t>Lowell</t>
  </si>
  <si>
    <t>Massachusetts</t>
  </si>
  <si>
    <t>113-9818700-8669803</t>
  </si>
  <si>
    <t>7HM74C553NK3</t>
  </si>
  <si>
    <t>B0B8RX4JBY</t>
  </si>
  <si>
    <t>Drafting Chair - Tall Office Chair for Standing Desk, High Work Stool, Counter Height Office Chairs with Adjustable Foot Ring</t>
  </si>
  <si>
    <t>OLJIC</t>
  </si>
  <si>
    <t>OLIXIS</t>
  </si>
  <si>
    <t>HJ368F</t>
  </si>
  <si>
    <t>hj136sz</t>
  </si>
  <si>
    <t>113-0708486-6300238</t>
  </si>
  <si>
    <t>320BNKTKVEN3</t>
  </si>
  <si>
    <t>111-4259415-7825827</t>
  </si>
  <si>
    <t>7WW91MIVUADZ</t>
  </si>
  <si>
    <t>112-5366800-1837010</t>
  </si>
  <si>
    <t>UF6586JOL-IN</t>
  </si>
  <si>
    <t>1HDOX4NGYZXE</t>
  </si>
  <si>
    <t>B07YJJ1YVP</t>
  </si>
  <si>
    <t>Lockout Tagout Station,Loto Kits, Includes 14 Key Different Padlocks with Numbers, 4 Lockout Hasps, 40 Lockout Tags, 20 Nylon Cable (Big Lock Station)</t>
  </si>
  <si>
    <t>Laboratory and Measuring and Observing and Testing Equipment</t>
  </si>
  <si>
    <t>SAFBY</t>
  </si>
  <si>
    <t>SAFBY Direct</t>
  </si>
  <si>
    <t>SBLSTAT</t>
  </si>
  <si>
    <t>890: 3901 Brandon</t>
  </si>
  <si>
    <t>EVTIME Direct</t>
  </si>
  <si>
    <t>longgang district, shenzhen</t>
  </si>
  <si>
    <t>guangdong province</t>
  </si>
  <si>
    <t>112-2672196-5814647</t>
  </si>
  <si>
    <t>UF6552TN-IN</t>
  </si>
  <si>
    <t>13PTGXU9D3JG</t>
  </si>
  <si>
    <t>B07MKF4NSL</t>
  </si>
  <si>
    <t>Absonic Compatible Label Tape Replacement for Epson LK-4WBN LC-4WBN SS12KW LC 4WBN9 LK 12mm Tape Refill 1/2'' for LabelWorks LW-300 LW-400 LW-500 LW-6</t>
  </si>
  <si>
    <t>Absonic</t>
  </si>
  <si>
    <t>LK-4WBN 12mm 0.47" Black on White</t>
  </si>
  <si>
    <t>LC4WBX3</t>
  </si>
  <si>
    <t>Zhuhai</t>
  </si>
  <si>
    <t>3W7S5SJZ9YHA</t>
  </si>
  <si>
    <t>B0912VXB73</t>
  </si>
  <si>
    <t xml:space="preserve">HBTower 2 Step Ladder, Folding Step Stool with Wide Anti-Slip Pedal, Sturdy Steel Ladder, Convenient Handgrip, Lightweight 500lbs Portable Steel Step </t>
  </si>
  <si>
    <t>Structures and Building and Construction and Manufacturing Components and Supplies</t>
  </si>
  <si>
    <t>Construction and maintenance support equipment</t>
  </si>
  <si>
    <t>Ladders and scaffolding</t>
  </si>
  <si>
    <t>HBTower</t>
  </si>
  <si>
    <t>KQ0002-BL</t>
  </si>
  <si>
    <t>Kingladder</t>
  </si>
  <si>
    <t>Yongkang</t>
  </si>
  <si>
    <t>112-6884184-7665806</t>
  </si>
  <si>
    <t>6KF9U60KVTLB</t>
  </si>
  <si>
    <t>B0991V5SY6</t>
  </si>
  <si>
    <t>ZZTX 3 PCS Professional Magnetic Staple Remover Puller Rubberized Staples Remover Staple Removal Tool for School Office Home(Black, Blue, Red)</t>
  </si>
  <si>
    <t>ZZTX</t>
  </si>
  <si>
    <t>ZT093</t>
  </si>
  <si>
    <t>Putian</t>
  </si>
  <si>
    <t>112-6464317-8964242</t>
  </si>
  <si>
    <t>UF6539TN2-IN</t>
  </si>
  <si>
    <t>2W2ECOH297ZE</t>
  </si>
  <si>
    <t>B08S149HJ9</t>
  </si>
  <si>
    <t>Lysol Disinfectant Handi-Pack Wipes, Multi-Surface Antibacterial Cleaning Wipes, for Disinfecting and Cleaning, Lemon and Lime Blossom, 480 Count (Pack of 6)</t>
  </si>
  <si>
    <t>LYSA0</t>
  </si>
  <si>
    <t>FETEGT1470</t>
  </si>
  <si>
    <t>Serenity Satchel</t>
  </si>
  <si>
    <t>113-5075872-6981051</t>
  </si>
  <si>
    <t>2XQ8BT0N8C5G</t>
  </si>
  <si>
    <t>113-8054668-0283403</t>
  </si>
  <si>
    <t>5IKB6YTP8GGJ</t>
  </si>
  <si>
    <t>B0BDRVVNVZ</t>
  </si>
  <si>
    <t>Student Purse Table Hook Desk Office Bag Hook Nail Free Purse Hanger Aluminium Alloy Purse Holder Handbag Hook Hanger Holder Bag Hanger for Table Hang</t>
  </si>
  <si>
    <t>Sosation</t>
  </si>
  <si>
    <t>IU-Sosation-935</t>
  </si>
  <si>
    <t>liuguaner</t>
  </si>
  <si>
    <t>111-7317901-8201056</t>
  </si>
  <si>
    <t>5YTDZSZU4N8R</t>
  </si>
  <si>
    <t>B0929GLS6P</t>
  </si>
  <si>
    <t>Dib Safety Reflective Mesh Vest High Visibility Two Tone with Pockets and Zipper, Blue Mesh with Yellow Trim XL</t>
  </si>
  <si>
    <t>DSV067BET-XL</t>
  </si>
  <si>
    <t>113-0619264-3671465</t>
  </si>
  <si>
    <t>PR-6530</t>
  </si>
  <si>
    <t>5FIIKJWT0FAE</t>
  </si>
  <si>
    <t>B0BHYY4CJ7</t>
  </si>
  <si>
    <t>Zip Ties 8 inch 1000pcs Black Cable Ties Heavy Duty Plastic Wire Ties Cord Management Ties with 50 Pounds Tensile Strength, Multi-Purpose Nylon Tie Wr</t>
  </si>
  <si>
    <t>Mvyc</t>
  </si>
  <si>
    <t>Mvyc-1000 Cable Zip Ties</t>
  </si>
  <si>
    <t>MVYC</t>
  </si>
  <si>
    <t>金华市义乌市</t>
  </si>
  <si>
    <t>114-6877625-0425004</t>
  </si>
  <si>
    <t>6K2187MKN8TZ</t>
  </si>
  <si>
    <t>Major Appliances</t>
  </si>
  <si>
    <t>B0786VV153</t>
  </si>
  <si>
    <t>Avalon AVALONFILTER 2 Stage Replacement Filters Branded Bottleless Water Coolers NSF Certified, 2 Count (Pack of 1), White</t>
  </si>
  <si>
    <t>Industrial filtering and purification</t>
  </si>
  <si>
    <t>Filters</t>
  </si>
  <si>
    <t>Water filters</t>
  </si>
  <si>
    <t>0AL3J</t>
  </si>
  <si>
    <t>Avalon</t>
  </si>
  <si>
    <t>AVALONFILTER</t>
  </si>
  <si>
    <t>113-3947027-6916249</t>
  </si>
  <si>
    <t>4OORFSJO06SW</t>
  </si>
  <si>
    <t>B09V38NV51</t>
  </si>
  <si>
    <t>24" x 36" SwiftGlimpse 2023 Wall Calendar Erasable Large Wet &amp; Dry Erase Laminated 12 Month Annual Yearly Wall Planner, Reversible, Horizontal/Vertica</t>
  </si>
  <si>
    <t>Swiftmaps</t>
  </si>
  <si>
    <t>SG 20?? MAR</t>
  </si>
  <si>
    <t>swiftmap</t>
  </si>
  <si>
    <t>CLEARWATER</t>
  </si>
  <si>
    <t>113-0011826-4444211</t>
  </si>
  <si>
    <t>PR-6541</t>
  </si>
  <si>
    <t>541WNAPMU9LK</t>
  </si>
  <si>
    <t>B002YD8FK8</t>
  </si>
  <si>
    <t>Lysol Disinfectant Spray, Sanitizing and Antibacterial Spray, For Disinfecting and Deodorizing, Crisp Linen, 12 Count, 19 fl oz each</t>
  </si>
  <si>
    <t>Lysol Spray</t>
  </si>
  <si>
    <t>113-7553676-6023413</t>
  </si>
  <si>
    <t>44VZRQ5FFM4J</t>
  </si>
  <si>
    <t>B00QSR9URI</t>
  </si>
  <si>
    <t>Amazon Basics Wide Ruled 8.5 x 11.75-Inch Lined Writing Note Pads - 12-Pack (50-sheet Pads), White</t>
  </si>
  <si>
    <t>B09SG633F9</t>
  </si>
  <si>
    <t>CINCINNO 12 Pack Combination Lock, 4 Digit Locker Lock Combination Padlock for School Locker and Gym Lock</t>
  </si>
  <si>
    <t>Number locks</t>
  </si>
  <si>
    <t>CINCINNO</t>
  </si>
  <si>
    <t>B09SG633F9_CA NARF</t>
  </si>
  <si>
    <t>sanxin lock Co. Ltd.</t>
  </si>
  <si>
    <t>haining/changan</t>
  </si>
  <si>
    <t>zhejiang</t>
  </si>
  <si>
    <t>111-6195217-5082648</t>
  </si>
  <si>
    <t>1DJCDIXBKXX6</t>
  </si>
  <si>
    <t>B01ETS3HGC</t>
  </si>
  <si>
    <t>Nuova Premium Thermal Laminating Pouches, 9" x 11.5"/Letter Size/3 mil, 200 Pack (LP200H)</t>
  </si>
  <si>
    <t>NUOVH</t>
  </si>
  <si>
    <t>Nuova</t>
  </si>
  <si>
    <t>LP200H</t>
  </si>
  <si>
    <t>869: 1230 Highway 114</t>
  </si>
  <si>
    <t>113-3280908-3213825</t>
  </si>
  <si>
    <t>6KZG9KZVD4QS</t>
  </si>
  <si>
    <t>B0028SCBV8</t>
  </si>
  <si>
    <t>Custom Self-Inking Stamp - Up to 3 Lines - 11 Color Choices and 17 Font Choices</t>
  </si>
  <si>
    <t>Stamps</t>
  </si>
  <si>
    <t>ExcelMark</t>
  </si>
  <si>
    <t>Discount Rubber Stamps</t>
  </si>
  <si>
    <t>A1539</t>
  </si>
  <si>
    <t>42A1539</t>
  </si>
  <si>
    <t>ExcelMark USA</t>
  </si>
  <si>
    <t>BROOKFIELD</t>
  </si>
  <si>
    <t>Locaion Code</t>
  </si>
  <si>
    <t>Facility Name</t>
  </si>
  <si>
    <t>New Location</t>
  </si>
  <si>
    <t>Machlin, Walnut, CA</t>
  </si>
  <si>
    <t>218 Machlin Ct, Walnut, CA 91789-3057</t>
  </si>
  <si>
    <t>Azusa, COI, CA</t>
  </si>
  <si>
    <t>930 Azusa, City of Industry, CA 91748</t>
  </si>
  <si>
    <t>Main, Irvine, CA</t>
  </si>
  <si>
    <t>2323 Main St, Irvine, CA 92614</t>
  </si>
  <si>
    <t>Aspen, Vista, CA</t>
  </si>
  <si>
    <t>1395 Aspen Way, Vista, CA 92081</t>
  </si>
  <si>
    <t>50th Street, Vernon, CA</t>
  </si>
  <si>
    <t>4900 East 50th Street, Vernon, CA 90058</t>
  </si>
  <si>
    <t>Innovation, Riverside, CA</t>
  </si>
  <si>
    <t>14600 Innovation Dr, Riverside, CA 92518</t>
  </si>
  <si>
    <t>500 South, Salt Lake City, UT</t>
  </si>
  <si>
    <t>3330 West 500 South, Salt Lake City 84104</t>
  </si>
  <si>
    <t>92nd, Portland, OR</t>
  </si>
  <si>
    <t>6035 NE 92nd Dr, Portland, OR 97220 </t>
  </si>
  <si>
    <t>Vista, Sparks, NV</t>
  </si>
  <si>
    <t>250 Vista Blvd, Suite 101, Sparks, NV 89434</t>
  </si>
  <si>
    <t>Wiegman Road, Hayward, CA</t>
  </si>
  <si>
    <t>31259 Wiegman Rd, Hayward, CA 94544</t>
  </si>
  <si>
    <t>Pioneer, Santa Fe Springs, CA</t>
  </si>
  <si>
    <t>8731 &amp; 8741 Pioneer Blvd, Santa Fe Springs, CA 90670</t>
  </si>
  <si>
    <t>Pellissier, COI, CA</t>
  </si>
  <si>
    <t xml:space="preserve">2680-2690/ 2720 Pellissier Place, City of Industry, CA 90601 </t>
  </si>
  <si>
    <t>South Western, Torrance, CA</t>
  </si>
  <si>
    <t>20100 South Western Ave, Torrance, CA 90501</t>
  </si>
  <si>
    <t>North McCormick, Lincolnwood, IL</t>
  </si>
  <si>
    <t>7080 North McCormick Blvd, Lincolnwood, IL 60712</t>
  </si>
  <si>
    <t>Valley View, La Mirada, CA</t>
  </si>
  <si>
    <t>15910-15912 Valley View Ave, La Mirada, CA 90638</t>
  </si>
  <si>
    <t>Indian Brook, Norcross, GA</t>
  </si>
  <si>
    <t>1600 Indian Brook Way, Suite 100, Norcross, GA 30093</t>
  </si>
  <si>
    <t>Navigation, Houston, TX</t>
  </si>
  <si>
    <t>3401 Navigation Blvd., Houston, TX 77003</t>
  </si>
  <si>
    <t>North Vintage, Ontario, CA</t>
  </si>
  <si>
    <t>740 North Vintage Ave, Ontario, CA 91764</t>
  </si>
  <si>
    <t>Shark Ninja, Fontana, CA</t>
  </si>
  <si>
    <t>Tradeport, Summerville, SC</t>
  </si>
  <si>
    <t>410 Tradeport Dr, Summerville, SC 29483</t>
  </si>
  <si>
    <t>Stocker, Angola, IN</t>
  </si>
  <si>
    <t xml:space="preserve">403 Stocker St., Angola, IN 46703 </t>
  </si>
  <si>
    <t>Prospersity, Garden City, GA</t>
  </si>
  <si>
    <t>140 Prosperity Drive, Garden City, GA 31408</t>
  </si>
  <si>
    <t>Charleston, Charleston, SC</t>
  </si>
  <si>
    <t>1301 Charleston Regional Pkwy, Charleston, SC 29492</t>
  </si>
  <si>
    <t>Commerce Pwy, Greenwood, IN</t>
  </si>
  <si>
    <t xml:space="preserve">650 Commerce Parkway E. Drive, Greenwood, IN 46143 </t>
  </si>
  <si>
    <t>Veterans Pwy, Bolingbrook, IL</t>
  </si>
  <si>
    <t>775 Veterans Parkway, Bolingbrook, IL</t>
  </si>
  <si>
    <t>Patterson, Lebanon, IN</t>
  </si>
  <si>
    <t>402 North Patterson St, Lebanon, IN   46502</t>
  </si>
  <si>
    <t>Ameriplex, Portage, IN</t>
  </si>
  <si>
    <t>6515 Ameriplex Dr, Portage, Indiana 46368</t>
  </si>
  <si>
    <t>4550 Quality Dr, Memphis, TN</t>
  </si>
  <si>
    <t>4550 Quality Drive, Memphis, TN 38118</t>
  </si>
  <si>
    <t>4400 Quality Dr, Memphis, TN</t>
  </si>
  <si>
    <t>4400-4500 Quality Drive, Memphis, TN 38118</t>
  </si>
  <si>
    <t>(Samsung) Hazelton, PA</t>
  </si>
  <si>
    <t>69 Green Mountain Rd., Hazelton, PA 18202</t>
  </si>
  <si>
    <t>Northlake, Coppell, TX</t>
  </si>
  <si>
    <t>850 Northlake Dr, Coppell, TX 75019</t>
  </si>
  <si>
    <t>(Samsung) Bethel, PA</t>
  </si>
  <si>
    <t>41 MARTHA DR., BETHEL, PA 1950</t>
  </si>
  <si>
    <t>BevMo, Buena Park, CA</t>
  </si>
  <si>
    <t>Wild Duck, Portsmouth, VA</t>
  </si>
  <si>
    <t>1 Wild Duck Lane, Portsmouth, Virginia</t>
  </si>
  <si>
    <t>Benton, Suffolk, VA</t>
  </si>
  <si>
    <t>271 Benton Road, Suffolk, Virginia</t>
  </si>
  <si>
    <t>Moline, Denver, CO</t>
  </si>
  <si>
    <t>5000 Moline St, Denver, CO 80239 (16300 East Smith Road, Aurora, Colorado 80011)</t>
  </si>
  <si>
    <t>Corner Way, San Antonio, TX</t>
  </si>
  <si>
    <t>1228 Corner Way, San Antonio, TX 78219</t>
  </si>
  <si>
    <t>Seabrook, Pooler, GA</t>
  </si>
  <si>
    <t>300 Seabrook Parkway, Pooler, GA 31322</t>
  </si>
  <si>
    <t>Hammermill, Tucker, GA</t>
  </si>
  <si>
    <t>4660 Hammermill Road, Tucker, GA 30084</t>
  </si>
  <si>
    <t>Cesanek, Northampton, PA</t>
  </si>
  <si>
    <t>175 Cesanek Rd., Northampton, PA 18067</t>
  </si>
  <si>
    <t>(Samsung) Hazle Township, PA</t>
  </si>
  <si>
    <t>490 Forest Road Hazle Township, PA 18202</t>
  </si>
  <si>
    <t>Wood, Douglasville, GA</t>
  </si>
  <si>
    <t>7600 WOOD RD, DOUGLASVILLE, GA, 30134-1568</t>
  </si>
  <si>
    <t>Turnbull, COI, CA</t>
  </si>
  <si>
    <t>800-900 Turnbull Canyon Rd, City of Industry, CA 91745</t>
  </si>
  <si>
    <t>Transcon, Kansas City, MO</t>
  </si>
  <si>
    <t>10530 NW Transcon Dr, Kansas City, MO  64153</t>
  </si>
  <si>
    <t>St John, Kansas City, MO</t>
  </si>
  <si>
    <t>6200 St John Ave, Kansas City, MO 64123</t>
  </si>
  <si>
    <t>Murphy, Woodridge, IL</t>
  </si>
  <si>
    <t>9020 Murphy Rd, Woodridge, IL 60517</t>
  </si>
  <si>
    <t>Stimson, COI, CA</t>
  </si>
  <si>
    <t>347 Stimson, City of Industry, CA 91744</t>
  </si>
  <si>
    <t>10565 Red Bluff, Pasadena, TX</t>
  </si>
  <si>
    <t>10565 Red Bluff Rd, Pasadena, TX, 77507</t>
  </si>
  <si>
    <t>1230 Highway 114, TX</t>
  </si>
  <si>
    <t>1230 Highway 114, Roanoke TX 76262</t>
  </si>
  <si>
    <t>85th Ave South, Kent, WA</t>
  </si>
  <si>
    <t>20008-20024 85th Ave. South, Kent, WA 98031</t>
  </si>
  <si>
    <t>83rd, Tolleson, AZ</t>
  </si>
  <si>
    <t>120 N. 83rd Ave, Tolleson, AZ 85353</t>
  </si>
  <si>
    <t>Lincoln, Tacoma, WA</t>
  </si>
  <si>
    <t>3320 Lincoln Ave., Tacoma WA 98421</t>
  </si>
  <si>
    <t>Steele, Tacoma, WA</t>
  </si>
  <si>
    <t>12005 Steele St S Tacoma WA 98444</t>
  </si>
  <si>
    <t>Valley Lease, COI, CA</t>
  </si>
  <si>
    <t>15736 Valley Blvd, City of Industry, CA 91748-Lease (Majestic)</t>
  </si>
  <si>
    <t>Alessandro, Riverside, CA</t>
  </si>
  <si>
    <t>2677 Alessandro Blvd, Riverside, CA 92508</t>
  </si>
  <si>
    <t>143rd, Goodyear, AZ</t>
  </si>
  <si>
    <t>57 S 143RD AVE, GOODYEAR, AZ, 85338</t>
  </si>
  <si>
    <t>(4PL) Gardena, CA</t>
  </si>
  <si>
    <t>17601 S. Figeroa St., Gardena,CA 90248</t>
  </si>
  <si>
    <t>Stafford, COI, CA</t>
  </si>
  <si>
    <t>15205 Stafford St, City of Industry, CA 91745</t>
  </si>
  <si>
    <t>Valley View, Buena Park, CA</t>
  </si>
  <si>
    <t>6800 Valley View, Buena Park, CA 90620</t>
  </si>
  <si>
    <t>Brandon, Joliet, IL</t>
  </si>
  <si>
    <t>3901 Brandon Rd, Joliet, IL, 60436</t>
  </si>
  <si>
    <t>Reyes, Compton, CA</t>
  </si>
  <si>
    <t>19201 S Reyes, Rancho Dominguez, CA 90221</t>
  </si>
  <si>
    <t>Delp, Memphis, TN</t>
  </si>
  <si>
    <t>4444 Delp St, Memphis,TN 38118</t>
  </si>
  <si>
    <t>335 Morgan Lakes, Pooler, GA</t>
  </si>
  <si>
    <t>335 Morgan Lakes industrial Blvd, Pooler, GA 31322</t>
  </si>
  <si>
    <t>320 Morgan Lakes, Pooler, GA</t>
  </si>
  <si>
    <t>320 Morgan Lakes Industrial Blvd, Pooler, GA 31322</t>
  </si>
  <si>
    <t>10535 Red Bluff, Pasadena, TX</t>
  </si>
  <si>
    <t>10535 Red Bluff Rd, Pasadena, TX 77507</t>
  </si>
  <si>
    <t>Doubleday, Ontario, CA</t>
  </si>
  <si>
    <t>1001 Doubleday Ave, Ontario, CA 91761</t>
  </si>
  <si>
    <t>Via Baron, Rancho Dominguez, CA</t>
  </si>
  <si>
    <t>19914 S. Via Baron, Rancho Dominguez, CA 90220</t>
  </si>
  <si>
    <t>Lion Country, Grand Prairie, TX</t>
  </si>
  <si>
    <t>2250 Lion Country Parkway, suite 100, Grand Prairie, TX 75051</t>
  </si>
  <si>
    <t>Spring, Lakewood, WA</t>
  </si>
  <si>
    <t>14801 Spring St SW, Suite B, Lakewood, WA 98439</t>
  </si>
  <si>
    <t>Stacey, Reading, PA</t>
  </si>
  <si>
    <t>2200 Stacey Ave, Reading, PA</t>
  </si>
  <si>
    <t>Reverse Logistics Division</t>
  </si>
  <si>
    <t>(same address location as 889)</t>
  </si>
  <si>
    <t>Santana, Hayward, CA</t>
  </si>
  <si>
    <t>30973-30995  Santana St, Hayward, CA 94544</t>
  </si>
  <si>
    <t>G, Fresno, CA</t>
  </si>
  <si>
    <t>1931 G Street, Fresno, CA 93706</t>
  </si>
  <si>
    <t xml:space="preserve">Overland, Sacramento, CA </t>
  </si>
  <si>
    <t>1500 Overland Ct, West Sacramento, CA 95691</t>
  </si>
  <si>
    <t>Woodbridge, Edison, NJ</t>
  </si>
  <si>
    <t>3001 Woodbridge Ave, Edison, NJ 08837</t>
  </si>
  <si>
    <t>Willow, Long Beach, CA</t>
  </si>
  <si>
    <t>2131 W. Willow St, Long Beach, CA 90810</t>
  </si>
  <si>
    <t>Production, Fontana, CA</t>
  </si>
  <si>
    <t>10681 Production Ave, Fontana, CA 92337</t>
  </si>
  <si>
    <t>32-848</t>
  </si>
  <si>
    <t>Half Day, Lincolnshire, IL</t>
  </si>
  <si>
    <t>475 Half Day Road, Lincolnshire, IL 60069</t>
  </si>
  <si>
    <t xml:space="preserve"> 650 Commerce</t>
  </si>
  <si>
    <t xml:space="preserve"> 575 S 143rd</t>
  </si>
  <si>
    <t xml:space="preserve"> 2250 Lion Country</t>
  </si>
  <si>
    <t xml:space="preserve"> 6800 Valley View</t>
  </si>
  <si>
    <t xml:space="preserve"> 3001 Woodbridge</t>
  </si>
  <si>
    <t xml:space="preserve"> 9020 Murphy</t>
  </si>
  <si>
    <t xml:space="preserve"> 3320 Lincoln</t>
  </si>
  <si>
    <t xml:space="preserve"> 20024 85th</t>
  </si>
  <si>
    <t xml:space="preserve"> 14801 Spring</t>
  </si>
  <si>
    <t xml:space="preserve"> 12005 Steele</t>
  </si>
  <si>
    <t xml:space="preserve"> 10565 Red Bluff</t>
  </si>
  <si>
    <t xml:space="preserve"> 10681 Production</t>
  </si>
  <si>
    <t xml:space="preserve"> 1931 G</t>
  </si>
  <si>
    <t xml:space="preserve"> 218 Machlin</t>
  </si>
  <si>
    <t xml:space="preserve"> 335 Morgan Lakes</t>
  </si>
  <si>
    <t xml:space="preserve"> 2677 Alessandro</t>
  </si>
  <si>
    <t xml:space="preserve"> 320 Morgan Lakes</t>
  </si>
  <si>
    <t xml:space="preserve"> 7600 Wood</t>
  </si>
  <si>
    <t xml:space="preserve"> 775 Veterans</t>
  </si>
  <si>
    <t xml:space="preserve"> 175 Cesanek</t>
  </si>
  <si>
    <t xml:space="preserve"> 4400-4500 Quality</t>
  </si>
  <si>
    <t xml:space="preserve"> 4550 Quality</t>
  </si>
  <si>
    <t xml:space="preserve"> 6200 St. John</t>
  </si>
  <si>
    <t xml:space="preserve"> 140 Prosperity</t>
  </si>
  <si>
    <t xml:space="preserve"> 6515 Ameriplex</t>
  </si>
  <si>
    <t xml:space="preserve"> 14600 Innovation</t>
  </si>
  <si>
    <t xml:space="preserve"> 10535 Red Bluff</t>
  </si>
  <si>
    <t xml:space="preserve"> 1500 Overland</t>
  </si>
  <si>
    <t xml:space="preserve"> 403 Stocker</t>
  </si>
  <si>
    <t xml:space="preserve"> 3901 Brandon</t>
  </si>
  <si>
    <t xml:space="preserve"> 1230 Highway 114</t>
  </si>
  <si>
    <t>Code</t>
  </si>
  <si>
    <t>Facility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</si>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</sst>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6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dc\sbd%20accounting$\Cubework.com%20Inc\Lease%20agreements\CUBEWORK.COM%20INC%20Lease%20Summar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ternal Lease"/>
      <sheetName val="Summary"/>
      <sheetName val="Active WHSE"/>
      <sheetName val="Pending move out"/>
      <sheetName val="Parking- Referenced"/>
      <sheetName val="Equipment "/>
      <sheetName val="Landlord"/>
      <sheetName val="Julia Global Tenant"/>
      <sheetName val="Sheet6"/>
      <sheetName val="Cubehome"/>
      <sheetName val="Rent Abatement"/>
      <sheetName val="Forecast $ per  sqft"/>
      <sheetName val="Inactive WHSE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E2" t="str">
            <v>900 Turnbull</v>
          </cell>
        </row>
        <row r="3">
          <cell r="E3" t="str">
            <v>3001 Woodbridge</v>
          </cell>
        </row>
        <row r="4">
          <cell r="E4" t="str">
            <v>19201 Reyes</v>
          </cell>
        </row>
        <row r="5">
          <cell r="E5" t="str">
            <v>4444 Delp St</v>
          </cell>
        </row>
        <row r="6">
          <cell r="E6" t="str">
            <v>347 Stimson</v>
          </cell>
        </row>
        <row r="7">
          <cell r="E7" t="str">
            <v>1001 Doubleday</v>
          </cell>
        </row>
        <row r="8">
          <cell r="E8" t="str">
            <v>10681 Production</v>
          </cell>
        </row>
        <row r="9">
          <cell r="E9" t="str">
            <v xml:space="preserve">930 Azusa </v>
          </cell>
        </row>
        <row r="10">
          <cell r="E10" t="str">
            <v xml:space="preserve">2323 Main St. </v>
          </cell>
        </row>
        <row r="11">
          <cell r="E11" t="str">
            <v>14600 Innovation Dr.</v>
          </cell>
        </row>
        <row r="12">
          <cell r="E12" t="str">
            <v>15736 Valley Blvd.</v>
          </cell>
        </row>
        <row r="13">
          <cell r="E13" t="str">
            <v>9328 Telstar Avenue</v>
          </cell>
        </row>
        <row r="14">
          <cell r="E14" t="str">
            <v>15930 E Valley Blvd.</v>
          </cell>
        </row>
        <row r="15">
          <cell r="E15" t="str">
            <v>13367 Marlay Ave.</v>
          </cell>
        </row>
        <row r="16">
          <cell r="E16" t="str">
            <v>8741 PIONEER BLVD.</v>
          </cell>
        </row>
        <row r="17">
          <cell r="E17" t="str">
            <v>7080 North McCormick Blvd</v>
          </cell>
        </row>
        <row r="18">
          <cell r="E18" t="str">
            <v>20100 South Western Ave.</v>
          </cell>
        </row>
        <row r="19">
          <cell r="E19" t="str">
            <v>1600 Indian Brook Way</v>
          </cell>
        </row>
        <row r="20">
          <cell r="E20" t="str">
            <v>30973 Santana St.</v>
          </cell>
        </row>
        <row r="21">
          <cell r="E21" t="str">
            <v>740 North Vintage Ave.</v>
          </cell>
        </row>
        <row r="22">
          <cell r="E22" t="str">
            <v>15205 Stafford Street</v>
          </cell>
        </row>
        <row r="23">
          <cell r="E23" t="str">
            <v>2680 Pellissier Place</v>
          </cell>
        </row>
        <row r="24">
          <cell r="E24" t="str">
            <v>31259 Wiegman Road</v>
          </cell>
        </row>
        <row r="25">
          <cell r="E25" t="str">
            <v>218 Machlin Ct</v>
          </cell>
        </row>
        <row r="26">
          <cell r="E26" t="str">
            <v>6800 VALLEY VIEW</v>
          </cell>
        </row>
        <row r="27">
          <cell r="E27" t="str">
            <v>19914 s via baron</v>
          </cell>
        </row>
        <row r="28">
          <cell r="E28" t="str">
            <v>10535 RED BLUFF RD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</sheetData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337"/>
  <sheetViews>
    <sheetView tabSelected="1" topLeftCell="BT1" workbookViewId="0">
      <selection activeCell="CA1" sqref="CA1"/>
    </sheetView>
  </sheetViews>
  <sheetFormatPr defaultRowHeight="15" x14ac:dyDescent="0.25"/>
  <cols>
    <col min="1" max="1" width="10.7109375" bestFit="1" customWidth="1"/>
    <col min="2" max="2" width="20" bestFit="1" customWidth="1"/>
    <col min="3" max="3" width="14.140625" bestFit="1" customWidth="1"/>
    <col min="4" max="4" width="27.5703125" bestFit="1" customWidth="1"/>
    <col min="5" max="5" width="14.42578125" bestFit="1" customWidth="1"/>
    <col min="6" max="6" width="8.85546875" bestFit="1" customWidth="1"/>
    <col min="7" max="7" width="14.140625" bestFit="1" customWidth="1"/>
    <col min="8" max="8" width="24.85546875" bestFit="1" customWidth="1"/>
    <col min="9" max="9" width="16.140625" bestFit="1" customWidth="1"/>
    <col min="10" max="10" width="9.5703125" bestFit="1" customWidth="1"/>
    <col min="11" max="11" width="14.85546875" bestFit="1" customWidth="1"/>
    <col min="12" max="12" width="12" bestFit="1" customWidth="1"/>
    <col min="13" max="13" width="14.85546875" bestFit="1" customWidth="1"/>
    <col min="14" max="14" width="21.42578125" bestFit="1" customWidth="1"/>
    <col min="15" max="15" width="23.28515625" bestFit="1" customWidth="1"/>
    <col min="16" max="16" width="19.28515625" bestFit="1" customWidth="1"/>
    <col min="17" max="17" width="31.42578125" bestFit="1" customWidth="1"/>
    <col min="18" max="18" width="13.42578125" bestFit="1" customWidth="1"/>
    <col min="19" max="19" width="13.140625" bestFit="1" customWidth="1"/>
    <col min="20" max="20" width="19.28515625" bestFit="1" customWidth="1"/>
    <col min="21" max="21" width="17.28515625" bestFit="1" customWidth="1"/>
    <col min="22" max="22" width="16.140625" bestFit="1" customWidth="1"/>
    <col min="23" max="23" width="23.28515625" bestFit="1" customWidth="1"/>
    <col min="24" max="24" width="13.5703125" bestFit="1" customWidth="1"/>
    <col min="25" max="25" width="16.5703125" bestFit="1" customWidth="1"/>
    <col min="26" max="26" width="24.28515625" bestFit="1" customWidth="1"/>
    <col min="27" max="27" width="18" bestFit="1" customWidth="1"/>
    <col min="28" max="28" width="43.140625" bestFit="1" customWidth="1"/>
    <col min="29" max="29" width="14.85546875" bestFit="1" customWidth="1"/>
    <col min="30" max="30" width="171.140625" bestFit="1" customWidth="1"/>
    <col min="31" max="31" width="9" bestFit="1" customWidth="1"/>
    <col min="32" max="35" width="121.140625" bestFit="1" customWidth="1"/>
    <col min="36" max="36" width="11.140625" bestFit="1" customWidth="1"/>
    <col min="37" max="37" width="31.7109375" bestFit="1" customWidth="1"/>
    <col min="38" max="38" width="49.42578125" bestFit="1" customWidth="1"/>
    <col min="39" max="39" width="21.85546875" bestFit="1" customWidth="1"/>
    <col min="40" max="41" width="36.28515625" bestFit="1" customWidth="1"/>
    <col min="42" max="42" width="17.28515625" bestFit="1" customWidth="1"/>
    <col min="43" max="43" width="20.42578125" bestFit="1" customWidth="1"/>
    <col min="44" max="44" width="10.28515625" bestFit="1" customWidth="1"/>
    <col min="45" max="45" width="13.140625" bestFit="1" customWidth="1"/>
    <col min="46" max="46" width="13.42578125" bestFit="1" customWidth="1"/>
    <col min="47" max="47" width="13.140625" bestFit="1" customWidth="1"/>
    <col min="48" max="48" width="23.85546875" bestFit="1" customWidth="1"/>
    <col min="49" max="49" width="15.140625" bestFit="1" customWidth="1"/>
    <col min="50" max="50" width="8.5703125" bestFit="1" customWidth="1"/>
    <col min="51" max="51" width="13.85546875" bestFit="1" customWidth="1"/>
    <col min="52" max="52" width="14.5703125" bestFit="1" customWidth="1"/>
    <col min="53" max="53" width="21.85546875" bestFit="1" customWidth="1"/>
    <col min="54" max="54" width="19" bestFit="1" customWidth="1"/>
    <col min="55" max="55" width="21.85546875" bestFit="1" customWidth="1"/>
    <col min="56" max="57" width="28.7109375" bestFit="1" customWidth="1"/>
    <col min="58" max="58" width="29.28515625" bestFit="1" customWidth="1"/>
    <col min="59" max="59" width="15.5703125" bestFit="1" customWidth="1"/>
    <col min="60" max="60" width="17.5703125" bestFit="1" customWidth="1"/>
    <col min="61" max="61" width="13.85546875" bestFit="1" customWidth="1"/>
    <col min="62" max="62" width="14.5703125" bestFit="1" customWidth="1"/>
    <col min="63" max="63" width="14.140625" bestFit="1" customWidth="1"/>
    <col min="64" max="64" width="8.140625" bestFit="1" customWidth="1"/>
    <col min="65" max="65" width="29.28515625" bestFit="1" customWidth="1"/>
    <col min="66" max="66" width="18.5703125" bestFit="1" customWidth="1"/>
    <col min="67" max="67" width="12.28515625" bestFit="1" customWidth="1"/>
    <col min="68" max="68" width="20.85546875" bestFit="1" customWidth="1"/>
    <col min="69" max="69" width="14.140625" bestFit="1" customWidth="1"/>
    <col min="70" max="70" width="35.7109375" bestFit="1" customWidth="1"/>
    <col min="71" max="71" width="201.140625" bestFit="1" customWidth="1"/>
    <col min="72" max="72" width="40.85546875" bestFit="1" customWidth="1"/>
    <col min="73" max="73" width="25.7109375" bestFit="1" customWidth="1"/>
    <col min="74" max="74" width="14" bestFit="1" customWidth="1"/>
    <col min="75" max="75" width="8.42578125" bestFit="1" customWidth="1"/>
    <col min="76" max="76" width="17.28515625" bestFit="1" customWidth="1"/>
    <col min="77" max="77" width="29.85546875" bestFit="1" customWidth="1"/>
  </cols>
  <sheetData>
    <row r="1" spans="1:7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s="7" t="s">
        <v>2759</v>
      </c>
      <c r="BX1" s="7" t="s">
        <v>2572</v>
      </c>
      <c r="BY1" s="7" t="s">
        <v>2760</v>
      </c>
      <c r="BZ1" s="8" t="s">
        <v>2761</v>
      </c>
    </row>
    <row r="2" spans="1:78" x14ac:dyDescent="0.25">
      <c r="A2" s="1">
        <v>44961</v>
      </c>
      <c r="B2" t="s">
        <v>74</v>
      </c>
      <c r="C2" t="s">
        <v>75</v>
      </c>
      <c r="E2">
        <v>1</v>
      </c>
      <c r="F2" t="s">
        <v>76</v>
      </c>
      <c r="G2">
        <v>21.99</v>
      </c>
      <c r="H2">
        <v>0</v>
      </c>
      <c r="I2">
        <v>0</v>
      </c>
      <c r="J2">
        <v>1.54</v>
      </c>
      <c r="K2">
        <v>23.53</v>
      </c>
      <c r="L2" t="s">
        <v>77</v>
      </c>
      <c r="P2" t="s">
        <v>78</v>
      </c>
      <c r="Q2" t="s">
        <v>79</v>
      </c>
      <c r="R2" t="s">
        <v>80</v>
      </c>
      <c r="S2" t="s">
        <v>80</v>
      </c>
      <c r="T2" t="s">
        <v>80</v>
      </c>
      <c r="U2" t="s">
        <v>80</v>
      </c>
      <c r="V2" t="s">
        <v>80</v>
      </c>
      <c r="W2" t="s">
        <v>81</v>
      </c>
      <c r="X2" s="1">
        <v>44961</v>
      </c>
      <c r="Y2">
        <v>23.53</v>
      </c>
      <c r="Z2" t="s">
        <v>82</v>
      </c>
      <c r="AA2" t="str">
        <f t="shared" ref="AA2:AA16" si="0">"1003"</f>
        <v>1003</v>
      </c>
      <c r="AB2" t="s">
        <v>83</v>
      </c>
      <c r="AC2" t="s">
        <v>84</v>
      </c>
      <c r="AD2" t="s">
        <v>85</v>
      </c>
      <c r="AE2" t="str">
        <f>"43202010"</f>
        <v>43202010</v>
      </c>
      <c r="AF2" t="s">
        <v>86</v>
      </c>
      <c r="AG2" t="s">
        <v>87</v>
      </c>
      <c r="AH2" t="s">
        <v>88</v>
      </c>
      <c r="AI2" t="s">
        <v>89</v>
      </c>
      <c r="AK2" t="s">
        <v>90</v>
      </c>
      <c r="AL2" t="s">
        <v>90</v>
      </c>
      <c r="AN2" t="s">
        <v>91</v>
      </c>
      <c r="AO2" t="str">
        <f>"1"</f>
        <v>1</v>
      </c>
      <c r="AP2" t="s">
        <v>92</v>
      </c>
      <c r="AR2">
        <v>40</v>
      </c>
      <c r="AS2">
        <v>21.99</v>
      </c>
      <c r="AT2">
        <v>1</v>
      </c>
      <c r="AU2">
        <v>21.99</v>
      </c>
      <c r="AV2">
        <v>0</v>
      </c>
      <c r="AX2">
        <v>1.54</v>
      </c>
      <c r="AY2">
        <v>23.53</v>
      </c>
      <c r="BA2" t="s">
        <v>93</v>
      </c>
      <c r="BC2" t="s">
        <v>93</v>
      </c>
      <c r="BI2" t="s">
        <v>80</v>
      </c>
      <c r="BM2" t="s">
        <v>94</v>
      </c>
      <c r="BN2" t="s">
        <v>95</v>
      </c>
      <c r="BP2" t="s">
        <v>96</v>
      </c>
      <c r="BR2" t="s">
        <v>90</v>
      </c>
      <c r="BT2" t="s">
        <v>97</v>
      </c>
      <c r="BU2" t="s">
        <v>98</v>
      </c>
      <c r="BV2" t="str">
        <f>"518101"</f>
        <v>518101</v>
      </c>
      <c r="BW2">
        <v>806</v>
      </c>
      <c r="BX2" t="s">
        <v>2728</v>
      </c>
      <c r="BY2" t="s">
        <v>2618</v>
      </c>
      <c r="BZ2">
        <v>5</v>
      </c>
    </row>
    <row r="3" spans="1:78" x14ac:dyDescent="0.25">
      <c r="A3" s="1">
        <v>44960</v>
      </c>
      <c r="B3" t="s">
        <v>99</v>
      </c>
      <c r="C3" t="s">
        <v>100</v>
      </c>
      <c r="D3" t="s">
        <v>101</v>
      </c>
      <c r="E3">
        <v>1</v>
      </c>
      <c r="F3" t="s">
        <v>76</v>
      </c>
      <c r="G3">
        <v>269.99</v>
      </c>
      <c r="H3">
        <v>0</v>
      </c>
      <c r="I3">
        <v>0</v>
      </c>
      <c r="J3">
        <v>18.899999999999999</v>
      </c>
      <c r="K3">
        <v>288.89</v>
      </c>
      <c r="L3" t="s">
        <v>77</v>
      </c>
      <c r="M3" t="s">
        <v>102</v>
      </c>
      <c r="P3" t="s">
        <v>102</v>
      </c>
      <c r="Q3" t="s">
        <v>103</v>
      </c>
      <c r="R3" t="s">
        <v>80</v>
      </c>
      <c r="S3" t="s">
        <v>80</v>
      </c>
      <c r="T3" t="s">
        <v>80</v>
      </c>
      <c r="U3" t="s">
        <v>80</v>
      </c>
      <c r="V3" t="s">
        <v>80</v>
      </c>
      <c r="W3" t="s">
        <v>104</v>
      </c>
      <c r="X3" s="1">
        <v>44962</v>
      </c>
      <c r="Y3">
        <v>288.89</v>
      </c>
      <c r="Z3" t="s">
        <v>82</v>
      </c>
      <c r="AA3" t="str">
        <f t="shared" si="0"/>
        <v>1003</v>
      </c>
      <c r="AB3" t="s">
        <v>105</v>
      </c>
      <c r="AC3" t="s">
        <v>106</v>
      </c>
      <c r="AD3" t="s">
        <v>107</v>
      </c>
      <c r="AE3" t="str">
        <f>"44100000"</f>
        <v>44100000</v>
      </c>
      <c r="AF3" t="s">
        <v>108</v>
      </c>
      <c r="AG3" t="s">
        <v>109</v>
      </c>
      <c r="AH3" t="s">
        <v>109</v>
      </c>
      <c r="AI3" t="s">
        <v>109</v>
      </c>
      <c r="AK3" t="s">
        <v>110</v>
      </c>
      <c r="AL3" t="s">
        <v>110</v>
      </c>
      <c r="AN3" t="s">
        <v>111</v>
      </c>
      <c r="AO3" t="s">
        <v>111</v>
      </c>
      <c r="AP3" t="s">
        <v>92</v>
      </c>
      <c r="AR3">
        <v>299.99</v>
      </c>
      <c r="AS3">
        <v>269.99</v>
      </c>
      <c r="AT3">
        <v>1</v>
      </c>
      <c r="AU3">
        <v>269.99</v>
      </c>
      <c r="AV3">
        <v>0</v>
      </c>
      <c r="AX3">
        <v>18.899999999999999</v>
      </c>
      <c r="AY3">
        <v>288.89</v>
      </c>
      <c r="BA3" t="s">
        <v>93</v>
      </c>
      <c r="BC3" t="s">
        <v>93</v>
      </c>
      <c r="BI3" t="s">
        <v>80</v>
      </c>
      <c r="BM3" t="s">
        <v>94</v>
      </c>
      <c r="BN3" t="s">
        <v>95</v>
      </c>
      <c r="BP3" t="s">
        <v>96</v>
      </c>
      <c r="BR3" t="s">
        <v>112</v>
      </c>
      <c r="BS3" t="s">
        <v>113</v>
      </c>
      <c r="BT3" t="s">
        <v>114</v>
      </c>
      <c r="BU3" t="s">
        <v>115</v>
      </c>
      <c r="BV3" t="str">
        <f>"92010"</f>
        <v>92010</v>
      </c>
      <c r="BW3">
        <v>806</v>
      </c>
      <c r="BX3" t="s">
        <v>2728</v>
      </c>
      <c r="BY3" t="s">
        <v>2618</v>
      </c>
      <c r="BZ3">
        <v>5</v>
      </c>
    </row>
    <row r="4" spans="1:78" x14ac:dyDescent="0.25">
      <c r="A4" s="1">
        <v>44960</v>
      </c>
      <c r="B4" t="s">
        <v>116</v>
      </c>
      <c r="C4" t="s">
        <v>100</v>
      </c>
      <c r="D4" t="s">
        <v>117</v>
      </c>
      <c r="E4">
        <v>8</v>
      </c>
      <c r="F4" t="s">
        <v>76</v>
      </c>
      <c r="G4">
        <v>287.68</v>
      </c>
      <c r="H4">
        <v>0</v>
      </c>
      <c r="I4">
        <v>0</v>
      </c>
      <c r="J4">
        <v>25.31</v>
      </c>
      <c r="K4">
        <v>312.99</v>
      </c>
      <c r="L4" t="s">
        <v>77</v>
      </c>
      <c r="M4" t="s">
        <v>102</v>
      </c>
      <c r="P4" t="s">
        <v>102</v>
      </c>
      <c r="Q4" t="s">
        <v>103</v>
      </c>
      <c r="R4" t="s">
        <v>80</v>
      </c>
      <c r="S4" t="s">
        <v>80</v>
      </c>
      <c r="T4" t="s">
        <v>80</v>
      </c>
      <c r="U4" t="s">
        <v>80</v>
      </c>
      <c r="V4" t="s">
        <v>80</v>
      </c>
      <c r="W4" t="s">
        <v>118</v>
      </c>
      <c r="X4" s="1">
        <v>44965</v>
      </c>
      <c r="Y4">
        <v>312.99</v>
      </c>
      <c r="Z4" t="s">
        <v>82</v>
      </c>
      <c r="AA4" t="str">
        <f t="shared" si="0"/>
        <v>1003</v>
      </c>
      <c r="AB4" t="s">
        <v>119</v>
      </c>
      <c r="AC4" t="s">
        <v>120</v>
      </c>
      <c r="AD4" t="s">
        <v>121</v>
      </c>
      <c r="AE4" t="str">
        <f>"44111503"</f>
        <v>44111503</v>
      </c>
      <c r="AF4" t="s">
        <v>108</v>
      </c>
      <c r="AG4" t="s">
        <v>122</v>
      </c>
      <c r="AH4" t="s">
        <v>123</v>
      </c>
      <c r="AI4" t="s">
        <v>124</v>
      </c>
      <c r="AJ4" t="s">
        <v>125</v>
      </c>
      <c r="AK4" t="s">
        <v>126</v>
      </c>
      <c r="AL4" t="s">
        <v>127</v>
      </c>
      <c r="AN4" t="str">
        <f>"26212"</f>
        <v>26212</v>
      </c>
      <c r="AO4" t="str">
        <f>"26212"</f>
        <v>26212</v>
      </c>
      <c r="AP4" t="s">
        <v>92</v>
      </c>
      <c r="AR4">
        <v>27.39</v>
      </c>
      <c r="AS4">
        <v>20.94</v>
      </c>
      <c r="AT4">
        <v>4</v>
      </c>
      <c r="AU4">
        <v>83.76</v>
      </c>
      <c r="AV4">
        <v>0</v>
      </c>
      <c r="AX4">
        <v>7.36</v>
      </c>
      <c r="AY4">
        <v>91.12</v>
      </c>
      <c r="BA4" t="s">
        <v>93</v>
      </c>
      <c r="BC4" t="s">
        <v>93</v>
      </c>
      <c r="BD4" t="s">
        <v>128</v>
      </c>
      <c r="BE4">
        <v>6.45</v>
      </c>
      <c r="BF4" s="2">
        <v>0.23549999999999999</v>
      </c>
      <c r="BI4" t="s">
        <v>80</v>
      </c>
      <c r="BM4" t="s">
        <v>94</v>
      </c>
      <c r="BN4" t="s">
        <v>95</v>
      </c>
      <c r="BP4" t="s">
        <v>129</v>
      </c>
      <c r="BR4" t="s">
        <v>130</v>
      </c>
      <c r="BT4" t="s">
        <v>131</v>
      </c>
      <c r="BU4" t="s">
        <v>132</v>
      </c>
      <c r="BV4" t="str">
        <f>"98109"</f>
        <v>98109</v>
      </c>
      <c r="BW4">
        <v>884</v>
      </c>
      <c r="BX4" t="s">
        <v>2729</v>
      </c>
      <c r="BY4" t="s">
        <v>2681</v>
      </c>
      <c r="BZ4">
        <v>5</v>
      </c>
    </row>
    <row r="5" spans="1:78" x14ac:dyDescent="0.25">
      <c r="A5" s="1">
        <v>44960</v>
      </c>
      <c r="B5" t="s">
        <v>116</v>
      </c>
      <c r="C5" t="s">
        <v>100</v>
      </c>
      <c r="D5" t="s">
        <v>117</v>
      </c>
      <c r="E5">
        <v>8</v>
      </c>
      <c r="F5" t="s">
        <v>76</v>
      </c>
      <c r="G5">
        <v>287.68</v>
      </c>
      <c r="H5">
        <v>0</v>
      </c>
      <c r="I5">
        <v>0</v>
      </c>
      <c r="J5">
        <v>25.31</v>
      </c>
      <c r="K5">
        <v>312.99</v>
      </c>
      <c r="L5" t="s">
        <v>77</v>
      </c>
      <c r="M5" t="s">
        <v>102</v>
      </c>
      <c r="P5" t="s">
        <v>102</v>
      </c>
      <c r="Q5" t="s">
        <v>103</v>
      </c>
      <c r="R5" t="s">
        <v>80</v>
      </c>
      <c r="S5" t="s">
        <v>80</v>
      </c>
      <c r="T5" t="s">
        <v>80</v>
      </c>
      <c r="U5" t="s">
        <v>80</v>
      </c>
      <c r="V5" t="s">
        <v>80</v>
      </c>
      <c r="W5" t="s">
        <v>118</v>
      </c>
      <c r="X5" s="1">
        <v>44965</v>
      </c>
      <c r="Y5">
        <v>312.99</v>
      </c>
      <c r="Z5" t="s">
        <v>82</v>
      </c>
      <c r="AA5" t="str">
        <f t="shared" si="0"/>
        <v>1003</v>
      </c>
      <c r="AB5" t="s">
        <v>133</v>
      </c>
      <c r="AC5" t="s">
        <v>134</v>
      </c>
      <c r="AD5" t="s">
        <v>135</v>
      </c>
      <c r="AE5" t="str">
        <f>"43191601"</f>
        <v>43191601</v>
      </c>
      <c r="AF5" t="s">
        <v>86</v>
      </c>
      <c r="AG5" t="s">
        <v>136</v>
      </c>
      <c r="AH5" t="s">
        <v>137</v>
      </c>
      <c r="AI5" t="s">
        <v>138</v>
      </c>
      <c r="AJ5" t="s">
        <v>139</v>
      </c>
      <c r="AK5" t="s">
        <v>140</v>
      </c>
      <c r="AL5" t="s">
        <v>140</v>
      </c>
      <c r="AN5" t="str">
        <f>"81131"</f>
        <v>81131</v>
      </c>
      <c r="AO5" t="str">
        <f>"81131"</f>
        <v>81131</v>
      </c>
      <c r="AP5" t="s">
        <v>92</v>
      </c>
      <c r="AR5">
        <v>49.99</v>
      </c>
      <c r="AS5">
        <v>24.42</v>
      </c>
      <c r="AT5">
        <v>2</v>
      </c>
      <c r="AU5">
        <v>48.84</v>
      </c>
      <c r="AV5">
        <v>0</v>
      </c>
      <c r="AX5">
        <v>4.3</v>
      </c>
      <c r="AY5">
        <v>53.14</v>
      </c>
      <c r="BA5" t="s">
        <v>93</v>
      </c>
      <c r="BC5" t="s">
        <v>93</v>
      </c>
      <c r="BD5" t="s">
        <v>128</v>
      </c>
      <c r="BE5">
        <v>25.57</v>
      </c>
      <c r="BF5" s="2">
        <v>0.51149999999999995</v>
      </c>
      <c r="BI5" t="s">
        <v>80</v>
      </c>
      <c r="BM5" t="s">
        <v>94</v>
      </c>
      <c r="BN5" t="s">
        <v>95</v>
      </c>
      <c r="BP5" t="s">
        <v>129</v>
      </c>
      <c r="BR5" t="s">
        <v>130</v>
      </c>
      <c r="BT5" t="s">
        <v>131</v>
      </c>
      <c r="BU5" t="s">
        <v>132</v>
      </c>
      <c r="BV5" t="str">
        <f>"98109"</f>
        <v>98109</v>
      </c>
      <c r="BW5">
        <v>884</v>
      </c>
      <c r="BX5" t="s">
        <v>2729</v>
      </c>
      <c r="BY5" t="s">
        <v>2681</v>
      </c>
      <c r="BZ5">
        <v>5</v>
      </c>
    </row>
    <row r="6" spans="1:78" x14ac:dyDescent="0.25">
      <c r="A6" s="1">
        <v>44960</v>
      </c>
      <c r="B6" t="s">
        <v>116</v>
      </c>
      <c r="C6" t="s">
        <v>100</v>
      </c>
      <c r="D6" t="s">
        <v>117</v>
      </c>
      <c r="E6">
        <v>8</v>
      </c>
      <c r="F6" t="s">
        <v>76</v>
      </c>
      <c r="G6">
        <v>287.68</v>
      </c>
      <c r="H6">
        <v>0</v>
      </c>
      <c r="I6">
        <v>0</v>
      </c>
      <c r="J6">
        <v>25.31</v>
      </c>
      <c r="K6">
        <v>312.99</v>
      </c>
      <c r="L6" t="s">
        <v>77</v>
      </c>
      <c r="M6" t="s">
        <v>102</v>
      </c>
      <c r="P6" t="s">
        <v>102</v>
      </c>
      <c r="Q6" t="s">
        <v>103</v>
      </c>
      <c r="R6" t="s">
        <v>80</v>
      </c>
      <c r="S6" t="s">
        <v>80</v>
      </c>
      <c r="T6" t="s">
        <v>80</v>
      </c>
      <c r="U6" t="s">
        <v>80</v>
      </c>
      <c r="V6" t="s">
        <v>80</v>
      </c>
      <c r="W6" t="s">
        <v>118</v>
      </c>
      <c r="X6" s="1">
        <v>44965</v>
      </c>
      <c r="Y6">
        <v>312.99</v>
      </c>
      <c r="Z6" t="s">
        <v>82</v>
      </c>
      <c r="AA6" t="str">
        <f t="shared" si="0"/>
        <v>1003</v>
      </c>
      <c r="AB6" t="s">
        <v>141</v>
      </c>
      <c r="AC6" t="s">
        <v>142</v>
      </c>
      <c r="AD6" t="s">
        <v>143</v>
      </c>
      <c r="AE6" t="str">
        <f>"47130000"</f>
        <v>47130000</v>
      </c>
      <c r="AF6" t="s">
        <v>144</v>
      </c>
      <c r="AG6" t="s">
        <v>145</v>
      </c>
      <c r="AH6" t="s">
        <v>145</v>
      </c>
      <c r="AI6" t="s">
        <v>145</v>
      </c>
      <c r="AJ6" t="s">
        <v>146</v>
      </c>
      <c r="AK6" t="s">
        <v>147</v>
      </c>
      <c r="AL6" t="s">
        <v>147</v>
      </c>
      <c r="AN6" t="s">
        <v>148</v>
      </c>
      <c r="AO6" t="s">
        <v>148</v>
      </c>
      <c r="AP6" t="s">
        <v>92</v>
      </c>
      <c r="AR6">
        <v>45.09</v>
      </c>
      <c r="AS6">
        <v>45.09</v>
      </c>
      <c r="AT6">
        <v>1</v>
      </c>
      <c r="AU6">
        <v>45.09</v>
      </c>
      <c r="AV6">
        <v>0</v>
      </c>
      <c r="AX6">
        <v>3.97</v>
      </c>
      <c r="AY6">
        <v>49.06</v>
      </c>
      <c r="BA6" t="s">
        <v>93</v>
      </c>
      <c r="BC6" t="s">
        <v>93</v>
      </c>
      <c r="BI6" t="s">
        <v>80</v>
      </c>
      <c r="BM6" t="s">
        <v>94</v>
      </c>
      <c r="BN6" t="s">
        <v>95</v>
      </c>
      <c r="BP6" t="s">
        <v>129</v>
      </c>
      <c r="BR6" t="s">
        <v>130</v>
      </c>
      <c r="BT6" t="s">
        <v>131</v>
      </c>
      <c r="BU6" t="s">
        <v>132</v>
      </c>
      <c r="BV6" t="str">
        <f>"98109"</f>
        <v>98109</v>
      </c>
      <c r="BW6">
        <v>884</v>
      </c>
      <c r="BX6" t="s">
        <v>2729</v>
      </c>
      <c r="BY6" t="s">
        <v>2681</v>
      </c>
      <c r="BZ6">
        <v>5</v>
      </c>
    </row>
    <row r="7" spans="1:78" x14ac:dyDescent="0.25">
      <c r="A7" s="1">
        <v>44960</v>
      </c>
      <c r="B7" t="s">
        <v>116</v>
      </c>
      <c r="C7" t="s">
        <v>100</v>
      </c>
      <c r="D7" t="s">
        <v>117</v>
      </c>
      <c r="E7">
        <v>8</v>
      </c>
      <c r="F7" t="s">
        <v>76</v>
      </c>
      <c r="G7">
        <v>287.68</v>
      </c>
      <c r="H7">
        <v>0</v>
      </c>
      <c r="I7">
        <v>0</v>
      </c>
      <c r="J7">
        <v>25.31</v>
      </c>
      <c r="K7">
        <v>312.99</v>
      </c>
      <c r="L7" t="s">
        <v>77</v>
      </c>
      <c r="M7" t="s">
        <v>102</v>
      </c>
      <c r="P7" t="s">
        <v>102</v>
      </c>
      <c r="Q7" t="s">
        <v>103</v>
      </c>
      <c r="R7" t="s">
        <v>80</v>
      </c>
      <c r="S7" t="s">
        <v>80</v>
      </c>
      <c r="T7" t="s">
        <v>80</v>
      </c>
      <c r="U7" t="s">
        <v>80</v>
      </c>
      <c r="V7" t="s">
        <v>80</v>
      </c>
      <c r="W7" t="s">
        <v>118</v>
      </c>
      <c r="X7" s="1">
        <v>44965</v>
      </c>
      <c r="Y7">
        <v>312.99</v>
      </c>
      <c r="Z7" t="s">
        <v>82</v>
      </c>
      <c r="AA7" t="str">
        <f t="shared" si="0"/>
        <v>1003</v>
      </c>
      <c r="AB7" t="s">
        <v>119</v>
      </c>
      <c r="AC7" t="s">
        <v>149</v>
      </c>
      <c r="AD7" t="s">
        <v>150</v>
      </c>
      <c r="AE7" t="str">
        <f>"44102801"</f>
        <v>44102801</v>
      </c>
      <c r="AF7" t="s">
        <v>108</v>
      </c>
      <c r="AG7" t="s">
        <v>109</v>
      </c>
      <c r="AH7" t="s">
        <v>151</v>
      </c>
      <c r="AI7" t="s">
        <v>152</v>
      </c>
      <c r="AJ7" t="s">
        <v>153</v>
      </c>
      <c r="AK7" t="s">
        <v>154</v>
      </c>
      <c r="AL7" t="s">
        <v>154</v>
      </c>
      <c r="AN7" t="str">
        <f>"5736601"</f>
        <v>5736601</v>
      </c>
      <c r="AO7" t="str">
        <f>"5736601"</f>
        <v>5736601</v>
      </c>
      <c r="AP7" t="s">
        <v>92</v>
      </c>
      <c r="AR7">
        <v>109.99</v>
      </c>
      <c r="AS7">
        <v>109.99</v>
      </c>
      <c r="AT7">
        <v>1</v>
      </c>
      <c r="AU7">
        <v>109.99</v>
      </c>
      <c r="AV7">
        <v>0</v>
      </c>
      <c r="AX7">
        <v>9.68</v>
      </c>
      <c r="AY7">
        <v>119.67</v>
      </c>
      <c r="BA7" t="s">
        <v>93</v>
      </c>
      <c r="BC7" t="s">
        <v>93</v>
      </c>
      <c r="BI7" t="s">
        <v>80</v>
      </c>
      <c r="BM7" t="s">
        <v>94</v>
      </c>
      <c r="BN7" t="s">
        <v>95</v>
      </c>
      <c r="BP7" t="s">
        <v>129</v>
      </c>
      <c r="BR7" t="s">
        <v>130</v>
      </c>
      <c r="BT7" t="s">
        <v>131</v>
      </c>
      <c r="BU7" t="s">
        <v>132</v>
      </c>
      <c r="BV7" t="str">
        <f>"98109"</f>
        <v>98109</v>
      </c>
      <c r="BW7">
        <v>884</v>
      </c>
      <c r="BX7" t="s">
        <v>2729</v>
      </c>
      <c r="BY7" t="s">
        <v>2681</v>
      </c>
      <c r="BZ7">
        <v>5</v>
      </c>
    </row>
    <row r="8" spans="1:78" x14ac:dyDescent="0.25">
      <c r="A8" s="1">
        <v>44960</v>
      </c>
      <c r="B8" t="s">
        <v>155</v>
      </c>
      <c r="C8" t="s">
        <v>100</v>
      </c>
      <c r="D8" t="s">
        <v>117</v>
      </c>
      <c r="E8">
        <v>2</v>
      </c>
      <c r="F8" t="s">
        <v>76</v>
      </c>
      <c r="G8">
        <v>279.98</v>
      </c>
      <c r="H8">
        <v>159.97999999999999</v>
      </c>
      <c r="I8">
        <v>0</v>
      </c>
      <c r="J8">
        <v>38.72</v>
      </c>
      <c r="K8">
        <v>478.68</v>
      </c>
      <c r="L8" t="s">
        <v>77</v>
      </c>
      <c r="M8" t="s">
        <v>102</v>
      </c>
      <c r="P8" t="s">
        <v>102</v>
      </c>
      <c r="Q8" t="s">
        <v>103</v>
      </c>
      <c r="R8" t="s">
        <v>80</v>
      </c>
      <c r="S8" t="s">
        <v>80</v>
      </c>
      <c r="T8" t="s">
        <v>80</v>
      </c>
      <c r="U8" t="s">
        <v>80</v>
      </c>
      <c r="V8" t="s">
        <v>80</v>
      </c>
      <c r="W8" t="s">
        <v>156</v>
      </c>
      <c r="X8" s="1">
        <v>44961</v>
      </c>
      <c r="Y8">
        <v>478.68</v>
      </c>
      <c r="Z8" t="s">
        <v>82</v>
      </c>
      <c r="AA8" t="str">
        <f t="shared" si="0"/>
        <v>1003</v>
      </c>
      <c r="AB8" t="s">
        <v>119</v>
      </c>
      <c r="AC8" t="s">
        <v>157</v>
      </c>
      <c r="AD8" t="s">
        <v>158</v>
      </c>
      <c r="AE8" t="str">
        <f>"56101702"</f>
        <v>56101702</v>
      </c>
      <c r="AF8" t="s">
        <v>159</v>
      </c>
      <c r="AG8" t="s">
        <v>160</v>
      </c>
      <c r="AH8" t="s">
        <v>161</v>
      </c>
      <c r="AI8" t="s">
        <v>162</v>
      </c>
      <c r="AK8" t="s">
        <v>163</v>
      </c>
      <c r="AL8" t="s">
        <v>163</v>
      </c>
      <c r="AP8" t="s">
        <v>92</v>
      </c>
      <c r="AR8">
        <v>139.99</v>
      </c>
      <c r="AS8">
        <v>139.99</v>
      </c>
      <c r="AT8">
        <v>2</v>
      </c>
      <c r="AU8">
        <v>279.98</v>
      </c>
      <c r="AV8">
        <v>159.97999999999999</v>
      </c>
      <c r="AX8">
        <v>38.72</v>
      </c>
      <c r="AY8">
        <v>478.68</v>
      </c>
      <c r="BA8" t="s">
        <v>93</v>
      </c>
      <c r="BC8" t="s">
        <v>93</v>
      </c>
      <c r="BD8" t="s">
        <v>128</v>
      </c>
      <c r="BI8" t="s">
        <v>80</v>
      </c>
      <c r="BM8" t="s">
        <v>94</v>
      </c>
      <c r="BN8" t="s">
        <v>95</v>
      </c>
      <c r="BP8" t="s">
        <v>129</v>
      </c>
      <c r="BR8" t="s">
        <v>163</v>
      </c>
      <c r="BT8" t="s">
        <v>164</v>
      </c>
      <c r="BU8" t="s">
        <v>165</v>
      </c>
      <c r="BV8" t="str">
        <f>"92509"</f>
        <v>92509</v>
      </c>
      <c r="BW8">
        <v>884</v>
      </c>
      <c r="BX8" t="s">
        <v>2729</v>
      </c>
      <c r="BY8" t="s">
        <v>2681</v>
      </c>
      <c r="BZ8">
        <v>5</v>
      </c>
    </row>
    <row r="9" spans="1:78" x14ac:dyDescent="0.25">
      <c r="A9" s="1">
        <v>44960</v>
      </c>
      <c r="B9" t="s">
        <v>166</v>
      </c>
      <c r="C9" t="s">
        <v>100</v>
      </c>
      <c r="D9" t="s">
        <v>117</v>
      </c>
      <c r="E9">
        <v>5</v>
      </c>
      <c r="F9" t="s">
        <v>76</v>
      </c>
      <c r="G9">
        <v>90.74</v>
      </c>
      <c r="H9">
        <v>0</v>
      </c>
      <c r="I9">
        <v>0</v>
      </c>
      <c r="J9">
        <v>7.98</v>
      </c>
      <c r="K9">
        <v>98.72</v>
      </c>
      <c r="L9" t="s">
        <v>77</v>
      </c>
      <c r="M9" t="s">
        <v>102</v>
      </c>
      <c r="P9" t="s">
        <v>102</v>
      </c>
      <c r="Q9" t="s">
        <v>103</v>
      </c>
      <c r="R9" t="s">
        <v>80</v>
      </c>
      <c r="S9" t="s">
        <v>80</v>
      </c>
      <c r="T9" t="s">
        <v>80</v>
      </c>
      <c r="U9" t="s">
        <v>80</v>
      </c>
      <c r="V9" t="s">
        <v>80</v>
      </c>
      <c r="W9" t="s">
        <v>167</v>
      </c>
      <c r="X9" s="1">
        <v>44965</v>
      </c>
      <c r="Y9">
        <v>98.72</v>
      </c>
      <c r="Z9" t="s">
        <v>82</v>
      </c>
      <c r="AA9" t="str">
        <f t="shared" si="0"/>
        <v>1003</v>
      </c>
      <c r="AB9" t="s">
        <v>168</v>
      </c>
      <c r="AC9" t="s">
        <v>169</v>
      </c>
      <c r="AD9" t="s">
        <v>170</v>
      </c>
      <c r="AE9" t="str">
        <f>"26111702"</f>
        <v>26111702</v>
      </c>
      <c r="AF9" t="s">
        <v>171</v>
      </c>
      <c r="AG9" t="s">
        <v>172</v>
      </c>
      <c r="AH9" t="s">
        <v>173</v>
      </c>
      <c r="AI9" t="s">
        <v>174</v>
      </c>
      <c r="AJ9" t="s">
        <v>175</v>
      </c>
      <c r="AK9" t="s">
        <v>176</v>
      </c>
      <c r="AL9" t="s">
        <v>176</v>
      </c>
      <c r="AN9" t="s">
        <v>177</v>
      </c>
      <c r="AO9" t="s">
        <v>178</v>
      </c>
      <c r="AP9" t="s">
        <v>92</v>
      </c>
      <c r="AR9">
        <v>16.489999999999998</v>
      </c>
      <c r="AS9">
        <v>15.18</v>
      </c>
      <c r="AT9">
        <v>1</v>
      </c>
      <c r="AU9">
        <v>15.18</v>
      </c>
      <c r="AV9">
        <v>0</v>
      </c>
      <c r="AX9">
        <v>1.34</v>
      </c>
      <c r="AY9">
        <v>16.52</v>
      </c>
      <c r="BA9" t="s">
        <v>93</v>
      </c>
      <c r="BC9" t="s">
        <v>93</v>
      </c>
      <c r="BD9" t="s">
        <v>128</v>
      </c>
      <c r="BE9">
        <v>1.31</v>
      </c>
      <c r="BF9" s="2">
        <v>7.9399999999999998E-2</v>
      </c>
      <c r="BI9" t="s">
        <v>80</v>
      </c>
      <c r="BM9" t="s">
        <v>94</v>
      </c>
      <c r="BN9" t="s">
        <v>95</v>
      </c>
      <c r="BP9" t="s">
        <v>129</v>
      </c>
      <c r="BR9" t="s">
        <v>130</v>
      </c>
      <c r="BT9" t="s">
        <v>131</v>
      </c>
      <c r="BU9" t="s">
        <v>132</v>
      </c>
      <c r="BV9" t="str">
        <f>"98109"</f>
        <v>98109</v>
      </c>
      <c r="BW9">
        <v>884</v>
      </c>
      <c r="BX9" t="s">
        <v>2729</v>
      </c>
      <c r="BY9" t="s">
        <v>2681</v>
      </c>
      <c r="BZ9">
        <v>5</v>
      </c>
    </row>
    <row r="10" spans="1:78" x14ac:dyDescent="0.25">
      <c r="A10" s="1">
        <v>44960</v>
      </c>
      <c r="B10" t="s">
        <v>166</v>
      </c>
      <c r="C10" t="s">
        <v>100</v>
      </c>
      <c r="D10" t="s">
        <v>117</v>
      </c>
      <c r="E10">
        <v>5</v>
      </c>
      <c r="F10" t="s">
        <v>76</v>
      </c>
      <c r="G10">
        <v>90.74</v>
      </c>
      <c r="H10">
        <v>0</v>
      </c>
      <c r="I10">
        <v>0</v>
      </c>
      <c r="J10">
        <v>7.98</v>
      </c>
      <c r="K10">
        <v>98.72</v>
      </c>
      <c r="L10" t="s">
        <v>77</v>
      </c>
      <c r="M10" t="s">
        <v>102</v>
      </c>
      <c r="P10" t="s">
        <v>102</v>
      </c>
      <c r="Q10" t="s">
        <v>103</v>
      </c>
      <c r="R10" t="s">
        <v>80</v>
      </c>
      <c r="S10" t="s">
        <v>80</v>
      </c>
      <c r="T10" t="s">
        <v>80</v>
      </c>
      <c r="U10" t="s">
        <v>80</v>
      </c>
      <c r="V10" t="s">
        <v>80</v>
      </c>
      <c r="W10" t="s">
        <v>167</v>
      </c>
      <c r="X10" s="1">
        <v>44965</v>
      </c>
      <c r="Y10">
        <v>98.72</v>
      </c>
      <c r="Z10" t="s">
        <v>82</v>
      </c>
      <c r="AA10" t="str">
        <f t="shared" si="0"/>
        <v>1003</v>
      </c>
      <c r="AB10" t="s">
        <v>105</v>
      </c>
      <c r="AC10" t="s">
        <v>179</v>
      </c>
      <c r="AD10" t="s">
        <v>180</v>
      </c>
      <c r="AE10" t="str">
        <f>"39121017"</f>
        <v>39121017</v>
      </c>
      <c r="AF10" t="s">
        <v>181</v>
      </c>
      <c r="AG10" t="s">
        <v>182</v>
      </c>
      <c r="AH10" t="s">
        <v>183</v>
      </c>
      <c r="AI10" t="s">
        <v>184</v>
      </c>
      <c r="AK10" t="s">
        <v>185</v>
      </c>
      <c r="AL10" t="s">
        <v>186</v>
      </c>
      <c r="AN10" t="str">
        <f>"8541544546"</f>
        <v>8541544546</v>
      </c>
      <c r="AO10" t="s">
        <v>187</v>
      </c>
      <c r="AP10" t="s">
        <v>92</v>
      </c>
      <c r="AR10">
        <v>22.99</v>
      </c>
      <c r="AS10">
        <v>18.89</v>
      </c>
      <c r="AT10">
        <v>4</v>
      </c>
      <c r="AU10">
        <v>75.56</v>
      </c>
      <c r="AV10">
        <v>0</v>
      </c>
      <c r="AX10">
        <v>6.64</v>
      </c>
      <c r="AY10">
        <v>82.2</v>
      </c>
      <c r="BA10" t="s">
        <v>93</v>
      </c>
      <c r="BC10" t="s">
        <v>93</v>
      </c>
      <c r="BD10" t="s">
        <v>128</v>
      </c>
      <c r="BE10">
        <v>4.0999999999999996</v>
      </c>
      <c r="BF10" s="2">
        <v>0.17829999999999999</v>
      </c>
      <c r="BI10" t="s">
        <v>80</v>
      </c>
      <c r="BM10" t="s">
        <v>94</v>
      </c>
      <c r="BN10" t="s">
        <v>95</v>
      </c>
      <c r="BP10" t="s">
        <v>129</v>
      </c>
      <c r="BR10" t="s">
        <v>186</v>
      </c>
      <c r="BW10">
        <v>884</v>
      </c>
      <c r="BX10" t="s">
        <v>2729</v>
      </c>
      <c r="BY10" t="s">
        <v>2681</v>
      </c>
      <c r="BZ10">
        <v>5</v>
      </c>
    </row>
    <row r="11" spans="1:78" x14ac:dyDescent="0.25">
      <c r="A11" s="1">
        <v>44960</v>
      </c>
      <c r="B11" t="s">
        <v>188</v>
      </c>
      <c r="C11" t="s">
        <v>189</v>
      </c>
      <c r="E11">
        <v>1</v>
      </c>
      <c r="F11" t="s">
        <v>76</v>
      </c>
      <c r="G11">
        <v>37.99</v>
      </c>
      <c r="H11">
        <v>0</v>
      </c>
      <c r="I11">
        <v>0</v>
      </c>
      <c r="J11">
        <v>3.13</v>
      </c>
      <c r="K11">
        <v>41.12</v>
      </c>
      <c r="L11" t="s">
        <v>77</v>
      </c>
      <c r="P11" t="s">
        <v>190</v>
      </c>
      <c r="Q11" t="s">
        <v>191</v>
      </c>
      <c r="R11" t="s">
        <v>80</v>
      </c>
      <c r="S11" t="s">
        <v>80</v>
      </c>
      <c r="T11" t="s">
        <v>80</v>
      </c>
      <c r="U11" t="s">
        <v>80</v>
      </c>
      <c r="V11" t="s">
        <v>80</v>
      </c>
      <c r="W11" t="s">
        <v>192</v>
      </c>
      <c r="X11" s="1">
        <v>44961</v>
      </c>
      <c r="Y11">
        <v>41.12</v>
      </c>
      <c r="Z11" t="s">
        <v>82</v>
      </c>
      <c r="AA11" t="str">
        <f t="shared" si="0"/>
        <v>1003</v>
      </c>
      <c r="AB11" t="s">
        <v>119</v>
      </c>
      <c r="AC11" t="s">
        <v>193</v>
      </c>
      <c r="AD11" t="s">
        <v>194</v>
      </c>
      <c r="AE11" t="str">
        <f>"55121605"</f>
        <v>55121605</v>
      </c>
      <c r="AF11" t="s">
        <v>195</v>
      </c>
      <c r="AG11" t="s">
        <v>196</v>
      </c>
      <c r="AH11" t="s">
        <v>197</v>
      </c>
      <c r="AI11" t="s">
        <v>198</v>
      </c>
      <c r="AK11" t="s">
        <v>199</v>
      </c>
      <c r="AL11" t="s">
        <v>199</v>
      </c>
      <c r="AN11" t="s">
        <v>200</v>
      </c>
      <c r="AO11" t="s">
        <v>200</v>
      </c>
      <c r="AP11" t="s">
        <v>92</v>
      </c>
      <c r="AR11">
        <v>49.95</v>
      </c>
      <c r="AS11">
        <v>37.99</v>
      </c>
      <c r="AT11">
        <v>1</v>
      </c>
      <c r="AU11">
        <v>37.99</v>
      </c>
      <c r="AV11">
        <v>0</v>
      </c>
      <c r="AX11">
        <v>3.13</v>
      </c>
      <c r="AY11">
        <v>41.12</v>
      </c>
      <c r="BA11" t="s">
        <v>93</v>
      </c>
      <c r="BC11" t="s">
        <v>93</v>
      </c>
      <c r="BD11" t="s">
        <v>128</v>
      </c>
      <c r="BE11">
        <v>11.96</v>
      </c>
      <c r="BF11" s="2">
        <v>0.2394</v>
      </c>
      <c r="BI11" t="s">
        <v>80</v>
      </c>
      <c r="BM11" t="s">
        <v>94</v>
      </c>
      <c r="BN11" t="s">
        <v>95</v>
      </c>
      <c r="BP11" t="s">
        <v>201</v>
      </c>
      <c r="BR11" t="s">
        <v>202</v>
      </c>
      <c r="BT11" t="s">
        <v>203</v>
      </c>
      <c r="BU11" t="s">
        <v>204</v>
      </c>
      <c r="BV11" t="str">
        <f>"51800"</f>
        <v>51800</v>
      </c>
      <c r="BW11">
        <v>901</v>
      </c>
      <c r="BX11" t="s">
        <v>2730</v>
      </c>
      <c r="BY11" t="s">
        <v>2705</v>
      </c>
      <c r="BZ11">
        <v>5</v>
      </c>
    </row>
    <row r="12" spans="1:78" x14ac:dyDescent="0.25">
      <c r="A12" s="1">
        <v>44960</v>
      </c>
      <c r="B12" t="s">
        <v>205</v>
      </c>
      <c r="C12" t="s">
        <v>100</v>
      </c>
      <c r="D12" t="s">
        <v>206</v>
      </c>
      <c r="E12">
        <v>1</v>
      </c>
      <c r="F12" t="s">
        <v>76</v>
      </c>
      <c r="G12">
        <v>1569</v>
      </c>
      <c r="H12">
        <v>0</v>
      </c>
      <c r="I12">
        <v>0</v>
      </c>
      <c r="J12">
        <v>121.6</v>
      </c>
      <c r="K12">
        <v>1690.6</v>
      </c>
      <c r="L12" t="s">
        <v>207</v>
      </c>
      <c r="M12" t="s">
        <v>208</v>
      </c>
      <c r="P12" t="s">
        <v>208</v>
      </c>
      <c r="Q12" t="s">
        <v>209</v>
      </c>
      <c r="R12" t="s">
        <v>80</v>
      </c>
      <c r="S12" t="s">
        <v>80</v>
      </c>
      <c r="T12" t="s">
        <v>80</v>
      </c>
      <c r="U12" t="s">
        <v>80</v>
      </c>
      <c r="V12" t="s">
        <v>80</v>
      </c>
      <c r="W12" t="s">
        <v>210</v>
      </c>
      <c r="X12" s="1">
        <v>44960</v>
      </c>
      <c r="Y12">
        <v>1690.6</v>
      </c>
      <c r="Z12" t="s">
        <v>82</v>
      </c>
      <c r="AA12" t="str">
        <f t="shared" si="0"/>
        <v>1003</v>
      </c>
      <c r="AB12" t="s">
        <v>119</v>
      </c>
      <c r="AC12" t="s">
        <v>211</v>
      </c>
      <c r="AD12" t="s">
        <v>212</v>
      </c>
      <c r="AE12" t="str">
        <f>"14111507"</f>
        <v>14111507</v>
      </c>
      <c r="AF12" t="s">
        <v>213</v>
      </c>
      <c r="AG12" t="s">
        <v>214</v>
      </c>
      <c r="AH12" t="s">
        <v>215</v>
      </c>
      <c r="AI12" t="s">
        <v>216</v>
      </c>
      <c r="AJ12" t="s">
        <v>217</v>
      </c>
      <c r="AK12" t="s">
        <v>218</v>
      </c>
      <c r="AL12" t="s">
        <v>219</v>
      </c>
      <c r="AN12" t="s">
        <v>220</v>
      </c>
      <c r="AO12" t="s">
        <v>220</v>
      </c>
      <c r="AP12" t="s">
        <v>92</v>
      </c>
      <c r="AR12">
        <v>1599</v>
      </c>
      <c r="AS12">
        <v>1569</v>
      </c>
      <c r="AT12">
        <v>1</v>
      </c>
      <c r="AU12">
        <v>1569</v>
      </c>
      <c r="AV12">
        <v>0</v>
      </c>
      <c r="AX12">
        <v>121.6</v>
      </c>
      <c r="AY12">
        <v>1690.6</v>
      </c>
      <c r="BA12" t="s">
        <v>93</v>
      </c>
      <c r="BC12" t="s">
        <v>93</v>
      </c>
      <c r="BD12" t="s">
        <v>128</v>
      </c>
      <c r="BE12">
        <v>30</v>
      </c>
      <c r="BF12" s="2">
        <v>1.8800000000000001E-2</v>
      </c>
      <c r="BI12" t="s">
        <v>80</v>
      </c>
      <c r="BM12" t="s">
        <v>94</v>
      </c>
      <c r="BN12" t="s">
        <v>95</v>
      </c>
      <c r="BP12" t="s">
        <v>221</v>
      </c>
      <c r="BR12" t="s">
        <v>130</v>
      </c>
      <c r="BT12" t="s">
        <v>131</v>
      </c>
      <c r="BU12" t="s">
        <v>132</v>
      </c>
      <c r="BV12" t="str">
        <f>"98109"</f>
        <v>98109</v>
      </c>
      <c r="BW12">
        <v>889</v>
      </c>
      <c r="BX12" t="s">
        <v>2731</v>
      </c>
      <c r="BY12" t="s">
        <v>2687</v>
      </c>
      <c r="BZ12">
        <v>5</v>
      </c>
    </row>
    <row r="13" spans="1:78" x14ac:dyDescent="0.25">
      <c r="A13" s="1">
        <v>44960</v>
      </c>
      <c r="B13" t="s">
        <v>222</v>
      </c>
      <c r="C13" t="s">
        <v>223</v>
      </c>
      <c r="E13">
        <v>4</v>
      </c>
      <c r="F13" t="s">
        <v>76</v>
      </c>
      <c r="G13">
        <v>151.96</v>
      </c>
      <c r="H13">
        <v>0</v>
      </c>
      <c r="I13">
        <v>0</v>
      </c>
      <c r="J13">
        <v>10.08</v>
      </c>
      <c r="K13">
        <v>162.04</v>
      </c>
      <c r="L13" t="s">
        <v>77</v>
      </c>
      <c r="M13" t="s">
        <v>224</v>
      </c>
      <c r="P13" t="s">
        <v>225</v>
      </c>
      <c r="Q13" t="s">
        <v>226</v>
      </c>
      <c r="R13" t="s">
        <v>80</v>
      </c>
      <c r="S13" t="s">
        <v>80</v>
      </c>
      <c r="T13" t="s">
        <v>80</v>
      </c>
      <c r="U13" t="s">
        <v>80</v>
      </c>
      <c r="V13" t="s">
        <v>80</v>
      </c>
      <c r="W13" t="s">
        <v>227</v>
      </c>
      <c r="X13" s="1">
        <v>44961</v>
      </c>
      <c r="Y13">
        <v>162.04</v>
      </c>
      <c r="Z13" t="s">
        <v>82</v>
      </c>
      <c r="AA13" t="str">
        <f t="shared" si="0"/>
        <v>1003</v>
      </c>
      <c r="AB13" t="s">
        <v>105</v>
      </c>
      <c r="AC13" t="s">
        <v>228</v>
      </c>
      <c r="AD13" t="s">
        <v>229</v>
      </c>
      <c r="AE13" t="str">
        <f>"39121440"</f>
        <v>39121440</v>
      </c>
      <c r="AF13" t="s">
        <v>181</v>
      </c>
      <c r="AG13" t="s">
        <v>182</v>
      </c>
      <c r="AH13" t="s">
        <v>230</v>
      </c>
      <c r="AI13" t="s">
        <v>231</v>
      </c>
      <c r="AK13" t="s">
        <v>232</v>
      </c>
      <c r="AL13" t="s">
        <v>233</v>
      </c>
      <c r="AN13" t="s">
        <v>234</v>
      </c>
      <c r="AO13" t="s">
        <v>234</v>
      </c>
      <c r="AP13" t="s">
        <v>92</v>
      </c>
      <c r="AR13">
        <v>54.99</v>
      </c>
      <c r="AS13">
        <v>37.99</v>
      </c>
      <c r="AT13">
        <v>4</v>
      </c>
      <c r="AU13">
        <v>151.96</v>
      </c>
      <c r="AV13">
        <v>0</v>
      </c>
      <c r="AX13">
        <v>10.08</v>
      </c>
      <c r="AY13">
        <v>162.04</v>
      </c>
      <c r="BA13" t="s">
        <v>93</v>
      </c>
      <c r="BC13" t="s">
        <v>93</v>
      </c>
      <c r="BD13" t="s">
        <v>128</v>
      </c>
      <c r="BE13">
        <v>17</v>
      </c>
      <c r="BF13" s="2">
        <v>0.30909999999999999</v>
      </c>
      <c r="BI13" t="s">
        <v>80</v>
      </c>
      <c r="BM13" t="s">
        <v>94</v>
      </c>
      <c r="BN13" t="s">
        <v>95</v>
      </c>
      <c r="BP13" t="s">
        <v>235</v>
      </c>
      <c r="BR13" t="s">
        <v>236</v>
      </c>
      <c r="BS13" t="s">
        <v>237</v>
      </c>
      <c r="BT13" t="s">
        <v>238</v>
      </c>
      <c r="BU13" t="s">
        <v>115</v>
      </c>
      <c r="BV13" t="str">
        <f>"91790"</f>
        <v>91790</v>
      </c>
      <c r="BW13">
        <v>909</v>
      </c>
      <c r="BX13" t="s">
        <v>2732</v>
      </c>
      <c r="BY13" t="s">
        <v>2719</v>
      </c>
      <c r="BZ13">
        <v>5</v>
      </c>
    </row>
    <row r="14" spans="1:78" x14ac:dyDescent="0.25">
      <c r="A14" s="1">
        <v>44960</v>
      </c>
      <c r="B14" t="s">
        <v>239</v>
      </c>
      <c r="C14" t="s">
        <v>223</v>
      </c>
      <c r="E14">
        <v>10</v>
      </c>
      <c r="F14" t="s">
        <v>76</v>
      </c>
      <c r="G14">
        <v>99.9</v>
      </c>
      <c r="H14">
        <v>0</v>
      </c>
      <c r="I14">
        <v>0</v>
      </c>
      <c r="J14">
        <v>0</v>
      </c>
      <c r="K14">
        <v>99.9</v>
      </c>
      <c r="L14" t="s">
        <v>77</v>
      </c>
      <c r="M14" t="s">
        <v>224</v>
      </c>
      <c r="P14" t="s">
        <v>225</v>
      </c>
      <c r="Q14" t="s">
        <v>226</v>
      </c>
      <c r="R14" t="s">
        <v>80</v>
      </c>
      <c r="S14" t="s">
        <v>80</v>
      </c>
      <c r="T14" t="s">
        <v>80</v>
      </c>
      <c r="U14" t="s">
        <v>80</v>
      </c>
      <c r="V14" t="s">
        <v>80</v>
      </c>
      <c r="W14" t="s">
        <v>240</v>
      </c>
      <c r="X14" s="1">
        <v>44961</v>
      </c>
      <c r="Y14">
        <v>99.9</v>
      </c>
      <c r="Z14" t="s">
        <v>82</v>
      </c>
      <c r="AA14" t="str">
        <f t="shared" si="0"/>
        <v>1003</v>
      </c>
      <c r="AB14" t="s">
        <v>168</v>
      </c>
      <c r="AC14" t="s">
        <v>241</v>
      </c>
      <c r="AD14" t="s">
        <v>242</v>
      </c>
      <c r="AE14" t="str">
        <f>"42132203"</f>
        <v>42132203</v>
      </c>
      <c r="AF14" t="s">
        <v>243</v>
      </c>
      <c r="AG14" t="s">
        <v>244</v>
      </c>
      <c r="AH14" t="s">
        <v>245</v>
      </c>
      <c r="AI14" t="s">
        <v>246</v>
      </c>
      <c r="AK14" t="s">
        <v>247</v>
      </c>
      <c r="AL14" t="s">
        <v>247</v>
      </c>
      <c r="AN14" t="s">
        <v>248</v>
      </c>
      <c r="AO14" t="s">
        <v>248</v>
      </c>
      <c r="AP14" t="s">
        <v>92</v>
      </c>
      <c r="AR14">
        <v>13.49</v>
      </c>
      <c r="AS14">
        <v>9.99</v>
      </c>
      <c r="AT14">
        <v>10</v>
      </c>
      <c r="AU14">
        <v>99.9</v>
      </c>
      <c r="AV14">
        <v>0</v>
      </c>
      <c r="AX14">
        <v>0</v>
      </c>
      <c r="AY14">
        <v>99.9</v>
      </c>
      <c r="BA14" t="s">
        <v>93</v>
      </c>
      <c r="BC14" t="s">
        <v>93</v>
      </c>
      <c r="BI14" t="s">
        <v>80</v>
      </c>
      <c r="BM14" t="s">
        <v>94</v>
      </c>
      <c r="BN14" t="s">
        <v>95</v>
      </c>
      <c r="BP14" t="s">
        <v>235</v>
      </c>
      <c r="BR14" t="s">
        <v>249</v>
      </c>
      <c r="BS14" t="s">
        <v>250</v>
      </c>
      <c r="BT14" t="s">
        <v>251</v>
      </c>
      <c r="BU14" t="s">
        <v>252</v>
      </c>
      <c r="BV14" t="str">
        <f>"08527"</f>
        <v>08527</v>
      </c>
      <c r="BW14">
        <v>909</v>
      </c>
      <c r="BX14" t="s">
        <v>2732</v>
      </c>
      <c r="BY14" t="s">
        <v>2719</v>
      </c>
      <c r="BZ14">
        <v>5</v>
      </c>
    </row>
    <row r="15" spans="1:78" x14ac:dyDescent="0.25">
      <c r="A15" s="1">
        <v>44960</v>
      </c>
      <c r="B15" t="s">
        <v>253</v>
      </c>
      <c r="C15" t="s">
        <v>254</v>
      </c>
      <c r="D15" t="s">
        <v>255</v>
      </c>
      <c r="E15">
        <v>4</v>
      </c>
      <c r="F15" t="s">
        <v>76</v>
      </c>
      <c r="G15">
        <v>103.46</v>
      </c>
      <c r="H15">
        <v>0</v>
      </c>
      <c r="I15">
        <v>0</v>
      </c>
      <c r="J15">
        <v>8.02</v>
      </c>
      <c r="K15">
        <v>111.48</v>
      </c>
      <c r="L15" t="s">
        <v>77</v>
      </c>
      <c r="M15" t="s">
        <v>224</v>
      </c>
      <c r="P15" t="s">
        <v>256</v>
      </c>
      <c r="Q15" t="s">
        <v>257</v>
      </c>
      <c r="R15" t="s">
        <v>80</v>
      </c>
      <c r="S15" t="s">
        <v>80</v>
      </c>
      <c r="T15" t="s">
        <v>80</v>
      </c>
      <c r="U15" t="s">
        <v>80</v>
      </c>
      <c r="V15" t="s">
        <v>80</v>
      </c>
      <c r="W15" t="s">
        <v>258</v>
      </c>
      <c r="X15" s="1">
        <v>44961</v>
      </c>
      <c r="Y15">
        <v>53.32</v>
      </c>
      <c r="Z15" t="s">
        <v>82</v>
      </c>
      <c r="AA15" t="str">
        <f t="shared" si="0"/>
        <v>1003</v>
      </c>
      <c r="AB15" t="s">
        <v>168</v>
      </c>
      <c r="AC15" t="s">
        <v>259</v>
      </c>
      <c r="AD15" t="s">
        <v>260</v>
      </c>
      <c r="AE15" t="str">
        <f>"47131800"</f>
        <v>47131800</v>
      </c>
      <c r="AF15" t="s">
        <v>144</v>
      </c>
      <c r="AG15" t="s">
        <v>145</v>
      </c>
      <c r="AH15" t="s">
        <v>261</v>
      </c>
      <c r="AI15" t="s">
        <v>261</v>
      </c>
      <c r="AJ15" t="s">
        <v>262</v>
      </c>
      <c r="AK15" t="s">
        <v>263</v>
      </c>
      <c r="AL15" t="s">
        <v>264</v>
      </c>
      <c r="AN15" t="s">
        <v>265</v>
      </c>
      <c r="AO15" t="s">
        <v>265</v>
      </c>
      <c r="AP15" t="s">
        <v>92</v>
      </c>
      <c r="AR15">
        <v>43.95</v>
      </c>
      <c r="AS15">
        <v>24.74</v>
      </c>
      <c r="AT15">
        <v>2</v>
      </c>
      <c r="AU15">
        <v>49.48</v>
      </c>
      <c r="AV15">
        <v>0</v>
      </c>
      <c r="AX15">
        <v>3.84</v>
      </c>
      <c r="AY15">
        <v>53.32</v>
      </c>
      <c r="BA15" t="s">
        <v>93</v>
      </c>
      <c r="BC15" t="s">
        <v>93</v>
      </c>
      <c r="BI15" t="s">
        <v>80</v>
      </c>
      <c r="BM15" t="s">
        <v>94</v>
      </c>
      <c r="BN15" t="s">
        <v>95</v>
      </c>
      <c r="BP15" t="s">
        <v>266</v>
      </c>
      <c r="BR15" t="s">
        <v>130</v>
      </c>
      <c r="BT15" t="s">
        <v>131</v>
      </c>
      <c r="BU15" t="s">
        <v>132</v>
      </c>
      <c r="BV15" t="str">
        <f>"98109"</f>
        <v>98109</v>
      </c>
      <c r="BW15">
        <v>848</v>
      </c>
      <c r="BX15" t="s">
        <v>2733</v>
      </c>
      <c r="BY15" t="s">
        <v>2661</v>
      </c>
      <c r="BZ15">
        <v>5</v>
      </c>
    </row>
    <row r="16" spans="1:78" x14ac:dyDescent="0.25">
      <c r="A16" s="1">
        <v>44960</v>
      </c>
      <c r="B16" t="s">
        <v>253</v>
      </c>
      <c r="C16" t="s">
        <v>254</v>
      </c>
      <c r="D16" t="s">
        <v>255</v>
      </c>
      <c r="E16">
        <v>4</v>
      </c>
      <c r="F16" t="s">
        <v>76</v>
      </c>
      <c r="G16">
        <v>103.46</v>
      </c>
      <c r="H16">
        <v>0</v>
      </c>
      <c r="I16">
        <v>0</v>
      </c>
      <c r="J16">
        <v>8.02</v>
      </c>
      <c r="K16">
        <v>111.48</v>
      </c>
      <c r="L16" t="s">
        <v>77</v>
      </c>
      <c r="M16" t="s">
        <v>224</v>
      </c>
      <c r="P16" t="s">
        <v>256</v>
      </c>
      <c r="Q16" t="s">
        <v>257</v>
      </c>
      <c r="R16" t="s">
        <v>80</v>
      </c>
      <c r="S16" t="s">
        <v>80</v>
      </c>
      <c r="T16" t="s">
        <v>80</v>
      </c>
      <c r="U16" t="s">
        <v>80</v>
      </c>
      <c r="V16" t="s">
        <v>80</v>
      </c>
      <c r="W16" t="s">
        <v>267</v>
      </c>
      <c r="X16" s="1">
        <v>44962</v>
      </c>
      <c r="Y16">
        <v>58.16</v>
      </c>
      <c r="Z16" t="s">
        <v>82</v>
      </c>
      <c r="AA16" t="str">
        <f t="shared" si="0"/>
        <v>1003</v>
      </c>
      <c r="AB16" t="s">
        <v>268</v>
      </c>
      <c r="AC16" t="s">
        <v>269</v>
      </c>
      <c r="AD16" t="s">
        <v>270</v>
      </c>
      <c r="AE16" t="str">
        <f>"47131600"</f>
        <v>47131600</v>
      </c>
      <c r="AF16" t="s">
        <v>144</v>
      </c>
      <c r="AG16" t="s">
        <v>145</v>
      </c>
      <c r="AH16" t="s">
        <v>271</v>
      </c>
      <c r="AI16" t="s">
        <v>271</v>
      </c>
      <c r="AK16" t="s">
        <v>272</v>
      </c>
      <c r="AL16" t="s">
        <v>273</v>
      </c>
      <c r="AP16" t="s">
        <v>92</v>
      </c>
      <c r="AR16">
        <v>26.99</v>
      </c>
      <c r="AS16">
        <v>26.99</v>
      </c>
      <c r="AT16">
        <v>2</v>
      </c>
      <c r="AU16">
        <v>53.98</v>
      </c>
      <c r="AV16">
        <v>0</v>
      </c>
      <c r="AX16">
        <v>4.18</v>
      </c>
      <c r="AY16">
        <v>58.16</v>
      </c>
      <c r="BA16" t="s">
        <v>93</v>
      </c>
      <c r="BC16" t="s">
        <v>93</v>
      </c>
      <c r="BI16" t="s">
        <v>80</v>
      </c>
      <c r="BM16" t="s">
        <v>94</v>
      </c>
      <c r="BN16" t="s">
        <v>95</v>
      </c>
      <c r="BP16" t="s">
        <v>266</v>
      </c>
      <c r="BR16" t="s">
        <v>274</v>
      </c>
      <c r="BT16" t="s">
        <v>275</v>
      </c>
      <c r="BU16" t="s">
        <v>98</v>
      </c>
      <c r="BV16" t="str">
        <f>"518129"</f>
        <v>518129</v>
      </c>
      <c r="BW16">
        <v>848</v>
      </c>
      <c r="BX16" t="s">
        <v>2733</v>
      </c>
      <c r="BY16" t="s">
        <v>2661</v>
      </c>
      <c r="BZ16">
        <v>5</v>
      </c>
    </row>
    <row r="17" spans="1:78" x14ac:dyDescent="0.25">
      <c r="A17" s="1">
        <v>44960</v>
      </c>
      <c r="B17" t="s">
        <v>253</v>
      </c>
      <c r="C17" t="s">
        <v>254</v>
      </c>
      <c r="D17" t="s">
        <v>255</v>
      </c>
      <c r="E17">
        <v>4</v>
      </c>
      <c r="F17" t="s">
        <v>76</v>
      </c>
      <c r="G17">
        <v>103.46</v>
      </c>
      <c r="H17">
        <v>0</v>
      </c>
      <c r="I17">
        <v>0</v>
      </c>
      <c r="J17">
        <v>8.02</v>
      </c>
      <c r="K17">
        <v>111.48</v>
      </c>
      <c r="L17" t="s">
        <v>77</v>
      </c>
      <c r="M17" t="s">
        <v>224</v>
      </c>
      <c r="P17" t="s">
        <v>256</v>
      </c>
      <c r="Q17" t="s">
        <v>257</v>
      </c>
      <c r="R17" t="s">
        <v>80</v>
      </c>
      <c r="S17" t="s">
        <v>80</v>
      </c>
      <c r="T17" t="s">
        <v>80</v>
      </c>
      <c r="U17" t="s">
        <v>80</v>
      </c>
      <c r="V17" t="s">
        <v>80</v>
      </c>
      <c r="W17" t="s">
        <v>80</v>
      </c>
      <c r="X17" t="s">
        <v>80</v>
      </c>
      <c r="Y17" t="s">
        <v>80</v>
      </c>
      <c r="Z17" t="s">
        <v>80</v>
      </c>
      <c r="AA17" t="s">
        <v>80</v>
      </c>
      <c r="AB17" t="s">
        <v>168</v>
      </c>
      <c r="AC17" t="s">
        <v>276</v>
      </c>
      <c r="AD17" t="s">
        <v>277</v>
      </c>
      <c r="AE17" t="str">
        <f>"47131600"</f>
        <v>47131600</v>
      </c>
      <c r="AF17" t="s">
        <v>144</v>
      </c>
      <c r="AG17" t="s">
        <v>145</v>
      </c>
      <c r="AH17" t="s">
        <v>271</v>
      </c>
      <c r="AI17" t="s">
        <v>271</v>
      </c>
      <c r="AK17" t="s">
        <v>278</v>
      </c>
      <c r="AN17" t="s">
        <v>279</v>
      </c>
      <c r="AO17" t="s">
        <v>279</v>
      </c>
      <c r="AP17" t="s">
        <v>92</v>
      </c>
      <c r="AR17">
        <v>31.95</v>
      </c>
      <c r="AS17">
        <v>0</v>
      </c>
      <c r="AT17">
        <v>0</v>
      </c>
      <c r="AU17">
        <v>95.85</v>
      </c>
      <c r="AV17">
        <v>0</v>
      </c>
      <c r="AX17">
        <v>7.44</v>
      </c>
      <c r="AY17">
        <v>103.29</v>
      </c>
      <c r="BA17" t="s">
        <v>93</v>
      </c>
      <c r="BC17" t="s">
        <v>93</v>
      </c>
      <c r="BD17" t="s">
        <v>128</v>
      </c>
      <c r="BE17">
        <v>31.95</v>
      </c>
      <c r="BF17" s="3">
        <v>1</v>
      </c>
      <c r="BI17" t="s">
        <v>80</v>
      </c>
      <c r="BM17" t="s">
        <v>94</v>
      </c>
      <c r="BN17" t="s">
        <v>95</v>
      </c>
      <c r="BP17" t="s">
        <v>266</v>
      </c>
      <c r="BR17" t="s">
        <v>278</v>
      </c>
      <c r="BT17" t="s">
        <v>280</v>
      </c>
      <c r="BU17" t="s">
        <v>281</v>
      </c>
      <c r="BV17" t="str">
        <f>"85259"</f>
        <v>85259</v>
      </c>
      <c r="BW17">
        <v>848</v>
      </c>
      <c r="BX17" t="s">
        <v>2733</v>
      </c>
      <c r="BY17" t="s">
        <v>2661</v>
      </c>
      <c r="BZ17">
        <v>5</v>
      </c>
    </row>
    <row r="18" spans="1:78" x14ac:dyDescent="0.25">
      <c r="A18" s="1">
        <v>44960</v>
      </c>
      <c r="B18" t="s">
        <v>282</v>
      </c>
      <c r="C18" t="s">
        <v>283</v>
      </c>
      <c r="E18">
        <v>1</v>
      </c>
      <c r="F18" t="s">
        <v>76</v>
      </c>
      <c r="G18">
        <v>13.99</v>
      </c>
      <c r="H18">
        <v>0</v>
      </c>
      <c r="I18">
        <v>0</v>
      </c>
      <c r="J18">
        <v>1.44</v>
      </c>
      <c r="K18">
        <v>15.43</v>
      </c>
      <c r="L18" t="s">
        <v>77</v>
      </c>
      <c r="P18" t="s">
        <v>284</v>
      </c>
      <c r="Q18" t="s">
        <v>285</v>
      </c>
      <c r="R18" t="s">
        <v>80</v>
      </c>
      <c r="S18" t="s">
        <v>80</v>
      </c>
      <c r="T18" t="s">
        <v>80</v>
      </c>
      <c r="U18" t="s">
        <v>80</v>
      </c>
      <c r="V18" t="s">
        <v>80</v>
      </c>
      <c r="W18" t="s">
        <v>286</v>
      </c>
      <c r="X18" s="1">
        <v>44962</v>
      </c>
      <c r="Y18">
        <v>15.43</v>
      </c>
      <c r="Z18" t="s">
        <v>82</v>
      </c>
      <c r="AA18" t="str">
        <f t="shared" ref="AA18:AA81" si="1">"1003"</f>
        <v>1003</v>
      </c>
      <c r="AB18" t="s">
        <v>287</v>
      </c>
      <c r="AC18" t="s">
        <v>288</v>
      </c>
      <c r="AD18" t="s">
        <v>289</v>
      </c>
      <c r="AE18" t="str">
        <f>"55121706"</f>
        <v>55121706</v>
      </c>
      <c r="AF18" t="s">
        <v>195</v>
      </c>
      <c r="AG18" t="s">
        <v>196</v>
      </c>
      <c r="AH18" t="s">
        <v>290</v>
      </c>
      <c r="AI18" t="s">
        <v>291</v>
      </c>
      <c r="AK18" t="s">
        <v>292</v>
      </c>
      <c r="AL18" t="s">
        <v>292</v>
      </c>
      <c r="AN18" t="s">
        <v>293</v>
      </c>
      <c r="AO18" t="s">
        <v>293</v>
      </c>
      <c r="AP18" t="s">
        <v>92</v>
      </c>
      <c r="AR18">
        <v>13.99</v>
      </c>
      <c r="AS18">
        <v>13.99</v>
      </c>
      <c r="AT18">
        <v>1</v>
      </c>
      <c r="AU18">
        <v>13.99</v>
      </c>
      <c r="AV18">
        <v>0</v>
      </c>
      <c r="AX18">
        <v>1.44</v>
      </c>
      <c r="AY18">
        <v>15.43</v>
      </c>
      <c r="BA18" t="s">
        <v>93</v>
      </c>
      <c r="BC18" t="s">
        <v>93</v>
      </c>
      <c r="BI18" t="s">
        <v>80</v>
      </c>
      <c r="BM18" t="s">
        <v>94</v>
      </c>
      <c r="BN18" t="s">
        <v>95</v>
      </c>
      <c r="BP18" t="s">
        <v>294</v>
      </c>
      <c r="BR18" t="s">
        <v>292</v>
      </c>
      <c r="BT18" t="s">
        <v>295</v>
      </c>
      <c r="BU18" t="s">
        <v>296</v>
      </c>
      <c r="BV18" t="str">
        <f>"510288"</f>
        <v>510288</v>
      </c>
      <c r="BW18">
        <v>879</v>
      </c>
      <c r="BX18" t="s">
        <v>2734</v>
      </c>
      <c r="BY18" t="s">
        <v>2673</v>
      </c>
      <c r="BZ18">
        <v>5</v>
      </c>
    </row>
    <row r="19" spans="1:78" x14ac:dyDescent="0.25">
      <c r="A19" s="1">
        <v>44960</v>
      </c>
      <c r="B19" t="s">
        <v>297</v>
      </c>
      <c r="C19" t="s">
        <v>283</v>
      </c>
      <c r="E19">
        <v>1</v>
      </c>
      <c r="F19" t="s">
        <v>76</v>
      </c>
      <c r="G19">
        <v>13.99</v>
      </c>
      <c r="H19">
        <v>0</v>
      </c>
      <c r="I19">
        <v>0</v>
      </c>
      <c r="J19">
        <v>1.41</v>
      </c>
      <c r="K19">
        <v>15.4</v>
      </c>
      <c r="L19" t="s">
        <v>77</v>
      </c>
      <c r="P19" t="s">
        <v>284</v>
      </c>
      <c r="Q19" t="s">
        <v>285</v>
      </c>
      <c r="R19" t="s">
        <v>80</v>
      </c>
      <c r="S19" t="s">
        <v>80</v>
      </c>
      <c r="T19" t="s">
        <v>80</v>
      </c>
      <c r="U19" t="s">
        <v>80</v>
      </c>
      <c r="V19" t="s">
        <v>80</v>
      </c>
      <c r="W19" t="s">
        <v>298</v>
      </c>
      <c r="X19" s="1">
        <v>44962</v>
      </c>
      <c r="Y19">
        <v>15.4</v>
      </c>
      <c r="Z19" t="s">
        <v>82</v>
      </c>
      <c r="AA19" t="str">
        <f t="shared" si="1"/>
        <v>1003</v>
      </c>
      <c r="AB19" t="s">
        <v>287</v>
      </c>
      <c r="AC19" t="s">
        <v>288</v>
      </c>
      <c r="AD19" t="s">
        <v>289</v>
      </c>
      <c r="AE19" t="str">
        <f>"55121706"</f>
        <v>55121706</v>
      </c>
      <c r="AF19" t="s">
        <v>195</v>
      </c>
      <c r="AG19" t="s">
        <v>196</v>
      </c>
      <c r="AH19" t="s">
        <v>290</v>
      </c>
      <c r="AI19" t="s">
        <v>291</v>
      </c>
      <c r="AK19" t="s">
        <v>292</v>
      </c>
      <c r="AL19" t="s">
        <v>292</v>
      </c>
      <c r="AN19" t="s">
        <v>293</v>
      </c>
      <c r="AO19" t="s">
        <v>293</v>
      </c>
      <c r="AP19" t="s">
        <v>92</v>
      </c>
      <c r="AR19">
        <v>13.99</v>
      </c>
      <c r="AS19">
        <v>13.99</v>
      </c>
      <c r="AT19">
        <v>1</v>
      </c>
      <c r="AU19">
        <v>13.99</v>
      </c>
      <c r="AV19">
        <v>0</v>
      </c>
      <c r="AX19">
        <v>1.41</v>
      </c>
      <c r="AY19">
        <v>15.4</v>
      </c>
      <c r="BA19" t="s">
        <v>93</v>
      </c>
      <c r="BC19" t="s">
        <v>93</v>
      </c>
      <c r="BI19" t="s">
        <v>80</v>
      </c>
      <c r="BM19" t="s">
        <v>94</v>
      </c>
      <c r="BN19" t="s">
        <v>95</v>
      </c>
      <c r="BP19" t="s">
        <v>299</v>
      </c>
      <c r="BR19" t="s">
        <v>292</v>
      </c>
      <c r="BT19" t="s">
        <v>295</v>
      </c>
      <c r="BU19" t="s">
        <v>296</v>
      </c>
      <c r="BV19" t="str">
        <f>"510288"</f>
        <v>510288</v>
      </c>
      <c r="BW19">
        <v>877</v>
      </c>
      <c r="BX19" t="s">
        <v>2735</v>
      </c>
      <c r="BY19" t="s">
        <v>2669</v>
      </c>
      <c r="BZ19">
        <v>5</v>
      </c>
    </row>
    <row r="20" spans="1:78" x14ac:dyDescent="0.25">
      <c r="A20" s="1">
        <v>44960</v>
      </c>
      <c r="B20" t="s">
        <v>300</v>
      </c>
      <c r="C20" t="s">
        <v>283</v>
      </c>
      <c r="E20">
        <v>1</v>
      </c>
      <c r="F20" t="s">
        <v>76</v>
      </c>
      <c r="G20">
        <v>13.99</v>
      </c>
      <c r="H20">
        <v>0</v>
      </c>
      <c r="I20">
        <v>0</v>
      </c>
      <c r="J20">
        <v>1.4</v>
      </c>
      <c r="K20">
        <v>15.39</v>
      </c>
      <c r="L20" t="s">
        <v>77</v>
      </c>
      <c r="P20" t="s">
        <v>284</v>
      </c>
      <c r="Q20" t="s">
        <v>285</v>
      </c>
      <c r="R20" t="s">
        <v>80</v>
      </c>
      <c r="S20" t="s">
        <v>80</v>
      </c>
      <c r="T20" t="s">
        <v>80</v>
      </c>
      <c r="U20" t="s">
        <v>80</v>
      </c>
      <c r="V20" t="s">
        <v>80</v>
      </c>
      <c r="W20" t="s">
        <v>301</v>
      </c>
      <c r="X20" s="1">
        <v>44962</v>
      </c>
      <c r="Y20">
        <v>15.39</v>
      </c>
      <c r="Z20" t="s">
        <v>82</v>
      </c>
      <c r="AA20" t="str">
        <f t="shared" si="1"/>
        <v>1003</v>
      </c>
      <c r="AB20" t="s">
        <v>287</v>
      </c>
      <c r="AC20" t="s">
        <v>288</v>
      </c>
      <c r="AD20" t="s">
        <v>289</v>
      </c>
      <c r="AE20" t="str">
        <f>"55121706"</f>
        <v>55121706</v>
      </c>
      <c r="AF20" t="s">
        <v>195</v>
      </c>
      <c r="AG20" t="s">
        <v>196</v>
      </c>
      <c r="AH20" t="s">
        <v>290</v>
      </c>
      <c r="AI20" t="s">
        <v>291</v>
      </c>
      <c r="AK20" t="s">
        <v>292</v>
      </c>
      <c r="AL20" t="s">
        <v>292</v>
      </c>
      <c r="AN20" t="s">
        <v>293</v>
      </c>
      <c r="AO20" t="s">
        <v>293</v>
      </c>
      <c r="AP20" t="s">
        <v>92</v>
      </c>
      <c r="AR20">
        <v>13.99</v>
      </c>
      <c r="AS20">
        <v>13.99</v>
      </c>
      <c r="AT20">
        <v>1</v>
      </c>
      <c r="AU20">
        <v>13.99</v>
      </c>
      <c r="AV20">
        <v>0</v>
      </c>
      <c r="AX20">
        <v>1.4</v>
      </c>
      <c r="AY20">
        <v>15.39</v>
      </c>
      <c r="BA20" t="s">
        <v>93</v>
      </c>
      <c r="BC20" t="s">
        <v>93</v>
      </c>
      <c r="BI20" t="s">
        <v>80</v>
      </c>
      <c r="BM20" t="s">
        <v>94</v>
      </c>
      <c r="BN20" t="s">
        <v>95</v>
      </c>
      <c r="BP20" t="s">
        <v>302</v>
      </c>
      <c r="BR20" t="s">
        <v>292</v>
      </c>
      <c r="BT20" t="s">
        <v>295</v>
      </c>
      <c r="BU20" t="s">
        <v>296</v>
      </c>
      <c r="BV20" t="str">
        <f>"510288"</f>
        <v>510288</v>
      </c>
      <c r="BW20">
        <v>902</v>
      </c>
      <c r="BX20" t="s">
        <v>2736</v>
      </c>
      <c r="BY20" t="s">
        <v>2707</v>
      </c>
      <c r="BZ20">
        <v>5</v>
      </c>
    </row>
    <row r="21" spans="1:78" x14ac:dyDescent="0.25">
      <c r="A21" s="1">
        <v>44960</v>
      </c>
      <c r="B21" t="s">
        <v>303</v>
      </c>
      <c r="C21" t="s">
        <v>283</v>
      </c>
      <c r="E21">
        <v>1</v>
      </c>
      <c r="F21" t="s">
        <v>76</v>
      </c>
      <c r="G21">
        <v>13.99</v>
      </c>
      <c r="H21">
        <v>0</v>
      </c>
      <c r="I21">
        <v>0</v>
      </c>
      <c r="J21">
        <v>1.4</v>
      </c>
      <c r="K21">
        <v>15.39</v>
      </c>
      <c r="L21" t="s">
        <v>77</v>
      </c>
      <c r="P21" t="s">
        <v>284</v>
      </c>
      <c r="Q21" t="s">
        <v>285</v>
      </c>
      <c r="R21" t="s">
        <v>80</v>
      </c>
      <c r="S21" t="s">
        <v>80</v>
      </c>
      <c r="T21" t="s">
        <v>80</v>
      </c>
      <c r="U21" t="s">
        <v>80</v>
      </c>
      <c r="V21" t="s">
        <v>80</v>
      </c>
      <c r="W21" t="s">
        <v>304</v>
      </c>
      <c r="X21" s="1">
        <v>44962</v>
      </c>
      <c r="Y21">
        <v>15.39</v>
      </c>
      <c r="Z21" t="s">
        <v>82</v>
      </c>
      <c r="AA21" t="str">
        <f t="shared" si="1"/>
        <v>1003</v>
      </c>
      <c r="AB21" t="s">
        <v>287</v>
      </c>
      <c r="AC21" t="s">
        <v>288</v>
      </c>
      <c r="AD21" t="s">
        <v>289</v>
      </c>
      <c r="AE21" t="str">
        <f>"55121706"</f>
        <v>55121706</v>
      </c>
      <c r="AF21" t="s">
        <v>195</v>
      </c>
      <c r="AG21" t="s">
        <v>196</v>
      </c>
      <c r="AH21" t="s">
        <v>290</v>
      </c>
      <c r="AI21" t="s">
        <v>291</v>
      </c>
      <c r="AK21" t="s">
        <v>292</v>
      </c>
      <c r="AL21" t="s">
        <v>292</v>
      </c>
      <c r="AN21" t="s">
        <v>293</v>
      </c>
      <c r="AO21" t="s">
        <v>293</v>
      </c>
      <c r="AP21" t="s">
        <v>92</v>
      </c>
      <c r="AR21">
        <v>13.99</v>
      </c>
      <c r="AS21">
        <v>13.99</v>
      </c>
      <c r="AT21">
        <v>1</v>
      </c>
      <c r="AU21">
        <v>13.99</v>
      </c>
      <c r="AV21">
        <v>0</v>
      </c>
      <c r="AX21">
        <v>1.4</v>
      </c>
      <c r="AY21">
        <v>15.39</v>
      </c>
      <c r="BA21" t="s">
        <v>93</v>
      </c>
      <c r="BC21" t="s">
        <v>93</v>
      </c>
      <c r="BI21" t="s">
        <v>80</v>
      </c>
      <c r="BM21" t="s">
        <v>94</v>
      </c>
      <c r="BN21" t="s">
        <v>95</v>
      </c>
      <c r="BP21" t="s">
        <v>305</v>
      </c>
      <c r="BR21" t="s">
        <v>292</v>
      </c>
      <c r="BT21" t="s">
        <v>295</v>
      </c>
      <c r="BU21" t="s">
        <v>296</v>
      </c>
      <c r="BV21" t="str">
        <f>"510288"</f>
        <v>510288</v>
      </c>
      <c r="BW21">
        <v>880</v>
      </c>
      <c r="BX21" t="s">
        <v>2737</v>
      </c>
      <c r="BY21" t="s">
        <v>2675</v>
      </c>
      <c r="BZ21">
        <v>5</v>
      </c>
    </row>
    <row r="22" spans="1:78" x14ac:dyDescent="0.25">
      <c r="A22" s="1">
        <v>44959</v>
      </c>
      <c r="B22" t="s">
        <v>306</v>
      </c>
      <c r="C22" t="s">
        <v>189</v>
      </c>
      <c r="E22">
        <v>2</v>
      </c>
      <c r="F22" t="s">
        <v>76</v>
      </c>
      <c r="G22">
        <v>27.98</v>
      </c>
      <c r="H22">
        <v>2.99</v>
      </c>
      <c r="I22">
        <v>-2.99</v>
      </c>
      <c r="J22">
        <v>2.2999999999999998</v>
      </c>
      <c r="K22">
        <v>30.28</v>
      </c>
      <c r="L22" t="s">
        <v>77</v>
      </c>
      <c r="P22" t="s">
        <v>307</v>
      </c>
      <c r="Q22" t="s">
        <v>308</v>
      </c>
      <c r="R22" t="s">
        <v>80</v>
      </c>
      <c r="S22" t="s">
        <v>80</v>
      </c>
      <c r="T22" t="s">
        <v>80</v>
      </c>
      <c r="U22" t="s">
        <v>80</v>
      </c>
      <c r="V22" t="s">
        <v>80</v>
      </c>
      <c r="W22" t="s">
        <v>309</v>
      </c>
      <c r="X22" s="1">
        <v>44960</v>
      </c>
      <c r="Y22">
        <v>30.28</v>
      </c>
      <c r="Z22" t="s">
        <v>82</v>
      </c>
      <c r="AA22" t="str">
        <f t="shared" si="1"/>
        <v>1003</v>
      </c>
      <c r="AB22" t="s">
        <v>287</v>
      </c>
      <c r="AC22" t="s">
        <v>310</v>
      </c>
      <c r="AD22" t="s">
        <v>311</v>
      </c>
      <c r="AE22" t="str">
        <f>"55121706"</f>
        <v>55121706</v>
      </c>
      <c r="AF22" t="s">
        <v>195</v>
      </c>
      <c r="AG22" t="s">
        <v>196</v>
      </c>
      <c r="AH22" t="s">
        <v>290</v>
      </c>
      <c r="AI22" t="s">
        <v>291</v>
      </c>
      <c r="AK22" t="s">
        <v>312</v>
      </c>
      <c r="AL22" t="s">
        <v>312</v>
      </c>
      <c r="AO22" t="s">
        <v>313</v>
      </c>
      <c r="AP22" t="s">
        <v>92</v>
      </c>
      <c r="AR22">
        <v>13.99</v>
      </c>
      <c r="AS22">
        <v>13.99</v>
      </c>
      <c r="AT22">
        <v>2</v>
      </c>
      <c r="AU22">
        <v>27.98</v>
      </c>
      <c r="AV22">
        <v>2.99</v>
      </c>
      <c r="AW22">
        <v>-2.99</v>
      </c>
      <c r="AX22">
        <v>2.2999999999999998</v>
      </c>
      <c r="AY22">
        <v>30.28</v>
      </c>
      <c r="BA22" t="s">
        <v>93</v>
      </c>
      <c r="BC22" t="s">
        <v>93</v>
      </c>
      <c r="BI22" t="s">
        <v>80</v>
      </c>
      <c r="BM22" t="s">
        <v>94</v>
      </c>
      <c r="BN22" t="s">
        <v>95</v>
      </c>
      <c r="BP22" t="s">
        <v>314</v>
      </c>
      <c r="BR22" t="s">
        <v>315</v>
      </c>
      <c r="BT22" t="s">
        <v>316</v>
      </c>
      <c r="BU22" t="s">
        <v>317</v>
      </c>
      <c r="BV22" t="str">
        <f>"230000"</f>
        <v>230000</v>
      </c>
      <c r="BW22">
        <v>868</v>
      </c>
      <c r="BX22" t="s">
        <v>2738</v>
      </c>
      <c r="BY22" t="s">
        <v>2665</v>
      </c>
      <c r="BZ22">
        <v>5</v>
      </c>
    </row>
    <row r="23" spans="1:78" x14ac:dyDescent="0.25">
      <c r="A23" s="1">
        <v>44959</v>
      </c>
      <c r="B23" t="s">
        <v>318</v>
      </c>
      <c r="C23" t="s">
        <v>189</v>
      </c>
      <c r="E23">
        <v>3</v>
      </c>
      <c r="F23" t="s">
        <v>76</v>
      </c>
      <c r="G23">
        <v>91.06</v>
      </c>
      <c r="H23">
        <v>0</v>
      </c>
      <c r="I23">
        <v>0</v>
      </c>
      <c r="J23">
        <v>0</v>
      </c>
      <c r="K23">
        <v>91.06</v>
      </c>
      <c r="L23" t="s">
        <v>77</v>
      </c>
      <c r="P23" t="s">
        <v>307</v>
      </c>
      <c r="Q23" t="s">
        <v>308</v>
      </c>
      <c r="R23" t="s">
        <v>80</v>
      </c>
      <c r="S23" t="s">
        <v>80</v>
      </c>
      <c r="T23" t="s">
        <v>80</v>
      </c>
      <c r="U23" t="s">
        <v>80</v>
      </c>
      <c r="V23" t="s">
        <v>80</v>
      </c>
      <c r="W23" t="s">
        <v>319</v>
      </c>
      <c r="X23" s="1">
        <v>44962</v>
      </c>
      <c r="Y23">
        <v>91.06</v>
      </c>
      <c r="Z23" t="s">
        <v>82</v>
      </c>
      <c r="AA23" t="str">
        <f t="shared" si="1"/>
        <v>1003</v>
      </c>
      <c r="AB23" t="s">
        <v>320</v>
      </c>
      <c r="AC23" t="s">
        <v>321</v>
      </c>
      <c r="AD23" t="s">
        <v>322</v>
      </c>
      <c r="AE23" t="str">
        <f>"50161500"</f>
        <v>50161500</v>
      </c>
      <c r="AF23" t="s">
        <v>323</v>
      </c>
      <c r="AG23" t="s">
        <v>324</v>
      </c>
      <c r="AH23" t="s">
        <v>325</v>
      </c>
      <c r="AI23" t="s">
        <v>325</v>
      </c>
      <c r="AJ23" t="s">
        <v>326</v>
      </c>
      <c r="AK23" t="s">
        <v>327</v>
      </c>
      <c r="AL23" t="s">
        <v>328</v>
      </c>
      <c r="AN23" t="str">
        <f>"94100"</f>
        <v>94100</v>
      </c>
      <c r="AO23" t="s">
        <v>329</v>
      </c>
      <c r="AP23" t="s">
        <v>92</v>
      </c>
      <c r="AR23">
        <v>15.62</v>
      </c>
      <c r="AS23">
        <v>15.62</v>
      </c>
      <c r="AT23">
        <v>2</v>
      </c>
      <c r="AU23">
        <v>31.24</v>
      </c>
      <c r="AV23">
        <v>0</v>
      </c>
      <c r="AX23">
        <v>0</v>
      </c>
      <c r="AY23">
        <v>31.24</v>
      </c>
      <c r="BA23" t="s">
        <v>93</v>
      </c>
      <c r="BC23" t="s">
        <v>93</v>
      </c>
      <c r="BD23" t="s">
        <v>128</v>
      </c>
      <c r="BI23" t="s">
        <v>80</v>
      </c>
      <c r="BM23" t="s">
        <v>94</v>
      </c>
      <c r="BN23" t="s">
        <v>95</v>
      </c>
      <c r="BP23" t="s">
        <v>314</v>
      </c>
      <c r="BR23" t="s">
        <v>130</v>
      </c>
      <c r="BT23" t="s">
        <v>131</v>
      </c>
      <c r="BU23" t="s">
        <v>132</v>
      </c>
      <c r="BV23" t="str">
        <f>"98109"</f>
        <v>98109</v>
      </c>
      <c r="BW23">
        <v>868</v>
      </c>
      <c r="BX23" t="s">
        <v>2738</v>
      </c>
      <c r="BY23" t="s">
        <v>2665</v>
      </c>
      <c r="BZ23">
        <v>5</v>
      </c>
    </row>
    <row r="24" spans="1:78" x14ac:dyDescent="0.25">
      <c r="A24" s="1">
        <v>44959</v>
      </c>
      <c r="B24" t="s">
        <v>318</v>
      </c>
      <c r="C24" t="s">
        <v>189</v>
      </c>
      <c r="E24">
        <v>3</v>
      </c>
      <c r="F24" t="s">
        <v>76</v>
      </c>
      <c r="G24">
        <v>91.06</v>
      </c>
      <c r="H24">
        <v>0</v>
      </c>
      <c r="I24">
        <v>0</v>
      </c>
      <c r="J24">
        <v>0</v>
      </c>
      <c r="K24">
        <v>91.06</v>
      </c>
      <c r="L24" t="s">
        <v>77</v>
      </c>
      <c r="P24" t="s">
        <v>307</v>
      </c>
      <c r="Q24" t="s">
        <v>308</v>
      </c>
      <c r="R24" t="s">
        <v>80</v>
      </c>
      <c r="S24" t="s">
        <v>80</v>
      </c>
      <c r="T24" t="s">
        <v>80</v>
      </c>
      <c r="U24" t="s">
        <v>80</v>
      </c>
      <c r="V24" t="s">
        <v>80</v>
      </c>
      <c r="W24" t="s">
        <v>319</v>
      </c>
      <c r="X24" s="1">
        <v>44962</v>
      </c>
      <c r="Y24">
        <v>91.06</v>
      </c>
      <c r="Z24" t="s">
        <v>82</v>
      </c>
      <c r="AA24" t="str">
        <f t="shared" si="1"/>
        <v>1003</v>
      </c>
      <c r="AB24" t="s">
        <v>320</v>
      </c>
      <c r="AC24" t="s">
        <v>330</v>
      </c>
      <c r="AD24" t="s">
        <v>331</v>
      </c>
      <c r="AE24" t="str">
        <f>"50201706"</f>
        <v>50201706</v>
      </c>
      <c r="AF24" t="s">
        <v>323</v>
      </c>
      <c r="AG24" t="s">
        <v>332</v>
      </c>
      <c r="AH24" t="s">
        <v>333</v>
      </c>
      <c r="AI24" t="s">
        <v>334</v>
      </c>
      <c r="AJ24" t="s">
        <v>335</v>
      </c>
      <c r="AK24" t="s">
        <v>336</v>
      </c>
      <c r="AL24" t="s">
        <v>337</v>
      </c>
      <c r="AP24" t="s">
        <v>92</v>
      </c>
      <c r="AR24">
        <v>43.74</v>
      </c>
      <c r="AS24">
        <v>59.82</v>
      </c>
      <c r="AT24">
        <v>1</v>
      </c>
      <c r="AU24">
        <v>59.82</v>
      </c>
      <c r="AV24">
        <v>0</v>
      </c>
      <c r="AX24">
        <v>0</v>
      </c>
      <c r="AY24">
        <v>59.82</v>
      </c>
      <c r="BA24" t="s">
        <v>93</v>
      </c>
      <c r="BC24" t="s">
        <v>93</v>
      </c>
      <c r="BI24" t="s">
        <v>80</v>
      </c>
      <c r="BM24" t="s">
        <v>94</v>
      </c>
      <c r="BN24" t="s">
        <v>95</v>
      </c>
      <c r="BP24" t="s">
        <v>314</v>
      </c>
      <c r="BR24" t="s">
        <v>338</v>
      </c>
      <c r="BT24" t="s">
        <v>131</v>
      </c>
      <c r="BU24" t="s">
        <v>339</v>
      </c>
      <c r="BV24" t="str">
        <f>"98109"</f>
        <v>98109</v>
      </c>
      <c r="BW24">
        <v>868</v>
      </c>
      <c r="BX24" t="s">
        <v>2738</v>
      </c>
      <c r="BY24" t="s">
        <v>2665</v>
      </c>
      <c r="BZ24">
        <v>5</v>
      </c>
    </row>
    <row r="25" spans="1:78" x14ac:dyDescent="0.25">
      <c r="A25" s="1">
        <v>44959</v>
      </c>
      <c r="B25" t="s">
        <v>340</v>
      </c>
      <c r="C25" t="s">
        <v>341</v>
      </c>
      <c r="E25">
        <v>3</v>
      </c>
      <c r="F25" t="s">
        <v>76</v>
      </c>
      <c r="G25">
        <v>34.97</v>
      </c>
      <c r="H25">
        <v>0</v>
      </c>
      <c r="I25">
        <v>0</v>
      </c>
      <c r="J25">
        <v>2.71</v>
      </c>
      <c r="K25">
        <v>37.68</v>
      </c>
      <c r="L25" t="s">
        <v>207</v>
      </c>
      <c r="P25" t="s">
        <v>342</v>
      </c>
      <c r="Q25" t="s">
        <v>343</v>
      </c>
      <c r="R25" t="s">
        <v>80</v>
      </c>
      <c r="S25" t="s">
        <v>80</v>
      </c>
      <c r="T25" t="s">
        <v>80</v>
      </c>
      <c r="U25" t="s">
        <v>80</v>
      </c>
      <c r="V25" t="s">
        <v>80</v>
      </c>
      <c r="W25" t="s">
        <v>344</v>
      </c>
      <c r="X25" s="1">
        <v>44959</v>
      </c>
      <c r="Y25">
        <v>37.68</v>
      </c>
      <c r="Z25" t="s">
        <v>82</v>
      </c>
      <c r="AA25" t="str">
        <f t="shared" si="1"/>
        <v>1003</v>
      </c>
      <c r="AB25" t="s">
        <v>287</v>
      </c>
      <c r="AC25" t="s">
        <v>288</v>
      </c>
      <c r="AD25" t="s">
        <v>289</v>
      </c>
      <c r="AE25" t="str">
        <f>"55121706"</f>
        <v>55121706</v>
      </c>
      <c r="AF25" t="s">
        <v>195</v>
      </c>
      <c r="AG25" t="s">
        <v>196</v>
      </c>
      <c r="AH25" t="s">
        <v>290</v>
      </c>
      <c r="AI25" t="s">
        <v>291</v>
      </c>
      <c r="AK25" t="s">
        <v>292</v>
      </c>
      <c r="AL25" t="s">
        <v>292</v>
      </c>
      <c r="AN25" t="s">
        <v>293</v>
      </c>
      <c r="AO25" t="s">
        <v>293</v>
      </c>
      <c r="AP25" t="s">
        <v>92</v>
      </c>
      <c r="AR25">
        <v>13.99</v>
      </c>
      <c r="AS25">
        <v>13.99</v>
      </c>
      <c r="AT25">
        <v>1</v>
      </c>
      <c r="AU25">
        <v>13.99</v>
      </c>
      <c r="AV25">
        <v>0</v>
      </c>
      <c r="AX25">
        <v>1.08</v>
      </c>
      <c r="AY25">
        <v>15.07</v>
      </c>
      <c r="BA25" t="s">
        <v>93</v>
      </c>
      <c r="BC25" t="s">
        <v>93</v>
      </c>
      <c r="BI25" t="s">
        <v>80</v>
      </c>
      <c r="BM25" t="s">
        <v>94</v>
      </c>
      <c r="BN25" t="s">
        <v>95</v>
      </c>
      <c r="BP25" t="s">
        <v>345</v>
      </c>
      <c r="BR25" t="s">
        <v>292</v>
      </c>
      <c r="BT25" t="s">
        <v>295</v>
      </c>
      <c r="BU25" t="s">
        <v>296</v>
      </c>
      <c r="BV25" t="str">
        <f>"510288"</f>
        <v>510288</v>
      </c>
      <c r="BW25">
        <v>931</v>
      </c>
      <c r="BX25" t="s">
        <v>2739</v>
      </c>
      <c r="BY25" t="s">
        <v>2723</v>
      </c>
      <c r="BZ25">
        <v>5</v>
      </c>
    </row>
    <row r="26" spans="1:78" x14ac:dyDescent="0.25">
      <c r="A26" s="1">
        <v>44959</v>
      </c>
      <c r="B26" t="s">
        <v>340</v>
      </c>
      <c r="C26" t="s">
        <v>341</v>
      </c>
      <c r="E26">
        <v>3</v>
      </c>
      <c r="F26" t="s">
        <v>76</v>
      </c>
      <c r="G26">
        <v>34.97</v>
      </c>
      <c r="H26">
        <v>0</v>
      </c>
      <c r="I26">
        <v>0</v>
      </c>
      <c r="J26">
        <v>2.71</v>
      </c>
      <c r="K26">
        <v>37.68</v>
      </c>
      <c r="L26" t="s">
        <v>207</v>
      </c>
      <c r="P26" t="s">
        <v>342</v>
      </c>
      <c r="Q26" t="s">
        <v>343</v>
      </c>
      <c r="R26" t="s">
        <v>80</v>
      </c>
      <c r="S26" t="s">
        <v>80</v>
      </c>
      <c r="T26" t="s">
        <v>80</v>
      </c>
      <c r="U26" t="s">
        <v>80</v>
      </c>
      <c r="V26" t="s">
        <v>80</v>
      </c>
      <c r="W26" t="s">
        <v>344</v>
      </c>
      <c r="X26" s="1">
        <v>44959</v>
      </c>
      <c r="Y26">
        <v>37.68</v>
      </c>
      <c r="Z26" t="s">
        <v>82</v>
      </c>
      <c r="AA26" t="str">
        <f t="shared" si="1"/>
        <v>1003</v>
      </c>
      <c r="AB26" t="s">
        <v>346</v>
      </c>
      <c r="AC26" t="s">
        <v>347</v>
      </c>
      <c r="AD26" t="s">
        <v>348</v>
      </c>
      <c r="AE26" t="str">
        <f>"60141000"</f>
        <v>60141000</v>
      </c>
      <c r="AF26" t="s">
        <v>349</v>
      </c>
      <c r="AG26" t="s">
        <v>350</v>
      </c>
      <c r="AH26" t="s">
        <v>351</v>
      </c>
      <c r="AI26" t="s">
        <v>351</v>
      </c>
      <c r="AK26" t="s">
        <v>352</v>
      </c>
      <c r="AL26" t="s">
        <v>352</v>
      </c>
      <c r="AN26" t="s">
        <v>353</v>
      </c>
      <c r="AO26" t="s">
        <v>353</v>
      </c>
      <c r="AP26" t="s">
        <v>92</v>
      </c>
      <c r="AR26">
        <v>8.99</v>
      </c>
      <c r="AS26">
        <v>8.99</v>
      </c>
      <c r="AT26">
        <v>1</v>
      </c>
      <c r="AU26">
        <v>8.99</v>
      </c>
      <c r="AV26">
        <v>0</v>
      </c>
      <c r="AX26">
        <v>0.7</v>
      </c>
      <c r="AY26">
        <v>9.69</v>
      </c>
      <c r="BA26" t="s">
        <v>93</v>
      </c>
      <c r="BC26" t="s">
        <v>93</v>
      </c>
      <c r="BI26" t="s">
        <v>80</v>
      </c>
      <c r="BM26" t="s">
        <v>94</v>
      </c>
      <c r="BN26" t="s">
        <v>95</v>
      </c>
      <c r="BP26" t="s">
        <v>345</v>
      </c>
      <c r="BR26" t="s">
        <v>354</v>
      </c>
      <c r="BT26" t="s">
        <v>295</v>
      </c>
      <c r="BU26" t="s">
        <v>296</v>
      </c>
      <c r="BV26" t="str">
        <f>"510000"</f>
        <v>510000</v>
      </c>
      <c r="BW26">
        <v>931</v>
      </c>
      <c r="BX26" t="s">
        <v>2739</v>
      </c>
      <c r="BY26" t="s">
        <v>2723</v>
      </c>
      <c r="BZ26">
        <v>5</v>
      </c>
    </row>
    <row r="27" spans="1:78" x14ac:dyDescent="0.25">
      <c r="A27" s="1">
        <v>44959</v>
      </c>
      <c r="B27" t="s">
        <v>340</v>
      </c>
      <c r="C27" t="s">
        <v>341</v>
      </c>
      <c r="E27">
        <v>3</v>
      </c>
      <c r="F27" t="s">
        <v>76</v>
      </c>
      <c r="G27">
        <v>34.97</v>
      </c>
      <c r="H27">
        <v>0</v>
      </c>
      <c r="I27">
        <v>0</v>
      </c>
      <c r="J27">
        <v>2.71</v>
      </c>
      <c r="K27">
        <v>37.68</v>
      </c>
      <c r="L27" t="s">
        <v>207</v>
      </c>
      <c r="P27" t="s">
        <v>342</v>
      </c>
      <c r="Q27" t="s">
        <v>343</v>
      </c>
      <c r="R27" t="s">
        <v>80</v>
      </c>
      <c r="S27" t="s">
        <v>80</v>
      </c>
      <c r="T27" t="s">
        <v>80</v>
      </c>
      <c r="U27" t="s">
        <v>80</v>
      </c>
      <c r="V27" t="s">
        <v>80</v>
      </c>
      <c r="W27" t="s">
        <v>344</v>
      </c>
      <c r="X27" s="1">
        <v>44959</v>
      </c>
      <c r="Y27">
        <v>37.68</v>
      </c>
      <c r="Z27" t="s">
        <v>82</v>
      </c>
      <c r="AA27" t="str">
        <f t="shared" si="1"/>
        <v>1003</v>
      </c>
      <c r="AB27" t="s">
        <v>168</v>
      </c>
      <c r="AC27" t="s">
        <v>355</v>
      </c>
      <c r="AD27" t="s">
        <v>356</v>
      </c>
      <c r="AE27" t="str">
        <f>"50500000"</f>
        <v>50500000</v>
      </c>
      <c r="AF27" t="s">
        <v>323</v>
      </c>
      <c r="AG27" t="s">
        <v>357</v>
      </c>
      <c r="AH27" t="s">
        <v>357</v>
      </c>
      <c r="AI27" t="s">
        <v>357</v>
      </c>
      <c r="AK27" t="s">
        <v>358</v>
      </c>
      <c r="AL27" t="s">
        <v>358</v>
      </c>
      <c r="AN27" t="s">
        <v>359</v>
      </c>
      <c r="AO27" t="s">
        <v>359</v>
      </c>
      <c r="AP27" t="s">
        <v>92</v>
      </c>
      <c r="AR27">
        <v>11.99</v>
      </c>
      <c r="AS27">
        <v>11.99</v>
      </c>
      <c r="AT27">
        <v>1</v>
      </c>
      <c r="AU27">
        <v>11.99</v>
      </c>
      <c r="AV27">
        <v>0</v>
      </c>
      <c r="AX27">
        <v>0.93</v>
      </c>
      <c r="AY27">
        <v>12.92</v>
      </c>
      <c r="BA27" t="s">
        <v>93</v>
      </c>
      <c r="BC27" t="s">
        <v>93</v>
      </c>
      <c r="BI27" t="s">
        <v>80</v>
      </c>
      <c r="BM27" t="s">
        <v>94</v>
      </c>
      <c r="BN27" t="s">
        <v>95</v>
      </c>
      <c r="BP27" t="s">
        <v>345</v>
      </c>
      <c r="BR27" t="s">
        <v>358</v>
      </c>
      <c r="BT27" t="s">
        <v>360</v>
      </c>
      <c r="BU27" t="s">
        <v>361</v>
      </c>
      <c r="BV27" t="str">
        <f>"522051"</f>
        <v>522051</v>
      </c>
      <c r="BW27">
        <v>931</v>
      </c>
      <c r="BX27" t="s">
        <v>2739</v>
      </c>
      <c r="BY27" t="s">
        <v>2723</v>
      </c>
      <c r="BZ27">
        <v>5</v>
      </c>
    </row>
    <row r="28" spans="1:78" x14ac:dyDescent="0.25">
      <c r="A28" s="1">
        <v>44959</v>
      </c>
      <c r="B28" t="s">
        <v>362</v>
      </c>
      <c r="C28" t="s">
        <v>363</v>
      </c>
      <c r="E28">
        <v>4</v>
      </c>
      <c r="F28" t="s">
        <v>76</v>
      </c>
      <c r="G28">
        <v>91.8</v>
      </c>
      <c r="H28">
        <v>0</v>
      </c>
      <c r="I28">
        <v>0</v>
      </c>
      <c r="J28">
        <v>7.68</v>
      </c>
      <c r="K28">
        <v>99.48</v>
      </c>
      <c r="L28" t="s">
        <v>77</v>
      </c>
      <c r="P28" t="s">
        <v>364</v>
      </c>
      <c r="Q28" t="s">
        <v>365</v>
      </c>
      <c r="R28" t="s">
        <v>80</v>
      </c>
      <c r="S28" t="s">
        <v>80</v>
      </c>
      <c r="T28" t="s">
        <v>80</v>
      </c>
      <c r="U28" t="s">
        <v>80</v>
      </c>
      <c r="V28" t="s">
        <v>80</v>
      </c>
      <c r="W28" t="s">
        <v>366</v>
      </c>
      <c r="X28" s="1">
        <v>44962</v>
      </c>
      <c r="Y28">
        <v>99.48</v>
      </c>
      <c r="Z28" t="s">
        <v>82</v>
      </c>
      <c r="AA28" t="str">
        <f t="shared" si="1"/>
        <v>1003</v>
      </c>
      <c r="AB28" t="s">
        <v>367</v>
      </c>
      <c r="AC28" t="s">
        <v>368</v>
      </c>
      <c r="AD28" t="s">
        <v>369</v>
      </c>
      <c r="AE28" t="str">
        <f>"43191601"</f>
        <v>43191601</v>
      </c>
      <c r="AF28" t="s">
        <v>86</v>
      </c>
      <c r="AG28" t="s">
        <v>136</v>
      </c>
      <c r="AH28" t="s">
        <v>137</v>
      </c>
      <c r="AI28" t="s">
        <v>138</v>
      </c>
      <c r="AJ28" t="s">
        <v>370</v>
      </c>
      <c r="AK28" t="s">
        <v>371</v>
      </c>
      <c r="AL28" t="s">
        <v>371</v>
      </c>
      <c r="AP28" t="s">
        <v>92</v>
      </c>
      <c r="AR28">
        <v>27.95</v>
      </c>
      <c r="AS28">
        <v>22.95</v>
      </c>
      <c r="AT28">
        <v>4</v>
      </c>
      <c r="AU28">
        <v>91.8</v>
      </c>
      <c r="AV28">
        <v>0</v>
      </c>
      <c r="AX28">
        <v>7.68</v>
      </c>
      <c r="AY28">
        <v>99.48</v>
      </c>
      <c r="BA28" t="s">
        <v>93</v>
      </c>
      <c r="BC28" t="s">
        <v>93</v>
      </c>
      <c r="BD28" t="s">
        <v>128</v>
      </c>
      <c r="BE28">
        <v>5</v>
      </c>
      <c r="BF28" s="2">
        <v>0.1789</v>
      </c>
      <c r="BI28" t="s">
        <v>80</v>
      </c>
      <c r="BM28" t="s">
        <v>372</v>
      </c>
      <c r="BN28" t="s">
        <v>373</v>
      </c>
      <c r="BP28" t="s">
        <v>374</v>
      </c>
      <c r="BR28" t="s">
        <v>375</v>
      </c>
      <c r="BT28" t="s">
        <v>376</v>
      </c>
      <c r="BU28" t="s">
        <v>377</v>
      </c>
      <c r="BV28" t="str">
        <f>"518000"</f>
        <v>518000</v>
      </c>
      <c r="BW28">
        <v>907</v>
      </c>
      <c r="BX28" t="s">
        <v>2740</v>
      </c>
      <c r="BY28" t="s">
        <v>2715</v>
      </c>
      <c r="BZ28">
        <v>5</v>
      </c>
    </row>
    <row r="29" spans="1:78" x14ac:dyDescent="0.25">
      <c r="A29" s="1">
        <v>44959</v>
      </c>
      <c r="B29" t="s">
        <v>378</v>
      </c>
      <c r="C29" t="s">
        <v>100</v>
      </c>
      <c r="E29">
        <v>1</v>
      </c>
      <c r="F29" t="s">
        <v>76</v>
      </c>
      <c r="G29">
        <v>16.989999999999998</v>
      </c>
      <c r="H29">
        <v>0</v>
      </c>
      <c r="I29">
        <v>0</v>
      </c>
      <c r="J29">
        <v>1.74</v>
      </c>
      <c r="K29">
        <v>18.73</v>
      </c>
      <c r="L29" t="s">
        <v>77</v>
      </c>
      <c r="P29" t="s">
        <v>208</v>
      </c>
      <c r="Q29" t="s">
        <v>209</v>
      </c>
      <c r="R29" t="s">
        <v>80</v>
      </c>
      <c r="S29" t="s">
        <v>80</v>
      </c>
      <c r="T29" t="s">
        <v>80</v>
      </c>
      <c r="U29" t="s">
        <v>80</v>
      </c>
      <c r="V29" t="s">
        <v>80</v>
      </c>
      <c r="W29" t="s">
        <v>379</v>
      </c>
      <c r="X29" s="1">
        <v>44959</v>
      </c>
      <c r="Y29">
        <v>18.73</v>
      </c>
      <c r="Z29" t="s">
        <v>82</v>
      </c>
      <c r="AA29" t="str">
        <f t="shared" si="1"/>
        <v>1003</v>
      </c>
      <c r="AB29" t="s">
        <v>268</v>
      </c>
      <c r="AC29" t="s">
        <v>380</v>
      </c>
      <c r="AD29" t="s">
        <v>381</v>
      </c>
      <c r="AE29" t="str">
        <f>"54111601"</f>
        <v>54111601</v>
      </c>
      <c r="AF29" t="s">
        <v>382</v>
      </c>
      <c r="AG29" t="s">
        <v>383</v>
      </c>
      <c r="AH29" t="s">
        <v>384</v>
      </c>
      <c r="AI29" t="s">
        <v>385</v>
      </c>
      <c r="AK29" t="s">
        <v>386</v>
      </c>
      <c r="AL29" t="s">
        <v>386</v>
      </c>
      <c r="AP29" t="s">
        <v>92</v>
      </c>
      <c r="AR29">
        <v>16.989999999999998</v>
      </c>
      <c r="AS29">
        <v>16.989999999999998</v>
      </c>
      <c r="AT29">
        <v>1</v>
      </c>
      <c r="AU29">
        <v>16.989999999999998</v>
      </c>
      <c r="AV29">
        <v>0</v>
      </c>
      <c r="AX29">
        <v>1.74</v>
      </c>
      <c r="AY29">
        <v>18.73</v>
      </c>
      <c r="BA29" t="s">
        <v>93</v>
      </c>
      <c r="BC29" t="s">
        <v>93</v>
      </c>
      <c r="BI29" t="s">
        <v>80</v>
      </c>
      <c r="BM29" t="s">
        <v>94</v>
      </c>
      <c r="BN29" t="s">
        <v>95</v>
      </c>
      <c r="BP29" t="s">
        <v>387</v>
      </c>
      <c r="BR29" t="s">
        <v>388</v>
      </c>
      <c r="BT29" t="s">
        <v>389</v>
      </c>
      <c r="BU29" t="s">
        <v>390</v>
      </c>
      <c r="BV29" t="str">
        <f>"410000"</f>
        <v>410000</v>
      </c>
      <c r="BW29">
        <v>1</v>
      </c>
      <c r="BX29" t="s">
        <v>2741</v>
      </c>
      <c r="BY29" t="s">
        <v>2573</v>
      </c>
      <c r="BZ29">
        <v>5</v>
      </c>
    </row>
    <row r="30" spans="1:78" x14ac:dyDescent="0.25">
      <c r="A30" s="1">
        <v>44959</v>
      </c>
      <c r="B30" t="s">
        <v>391</v>
      </c>
      <c r="C30" t="s">
        <v>392</v>
      </c>
      <c r="E30">
        <v>2</v>
      </c>
      <c r="F30" t="s">
        <v>76</v>
      </c>
      <c r="G30">
        <v>228.62</v>
      </c>
      <c r="H30">
        <v>0</v>
      </c>
      <c r="I30">
        <v>0</v>
      </c>
      <c r="J30">
        <v>16</v>
      </c>
      <c r="K30">
        <v>244.62</v>
      </c>
      <c r="L30" t="s">
        <v>77</v>
      </c>
      <c r="M30" t="s">
        <v>224</v>
      </c>
      <c r="P30" t="s">
        <v>393</v>
      </c>
      <c r="Q30" t="s">
        <v>394</v>
      </c>
      <c r="R30" t="s">
        <v>80</v>
      </c>
      <c r="S30" t="s">
        <v>80</v>
      </c>
      <c r="T30" t="s">
        <v>80</v>
      </c>
      <c r="U30" t="s">
        <v>80</v>
      </c>
      <c r="V30" t="s">
        <v>80</v>
      </c>
      <c r="W30" t="s">
        <v>395</v>
      </c>
      <c r="X30" s="1">
        <v>44960</v>
      </c>
      <c r="Y30">
        <v>244.62</v>
      </c>
      <c r="Z30" t="s">
        <v>82</v>
      </c>
      <c r="AA30" t="str">
        <f t="shared" si="1"/>
        <v>1003</v>
      </c>
      <c r="AB30" t="s">
        <v>141</v>
      </c>
      <c r="AC30" t="s">
        <v>396</v>
      </c>
      <c r="AD30" t="s">
        <v>397</v>
      </c>
      <c r="AE30" t="str">
        <f>"31151900"</f>
        <v>31151900</v>
      </c>
      <c r="AF30" t="s">
        <v>398</v>
      </c>
      <c r="AG30" t="s">
        <v>399</v>
      </c>
      <c r="AH30" t="s">
        <v>400</v>
      </c>
      <c r="AI30" t="s">
        <v>400</v>
      </c>
      <c r="AJ30" t="s">
        <v>401</v>
      </c>
      <c r="AK30" t="s">
        <v>402</v>
      </c>
      <c r="AL30" t="s">
        <v>402</v>
      </c>
      <c r="AN30" t="s">
        <v>403</v>
      </c>
      <c r="AO30" t="s">
        <v>404</v>
      </c>
      <c r="AP30" t="s">
        <v>92</v>
      </c>
      <c r="AR30">
        <v>119.99</v>
      </c>
      <c r="AS30">
        <v>114.31</v>
      </c>
      <c r="AT30">
        <v>2</v>
      </c>
      <c r="AU30">
        <v>228.62</v>
      </c>
      <c r="AV30">
        <v>0</v>
      </c>
      <c r="AX30">
        <v>16</v>
      </c>
      <c r="AY30">
        <v>244.62</v>
      </c>
      <c r="BA30" t="s">
        <v>93</v>
      </c>
      <c r="BC30" t="s">
        <v>93</v>
      </c>
      <c r="BI30" t="s">
        <v>80</v>
      </c>
      <c r="BM30" t="s">
        <v>94</v>
      </c>
      <c r="BN30" t="s">
        <v>95</v>
      </c>
      <c r="BP30" t="s">
        <v>405</v>
      </c>
      <c r="BR30" t="s">
        <v>338</v>
      </c>
      <c r="BT30" t="s">
        <v>131</v>
      </c>
      <c r="BU30" t="s">
        <v>339</v>
      </c>
      <c r="BV30" t="str">
        <f>"98109"</f>
        <v>98109</v>
      </c>
      <c r="BW30">
        <v>893</v>
      </c>
      <c r="BX30" t="s">
        <v>2742</v>
      </c>
      <c r="BY30" t="s">
        <v>2695</v>
      </c>
      <c r="BZ30">
        <v>5</v>
      </c>
    </row>
    <row r="31" spans="1:78" x14ac:dyDescent="0.25">
      <c r="A31" s="1">
        <v>44958</v>
      </c>
      <c r="B31" t="s">
        <v>406</v>
      </c>
      <c r="C31" t="s">
        <v>100</v>
      </c>
      <c r="D31" t="s">
        <v>407</v>
      </c>
      <c r="E31">
        <v>2</v>
      </c>
      <c r="F31" t="s">
        <v>76</v>
      </c>
      <c r="G31">
        <v>79.98</v>
      </c>
      <c r="H31">
        <v>0</v>
      </c>
      <c r="I31">
        <v>0</v>
      </c>
      <c r="J31">
        <v>6.2</v>
      </c>
      <c r="K31">
        <v>86.18</v>
      </c>
      <c r="L31" t="s">
        <v>77</v>
      </c>
      <c r="P31" t="s">
        <v>208</v>
      </c>
      <c r="Q31" t="s">
        <v>209</v>
      </c>
      <c r="R31" t="s">
        <v>80</v>
      </c>
      <c r="S31" t="s">
        <v>80</v>
      </c>
      <c r="T31" t="s">
        <v>80</v>
      </c>
      <c r="U31" t="s">
        <v>80</v>
      </c>
      <c r="V31" t="s">
        <v>80</v>
      </c>
      <c r="W31" t="s">
        <v>408</v>
      </c>
      <c r="X31" s="1">
        <v>44959</v>
      </c>
      <c r="Y31">
        <v>86.18</v>
      </c>
      <c r="Z31" t="s">
        <v>82</v>
      </c>
      <c r="AA31" t="str">
        <f t="shared" si="1"/>
        <v>1003</v>
      </c>
      <c r="AB31" t="s">
        <v>141</v>
      </c>
      <c r="AC31" t="s">
        <v>409</v>
      </c>
      <c r="AD31" t="s">
        <v>410</v>
      </c>
      <c r="AE31" t="str">
        <f>"55121700"</f>
        <v>55121700</v>
      </c>
      <c r="AF31" t="s">
        <v>195</v>
      </c>
      <c r="AG31" t="s">
        <v>196</v>
      </c>
      <c r="AH31" t="s">
        <v>290</v>
      </c>
      <c r="AI31" t="s">
        <v>290</v>
      </c>
      <c r="AK31" t="s">
        <v>411</v>
      </c>
      <c r="AL31" t="s">
        <v>411</v>
      </c>
      <c r="AO31" t="s">
        <v>412</v>
      </c>
      <c r="AP31" t="s">
        <v>92</v>
      </c>
      <c r="AR31">
        <v>39.99</v>
      </c>
      <c r="AS31">
        <v>39.99</v>
      </c>
      <c r="AT31">
        <v>2</v>
      </c>
      <c r="AU31">
        <v>79.98</v>
      </c>
      <c r="AV31">
        <v>0</v>
      </c>
      <c r="AX31">
        <v>6.2</v>
      </c>
      <c r="AY31">
        <v>86.18</v>
      </c>
      <c r="BA31" t="s">
        <v>93</v>
      </c>
      <c r="BC31" t="s">
        <v>93</v>
      </c>
      <c r="BI31" t="s">
        <v>80</v>
      </c>
      <c r="BM31" t="s">
        <v>94</v>
      </c>
      <c r="BN31" t="s">
        <v>95</v>
      </c>
      <c r="BP31" t="s">
        <v>413</v>
      </c>
      <c r="BR31" t="s">
        <v>414</v>
      </c>
      <c r="BS31" t="s">
        <v>113</v>
      </c>
      <c r="BT31" t="s">
        <v>415</v>
      </c>
      <c r="BU31" t="s">
        <v>416</v>
      </c>
      <c r="BV31" t="str">
        <f>"07407"</f>
        <v>07407</v>
      </c>
      <c r="BW31">
        <v>882</v>
      </c>
      <c r="BX31" t="s">
        <v>2743</v>
      </c>
      <c r="BY31" t="s">
        <v>2679</v>
      </c>
      <c r="BZ31">
        <v>5</v>
      </c>
    </row>
    <row r="32" spans="1:78" x14ac:dyDescent="0.25">
      <c r="A32" s="1">
        <v>44958</v>
      </c>
      <c r="B32" t="s">
        <v>417</v>
      </c>
      <c r="C32" t="s">
        <v>392</v>
      </c>
      <c r="E32">
        <v>1</v>
      </c>
      <c r="F32" t="s">
        <v>76</v>
      </c>
      <c r="G32">
        <v>14.48</v>
      </c>
      <c r="H32">
        <v>0</v>
      </c>
      <c r="I32">
        <v>0</v>
      </c>
      <c r="J32">
        <v>1.01</v>
      </c>
      <c r="K32">
        <v>15.49</v>
      </c>
      <c r="L32" t="s">
        <v>77</v>
      </c>
      <c r="P32" t="s">
        <v>418</v>
      </c>
      <c r="Q32" t="s">
        <v>419</v>
      </c>
      <c r="R32" t="s">
        <v>80</v>
      </c>
      <c r="S32" t="s">
        <v>80</v>
      </c>
      <c r="T32" t="s">
        <v>80</v>
      </c>
      <c r="U32" t="s">
        <v>80</v>
      </c>
      <c r="V32" t="s">
        <v>80</v>
      </c>
      <c r="W32" t="s">
        <v>420</v>
      </c>
      <c r="X32" s="1">
        <v>44959</v>
      </c>
      <c r="Y32">
        <v>15.49</v>
      </c>
      <c r="Z32" t="s">
        <v>82</v>
      </c>
      <c r="AA32" t="str">
        <f t="shared" si="1"/>
        <v>1003</v>
      </c>
      <c r="AB32" t="s">
        <v>105</v>
      </c>
      <c r="AC32" t="s">
        <v>421</v>
      </c>
      <c r="AD32" t="s">
        <v>422</v>
      </c>
      <c r="AE32" t="str">
        <f>"26121600"</f>
        <v>26121600</v>
      </c>
      <c r="AF32" t="s">
        <v>171</v>
      </c>
      <c r="AG32" t="s">
        <v>423</v>
      </c>
      <c r="AH32" t="s">
        <v>424</v>
      </c>
      <c r="AI32" t="s">
        <v>424</v>
      </c>
      <c r="AK32" t="s">
        <v>425</v>
      </c>
      <c r="AL32" t="s">
        <v>425</v>
      </c>
      <c r="AN32" t="str">
        <f>"4330113747"</f>
        <v>4330113747</v>
      </c>
      <c r="AO32" t="s">
        <v>426</v>
      </c>
      <c r="AP32" t="s">
        <v>92</v>
      </c>
      <c r="AR32">
        <v>0</v>
      </c>
      <c r="AS32">
        <v>14.48</v>
      </c>
      <c r="AT32">
        <v>1</v>
      </c>
      <c r="AU32">
        <v>14.48</v>
      </c>
      <c r="AV32">
        <v>0</v>
      </c>
      <c r="AX32">
        <v>1.01</v>
      </c>
      <c r="AY32">
        <v>15.49</v>
      </c>
      <c r="BA32" t="s">
        <v>93</v>
      </c>
      <c r="BC32" t="s">
        <v>93</v>
      </c>
      <c r="BI32" t="s">
        <v>80</v>
      </c>
      <c r="BM32" t="s">
        <v>427</v>
      </c>
      <c r="BN32" t="s">
        <v>95</v>
      </c>
      <c r="BP32" t="s">
        <v>428</v>
      </c>
      <c r="BR32" t="s">
        <v>429</v>
      </c>
      <c r="BS32" t="s">
        <v>250</v>
      </c>
      <c r="BT32" t="s">
        <v>430</v>
      </c>
      <c r="BU32" t="s">
        <v>431</v>
      </c>
      <c r="BV32" t="str">
        <f>"31415"</f>
        <v>31415</v>
      </c>
      <c r="BW32">
        <v>894</v>
      </c>
      <c r="BX32" t="s">
        <v>2744</v>
      </c>
      <c r="BY32" t="s">
        <v>2697</v>
      </c>
      <c r="BZ32">
        <v>5</v>
      </c>
    </row>
    <row r="33" spans="1:78" x14ac:dyDescent="0.25">
      <c r="A33" s="1">
        <v>44958</v>
      </c>
      <c r="B33" t="s">
        <v>432</v>
      </c>
      <c r="C33" t="s">
        <v>100</v>
      </c>
      <c r="D33" t="s">
        <v>433</v>
      </c>
      <c r="E33">
        <v>4</v>
      </c>
      <c r="F33" t="s">
        <v>76</v>
      </c>
      <c r="G33">
        <v>551.52</v>
      </c>
      <c r="H33">
        <v>0</v>
      </c>
      <c r="I33">
        <v>0</v>
      </c>
      <c r="J33">
        <v>38.6</v>
      </c>
      <c r="K33">
        <v>590.12</v>
      </c>
      <c r="L33" t="s">
        <v>77</v>
      </c>
      <c r="M33" t="s">
        <v>224</v>
      </c>
      <c r="P33" t="s">
        <v>224</v>
      </c>
      <c r="Q33" t="s">
        <v>434</v>
      </c>
      <c r="R33" t="s">
        <v>80</v>
      </c>
      <c r="S33" t="s">
        <v>80</v>
      </c>
      <c r="T33" t="s">
        <v>80</v>
      </c>
      <c r="U33" t="s">
        <v>80</v>
      </c>
      <c r="V33" t="s">
        <v>80</v>
      </c>
      <c r="W33" t="s">
        <v>435</v>
      </c>
      <c r="X33" s="1">
        <v>44959</v>
      </c>
      <c r="Y33">
        <v>590.12</v>
      </c>
      <c r="Z33" t="s">
        <v>82</v>
      </c>
      <c r="AA33" t="str">
        <f t="shared" si="1"/>
        <v>1003</v>
      </c>
      <c r="AB33" t="s">
        <v>119</v>
      </c>
      <c r="AC33" t="s">
        <v>436</v>
      </c>
      <c r="AD33" t="s">
        <v>437</v>
      </c>
      <c r="AE33" t="str">
        <f>"44111900"</f>
        <v>44111900</v>
      </c>
      <c r="AF33" t="s">
        <v>108</v>
      </c>
      <c r="AG33" t="s">
        <v>122</v>
      </c>
      <c r="AH33" t="s">
        <v>438</v>
      </c>
      <c r="AI33" t="s">
        <v>438</v>
      </c>
      <c r="AK33" t="s">
        <v>439</v>
      </c>
      <c r="AL33" t="s">
        <v>439</v>
      </c>
      <c r="AO33" t="s">
        <v>440</v>
      </c>
      <c r="AP33" t="s">
        <v>92</v>
      </c>
      <c r="AR33">
        <v>137.88</v>
      </c>
      <c r="AS33">
        <v>137.88</v>
      </c>
      <c r="AT33">
        <v>4</v>
      </c>
      <c r="AU33">
        <v>551.52</v>
      </c>
      <c r="AV33">
        <v>0</v>
      </c>
      <c r="AX33">
        <v>38.6</v>
      </c>
      <c r="AY33">
        <v>590.12</v>
      </c>
      <c r="BA33" t="s">
        <v>93</v>
      </c>
      <c r="BC33" t="s">
        <v>93</v>
      </c>
      <c r="BD33" t="s">
        <v>128</v>
      </c>
      <c r="BI33" t="s">
        <v>80</v>
      </c>
      <c r="BM33" t="s">
        <v>94</v>
      </c>
      <c r="BN33" t="s">
        <v>95</v>
      </c>
      <c r="BP33" t="s">
        <v>441</v>
      </c>
      <c r="BR33" t="s">
        <v>442</v>
      </c>
      <c r="BT33" t="s">
        <v>443</v>
      </c>
      <c r="BU33" t="s">
        <v>444</v>
      </c>
      <c r="BV33" t="str">
        <f>"528300"</f>
        <v>528300</v>
      </c>
      <c r="BW33">
        <v>827</v>
      </c>
      <c r="BX33" t="s">
        <v>2745</v>
      </c>
      <c r="BY33" t="s">
        <v>2653</v>
      </c>
      <c r="BZ33">
        <v>5</v>
      </c>
    </row>
    <row r="34" spans="1:78" x14ac:dyDescent="0.25">
      <c r="A34" s="1">
        <v>44958</v>
      </c>
      <c r="B34" t="s">
        <v>445</v>
      </c>
      <c r="C34" t="s">
        <v>254</v>
      </c>
      <c r="E34">
        <v>1</v>
      </c>
      <c r="F34" t="s">
        <v>76</v>
      </c>
      <c r="G34">
        <v>19.989999999999998</v>
      </c>
      <c r="H34">
        <v>0</v>
      </c>
      <c r="I34">
        <v>0</v>
      </c>
      <c r="J34">
        <v>1.7</v>
      </c>
      <c r="K34">
        <v>21.69</v>
      </c>
      <c r="L34" t="s">
        <v>77</v>
      </c>
      <c r="P34" t="s">
        <v>446</v>
      </c>
      <c r="Q34" t="s">
        <v>447</v>
      </c>
      <c r="R34" t="s">
        <v>80</v>
      </c>
      <c r="S34" t="s">
        <v>80</v>
      </c>
      <c r="T34" t="s">
        <v>80</v>
      </c>
      <c r="U34" t="s">
        <v>80</v>
      </c>
      <c r="V34" t="s">
        <v>80</v>
      </c>
      <c r="W34" t="s">
        <v>448</v>
      </c>
      <c r="X34" s="1">
        <v>44958</v>
      </c>
      <c r="Y34">
        <v>21.69</v>
      </c>
      <c r="Z34" t="s">
        <v>82</v>
      </c>
      <c r="AA34" t="str">
        <f t="shared" si="1"/>
        <v>1003</v>
      </c>
      <c r="AB34" t="s">
        <v>133</v>
      </c>
      <c r="AC34" t="s">
        <v>449</v>
      </c>
      <c r="AD34" t="s">
        <v>450</v>
      </c>
      <c r="AE34" t="str">
        <f>"46171500"</f>
        <v>46171500</v>
      </c>
      <c r="AF34" t="s">
        <v>451</v>
      </c>
      <c r="AG34" t="s">
        <v>452</v>
      </c>
      <c r="AH34" t="s">
        <v>453</v>
      </c>
      <c r="AI34" t="s">
        <v>453</v>
      </c>
      <c r="AK34" t="s">
        <v>454</v>
      </c>
      <c r="AL34" t="s">
        <v>454</v>
      </c>
      <c r="AP34" t="s">
        <v>92</v>
      </c>
      <c r="AR34">
        <v>19.989999999999998</v>
      </c>
      <c r="AS34">
        <v>19.989999999999998</v>
      </c>
      <c r="AT34">
        <v>1</v>
      </c>
      <c r="AU34">
        <v>19.989999999999998</v>
      </c>
      <c r="AV34">
        <v>0</v>
      </c>
      <c r="AX34">
        <v>1.7</v>
      </c>
      <c r="AY34">
        <v>21.69</v>
      </c>
      <c r="BA34" t="s">
        <v>93</v>
      </c>
      <c r="BC34" t="s">
        <v>93</v>
      </c>
      <c r="BI34" t="s">
        <v>80</v>
      </c>
      <c r="BM34" t="s">
        <v>94</v>
      </c>
      <c r="BN34" t="s">
        <v>95</v>
      </c>
      <c r="BP34" t="s">
        <v>455</v>
      </c>
      <c r="BR34" t="s">
        <v>456</v>
      </c>
      <c r="BS34" t="s">
        <v>113</v>
      </c>
      <c r="BT34" t="s">
        <v>457</v>
      </c>
      <c r="BU34" t="s">
        <v>458</v>
      </c>
      <c r="BV34" t="str">
        <f>"33147"</f>
        <v>33147</v>
      </c>
      <c r="BW34">
        <v>807</v>
      </c>
      <c r="BX34" t="s">
        <v>2746</v>
      </c>
      <c r="BY34" t="s">
        <v>2620</v>
      </c>
      <c r="BZ34">
        <v>5</v>
      </c>
    </row>
    <row r="35" spans="1:78" x14ac:dyDescent="0.25">
      <c r="A35" s="1">
        <v>44958</v>
      </c>
      <c r="B35" t="s">
        <v>459</v>
      </c>
      <c r="C35" t="s">
        <v>392</v>
      </c>
      <c r="E35">
        <v>4</v>
      </c>
      <c r="F35" t="s">
        <v>76</v>
      </c>
      <c r="G35">
        <v>72.97</v>
      </c>
      <c r="H35">
        <v>0</v>
      </c>
      <c r="I35">
        <v>0</v>
      </c>
      <c r="J35">
        <v>5.1100000000000003</v>
      </c>
      <c r="K35">
        <v>78.08</v>
      </c>
      <c r="L35" t="s">
        <v>77</v>
      </c>
      <c r="P35" t="s">
        <v>393</v>
      </c>
      <c r="Q35" t="s">
        <v>394</v>
      </c>
      <c r="R35" t="s">
        <v>80</v>
      </c>
      <c r="S35" t="s">
        <v>80</v>
      </c>
      <c r="T35" t="s">
        <v>80</v>
      </c>
      <c r="U35" t="s">
        <v>80</v>
      </c>
      <c r="V35" t="s">
        <v>80</v>
      </c>
      <c r="W35" t="s">
        <v>460</v>
      </c>
      <c r="X35" s="1">
        <v>44958</v>
      </c>
      <c r="Y35">
        <v>78.08</v>
      </c>
      <c r="Z35" t="s">
        <v>82</v>
      </c>
      <c r="AA35" t="str">
        <f t="shared" si="1"/>
        <v>1003</v>
      </c>
      <c r="AB35" t="s">
        <v>119</v>
      </c>
      <c r="AC35" t="s">
        <v>461</v>
      </c>
      <c r="AD35" t="s">
        <v>462</v>
      </c>
      <c r="AE35" t="str">
        <f>"14111601"</f>
        <v>14111601</v>
      </c>
      <c r="AF35" t="s">
        <v>213</v>
      </c>
      <c r="AG35" t="s">
        <v>214</v>
      </c>
      <c r="AH35" t="s">
        <v>463</v>
      </c>
      <c r="AI35" t="s">
        <v>464</v>
      </c>
      <c r="AJ35" t="s">
        <v>465</v>
      </c>
      <c r="AK35" t="s">
        <v>466</v>
      </c>
      <c r="AL35" t="s">
        <v>467</v>
      </c>
      <c r="AN35" t="s">
        <v>468</v>
      </c>
      <c r="AO35" t="s">
        <v>468</v>
      </c>
      <c r="AP35" t="s">
        <v>92</v>
      </c>
      <c r="AR35">
        <v>27</v>
      </c>
      <c r="AS35">
        <v>27</v>
      </c>
      <c r="AT35">
        <v>1</v>
      </c>
      <c r="AU35">
        <v>27</v>
      </c>
      <c r="AV35">
        <v>0</v>
      </c>
      <c r="AX35">
        <v>1.89</v>
      </c>
      <c r="AY35">
        <v>28.89</v>
      </c>
      <c r="BA35" t="s">
        <v>93</v>
      </c>
      <c r="BC35" t="s">
        <v>93</v>
      </c>
      <c r="BI35" t="s">
        <v>80</v>
      </c>
      <c r="BM35" t="s">
        <v>94</v>
      </c>
      <c r="BN35" t="s">
        <v>95</v>
      </c>
      <c r="BP35" t="s">
        <v>405</v>
      </c>
      <c r="BR35" t="s">
        <v>338</v>
      </c>
      <c r="BT35" t="s">
        <v>131</v>
      </c>
      <c r="BU35" t="s">
        <v>339</v>
      </c>
      <c r="BV35" t="str">
        <f>"98109"</f>
        <v>98109</v>
      </c>
      <c r="BW35">
        <v>893</v>
      </c>
      <c r="BX35" t="s">
        <v>2742</v>
      </c>
      <c r="BY35" t="s">
        <v>2695</v>
      </c>
      <c r="BZ35">
        <v>5</v>
      </c>
    </row>
    <row r="36" spans="1:78" x14ac:dyDescent="0.25">
      <c r="A36" s="1">
        <v>44958</v>
      </c>
      <c r="B36" t="s">
        <v>459</v>
      </c>
      <c r="C36" t="s">
        <v>392</v>
      </c>
      <c r="E36">
        <v>4</v>
      </c>
      <c r="F36" t="s">
        <v>76</v>
      </c>
      <c r="G36">
        <v>72.97</v>
      </c>
      <c r="H36">
        <v>0</v>
      </c>
      <c r="I36">
        <v>0</v>
      </c>
      <c r="J36">
        <v>5.1100000000000003</v>
      </c>
      <c r="K36">
        <v>78.08</v>
      </c>
      <c r="L36" t="s">
        <v>77</v>
      </c>
      <c r="P36" t="s">
        <v>393</v>
      </c>
      <c r="Q36" t="s">
        <v>394</v>
      </c>
      <c r="R36" t="s">
        <v>80</v>
      </c>
      <c r="S36" t="s">
        <v>80</v>
      </c>
      <c r="T36" t="s">
        <v>80</v>
      </c>
      <c r="U36" t="s">
        <v>80</v>
      </c>
      <c r="V36" t="s">
        <v>80</v>
      </c>
      <c r="W36" t="s">
        <v>460</v>
      </c>
      <c r="X36" s="1">
        <v>44958</v>
      </c>
      <c r="Y36">
        <v>78.08</v>
      </c>
      <c r="Z36" t="s">
        <v>82</v>
      </c>
      <c r="AA36" t="str">
        <f t="shared" si="1"/>
        <v>1003</v>
      </c>
      <c r="AB36" t="s">
        <v>469</v>
      </c>
      <c r="AC36" t="s">
        <v>470</v>
      </c>
      <c r="AD36" t="s">
        <v>471</v>
      </c>
      <c r="AE36" t="str">
        <f>"60121008"</f>
        <v>60121008</v>
      </c>
      <c r="AF36" t="s">
        <v>349</v>
      </c>
      <c r="AG36" t="s">
        <v>472</v>
      </c>
      <c r="AH36" t="s">
        <v>473</v>
      </c>
      <c r="AI36" t="s">
        <v>474</v>
      </c>
      <c r="AK36" t="s">
        <v>475</v>
      </c>
      <c r="AP36" t="s">
        <v>92</v>
      </c>
      <c r="AR36">
        <v>13.99</v>
      </c>
      <c r="AS36">
        <v>13.99</v>
      </c>
      <c r="AT36">
        <v>1</v>
      </c>
      <c r="AU36">
        <v>13.99</v>
      </c>
      <c r="AV36">
        <v>0</v>
      </c>
      <c r="AX36">
        <v>0.98</v>
      </c>
      <c r="AY36">
        <v>14.97</v>
      </c>
      <c r="BA36" t="s">
        <v>93</v>
      </c>
      <c r="BC36" t="s">
        <v>93</v>
      </c>
      <c r="BI36" t="s">
        <v>80</v>
      </c>
      <c r="BM36" t="s">
        <v>94</v>
      </c>
      <c r="BN36" t="s">
        <v>95</v>
      </c>
      <c r="BP36" t="s">
        <v>405</v>
      </c>
      <c r="BR36" t="s">
        <v>476</v>
      </c>
      <c r="BT36" t="s">
        <v>477</v>
      </c>
      <c r="BU36" t="s">
        <v>98</v>
      </c>
      <c r="BV36" t="str">
        <f>"511400"</f>
        <v>511400</v>
      </c>
      <c r="BW36">
        <v>893</v>
      </c>
      <c r="BX36" t="s">
        <v>2742</v>
      </c>
      <c r="BY36" t="s">
        <v>2695</v>
      </c>
      <c r="BZ36">
        <v>5</v>
      </c>
    </row>
    <row r="37" spans="1:78" x14ac:dyDescent="0.25">
      <c r="A37" s="1">
        <v>44958</v>
      </c>
      <c r="B37" t="s">
        <v>459</v>
      </c>
      <c r="C37" t="s">
        <v>392</v>
      </c>
      <c r="E37">
        <v>4</v>
      </c>
      <c r="F37" t="s">
        <v>76</v>
      </c>
      <c r="G37">
        <v>72.97</v>
      </c>
      <c r="H37">
        <v>0</v>
      </c>
      <c r="I37">
        <v>0</v>
      </c>
      <c r="J37">
        <v>5.1100000000000003</v>
      </c>
      <c r="K37">
        <v>78.08</v>
      </c>
      <c r="L37" t="s">
        <v>77</v>
      </c>
      <c r="P37" t="s">
        <v>393</v>
      </c>
      <c r="Q37" t="s">
        <v>394</v>
      </c>
      <c r="R37" t="s">
        <v>80</v>
      </c>
      <c r="S37" t="s">
        <v>80</v>
      </c>
      <c r="T37" t="s">
        <v>80</v>
      </c>
      <c r="U37" t="s">
        <v>80</v>
      </c>
      <c r="V37" t="s">
        <v>80</v>
      </c>
      <c r="W37" t="s">
        <v>460</v>
      </c>
      <c r="X37" s="1">
        <v>44958</v>
      </c>
      <c r="Y37">
        <v>78.08</v>
      </c>
      <c r="Z37" t="s">
        <v>82</v>
      </c>
      <c r="AA37" t="str">
        <f t="shared" si="1"/>
        <v>1003</v>
      </c>
      <c r="AB37" t="s">
        <v>119</v>
      </c>
      <c r="AC37" t="s">
        <v>478</v>
      </c>
      <c r="AD37" t="s">
        <v>479</v>
      </c>
      <c r="AE37" t="str">
        <f>"60121000"</f>
        <v>60121000</v>
      </c>
      <c r="AF37" t="s">
        <v>349</v>
      </c>
      <c r="AG37" t="s">
        <v>472</v>
      </c>
      <c r="AH37" t="s">
        <v>473</v>
      </c>
      <c r="AI37" t="s">
        <v>473</v>
      </c>
      <c r="AK37" t="s">
        <v>480</v>
      </c>
      <c r="AL37" t="s">
        <v>480</v>
      </c>
      <c r="AO37" t="s">
        <v>481</v>
      </c>
      <c r="AP37" t="s">
        <v>92</v>
      </c>
      <c r="AR37">
        <v>23.99</v>
      </c>
      <c r="AS37">
        <v>15.99</v>
      </c>
      <c r="AT37">
        <v>2</v>
      </c>
      <c r="AU37">
        <v>31.98</v>
      </c>
      <c r="AV37">
        <v>0</v>
      </c>
      <c r="AX37">
        <v>2.2400000000000002</v>
      </c>
      <c r="AY37">
        <v>34.22</v>
      </c>
      <c r="BA37" t="s">
        <v>93</v>
      </c>
      <c r="BC37" t="s">
        <v>93</v>
      </c>
      <c r="BI37" t="s">
        <v>80</v>
      </c>
      <c r="BM37" t="s">
        <v>94</v>
      </c>
      <c r="BN37" t="s">
        <v>95</v>
      </c>
      <c r="BP37" t="s">
        <v>405</v>
      </c>
      <c r="BR37" t="s">
        <v>482</v>
      </c>
      <c r="BT37" t="s">
        <v>483</v>
      </c>
      <c r="BU37" t="s">
        <v>484</v>
      </c>
      <c r="BV37" t="str">
        <f>"230031"</f>
        <v>230031</v>
      </c>
      <c r="BW37">
        <v>893</v>
      </c>
      <c r="BX37" t="s">
        <v>2742</v>
      </c>
      <c r="BY37" t="s">
        <v>2695</v>
      </c>
      <c r="BZ37">
        <v>5</v>
      </c>
    </row>
    <row r="38" spans="1:78" x14ac:dyDescent="0.25">
      <c r="A38" s="1">
        <v>44957</v>
      </c>
      <c r="B38" t="s">
        <v>485</v>
      </c>
      <c r="C38" t="s">
        <v>341</v>
      </c>
      <c r="E38">
        <v>1</v>
      </c>
      <c r="F38" t="s">
        <v>76</v>
      </c>
      <c r="G38">
        <v>24.99</v>
      </c>
      <c r="H38">
        <v>0</v>
      </c>
      <c r="I38">
        <v>0</v>
      </c>
      <c r="J38">
        <v>1.94</v>
      </c>
      <c r="K38">
        <v>26.93</v>
      </c>
      <c r="L38" t="s">
        <v>77</v>
      </c>
      <c r="P38" t="s">
        <v>342</v>
      </c>
      <c r="Q38" t="s">
        <v>343</v>
      </c>
      <c r="R38" t="s">
        <v>80</v>
      </c>
      <c r="S38" t="s">
        <v>80</v>
      </c>
      <c r="T38" t="s">
        <v>80</v>
      </c>
      <c r="U38" t="s">
        <v>80</v>
      </c>
      <c r="V38" t="s">
        <v>80</v>
      </c>
      <c r="W38" t="s">
        <v>486</v>
      </c>
      <c r="X38" s="1">
        <v>44958</v>
      </c>
      <c r="Y38">
        <v>26.93</v>
      </c>
      <c r="Z38" t="s">
        <v>82</v>
      </c>
      <c r="AA38" t="str">
        <f t="shared" si="1"/>
        <v>1003</v>
      </c>
      <c r="AB38" t="s">
        <v>119</v>
      </c>
      <c r="AC38" t="s">
        <v>487</v>
      </c>
      <c r="AD38" t="s">
        <v>488</v>
      </c>
      <c r="AE38" t="str">
        <f>"44102002"</f>
        <v>44102002</v>
      </c>
      <c r="AF38" t="s">
        <v>108</v>
      </c>
      <c r="AG38" t="s">
        <v>109</v>
      </c>
      <c r="AH38" t="s">
        <v>489</v>
      </c>
      <c r="AI38" t="s">
        <v>490</v>
      </c>
      <c r="AJ38" t="s">
        <v>153</v>
      </c>
      <c r="AK38" t="s">
        <v>154</v>
      </c>
      <c r="AL38" t="s">
        <v>154</v>
      </c>
      <c r="AN38" t="str">
        <f>"5743501"</f>
        <v>5743501</v>
      </c>
      <c r="AO38" t="str">
        <f>"5743501"</f>
        <v>5743501</v>
      </c>
      <c r="AP38" t="s">
        <v>92</v>
      </c>
      <c r="AR38">
        <v>24.99</v>
      </c>
      <c r="AS38">
        <v>24.99</v>
      </c>
      <c r="AT38">
        <v>1</v>
      </c>
      <c r="AU38">
        <v>24.99</v>
      </c>
      <c r="AV38">
        <v>0</v>
      </c>
      <c r="AX38">
        <v>1.94</v>
      </c>
      <c r="AY38">
        <v>26.93</v>
      </c>
      <c r="BA38" t="s">
        <v>93</v>
      </c>
      <c r="BC38" t="s">
        <v>93</v>
      </c>
      <c r="BI38" t="s">
        <v>80</v>
      </c>
      <c r="BM38" t="s">
        <v>94</v>
      </c>
      <c r="BN38" t="s">
        <v>95</v>
      </c>
      <c r="BP38" t="s">
        <v>345</v>
      </c>
      <c r="BR38" t="s">
        <v>338</v>
      </c>
      <c r="BT38" t="s">
        <v>131</v>
      </c>
      <c r="BU38" t="s">
        <v>339</v>
      </c>
      <c r="BV38" t="str">
        <f>"98109"</f>
        <v>98109</v>
      </c>
      <c r="BW38">
        <v>931</v>
      </c>
      <c r="BX38" t="s">
        <v>2739</v>
      </c>
      <c r="BY38" t="s">
        <v>2723</v>
      </c>
      <c r="BZ38">
        <v>5</v>
      </c>
    </row>
    <row r="39" spans="1:78" x14ac:dyDescent="0.25">
      <c r="A39" s="1">
        <v>44957</v>
      </c>
      <c r="B39" t="s">
        <v>491</v>
      </c>
      <c r="C39" t="s">
        <v>223</v>
      </c>
      <c r="E39">
        <v>1</v>
      </c>
      <c r="F39" t="s">
        <v>76</v>
      </c>
      <c r="G39">
        <v>9.99</v>
      </c>
      <c r="H39">
        <v>0</v>
      </c>
      <c r="I39">
        <v>0</v>
      </c>
      <c r="J39">
        <v>0.66</v>
      </c>
      <c r="K39">
        <v>10.65</v>
      </c>
      <c r="L39" t="s">
        <v>77</v>
      </c>
      <c r="P39" t="s">
        <v>225</v>
      </c>
      <c r="Q39" t="s">
        <v>226</v>
      </c>
      <c r="R39" t="s">
        <v>80</v>
      </c>
      <c r="S39" t="s">
        <v>80</v>
      </c>
      <c r="T39" t="s">
        <v>80</v>
      </c>
      <c r="U39" t="s">
        <v>80</v>
      </c>
      <c r="V39" t="s">
        <v>80</v>
      </c>
      <c r="W39" t="s">
        <v>492</v>
      </c>
      <c r="X39" s="1">
        <v>44958</v>
      </c>
      <c r="Y39">
        <v>10.65</v>
      </c>
      <c r="Z39" t="s">
        <v>82</v>
      </c>
      <c r="AA39" t="str">
        <f t="shared" si="1"/>
        <v>1003</v>
      </c>
      <c r="AB39" t="s">
        <v>119</v>
      </c>
      <c r="AC39" t="s">
        <v>493</v>
      </c>
      <c r="AD39" t="s">
        <v>494</v>
      </c>
      <c r="AE39" t="str">
        <f>"55121804"</f>
        <v>55121804</v>
      </c>
      <c r="AF39" t="s">
        <v>195</v>
      </c>
      <c r="AG39" t="s">
        <v>196</v>
      </c>
      <c r="AH39" t="s">
        <v>495</v>
      </c>
      <c r="AI39" t="s">
        <v>496</v>
      </c>
      <c r="AK39" t="s">
        <v>497</v>
      </c>
      <c r="AL39" t="s">
        <v>497</v>
      </c>
      <c r="AO39" t="s">
        <v>498</v>
      </c>
      <c r="AP39" t="s">
        <v>92</v>
      </c>
      <c r="AR39">
        <v>9.99</v>
      </c>
      <c r="AS39">
        <v>9.99</v>
      </c>
      <c r="AT39">
        <v>1</v>
      </c>
      <c r="AU39">
        <v>9.99</v>
      </c>
      <c r="AV39">
        <v>0</v>
      </c>
      <c r="AX39">
        <v>0.66</v>
      </c>
      <c r="AY39">
        <v>10.65</v>
      </c>
      <c r="BA39" t="s">
        <v>93</v>
      </c>
      <c r="BC39" t="s">
        <v>93</v>
      </c>
      <c r="BI39" t="s">
        <v>80</v>
      </c>
      <c r="BM39" t="s">
        <v>94</v>
      </c>
      <c r="BN39" t="s">
        <v>95</v>
      </c>
      <c r="BP39" t="s">
        <v>235</v>
      </c>
      <c r="BR39" t="s">
        <v>497</v>
      </c>
      <c r="BT39" t="s">
        <v>499</v>
      </c>
      <c r="BU39" t="s">
        <v>296</v>
      </c>
      <c r="BV39" t="str">
        <f>"514500"</f>
        <v>514500</v>
      </c>
      <c r="BW39">
        <v>909</v>
      </c>
      <c r="BX39" t="s">
        <v>2732</v>
      </c>
      <c r="BY39" t="s">
        <v>2719</v>
      </c>
      <c r="BZ39">
        <v>5</v>
      </c>
    </row>
    <row r="40" spans="1:78" x14ac:dyDescent="0.25">
      <c r="A40" s="1">
        <v>44956</v>
      </c>
      <c r="B40" t="s">
        <v>500</v>
      </c>
      <c r="C40" t="s">
        <v>75</v>
      </c>
      <c r="E40">
        <v>1</v>
      </c>
      <c r="F40" t="s">
        <v>76</v>
      </c>
      <c r="G40">
        <v>129.94999999999999</v>
      </c>
      <c r="H40">
        <v>0</v>
      </c>
      <c r="I40">
        <v>0</v>
      </c>
      <c r="J40">
        <v>9.1</v>
      </c>
      <c r="K40">
        <v>139.05000000000001</v>
      </c>
      <c r="L40" t="s">
        <v>77</v>
      </c>
      <c r="P40" t="s">
        <v>78</v>
      </c>
      <c r="Q40" t="s">
        <v>79</v>
      </c>
      <c r="R40" t="s">
        <v>80</v>
      </c>
      <c r="S40" t="s">
        <v>80</v>
      </c>
      <c r="T40" t="s">
        <v>80</v>
      </c>
      <c r="U40" t="s">
        <v>80</v>
      </c>
      <c r="V40" t="s">
        <v>80</v>
      </c>
      <c r="W40" t="s">
        <v>501</v>
      </c>
      <c r="X40" s="1">
        <v>44958</v>
      </c>
      <c r="Y40">
        <v>139.05000000000001</v>
      </c>
      <c r="Z40" t="s">
        <v>82</v>
      </c>
      <c r="AA40" t="str">
        <f t="shared" si="1"/>
        <v>1003</v>
      </c>
      <c r="AB40" t="s">
        <v>133</v>
      </c>
      <c r="AC40" t="s">
        <v>502</v>
      </c>
      <c r="AD40" t="s">
        <v>503</v>
      </c>
      <c r="AE40" t="str">
        <f>"27110000"</f>
        <v>27110000</v>
      </c>
      <c r="AF40" t="s">
        <v>504</v>
      </c>
      <c r="AG40" t="s">
        <v>505</v>
      </c>
      <c r="AH40" t="s">
        <v>505</v>
      </c>
      <c r="AI40" t="s">
        <v>505</v>
      </c>
      <c r="AJ40" t="s">
        <v>506</v>
      </c>
      <c r="AK40" t="s">
        <v>507</v>
      </c>
      <c r="AL40" t="s">
        <v>508</v>
      </c>
      <c r="AN40" t="s">
        <v>509</v>
      </c>
      <c r="AO40" t="s">
        <v>509</v>
      </c>
      <c r="AP40" t="s">
        <v>92</v>
      </c>
      <c r="AR40">
        <v>149.99</v>
      </c>
      <c r="AS40">
        <v>129.94999999999999</v>
      </c>
      <c r="AT40">
        <v>1</v>
      </c>
      <c r="AU40">
        <v>129.94999999999999</v>
      </c>
      <c r="AV40">
        <v>0</v>
      </c>
      <c r="AX40">
        <v>9.1</v>
      </c>
      <c r="AY40">
        <v>139.05000000000001</v>
      </c>
      <c r="BA40" t="s">
        <v>93</v>
      </c>
      <c r="BC40" t="s">
        <v>93</v>
      </c>
      <c r="BI40" t="s">
        <v>80</v>
      </c>
      <c r="BM40" t="s">
        <v>94</v>
      </c>
      <c r="BN40" t="s">
        <v>95</v>
      </c>
      <c r="BP40" t="s">
        <v>96</v>
      </c>
      <c r="BR40" t="s">
        <v>510</v>
      </c>
      <c r="BT40" t="s">
        <v>511</v>
      </c>
      <c r="BU40" t="s">
        <v>512</v>
      </c>
      <c r="BV40" t="str">
        <f>"15010"</f>
        <v>15010</v>
      </c>
      <c r="BW40">
        <v>806</v>
      </c>
      <c r="BX40" t="s">
        <v>2728</v>
      </c>
      <c r="BY40" t="s">
        <v>2618</v>
      </c>
      <c r="BZ40">
        <v>5</v>
      </c>
    </row>
    <row r="41" spans="1:78" x14ac:dyDescent="0.25">
      <c r="A41" s="1">
        <v>44956</v>
      </c>
      <c r="B41" t="s">
        <v>513</v>
      </c>
      <c r="C41" t="s">
        <v>100</v>
      </c>
      <c r="D41" t="s">
        <v>514</v>
      </c>
      <c r="E41">
        <v>1</v>
      </c>
      <c r="F41" t="s">
        <v>76</v>
      </c>
      <c r="G41">
        <v>17.96</v>
      </c>
      <c r="H41">
        <v>0</v>
      </c>
      <c r="I41">
        <v>0</v>
      </c>
      <c r="J41">
        <v>1.53</v>
      </c>
      <c r="K41">
        <v>19.489999999999998</v>
      </c>
      <c r="L41" t="s">
        <v>77</v>
      </c>
      <c r="P41" t="s">
        <v>208</v>
      </c>
      <c r="Q41" t="s">
        <v>209</v>
      </c>
      <c r="R41" t="s">
        <v>80</v>
      </c>
      <c r="S41" t="s">
        <v>80</v>
      </c>
      <c r="T41" t="s">
        <v>80</v>
      </c>
      <c r="U41" t="s">
        <v>80</v>
      </c>
      <c r="V41" t="s">
        <v>80</v>
      </c>
      <c r="W41" t="s">
        <v>515</v>
      </c>
      <c r="X41" s="1">
        <v>44956</v>
      </c>
      <c r="Y41">
        <v>19.489999999999998</v>
      </c>
      <c r="Z41" t="s">
        <v>82</v>
      </c>
      <c r="AA41" t="str">
        <f t="shared" si="1"/>
        <v>1003</v>
      </c>
      <c r="AB41" t="s">
        <v>133</v>
      </c>
      <c r="AC41" t="s">
        <v>516</v>
      </c>
      <c r="AD41" t="s">
        <v>517</v>
      </c>
      <c r="AE41" t="str">
        <f>"31162500"</f>
        <v>31162500</v>
      </c>
      <c r="AF41" t="s">
        <v>398</v>
      </c>
      <c r="AG41" t="s">
        <v>518</v>
      </c>
      <c r="AH41" t="s">
        <v>519</v>
      </c>
      <c r="AI41" t="s">
        <v>519</v>
      </c>
      <c r="AK41" t="s">
        <v>520</v>
      </c>
      <c r="AL41" t="s">
        <v>520</v>
      </c>
      <c r="AN41" t="s">
        <v>521</v>
      </c>
      <c r="AO41" t="s">
        <v>521</v>
      </c>
      <c r="AP41" t="s">
        <v>92</v>
      </c>
      <c r="AR41">
        <v>17.96</v>
      </c>
      <c r="AS41">
        <v>17.96</v>
      </c>
      <c r="AT41">
        <v>1</v>
      </c>
      <c r="AU41">
        <v>17.96</v>
      </c>
      <c r="AV41">
        <v>0</v>
      </c>
      <c r="AX41">
        <v>1.53</v>
      </c>
      <c r="AY41">
        <v>19.489999999999998</v>
      </c>
      <c r="BA41" t="s">
        <v>93</v>
      </c>
      <c r="BC41" t="s">
        <v>93</v>
      </c>
      <c r="BI41" t="s">
        <v>80</v>
      </c>
      <c r="BM41" t="s">
        <v>94</v>
      </c>
      <c r="BN41" t="s">
        <v>95</v>
      </c>
      <c r="BP41" t="s">
        <v>455</v>
      </c>
      <c r="BR41" t="s">
        <v>520</v>
      </c>
      <c r="BT41" t="s">
        <v>522</v>
      </c>
      <c r="BU41" t="s">
        <v>523</v>
      </c>
      <c r="BV41" t="str">
        <f>"311232"</f>
        <v>311232</v>
      </c>
      <c r="BW41">
        <v>807</v>
      </c>
      <c r="BX41" t="s">
        <v>2746</v>
      </c>
      <c r="BY41" t="s">
        <v>2620</v>
      </c>
      <c r="BZ41">
        <v>5</v>
      </c>
    </row>
    <row r="42" spans="1:78" x14ac:dyDescent="0.25">
      <c r="A42" s="1">
        <v>44956</v>
      </c>
      <c r="B42" t="s">
        <v>524</v>
      </c>
      <c r="C42" t="s">
        <v>100</v>
      </c>
      <c r="E42">
        <v>2</v>
      </c>
      <c r="F42" t="s">
        <v>76</v>
      </c>
      <c r="G42">
        <v>53.44</v>
      </c>
      <c r="H42">
        <v>0</v>
      </c>
      <c r="I42">
        <v>0</v>
      </c>
      <c r="J42">
        <v>3.21</v>
      </c>
      <c r="K42">
        <v>56.65</v>
      </c>
      <c r="L42" t="s">
        <v>77</v>
      </c>
      <c r="P42" t="s">
        <v>525</v>
      </c>
      <c r="Q42" t="s">
        <v>526</v>
      </c>
      <c r="R42" t="s">
        <v>80</v>
      </c>
      <c r="S42" t="s">
        <v>80</v>
      </c>
      <c r="T42" t="s">
        <v>80</v>
      </c>
      <c r="U42" t="s">
        <v>80</v>
      </c>
      <c r="V42" t="s">
        <v>80</v>
      </c>
      <c r="W42" t="s">
        <v>527</v>
      </c>
      <c r="X42" s="1">
        <v>44957</v>
      </c>
      <c r="Y42">
        <v>56.65</v>
      </c>
      <c r="Z42" t="s">
        <v>82</v>
      </c>
      <c r="AA42" t="str">
        <f t="shared" si="1"/>
        <v>1003</v>
      </c>
      <c r="AB42" t="s">
        <v>105</v>
      </c>
      <c r="AC42" t="s">
        <v>528</v>
      </c>
      <c r="AD42" t="s">
        <v>529</v>
      </c>
      <c r="AE42" t="str">
        <f>"43201400"</f>
        <v>43201400</v>
      </c>
      <c r="AF42" t="s">
        <v>86</v>
      </c>
      <c r="AG42" t="s">
        <v>87</v>
      </c>
      <c r="AH42" t="s">
        <v>530</v>
      </c>
      <c r="AI42" t="s">
        <v>530</v>
      </c>
      <c r="AK42" t="s">
        <v>531</v>
      </c>
      <c r="AL42" t="s">
        <v>531</v>
      </c>
      <c r="AP42" t="s">
        <v>92</v>
      </c>
      <c r="AR42">
        <v>33.99</v>
      </c>
      <c r="AS42">
        <v>33.99</v>
      </c>
      <c r="AT42">
        <v>1</v>
      </c>
      <c r="AU42">
        <v>33.99</v>
      </c>
      <c r="AV42">
        <v>0</v>
      </c>
      <c r="AX42">
        <v>2.04</v>
      </c>
      <c r="AY42">
        <v>36.03</v>
      </c>
      <c r="BA42" t="s">
        <v>93</v>
      </c>
      <c r="BC42" t="s">
        <v>93</v>
      </c>
      <c r="BI42" t="s">
        <v>80</v>
      </c>
      <c r="BM42" t="s">
        <v>94</v>
      </c>
      <c r="BN42" t="s">
        <v>95</v>
      </c>
      <c r="BP42" t="s">
        <v>532</v>
      </c>
      <c r="BR42" t="s">
        <v>531</v>
      </c>
      <c r="BW42">
        <v>825</v>
      </c>
      <c r="BX42" t="s">
        <v>2747</v>
      </c>
      <c r="BY42" t="s">
        <v>2649</v>
      </c>
      <c r="BZ42">
        <v>5</v>
      </c>
    </row>
    <row r="43" spans="1:78" x14ac:dyDescent="0.25">
      <c r="A43" s="1">
        <v>44956</v>
      </c>
      <c r="B43" t="s">
        <v>524</v>
      </c>
      <c r="C43" t="s">
        <v>100</v>
      </c>
      <c r="E43">
        <v>2</v>
      </c>
      <c r="F43" t="s">
        <v>76</v>
      </c>
      <c r="G43">
        <v>53.44</v>
      </c>
      <c r="H43">
        <v>0</v>
      </c>
      <c r="I43">
        <v>0</v>
      </c>
      <c r="J43">
        <v>3.21</v>
      </c>
      <c r="K43">
        <v>56.65</v>
      </c>
      <c r="L43" t="s">
        <v>77</v>
      </c>
      <c r="P43" t="s">
        <v>525</v>
      </c>
      <c r="Q43" t="s">
        <v>526</v>
      </c>
      <c r="R43" t="s">
        <v>80</v>
      </c>
      <c r="S43" t="s">
        <v>80</v>
      </c>
      <c r="T43" t="s">
        <v>80</v>
      </c>
      <c r="U43" t="s">
        <v>80</v>
      </c>
      <c r="V43" t="s">
        <v>80</v>
      </c>
      <c r="W43" t="s">
        <v>527</v>
      </c>
      <c r="X43" s="1">
        <v>44957</v>
      </c>
      <c r="Y43">
        <v>56.65</v>
      </c>
      <c r="Z43" t="s">
        <v>82</v>
      </c>
      <c r="AA43" t="str">
        <f t="shared" si="1"/>
        <v>1003</v>
      </c>
      <c r="AB43" t="s">
        <v>533</v>
      </c>
      <c r="AC43" t="s">
        <v>534</v>
      </c>
      <c r="AD43" t="s">
        <v>535</v>
      </c>
      <c r="AE43" t="str">
        <f>"43191600"</f>
        <v>43191600</v>
      </c>
      <c r="AF43" t="s">
        <v>86</v>
      </c>
      <c r="AG43" t="s">
        <v>136</v>
      </c>
      <c r="AH43" t="s">
        <v>137</v>
      </c>
      <c r="AI43" t="s">
        <v>137</v>
      </c>
      <c r="AK43" t="s">
        <v>536</v>
      </c>
      <c r="AL43" t="s">
        <v>536</v>
      </c>
      <c r="AN43" t="s">
        <v>537</v>
      </c>
      <c r="AO43" t="s">
        <v>537</v>
      </c>
      <c r="AP43" t="s">
        <v>92</v>
      </c>
      <c r="AR43">
        <v>21.49</v>
      </c>
      <c r="AS43">
        <v>19.45</v>
      </c>
      <c r="AT43">
        <v>1</v>
      </c>
      <c r="AU43">
        <v>19.45</v>
      </c>
      <c r="AV43">
        <v>0</v>
      </c>
      <c r="AX43">
        <v>1.17</v>
      </c>
      <c r="AY43">
        <v>20.62</v>
      </c>
      <c r="BA43" t="s">
        <v>93</v>
      </c>
      <c r="BC43" t="s">
        <v>93</v>
      </c>
      <c r="BI43" t="s">
        <v>80</v>
      </c>
      <c r="BM43" t="s">
        <v>94</v>
      </c>
      <c r="BN43" t="s">
        <v>95</v>
      </c>
      <c r="BP43" t="s">
        <v>532</v>
      </c>
      <c r="BR43" t="s">
        <v>536</v>
      </c>
      <c r="BS43" t="s">
        <v>538</v>
      </c>
      <c r="BT43" t="s">
        <v>539</v>
      </c>
      <c r="BU43" t="s">
        <v>540</v>
      </c>
      <c r="BV43" t="str">
        <f>"01772"</f>
        <v>01772</v>
      </c>
      <c r="BW43">
        <v>825</v>
      </c>
      <c r="BX43" t="s">
        <v>2747</v>
      </c>
      <c r="BY43" t="s">
        <v>2649</v>
      </c>
      <c r="BZ43">
        <v>5</v>
      </c>
    </row>
    <row r="44" spans="1:78" x14ac:dyDescent="0.25">
      <c r="A44" s="1">
        <v>44953</v>
      </c>
      <c r="B44" t="s">
        <v>541</v>
      </c>
      <c r="C44" t="s">
        <v>341</v>
      </c>
      <c r="D44" t="s">
        <v>542</v>
      </c>
      <c r="E44">
        <v>4</v>
      </c>
      <c r="F44" t="s">
        <v>76</v>
      </c>
      <c r="G44">
        <v>56.48</v>
      </c>
      <c r="H44">
        <v>0</v>
      </c>
      <c r="I44">
        <v>0</v>
      </c>
      <c r="J44">
        <v>5.36</v>
      </c>
      <c r="K44">
        <v>61.84</v>
      </c>
      <c r="L44" t="s">
        <v>77</v>
      </c>
      <c r="P44" t="s">
        <v>543</v>
      </c>
      <c r="Q44" t="s">
        <v>544</v>
      </c>
      <c r="R44" t="s">
        <v>80</v>
      </c>
      <c r="S44" t="s">
        <v>80</v>
      </c>
      <c r="T44" t="s">
        <v>80</v>
      </c>
      <c r="U44" t="s">
        <v>80</v>
      </c>
      <c r="V44" t="s">
        <v>80</v>
      </c>
      <c r="W44" t="s">
        <v>545</v>
      </c>
      <c r="X44" s="1">
        <v>44954</v>
      </c>
      <c r="Y44">
        <v>61.84</v>
      </c>
      <c r="Z44" t="s">
        <v>82</v>
      </c>
      <c r="AA44" t="str">
        <f t="shared" si="1"/>
        <v>1003</v>
      </c>
      <c r="AB44" t="s">
        <v>119</v>
      </c>
      <c r="AC44" t="s">
        <v>546</v>
      </c>
      <c r="AD44" t="s">
        <v>547</v>
      </c>
      <c r="AE44" t="str">
        <f>"44000000"</f>
        <v>44000000</v>
      </c>
      <c r="AF44" t="s">
        <v>108</v>
      </c>
      <c r="AG44" t="s">
        <v>108</v>
      </c>
      <c r="AH44" t="s">
        <v>108</v>
      </c>
      <c r="AI44" t="s">
        <v>108</v>
      </c>
      <c r="AL44" t="s">
        <v>548</v>
      </c>
      <c r="AO44" t="s">
        <v>549</v>
      </c>
      <c r="AP44" t="s">
        <v>92</v>
      </c>
      <c r="AR44">
        <v>9.5</v>
      </c>
      <c r="AS44">
        <v>9.5</v>
      </c>
      <c r="AT44">
        <v>3</v>
      </c>
      <c r="AU44">
        <v>28.5</v>
      </c>
      <c r="AV44">
        <v>0</v>
      </c>
      <c r="AX44">
        <v>2.7</v>
      </c>
      <c r="AY44">
        <v>31.2</v>
      </c>
      <c r="BA44" t="s">
        <v>93</v>
      </c>
      <c r="BC44" t="s">
        <v>93</v>
      </c>
      <c r="BI44" t="s">
        <v>80</v>
      </c>
      <c r="BM44" t="s">
        <v>550</v>
      </c>
      <c r="BN44" t="s">
        <v>95</v>
      </c>
      <c r="BP44" t="s">
        <v>387</v>
      </c>
      <c r="BR44" t="s">
        <v>551</v>
      </c>
      <c r="BT44" t="s">
        <v>552</v>
      </c>
      <c r="BU44" t="s">
        <v>553</v>
      </c>
      <c r="BV44" t="str">
        <f>"66071"</f>
        <v>66071</v>
      </c>
      <c r="BW44">
        <v>1</v>
      </c>
      <c r="BX44" t="s">
        <v>2741</v>
      </c>
      <c r="BY44" t="s">
        <v>2573</v>
      </c>
      <c r="BZ44">
        <v>4</v>
      </c>
    </row>
    <row r="45" spans="1:78" x14ac:dyDescent="0.25">
      <c r="A45" s="1">
        <v>44953</v>
      </c>
      <c r="B45" t="s">
        <v>541</v>
      </c>
      <c r="C45" t="s">
        <v>341</v>
      </c>
      <c r="D45" t="s">
        <v>542</v>
      </c>
      <c r="E45">
        <v>4</v>
      </c>
      <c r="F45" t="s">
        <v>76</v>
      </c>
      <c r="G45">
        <v>56.48</v>
      </c>
      <c r="H45">
        <v>0</v>
      </c>
      <c r="I45">
        <v>0</v>
      </c>
      <c r="J45">
        <v>5.36</v>
      </c>
      <c r="K45">
        <v>61.84</v>
      </c>
      <c r="L45" t="s">
        <v>77</v>
      </c>
      <c r="P45" t="s">
        <v>543</v>
      </c>
      <c r="Q45" t="s">
        <v>544</v>
      </c>
      <c r="R45" t="s">
        <v>80</v>
      </c>
      <c r="S45" t="s">
        <v>80</v>
      </c>
      <c r="T45" t="s">
        <v>80</v>
      </c>
      <c r="U45" t="s">
        <v>80</v>
      </c>
      <c r="V45" t="s">
        <v>80</v>
      </c>
      <c r="W45" t="s">
        <v>545</v>
      </c>
      <c r="X45" s="1">
        <v>44954</v>
      </c>
      <c r="Y45">
        <v>61.84</v>
      </c>
      <c r="Z45" t="s">
        <v>82</v>
      </c>
      <c r="AA45" t="str">
        <f t="shared" si="1"/>
        <v>1003</v>
      </c>
      <c r="AB45" t="s">
        <v>119</v>
      </c>
      <c r="AC45" t="s">
        <v>554</v>
      </c>
      <c r="AD45" t="s">
        <v>555</v>
      </c>
      <c r="AE45" t="str">
        <f>"44121500"</f>
        <v>44121500</v>
      </c>
      <c r="AF45" t="s">
        <v>108</v>
      </c>
      <c r="AG45" t="s">
        <v>556</v>
      </c>
      <c r="AH45" t="s">
        <v>557</v>
      </c>
      <c r="AI45" t="s">
        <v>557</v>
      </c>
      <c r="AK45" t="s">
        <v>558</v>
      </c>
      <c r="AL45" t="s">
        <v>558</v>
      </c>
      <c r="AO45" t="s">
        <v>559</v>
      </c>
      <c r="AP45" t="s">
        <v>92</v>
      </c>
      <c r="AR45">
        <v>33.99</v>
      </c>
      <c r="AS45">
        <v>27.98</v>
      </c>
      <c r="AT45">
        <v>1</v>
      </c>
      <c r="AU45">
        <v>27.98</v>
      </c>
      <c r="AV45">
        <v>0</v>
      </c>
      <c r="AX45">
        <v>2.66</v>
      </c>
      <c r="AY45">
        <v>30.64</v>
      </c>
      <c r="BA45" t="s">
        <v>93</v>
      </c>
      <c r="BC45" t="s">
        <v>93</v>
      </c>
      <c r="BD45" t="s">
        <v>128</v>
      </c>
      <c r="BE45">
        <v>6.01</v>
      </c>
      <c r="BF45" s="2">
        <v>0.17680000000000001</v>
      </c>
      <c r="BI45" t="s">
        <v>80</v>
      </c>
      <c r="BM45" t="s">
        <v>550</v>
      </c>
      <c r="BN45" t="s">
        <v>95</v>
      </c>
      <c r="BP45" t="s">
        <v>387</v>
      </c>
      <c r="BR45" t="s">
        <v>560</v>
      </c>
      <c r="BT45" t="s">
        <v>561</v>
      </c>
      <c r="BU45" t="s">
        <v>562</v>
      </c>
      <c r="BV45" t="str">
        <f>"518000"</f>
        <v>518000</v>
      </c>
      <c r="BW45">
        <v>1</v>
      </c>
      <c r="BX45" t="s">
        <v>2741</v>
      </c>
      <c r="BY45" t="s">
        <v>2573</v>
      </c>
      <c r="BZ45">
        <v>4</v>
      </c>
    </row>
    <row r="46" spans="1:78" x14ac:dyDescent="0.25">
      <c r="A46" s="1">
        <v>44953</v>
      </c>
      <c r="B46" t="s">
        <v>563</v>
      </c>
      <c r="C46" t="s">
        <v>100</v>
      </c>
      <c r="D46" t="s">
        <v>564</v>
      </c>
      <c r="E46">
        <v>4</v>
      </c>
      <c r="F46" t="s">
        <v>76</v>
      </c>
      <c r="G46">
        <v>23.96</v>
      </c>
      <c r="H46">
        <v>0</v>
      </c>
      <c r="I46">
        <v>0</v>
      </c>
      <c r="J46">
        <v>2.2799999999999998</v>
      </c>
      <c r="K46">
        <v>26.24</v>
      </c>
      <c r="L46" t="s">
        <v>77</v>
      </c>
      <c r="P46" t="s">
        <v>102</v>
      </c>
      <c r="Q46" t="s">
        <v>103</v>
      </c>
      <c r="R46" t="s">
        <v>80</v>
      </c>
      <c r="S46" t="s">
        <v>80</v>
      </c>
      <c r="T46" t="s">
        <v>80</v>
      </c>
      <c r="U46" t="s">
        <v>80</v>
      </c>
      <c r="V46" t="s">
        <v>80</v>
      </c>
      <c r="W46" t="s">
        <v>565</v>
      </c>
      <c r="X46" s="1">
        <v>44956</v>
      </c>
      <c r="Y46">
        <v>26.24</v>
      </c>
      <c r="Z46" t="s">
        <v>82</v>
      </c>
      <c r="AA46" t="str">
        <f t="shared" si="1"/>
        <v>1003</v>
      </c>
      <c r="AB46" t="s">
        <v>119</v>
      </c>
      <c r="AC46" t="s">
        <v>566</v>
      </c>
      <c r="AD46" t="s">
        <v>567</v>
      </c>
      <c r="AE46" t="str">
        <f>"44112002"</f>
        <v>44112002</v>
      </c>
      <c r="AF46" t="s">
        <v>108</v>
      </c>
      <c r="AG46" t="s">
        <v>122</v>
      </c>
      <c r="AH46" t="s">
        <v>568</v>
      </c>
      <c r="AI46" t="s">
        <v>569</v>
      </c>
      <c r="AK46" t="s">
        <v>570</v>
      </c>
      <c r="AL46" t="s">
        <v>570</v>
      </c>
      <c r="AO46" t="s">
        <v>571</v>
      </c>
      <c r="AP46" t="s">
        <v>92</v>
      </c>
      <c r="AR46">
        <v>16.989999999999998</v>
      </c>
      <c r="AS46">
        <v>5.99</v>
      </c>
      <c r="AT46">
        <v>4</v>
      </c>
      <c r="AU46">
        <v>23.96</v>
      </c>
      <c r="AV46">
        <v>0</v>
      </c>
      <c r="AX46">
        <v>2.2799999999999998</v>
      </c>
      <c r="AY46">
        <v>26.24</v>
      </c>
      <c r="BA46" t="s">
        <v>93</v>
      </c>
      <c r="BC46" t="s">
        <v>93</v>
      </c>
      <c r="BI46" t="s">
        <v>80</v>
      </c>
      <c r="BM46" t="s">
        <v>572</v>
      </c>
      <c r="BN46" t="s">
        <v>95</v>
      </c>
      <c r="BP46" t="s">
        <v>221</v>
      </c>
      <c r="BR46" t="s">
        <v>573</v>
      </c>
      <c r="BT46" t="s">
        <v>574</v>
      </c>
      <c r="BU46" t="s">
        <v>575</v>
      </c>
      <c r="BW46">
        <v>889</v>
      </c>
      <c r="BX46" t="s">
        <v>2731</v>
      </c>
      <c r="BY46" t="s">
        <v>2687</v>
      </c>
      <c r="BZ46">
        <v>4</v>
      </c>
    </row>
    <row r="47" spans="1:78" x14ac:dyDescent="0.25">
      <c r="A47" s="1">
        <v>44953</v>
      </c>
      <c r="B47" t="s">
        <v>576</v>
      </c>
      <c r="C47" t="s">
        <v>100</v>
      </c>
      <c r="D47" t="s">
        <v>564</v>
      </c>
      <c r="E47">
        <v>3</v>
      </c>
      <c r="F47" t="s">
        <v>76</v>
      </c>
      <c r="G47">
        <v>61.79</v>
      </c>
      <c r="H47">
        <v>0</v>
      </c>
      <c r="I47">
        <v>0</v>
      </c>
      <c r="J47">
        <v>5.87</v>
      </c>
      <c r="K47">
        <v>67.66</v>
      </c>
      <c r="L47" t="s">
        <v>77</v>
      </c>
      <c r="P47" t="s">
        <v>102</v>
      </c>
      <c r="Q47" t="s">
        <v>103</v>
      </c>
      <c r="R47" t="s">
        <v>80</v>
      </c>
      <c r="S47" t="s">
        <v>80</v>
      </c>
      <c r="T47" t="s">
        <v>80</v>
      </c>
      <c r="U47" t="s">
        <v>80</v>
      </c>
      <c r="V47" t="s">
        <v>80</v>
      </c>
      <c r="W47" t="s">
        <v>577</v>
      </c>
      <c r="X47" s="1">
        <v>44956</v>
      </c>
      <c r="Y47">
        <v>67.66</v>
      </c>
      <c r="Z47" t="s">
        <v>82</v>
      </c>
      <c r="AA47" t="str">
        <f t="shared" si="1"/>
        <v>1003</v>
      </c>
      <c r="AB47" t="s">
        <v>141</v>
      </c>
      <c r="AC47" t="s">
        <v>578</v>
      </c>
      <c r="AD47" t="s">
        <v>579</v>
      </c>
      <c r="AE47" t="str">
        <f>"46182001"</f>
        <v>46182001</v>
      </c>
      <c r="AF47" t="s">
        <v>451</v>
      </c>
      <c r="AG47" t="s">
        <v>580</v>
      </c>
      <c r="AH47" t="s">
        <v>581</v>
      </c>
      <c r="AI47" t="s">
        <v>582</v>
      </c>
      <c r="AK47" t="s">
        <v>583</v>
      </c>
      <c r="AL47" t="s">
        <v>584</v>
      </c>
      <c r="AN47" t="s">
        <v>585</v>
      </c>
      <c r="AO47" t="s">
        <v>585</v>
      </c>
      <c r="AP47" t="s">
        <v>92</v>
      </c>
      <c r="AR47">
        <v>39.99</v>
      </c>
      <c r="AS47">
        <v>32.99</v>
      </c>
      <c r="AT47">
        <v>1</v>
      </c>
      <c r="AU47">
        <v>32.99</v>
      </c>
      <c r="AV47">
        <v>0</v>
      </c>
      <c r="AX47">
        <v>3.13</v>
      </c>
      <c r="AY47">
        <v>36.119999999999997</v>
      </c>
      <c r="BA47" t="s">
        <v>93</v>
      </c>
      <c r="BC47" t="s">
        <v>93</v>
      </c>
      <c r="BI47" t="s">
        <v>80</v>
      </c>
      <c r="BM47" t="s">
        <v>572</v>
      </c>
      <c r="BN47" t="s">
        <v>95</v>
      </c>
      <c r="BP47" t="s">
        <v>221</v>
      </c>
      <c r="BR47" t="s">
        <v>586</v>
      </c>
      <c r="BT47" t="s">
        <v>587</v>
      </c>
      <c r="BU47" t="s">
        <v>296</v>
      </c>
      <c r="BV47" t="str">
        <f>"518000"</f>
        <v>518000</v>
      </c>
      <c r="BW47">
        <v>889</v>
      </c>
      <c r="BX47" t="s">
        <v>2731</v>
      </c>
      <c r="BY47" t="s">
        <v>2687</v>
      </c>
      <c r="BZ47">
        <v>4</v>
      </c>
    </row>
    <row r="48" spans="1:78" x14ac:dyDescent="0.25">
      <c r="A48" s="1">
        <v>44953</v>
      </c>
      <c r="B48" t="s">
        <v>576</v>
      </c>
      <c r="C48" t="s">
        <v>100</v>
      </c>
      <c r="D48" t="s">
        <v>564</v>
      </c>
      <c r="E48">
        <v>3</v>
      </c>
      <c r="F48" t="s">
        <v>76</v>
      </c>
      <c r="G48">
        <v>61.79</v>
      </c>
      <c r="H48">
        <v>0</v>
      </c>
      <c r="I48">
        <v>0</v>
      </c>
      <c r="J48">
        <v>5.87</v>
      </c>
      <c r="K48">
        <v>67.66</v>
      </c>
      <c r="L48" t="s">
        <v>77</v>
      </c>
      <c r="P48" t="s">
        <v>102</v>
      </c>
      <c r="Q48" t="s">
        <v>103</v>
      </c>
      <c r="R48" t="s">
        <v>80</v>
      </c>
      <c r="S48" t="s">
        <v>80</v>
      </c>
      <c r="T48" t="s">
        <v>80</v>
      </c>
      <c r="U48" t="s">
        <v>80</v>
      </c>
      <c r="V48" t="s">
        <v>80</v>
      </c>
      <c r="W48" t="s">
        <v>577</v>
      </c>
      <c r="X48" s="1">
        <v>44956</v>
      </c>
      <c r="Y48">
        <v>67.66</v>
      </c>
      <c r="Z48" t="s">
        <v>82</v>
      </c>
      <c r="AA48" t="str">
        <f t="shared" si="1"/>
        <v>1003</v>
      </c>
      <c r="AB48" t="s">
        <v>119</v>
      </c>
      <c r="AC48" t="s">
        <v>588</v>
      </c>
      <c r="AD48" t="s">
        <v>589</v>
      </c>
      <c r="AE48" t="str">
        <f>"44121701"</f>
        <v>44121701</v>
      </c>
      <c r="AF48" t="s">
        <v>108</v>
      </c>
      <c r="AG48" t="s">
        <v>556</v>
      </c>
      <c r="AH48" t="s">
        <v>590</v>
      </c>
      <c r="AI48" t="s">
        <v>591</v>
      </c>
      <c r="AJ48" t="s">
        <v>592</v>
      </c>
      <c r="AK48" t="s">
        <v>593</v>
      </c>
      <c r="AL48" t="s">
        <v>593</v>
      </c>
      <c r="AN48" t="s">
        <v>594</v>
      </c>
      <c r="AO48" t="s">
        <v>594</v>
      </c>
      <c r="AP48" t="s">
        <v>92</v>
      </c>
      <c r="AR48">
        <v>25.2</v>
      </c>
      <c r="AS48">
        <v>14.4</v>
      </c>
      <c r="AT48">
        <v>2</v>
      </c>
      <c r="AU48">
        <v>28.8</v>
      </c>
      <c r="AV48">
        <v>0</v>
      </c>
      <c r="AX48">
        <v>2.74</v>
      </c>
      <c r="AY48">
        <v>31.54</v>
      </c>
      <c r="BA48" t="s">
        <v>93</v>
      </c>
      <c r="BC48" t="s">
        <v>93</v>
      </c>
      <c r="BD48" t="s">
        <v>128</v>
      </c>
      <c r="BE48">
        <v>10.8</v>
      </c>
      <c r="BF48" s="2">
        <v>0.42859999999999998</v>
      </c>
      <c r="BI48" t="s">
        <v>80</v>
      </c>
      <c r="BM48" t="s">
        <v>572</v>
      </c>
      <c r="BN48" t="s">
        <v>95</v>
      </c>
      <c r="BP48" t="s">
        <v>221</v>
      </c>
      <c r="BR48" t="s">
        <v>130</v>
      </c>
      <c r="BT48" t="s">
        <v>131</v>
      </c>
      <c r="BU48" t="s">
        <v>132</v>
      </c>
      <c r="BV48" t="str">
        <f>"98109"</f>
        <v>98109</v>
      </c>
      <c r="BW48">
        <v>889</v>
      </c>
      <c r="BX48" t="s">
        <v>2731</v>
      </c>
      <c r="BY48" t="s">
        <v>2687</v>
      </c>
      <c r="BZ48">
        <v>4</v>
      </c>
    </row>
    <row r="49" spans="1:78" x14ac:dyDescent="0.25">
      <c r="A49" s="1">
        <v>44953</v>
      </c>
      <c r="B49" t="s">
        <v>595</v>
      </c>
      <c r="C49" t="s">
        <v>596</v>
      </c>
      <c r="E49">
        <v>11</v>
      </c>
      <c r="F49" t="s">
        <v>76</v>
      </c>
      <c r="G49">
        <v>274.33</v>
      </c>
      <c r="H49">
        <v>0</v>
      </c>
      <c r="I49">
        <v>0</v>
      </c>
      <c r="J49">
        <v>26.71</v>
      </c>
      <c r="K49">
        <v>301.04000000000002</v>
      </c>
      <c r="L49" t="s">
        <v>77</v>
      </c>
      <c r="M49" t="s">
        <v>224</v>
      </c>
      <c r="P49" t="s">
        <v>597</v>
      </c>
      <c r="Q49" t="s">
        <v>598</v>
      </c>
      <c r="R49" t="s">
        <v>80</v>
      </c>
      <c r="S49" t="s">
        <v>80</v>
      </c>
      <c r="T49" t="s">
        <v>80</v>
      </c>
      <c r="U49" t="s">
        <v>80</v>
      </c>
      <c r="V49" t="s">
        <v>80</v>
      </c>
      <c r="W49" t="s">
        <v>599</v>
      </c>
      <c r="X49" s="1">
        <v>44963</v>
      </c>
      <c r="Y49">
        <v>301.04000000000002</v>
      </c>
      <c r="Z49" t="s">
        <v>82</v>
      </c>
      <c r="AA49" t="str">
        <f t="shared" si="1"/>
        <v>1003</v>
      </c>
      <c r="AB49" t="s">
        <v>133</v>
      </c>
      <c r="AC49" t="s">
        <v>600</v>
      </c>
      <c r="AD49" t="s">
        <v>601</v>
      </c>
      <c r="AE49" t="str">
        <f>"39111610"</f>
        <v>39111610</v>
      </c>
      <c r="AF49" t="s">
        <v>181</v>
      </c>
      <c r="AG49" t="s">
        <v>602</v>
      </c>
      <c r="AH49" t="s">
        <v>603</v>
      </c>
      <c r="AI49" t="s">
        <v>604</v>
      </c>
      <c r="AJ49" t="s">
        <v>605</v>
      </c>
      <c r="AK49" t="s">
        <v>606</v>
      </c>
      <c r="AL49" t="s">
        <v>606</v>
      </c>
      <c r="AN49" t="s">
        <v>607</v>
      </c>
      <c r="AO49" t="s">
        <v>608</v>
      </c>
      <c r="AP49" t="s">
        <v>92</v>
      </c>
      <c r="AR49">
        <v>19.989999999999998</v>
      </c>
      <c r="AS49">
        <v>12.46</v>
      </c>
      <c r="AT49">
        <v>5</v>
      </c>
      <c r="AU49">
        <v>62.3</v>
      </c>
      <c r="AV49">
        <v>0</v>
      </c>
      <c r="AX49">
        <v>6.05</v>
      </c>
      <c r="AY49">
        <v>68.349999999999994</v>
      </c>
      <c r="BA49" t="s">
        <v>93</v>
      </c>
      <c r="BC49" t="s">
        <v>93</v>
      </c>
      <c r="BD49" t="s">
        <v>128</v>
      </c>
      <c r="BE49">
        <v>7.53</v>
      </c>
      <c r="BF49" s="2">
        <v>0.37669999999999998</v>
      </c>
      <c r="BI49" t="s">
        <v>80</v>
      </c>
      <c r="BM49" t="s">
        <v>94</v>
      </c>
      <c r="BN49" t="s">
        <v>95</v>
      </c>
      <c r="BP49" t="s">
        <v>609</v>
      </c>
      <c r="BR49" t="s">
        <v>610</v>
      </c>
      <c r="BT49" t="s">
        <v>587</v>
      </c>
      <c r="BU49" t="s">
        <v>296</v>
      </c>
      <c r="BV49" t="str">
        <f>"518000"</f>
        <v>518000</v>
      </c>
      <c r="BW49">
        <v>812</v>
      </c>
      <c r="BX49" t="s">
        <v>2748</v>
      </c>
      <c r="BY49" t="s">
        <v>2628</v>
      </c>
      <c r="BZ49">
        <v>4</v>
      </c>
    </row>
    <row r="50" spans="1:78" x14ac:dyDescent="0.25">
      <c r="A50" s="1">
        <v>44953</v>
      </c>
      <c r="B50" t="s">
        <v>595</v>
      </c>
      <c r="C50" t="s">
        <v>596</v>
      </c>
      <c r="E50">
        <v>11</v>
      </c>
      <c r="F50" t="s">
        <v>76</v>
      </c>
      <c r="G50">
        <v>274.33</v>
      </c>
      <c r="H50">
        <v>0</v>
      </c>
      <c r="I50">
        <v>0</v>
      </c>
      <c r="J50">
        <v>26.71</v>
      </c>
      <c r="K50">
        <v>301.04000000000002</v>
      </c>
      <c r="L50" t="s">
        <v>77</v>
      </c>
      <c r="M50" t="s">
        <v>224</v>
      </c>
      <c r="P50" t="s">
        <v>597</v>
      </c>
      <c r="Q50" t="s">
        <v>598</v>
      </c>
      <c r="R50" t="s">
        <v>80</v>
      </c>
      <c r="S50" t="s">
        <v>80</v>
      </c>
      <c r="T50" t="s">
        <v>80</v>
      </c>
      <c r="U50" t="s">
        <v>80</v>
      </c>
      <c r="V50" t="s">
        <v>80</v>
      </c>
      <c r="W50" t="s">
        <v>599</v>
      </c>
      <c r="X50" s="1">
        <v>44963</v>
      </c>
      <c r="Y50">
        <v>301.04000000000002</v>
      </c>
      <c r="Z50" t="s">
        <v>82</v>
      </c>
      <c r="AA50" t="str">
        <f t="shared" si="1"/>
        <v>1003</v>
      </c>
      <c r="AB50" t="s">
        <v>119</v>
      </c>
      <c r="AC50" t="s">
        <v>611</v>
      </c>
      <c r="AD50" t="s">
        <v>612</v>
      </c>
      <c r="AE50" t="str">
        <f>"14111500"</f>
        <v>14111500</v>
      </c>
      <c r="AF50" t="s">
        <v>213</v>
      </c>
      <c r="AG50" t="s">
        <v>214</v>
      </c>
      <c r="AH50" t="s">
        <v>215</v>
      </c>
      <c r="AI50" t="s">
        <v>215</v>
      </c>
      <c r="AJ50" t="s">
        <v>613</v>
      </c>
      <c r="AK50" t="s">
        <v>176</v>
      </c>
      <c r="AL50" t="s">
        <v>176</v>
      </c>
      <c r="AN50" t="s">
        <v>614</v>
      </c>
      <c r="AO50" t="s">
        <v>614</v>
      </c>
      <c r="AP50" t="s">
        <v>92</v>
      </c>
      <c r="AR50">
        <v>27.61</v>
      </c>
      <c r="AS50">
        <v>14.08</v>
      </c>
      <c r="AT50">
        <v>1</v>
      </c>
      <c r="AU50">
        <v>14.08</v>
      </c>
      <c r="AV50">
        <v>0</v>
      </c>
      <c r="AX50">
        <v>1.37</v>
      </c>
      <c r="AY50">
        <v>15.45</v>
      </c>
      <c r="BA50" t="s">
        <v>93</v>
      </c>
      <c r="BC50" t="s">
        <v>93</v>
      </c>
      <c r="BD50" t="s">
        <v>128</v>
      </c>
      <c r="BE50">
        <v>13.53</v>
      </c>
      <c r="BF50" s="3">
        <v>0.49</v>
      </c>
      <c r="BI50" t="s">
        <v>80</v>
      </c>
      <c r="BM50" t="s">
        <v>94</v>
      </c>
      <c r="BN50" t="s">
        <v>95</v>
      </c>
      <c r="BP50" t="s">
        <v>609</v>
      </c>
      <c r="BR50" t="s">
        <v>130</v>
      </c>
      <c r="BT50" t="s">
        <v>131</v>
      </c>
      <c r="BU50" t="s">
        <v>132</v>
      </c>
      <c r="BV50" t="str">
        <f>"98109"</f>
        <v>98109</v>
      </c>
      <c r="BW50">
        <v>812</v>
      </c>
      <c r="BX50" t="s">
        <v>2748</v>
      </c>
      <c r="BY50" t="s">
        <v>2628</v>
      </c>
      <c r="BZ50">
        <v>4</v>
      </c>
    </row>
    <row r="51" spans="1:78" x14ac:dyDescent="0.25">
      <c r="A51" s="1">
        <v>44953</v>
      </c>
      <c r="B51" t="s">
        <v>595</v>
      </c>
      <c r="C51" t="s">
        <v>596</v>
      </c>
      <c r="E51">
        <v>11</v>
      </c>
      <c r="F51" t="s">
        <v>76</v>
      </c>
      <c r="G51">
        <v>274.33</v>
      </c>
      <c r="H51">
        <v>0</v>
      </c>
      <c r="I51">
        <v>0</v>
      </c>
      <c r="J51">
        <v>26.71</v>
      </c>
      <c r="K51">
        <v>301.04000000000002</v>
      </c>
      <c r="L51" t="s">
        <v>77</v>
      </c>
      <c r="M51" t="s">
        <v>224</v>
      </c>
      <c r="P51" t="s">
        <v>597</v>
      </c>
      <c r="Q51" t="s">
        <v>598</v>
      </c>
      <c r="R51" t="s">
        <v>80</v>
      </c>
      <c r="S51" t="s">
        <v>80</v>
      </c>
      <c r="T51" t="s">
        <v>80</v>
      </c>
      <c r="U51" t="s">
        <v>80</v>
      </c>
      <c r="V51" t="s">
        <v>80</v>
      </c>
      <c r="W51" t="s">
        <v>599</v>
      </c>
      <c r="X51" s="1">
        <v>44963</v>
      </c>
      <c r="Y51">
        <v>301.04000000000002</v>
      </c>
      <c r="Z51" t="s">
        <v>82</v>
      </c>
      <c r="AA51" t="str">
        <f t="shared" si="1"/>
        <v>1003</v>
      </c>
      <c r="AB51" t="s">
        <v>133</v>
      </c>
      <c r="AC51" t="s">
        <v>615</v>
      </c>
      <c r="AD51" t="s">
        <v>616</v>
      </c>
      <c r="AE51" t="str">
        <f>"47121600"</f>
        <v>47121600</v>
      </c>
      <c r="AF51" t="s">
        <v>144</v>
      </c>
      <c r="AG51" t="s">
        <v>617</v>
      </c>
      <c r="AH51" t="s">
        <v>618</v>
      </c>
      <c r="AI51" t="s">
        <v>618</v>
      </c>
      <c r="AJ51" t="s">
        <v>619</v>
      </c>
      <c r="AK51" t="s">
        <v>620</v>
      </c>
      <c r="AL51" t="s">
        <v>621</v>
      </c>
      <c r="AN51" t="s">
        <v>622</v>
      </c>
      <c r="AO51" t="s">
        <v>622</v>
      </c>
      <c r="AP51" t="s">
        <v>92</v>
      </c>
      <c r="AR51">
        <v>166.66</v>
      </c>
      <c r="AS51">
        <v>139.99</v>
      </c>
      <c r="AT51">
        <v>1</v>
      </c>
      <c r="AU51">
        <v>139.99</v>
      </c>
      <c r="AV51">
        <v>0</v>
      </c>
      <c r="AX51">
        <v>13.65</v>
      </c>
      <c r="AY51">
        <v>153.63999999999999</v>
      </c>
      <c r="BA51" t="s">
        <v>93</v>
      </c>
      <c r="BC51" t="s">
        <v>93</v>
      </c>
      <c r="BI51" t="s">
        <v>80</v>
      </c>
      <c r="BM51" t="s">
        <v>94</v>
      </c>
      <c r="BN51" t="s">
        <v>95</v>
      </c>
      <c r="BP51" t="s">
        <v>609</v>
      </c>
      <c r="BR51" t="s">
        <v>130</v>
      </c>
      <c r="BT51" t="s">
        <v>131</v>
      </c>
      <c r="BU51" t="s">
        <v>132</v>
      </c>
      <c r="BV51" t="str">
        <f>"98109"</f>
        <v>98109</v>
      </c>
      <c r="BW51">
        <v>812</v>
      </c>
      <c r="BX51" t="s">
        <v>2748</v>
      </c>
      <c r="BY51" t="s">
        <v>2628</v>
      </c>
      <c r="BZ51">
        <v>4</v>
      </c>
    </row>
    <row r="52" spans="1:78" x14ac:dyDescent="0.25">
      <c r="A52" s="1">
        <v>44953</v>
      </c>
      <c r="B52" t="s">
        <v>595</v>
      </c>
      <c r="C52" t="s">
        <v>596</v>
      </c>
      <c r="E52">
        <v>11</v>
      </c>
      <c r="F52" t="s">
        <v>76</v>
      </c>
      <c r="G52">
        <v>274.33</v>
      </c>
      <c r="H52">
        <v>0</v>
      </c>
      <c r="I52">
        <v>0</v>
      </c>
      <c r="J52">
        <v>26.71</v>
      </c>
      <c r="K52">
        <v>301.04000000000002</v>
      </c>
      <c r="L52" t="s">
        <v>77</v>
      </c>
      <c r="M52" t="s">
        <v>224</v>
      </c>
      <c r="P52" t="s">
        <v>597</v>
      </c>
      <c r="Q52" t="s">
        <v>598</v>
      </c>
      <c r="R52" t="s">
        <v>80</v>
      </c>
      <c r="S52" t="s">
        <v>80</v>
      </c>
      <c r="T52" t="s">
        <v>80</v>
      </c>
      <c r="U52" t="s">
        <v>80</v>
      </c>
      <c r="V52" t="s">
        <v>80</v>
      </c>
      <c r="W52" t="s">
        <v>599</v>
      </c>
      <c r="X52" s="1">
        <v>44963</v>
      </c>
      <c r="Y52">
        <v>301.04000000000002</v>
      </c>
      <c r="Z52" t="s">
        <v>82</v>
      </c>
      <c r="AA52" t="str">
        <f t="shared" si="1"/>
        <v>1003</v>
      </c>
      <c r="AB52" t="s">
        <v>268</v>
      </c>
      <c r="AC52" t="s">
        <v>623</v>
      </c>
      <c r="AD52" t="s">
        <v>624</v>
      </c>
      <c r="AE52" t="str">
        <f>"47130000"</f>
        <v>47130000</v>
      </c>
      <c r="AF52" t="s">
        <v>144</v>
      </c>
      <c r="AG52" t="s">
        <v>145</v>
      </c>
      <c r="AH52" t="s">
        <v>145</v>
      </c>
      <c r="AI52" t="s">
        <v>145</v>
      </c>
      <c r="AK52" t="s">
        <v>625</v>
      </c>
      <c r="AL52" t="s">
        <v>625</v>
      </c>
      <c r="AO52" t="s">
        <v>626</v>
      </c>
      <c r="AP52" t="s">
        <v>92</v>
      </c>
      <c r="AR52">
        <v>18.989999999999998</v>
      </c>
      <c r="AS52">
        <v>13.99</v>
      </c>
      <c r="AT52">
        <v>2</v>
      </c>
      <c r="AU52">
        <v>27.98</v>
      </c>
      <c r="AV52">
        <v>0</v>
      </c>
      <c r="AX52">
        <v>2.72</v>
      </c>
      <c r="AY52">
        <v>30.7</v>
      </c>
      <c r="BA52" t="s">
        <v>93</v>
      </c>
      <c r="BC52" t="s">
        <v>93</v>
      </c>
      <c r="BI52" t="s">
        <v>80</v>
      </c>
      <c r="BM52" t="s">
        <v>94</v>
      </c>
      <c r="BN52" t="s">
        <v>95</v>
      </c>
      <c r="BP52" t="s">
        <v>609</v>
      </c>
      <c r="BR52" t="s">
        <v>627</v>
      </c>
      <c r="BT52" t="s">
        <v>628</v>
      </c>
      <c r="BU52" t="s">
        <v>523</v>
      </c>
      <c r="BV52" t="str">
        <f>"318050"</f>
        <v>318050</v>
      </c>
      <c r="BW52">
        <v>812</v>
      </c>
      <c r="BX52" t="s">
        <v>2748</v>
      </c>
      <c r="BY52" t="s">
        <v>2628</v>
      </c>
      <c r="BZ52">
        <v>4</v>
      </c>
    </row>
    <row r="53" spans="1:78" x14ac:dyDescent="0.25">
      <c r="A53" s="1">
        <v>44953</v>
      </c>
      <c r="B53" t="s">
        <v>595</v>
      </c>
      <c r="C53" t="s">
        <v>596</v>
      </c>
      <c r="E53">
        <v>11</v>
      </c>
      <c r="F53" t="s">
        <v>76</v>
      </c>
      <c r="G53">
        <v>274.33</v>
      </c>
      <c r="H53">
        <v>0</v>
      </c>
      <c r="I53">
        <v>0</v>
      </c>
      <c r="J53">
        <v>26.71</v>
      </c>
      <c r="K53">
        <v>301.04000000000002</v>
      </c>
      <c r="L53" t="s">
        <v>77</v>
      </c>
      <c r="M53" t="s">
        <v>224</v>
      </c>
      <c r="P53" t="s">
        <v>597</v>
      </c>
      <c r="Q53" t="s">
        <v>598</v>
      </c>
      <c r="R53" t="s">
        <v>80</v>
      </c>
      <c r="S53" t="s">
        <v>80</v>
      </c>
      <c r="T53" t="s">
        <v>80</v>
      </c>
      <c r="U53" t="s">
        <v>80</v>
      </c>
      <c r="V53" t="s">
        <v>80</v>
      </c>
      <c r="W53" t="s">
        <v>599</v>
      </c>
      <c r="X53" s="1">
        <v>44963</v>
      </c>
      <c r="Y53">
        <v>301.04000000000002</v>
      </c>
      <c r="Z53" t="s">
        <v>82</v>
      </c>
      <c r="AA53" t="str">
        <f t="shared" si="1"/>
        <v>1003</v>
      </c>
      <c r="AB53" t="s">
        <v>119</v>
      </c>
      <c r="AC53" t="s">
        <v>629</v>
      </c>
      <c r="AD53" t="s">
        <v>630</v>
      </c>
      <c r="AE53" t="str">
        <f>"14111514"</f>
        <v>14111514</v>
      </c>
      <c r="AF53" t="s">
        <v>213</v>
      </c>
      <c r="AG53" t="s">
        <v>214</v>
      </c>
      <c r="AH53" t="s">
        <v>215</v>
      </c>
      <c r="AI53" t="s">
        <v>631</v>
      </c>
      <c r="AK53" t="s">
        <v>632</v>
      </c>
      <c r="AL53" t="s">
        <v>633</v>
      </c>
      <c r="AN53" t="str">
        <f>"04656"</f>
        <v>04656</v>
      </c>
      <c r="AO53" t="str">
        <f>"04656"</f>
        <v>04656</v>
      </c>
      <c r="AP53" t="s">
        <v>92</v>
      </c>
      <c r="AR53">
        <v>15.99</v>
      </c>
      <c r="AS53">
        <v>14.99</v>
      </c>
      <c r="AT53">
        <v>2</v>
      </c>
      <c r="AU53">
        <v>29.98</v>
      </c>
      <c r="AV53">
        <v>0</v>
      </c>
      <c r="AX53">
        <v>2.92</v>
      </c>
      <c r="AY53">
        <v>32.9</v>
      </c>
      <c r="BA53" t="s">
        <v>93</v>
      </c>
      <c r="BC53" t="s">
        <v>93</v>
      </c>
      <c r="BD53" t="s">
        <v>128</v>
      </c>
      <c r="BE53">
        <v>1</v>
      </c>
      <c r="BF53" s="2">
        <v>6.25E-2</v>
      </c>
      <c r="BI53" t="s">
        <v>80</v>
      </c>
      <c r="BM53" t="s">
        <v>94</v>
      </c>
      <c r="BN53" t="s">
        <v>95</v>
      </c>
      <c r="BP53" t="s">
        <v>609</v>
      </c>
      <c r="BR53" t="s">
        <v>633</v>
      </c>
      <c r="BT53" t="s">
        <v>634</v>
      </c>
      <c r="BU53" t="s">
        <v>540</v>
      </c>
      <c r="BV53" t="str">
        <f>"01752"</f>
        <v>01752</v>
      </c>
      <c r="BW53">
        <v>812</v>
      </c>
      <c r="BX53" t="s">
        <v>2748</v>
      </c>
      <c r="BY53" t="s">
        <v>2628</v>
      </c>
      <c r="BZ53">
        <v>4</v>
      </c>
    </row>
    <row r="54" spans="1:78" x14ac:dyDescent="0.25">
      <c r="A54" s="1">
        <v>44953</v>
      </c>
      <c r="B54" t="s">
        <v>635</v>
      </c>
      <c r="C54" t="s">
        <v>100</v>
      </c>
      <c r="D54" t="s">
        <v>636</v>
      </c>
      <c r="E54">
        <v>8</v>
      </c>
      <c r="F54" t="s">
        <v>76</v>
      </c>
      <c r="G54">
        <v>236.29</v>
      </c>
      <c r="H54">
        <v>0</v>
      </c>
      <c r="I54">
        <v>0</v>
      </c>
      <c r="J54">
        <v>23.06</v>
      </c>
      <c r="K54">
        <v>259.35000000000002</v>
      </c>
      <c r="L54" t="s">
        <v>77</v>
      </c>
      <c r="M54" t="s">
        <v>208</v>
      </c>
      <c r="P54" t="s">
        <v>208</v>
      </c>
      <c r="Q54" t="s">
        <v>209</v>
      </c>
      <c r="R54" t="s">
        <v>80</v>
      </c>
      <c r="S54" t="s">
        <v>80</v>
      </c>
      <c r="T54" t="s">
        <v>80</v>
      </c>
      <c r="U54" t="s">
        <v>80</v>
      </c>
      <c r="V54" t="s">
        <v>80</v>
      </c>
      <c r="W54" t="s">
        <v>637</v>
      </c>
      <c r="X54" s="1">
        <v>44955</v>
      </c>
      <c r="Y54">
        <v>259.35000000000002</v>
      </c>
      <c r="Z54" t="s">
        <v>82</v>
      </c>
      <c r="AA54" t="str">
        <f t="shared" si="1"/>
        <v>1003</v>
      </c>
      <c r="AB54" t="s">
        <v>638</v>
      </c>
      <c r="AC54" t="s">
        <v>639</v>
      </c>
      <c r="AD54" t="s">
        <v>640</v>
      </c>
      <c r="AE54" t="str">
        <f>"47131600"</f>
        <v>47131600</v>
      </c>
      <c r="AF54" t="s">
        <v>144</v>
      </c>
      <c r="AG54" t="s">
        <v>145</v>
      </c>
      <c r="AH54" t="s">
        <v>271</v>
      </c>
      <c r="AI54" t="s">
        <v>271</v>
      </c>
      <c r="AK54" t="s">
        <v>641</v>
      </c>
      <c r="AL54" t="s">
        <v>641</v>
      </c>
      <c r="AN54" t="str">
        <f>"8541814268"</f>
        <v>8541814268</v>
      </c>
      <c r="AO54" t="s">
        <v>642</v>
      </c>
      <c r="AP54" t="s">
        <v>92</v>
      </c>
      <c r="AR54">
        <v>39.99</v>
      </c>
      <c r="AS54">
        <v>23.95</v>
      </c>
      <c r="AT54">
        <v>2</v>
      </c>
      <c r="AU54">
        <v>47.9</v>
      </c>
      <c r="AV54">
        <v>0</v>
      </c>
      <c r="AX54">
        <v>4.68</v>
      </c>
      <c r="AY54">
        <v>52.58</v>
      </c>
      <c r="BA54" t="s">
        <v>93</v>
      </c>
      <c r="BC54" t="s">
        <v>93</v>
      </c>
      <c r="BI54" t="s">
        <v>80</v>
      </c>
      <c r="BM54" t="s">
        <v>94</v>
      </c>
      <c r="BN54" t="s">
        <v>95</v>
      </c>
      <c r="BP54" t="s">
        <v>643</v>
      </c>
      <c r="BR54" t="s">
        <v>644</v>
      </c>
      <c r="BT54" t="s">
        <v>645</v>
      </c>
      <c r="BU54" t="s">
        <v>646</v>
      </c>
      <c r="BV54" t="str">
        <f>"432000"</f>
        <v>432000</v>
      </c>
      <c r="BW54">
        <v>811</v>
      </c>
      <c r="BX54" t="s">
        <v>2749</v>
      </c>
      <c r="BY54" t="s">
        <v>2626</v>
      </c>
      <c r="BZ54">
        <v>4</v>
      </c>
    </row>
    <row r="55" spans="1:78" x14ac:dyDescent="0.25">
      <c r="A55" s="1">
        <v>44953</v>
      </c>
      <c r="B55" t="s">
        <v>635</v>
      </c>
      <c r="C55" t="s">
        <v>100</v>
      </c>
      <c r="D55" t="s">
        <v>636</v>
      </c>
      <c r="E55">
        <v>8</v>
      </c>
      <c r="F55" t="s">
        <v>76</v>
      </c>
      <c r="G55">
        <v>236.29</v>
      </c>
      <c r="H55">
        <v>0</v>
      </c>
      <c r="I55">
        <v>0</v>
      </c>
      <c r="J55">
        <v>23.06</v>
      </c>
      <c r="K55">
        <v>259.35000000000002</v>
      </c>
      <c r="L55" t="s">
        <v>77</v>
      </c>
      <c r="M55" t="s">
        <v>208</v>
      </c>
      <c r="P55" t="s">
        <v>208</v>
      </c>
      <c r="Q55" t="s">
        <v>209</v>
      </c>
      <c r="R55" t="s">
        <v>80</v>
      </c>
      <c r="S55" t="s">
        <v>80</v>
      </c>
      <c r="T55" t="s">
        <v>80</v>
      </c>
      <c r="U55" t="s">
        <v>80</v>
      </c>
      <c r="V55" t="s">
        <v>80</v>
      </c>
      <c r="W55" t="s">
        <v>637</v>
      </c>
      <c r="X55" s="1">
        <v>44955</v>
      </c>
      <c r="Y55">
        <v>259.35000000000002</v>
      </c>
      <c r="Z55" t="s">
        <v>82</v>
      </c>
      <c r="AA55" t="str">
        <f t="shared" si="1"/>
        <v>1003</v>
      </c>
      <c r="AB55" t="s">
        <v>168</v>
      </c>
      <c r="AC55" t="s">
        <v>647</v>
      </c>
      <c r="AD55" t="s">
        <v>648</v>
      </c>
      <c r="AE55" t="str">
        <f>"47131812"</f>
        <v>47131812</v>
      </c>
      <c r="AF55" t="s">
        <v>144</v>
      </c>
      <c r="AG55" t="s">
        <v>145</v>
      </c>
      <c r="AH55" t="s">
        <v>261</v>
      </c>
      <c r="AI55" t="s">
        <v>649</v>
      </c>
      <c r="AJ55" t="s">
        <v>650</v>
      </c>
      <c r="AK55" t="s">
        <v>651</v>
      </c>
      <c r="AL55" t="s">
        <v>652</v>
      </c>
      <c r="AN55" t="str">
        <f>"682262"</f>
        <v>682262</v>
      </c>
      <c r="AO55" t="str">
        <f>"682262"</f>
        <v>682262</v>
      </c>
      <c r="AP55" t="s">
        <v>92</v>
      </c>
      <c r="AR55">
        <v>37.99</v>
      </c>
      <c r="AS55">
        <v>28.99</v>
      </c>
      <c r="AT55">
        <v>1</v>
      </c>
      <c r="AU55">
        <v>28.99</v>
      </c>
      <c r="AV55">
        <v>0</v>
      </c>
      <c r="AX55">
        <v>2.83</v>
      </c>
      <c r="AY55">
        <v>31.82</v>
      </c>
      <c r="BA55" t="s">
        <v>93</v>
      </c>
      <c r="BC55" t="s">
        <v>93</v>
      </c>
      <c r="BI55" t="s">
        <v>80</v>
      </c>
      <c r="BM55" t="s">
        <v>94</v>
      </c>
      <c r="BN55" t="s">
        <v>95</v>
      </c>
      <c r="BP55" t="s">
        <v>643</v>
      </c>
      <c r="BR55" t="s">
        <v>338</v>
      </c>
      <c r="BT55" t="s">
        <v>131</v>
      </c>
      <c r="BU55" t="s">
        <v>339</v>
      </c>
      <c r="BV55" t="str">
        <f>"98109"</f>
        <v>98109</v>
      </c>
      <c r="BW55">
        <v>811</v>
      </c>
      <c r="BX55" t="s">
        <v>2749</v>
      </c>
      <c r="BY55" t="s">
        <v>2626</v>
      </c>
      <c r="BZ55">
        <v>4</v>
      </c>
    </row>
    <row r="56" spans="1:78" x14ac:dyDescent="0.25">
      <c r="A56" s="1">
        <v>44953</v>
      </c>
      <c r="B56" t="s">
        <v>635</v>
      </c>
      <c r="C56" t="s">
        <v>100</v>
      </c>
      <c r="D56" t="s">
        <v>636</v>
      </c>
      <c r="E56">
        <v>8</v>
      </c>
      <c r="F56" t="s">
        <v>76</v>
      </c>
      <c r="G56">
        <v>236.29</v>
      </c>
      <c r="H56">
        <v>0</v>
      </c>
      <c r="I56">
        <v>0</v>
      </c>
      <c r="J56">
        <v>23.06</v>
      </c>
      <c r="K56">
        <v>259.35000000000002</v>
      </c>
      <c r="L56" t="s">
        <v>77</v>
      </c>
      <c r="M56" t="s">
        <v>208</v>
      </c>
      <c r="P56" t="s">
        <v>208</v>
      </c>
      <c r="Q56" t="s">
        <v>209</v>
      </c>
      <c r="R56" t="s">
        <v>80</v>
      </c>
      <c r="S56" t="s">
        <v>80</v>
      </c>
      <c r="T56" t="s">
        <v>80</v>
      </c>
      <c r="U56" t="s">
        <v>80</v>
      </c>
      <c r="V56" t="s">
        <v>80</v>
      </c>
      <c r="W56" t="s">
        <v>637</v>
      </c>
      <c r="X56" s="1">
        <v>44955</v>
      </c>
      <c r="Y56">
        <v>259.35000000000002</v>
      </c>
      <c r="Z56" t="s">
        <v>82</v>
      </c>
      <c r="AA56" t="str">
        <f t="shared" si="1"/>
        <v>1003</v>
      </c>
      <c r="AB56" t="s">
        <v>653</v>
      </c>
      <c r="AC56" t="s">
        <v>654</v>
      </c>
      <c r="AD56" t="s">
        <v>655</v>
      </c>
      <c r="AE56" t="str">
        <f>"56000000"</f>
        <v>56000000</v>
      </c>
      <c r="AF56" t="s">
        <v>159</v>
      </c>
      <c r="AG56" t="s">
        <v>159</v>
      </c>
      <c r="AH56" t="s">
        <v>159</v>
      </c>
      <c r="AI56" t="s">
        <v>159</v>
      </c>
      <c r="AK56" t="s">
        <v>656</v>
      </c>
      <c r="AL56" t="s">
        <v>656</v>
      </c>
      <c r="AN56" t="s">
        <v>657</v>
      </c>
      <c r="AO56" t="s">
        <v>657</v>
      </c>
      <c r="AP56" t="s">
        <v>92</v>
      </c>
      <c r="AR56">
        <v>39.979999999999997</v>
      </c>
      <c r="AS56">
        <v>31.88</v>
      </c>
      <c r="AT56">
        <v>5</v>
      </c>
      <c r="AU56">
        <v>159.4</v>
      </c>
      <c r="AV56">
        <v>0</v>
      </c>
      <c r="AX56">
        <v>15.55</v>
      </c>
      <c r="AY56">
        <v>174.95</v>
      </c>
      <c r="BA56" t="s">
        <v>93</v>
      </c>
      <c r="BC56" t="s">
        <v>93</v>
      </c>
      <c r="BI56" t="s">
        <v>80</v>
      </c>
      <c r="BM56" t="s">
        <v>94</v>
      </c>
      <c r="BN56" t="s">
        <v>95</v>
      </c>
      <c r="BP56" t="s">
        <v>643</v>
      </c>
      <c r="BR56" t="s">
        <v>658</v>
      </c>
      <c r="BT56" t="s">
        <v>659</v>
      </c>
      <c r="BU56" t="s">
        <v>660</v>
      </c>
      <c r="BV56" t="str">
        <f>"335400"</f>
        <v>335400</v>
      </c>
      <c r="BW56">
        <v>811</v>
      </c>
      <c r="BX56" t="s">
        <v>2749</v>
      </c>
      <c r="BY56" t="s">
        <v>2626</v>
      </c>
      <c r="BZ56">
        <v>4</v>
      </c>
    </row>
    <row r="57" spans="1:78" x14ac:dyDescent="0.25">
      <c r="A57" s="1">
        <v>44953</v>
      </c>
      <c r="B57" t="s">
        <v>661</v>
      </c>
      <c r="C57" t="s">
        <v>662</v>
      </c>
      <c r="E57">
        <v>1</v>
      </c>
      <c r="F57" t="s">
        <v>76</v>
      </c>
      <c r="G57">
        <v>64.290000000000006</v>
      </c>
      <c r="H57">
        <v>0</v>
      </c>
      <c r="I57">
        <v>0</v>
      </c>
      <c r="J57">
        <v>6.62</v>
      </c>
      <c r="K57">
        <v>70.91</v>
      </c>
      <c r="L57" t="s">
        <v>77</v>
      </c>
      <c r="P57" t="s">
        <v>663</v>
      </c>
      <c r="Q57" t="s">
        <v>664</v>
      </c>
      <c r="R57" t="s">
        <v>80</v>
      </c>
      <c r="S57" t="s">
        <v>80</v>
      </c>
      <c r="T57" t="s">
        <v>80</v>
      </c>
      <c r="U57" t="s">
        <v>80</v>
      </c>
      <c r="V57" t="s">
        <v>80</v>
      </c>
      <c r="W57" t="s">
        <v>665</v>
      </c>
      <c r="X57" s="1">
        <v>44954</v>
      </c>
      <c r="Y57">
        <v>70.91</v>
      </c>
      <c r="Z57" t="s">
        <v>82</v>
      </c>
      <c r="AA57" t="str">
        <f t="shared" si="1"/>
        <v>1003</v>
      </c>
      <c r="AB57" t="s">
        <v>119</v>
      </c>
      <c r="AC57" t="s">
        <v>666</v>
      </c>
      <c r="AD57" t="s">
        <v>667</v>
      </c>
      <c r="AE57" t="str">
        <f>"44111900"</f>
        <v>44111900</v>
      </c>
      <c r="AF57" t="s">
        <v>108</v>
      </c>
      <c r="AG57" t="s">
        <v>122</v>
      </c>
      <c r="AH57" t="s">
        <v>438</v>
      </c>
      <c r="AI57" t="s">
        <v>438</v>
      </c>
      <c r="AK57" t="s">
        <v>668</v>
      </c>
      <c r="AL57" t="s">
        <v>668</v>
      </c>
      <c r="AO57" t="s">
        <v>669</v>
      </c>
      <c r="AP57" t="s">
        <v>92</v>
      </c>
      <c r="AR57">
        <v>76.989999999999995</v>
      </c>
      <c r="AS57">
        <v>64.290000000000006</v>
      </c>
      <c r="AT57">
        <v>1</v>
      </c>
      <c r="AU57">
        <v>64.290000000000006</v>
      </c>
      <c r="AV57">
        <v>0</v>
      </c>
      <c r="AX57">
        <v>6.62</v>
      </c>
      <c r="AY57">
        <v>70.91</v>
      </c>
      <c r="BA57" t="s">
        <v>93</v>
      </c>
      <c r="BC57" t="s">
        <v>93</v>
      </c>
      <c r="BD57" t="s">
        <v>128</v>
      </c>
      <c r="BE57">
        <v>12.7</v>
      </c>
      <c r="BF57" s="2">
        <v>0.16500000000000001</v>
      </c>
      <c r="BI57" t="s">
        <v>80</v>
      </c>
      <c r="BM57" t="s">
        <v>372</v>
      </c>
      <c r="BN57" t="s">
        <v>373</v>
      </c>
      <c r="BP57" t="s">
        <v>294</v>
      </c>
      <c r="BR57" t="s">
        <v>670</v>
      </c>
      <c r="BT57" t="s">
        <v>671</v>
      </c>
      <c r="BU57" t="s">
        <v>672</v>
      </c>
      <c r="BV57" t="str">
        <f>"215131"</f>
        <v>215131</v>
      </c>
      <c r="BW57">
        <v>879</v>
      </c>
      <c r="BX57" t="s">
        <v>2734</v>
      </c>
      <c r="BY57" t="s">
        <v>2673</v>
      </c>
      <c r="BZ57">
        <v>4</v>
      </c>
    </row>
    <row r="58" spans="1:78" x14ac:dyDescent="0.25">
      <c r="A58" s="1">
        <v>44953</v>
      </c>
      <c r="B58" t="s">
        <v>673</v>
      </c>
      <c r="C58" t="s">
        <v>223</v>
      </c>
      <c r="E58">
        <v>2</v>
      </c>
      <c r="F58" t="s">
        <v>76</v>
      </c>
      <c r="G58">
        <v>149.97999999999999</v>
      </c>
      <c r="H58">
        <v>0</v>
      </c>
      <c r="I58">
        <v>0</v>
      </c>
      <c r="J58">
        <v>9.94</v>
      </c>
      <c r="K58">
        <v>159.91999999999999</v>
      </c>
      <c r="L58" t="s">
        <v>77</v>
      </c>
      <c r="P58" t="s">
        <v>225</v>
      </c>
      <c r="Q58" t="s">
        <v>226</v>
      </c>
      <c r="R58" t="s">
        <v>80</v>
      </c>
      <c r="S58" t="s">
        <v>80</v>
      </c>
      <c r="T58" t="s">
        <v>80</v>
      </c>
      <c r="U58" t="s">
        <v>80</v>
      </c>
      <c r="V58" t="s">
        <v>80</v>
      </c>
      <c r="W58" t="s">
        <v>674</v>
      </c>
      <c r="X58" s="1">
        <v>44954</v>
      </c>
      <c r="Y58">
        <v>159.91999999999999</v>
      </c>
      <c r="Z58" t="s">
        <v>82</v>
      </c>
      <c r="AA58" t="str">
        <f t="shared" si="1"/>
        <v>1003</v>
      </c>
      <c r="AB58" t="s">
        <v>675</v>
      </c>
      <c r="AC58" t="s">
        <v>676</v>
      </c>
      <c r="AD58" t="s">
        <v>677</v>
      </c>
      <c r="AE58" t="str">
        <f>"31151900"</f>
        <v>31151900</v>
      </c>
      <c r="AF58" t="s">
        <v>398</v>
      </c>
      <c r="AG58" t="s">
        <v>399</v>
      </c>
      <c r="AH58" t="s">
        <v>400</v>
      </c>
      <c r="AI58" t="s">
        <v>400</v>
      </c>
      <c r="AK58" t="s">
        <v>678</v>
      </c>
      <c r="AL58" t="s">
        <v>678</v>
      </c>
      <c r="AP58" t="s">
        <v>92</v>
      </c>
      <c r="AR58">
        <v>89.99</v>
      </c>
      <c r="AS58">
        <v>74.989999999999995</v>
      </c>
      <c r="AT58">
        <v>2</v>
      </c>
      <c r="AU58">
        <v>149.97999999999999</v>
      </c>
      <c r="AV58">
        <v>0</v>
      </c>
      <c r="AX58">
        <v>9.94</v>
      </c>
      <c r="AY58">
        <v>159.91999999999999</v>
      </c>
      <c r="BA58" t="s">
        <v>93</v>
      </c>
      <c r="BC58" t="s">
        <v>93</v>
      </c>
      <c r="BI58" t="s">
        <v>80</v>
      </c>
      <c r="BM58" t="s">
        <v>94</v>
      </c>
      <c r="BN58" t="s">
        <v>95</v>
      </c>
      <c r="BP58" t="s">
        <v>532</v>
      </c>
      <c r="BR58" t="s">
        <v>678</v>
      </c>
      <c r="BT58" t="s">
        <v>679</v>
      </c>
      <c r="BU58" t="s">
        <v>523</v>
      </c>
      <c r="BV58" t="str">
        <f>"315100"</f>
        <v>315100</v>
      </c>
      <c r="BW58">
        <v>825</v>
      </c>
      <c r="BX58" t="s">
        <v>2747</v>
      </c>
      <c r="BY58" t="s">
        <v>2649</v>
      </c>
      <c r="BZ58">
        <v>4</v>
      </c>
    </row>
    <row r="59" spans="1:78" x14ac:dyDescent="0.25">
      <c r="A59" s="1">
        <v>44953</v>
      </c>
      <c r="B59" t="s">
        <v>680</v>
      </c>
      <c r="C59" t="s">
        <v>223</v>
      </c>
      <c r="E59">
        <v>6</v>
      </c>
      <c r="F59" t="s">
        <v>76</v>
      </c>
      <c r="G59">
        <v>437.94</v>
      </c>
      <c r="H59">
        <v>0</v>
      </c>
      <c r="I59">
        <v>0</v>
      </c>
      <c r="J59">
        <v>29.04</v>
      </c>
      <c r="K59">
        <v>466.98</v>
      </c>
      <c r="L59" t="s">
        <v>77</v>
      </c>
      <c r="M59" t="s">
        <v>224</v>
      </c>
      <c r="P59" t="s">
        <v>225</v>
      </c>
      <c r="Q59" t="s">
        <v>226</v>
      </c>
      <c r="R59" t="s">
        <v>80</v>
      </c>
      <c r="S59" t="s">
        <v>80</v>
      </c>
      <c r="T59" t="s">
        <v>80</v>
      </c>
      <c r="U59" t="s">
        <v>80</v>
      </c>
      <c r="V59" t="s">
        <v>80</v>
      </c>
      <c r="W59" t="s">
        <v>681</v>
      </c>
      <c r="X59" s="1">
        <v>44955</v>
      </c>
      <c r="Y59">
        <v>466.98</v>
      </c>
      <c r="Z59" t="s">
        <v>82</v>
      </c>
      <c r="AA59" t="str">
        <f t="shared" si="1"/>
        <v>1003</v>
      </c>
      <c r="AB59" t="s">
        <v>268</v>
      </c>
      <c r="AC59" t="s">
        <v>682</v>
      </c>
      <c r="AD59" t="s">
        <v>683</v>
      </c>
      <c r="AE59" t="str">
        <f>"52141502"</f>
        <v>52141502</v>
      </c>
      <c r="AF59" t="s">
        <v>684</v>
      </c>
      <c r="AG59" t="s">
        <v>685</v>
      </c>
      <c r="AH59" t="s">
        <v>686</v>
      </c>
      <c r="AI59" t="s">
        <v>687</v>
      </c>
      <c r="AJ59" t="s">
        <v>688</v>
      </c>
      <c r="AK59" t="s">
        <v>689</v>
      </c>
      <c r="AL59" t="s">
        <v>689</v>
      </c>
      <c r="AN59" t="s">
        <v>690</v>
      </c>
      <c r="AO59" t="s">
        <v>690</v>
      </c>
      <c r="AP59" t="s">
        <v>92</v>
      </c>
      <c r="AR59">
        <v>81.99</v>
      </c>
      <c r="AS59">
        <v>72.989999999999995</v>
      </c>
      <c r="AT59">
        <v>6</v>
      </c>
      <c r="AU59">
        <v>437.94</v>
      </c>
      <c r="AV59">
        <v>0</v>
      </c>
      <c r="AX59">
        <v>29.04</v>
      </c>
      <c r="AY59">
        <v>466.98</v>
      </c>
      <c r="BA59" t="s">
        <v>93</v>
      </c>
      <c r="BC59" t="s">
        <v>93</v>
      </c>
      <c r="BI59" t="s">
        <v>80</v>
      </c>
      <c r="BM59" t="s">
        <v>94</v>
      </c>
      <c r="BN59" t="s">
        <v>95</v>
      </c>
      <c r="BP59" t="s">
        <v>235</v>
      </c>
      <c r="BR59" t="s">
        <v>338</v>
      </c>
      <c r="BT59" t="s">
        <v>131</v>
      </c>
      <c r="BU59" t="s">
        <v>339</v>
      </c>
      <c r="BV59" t="str">
        <f>"98109"</f>
        <v>98109</v>
      </c>
      <c r="BW59">
        <v>909</v>
      </c>
      <c r="BX59" t="s">
        <v>2732</v>
      </c>
      <c r="BY59" t="s">
        <v>2719</v>
      </c>
      <c r="BZ59">
        <v>4</v>
      </c>
    </row>
    <row r="60" spans="1:78" x14ac:dyDescent="0.25">
      <c r="A60" s="1">
        <v>44952</v>
      </c>
      <c r="B60" t="s">
        <v>691</v>
      </c>
      <c r="C60" t="s">
        <v>100</v>
      </c>
      <c r="D60" t="s">
        <v>692</v>
      </c>
      <c r="E60">
        <v>2</v>
      </c>
      <c r="F60" t="s">
        <v>76</v>
      </c>
      <c r="G60">
        <v>43.48</v>
      </c>
      <c r="H60">
        <v>0</v>
      </c>
      <c r="I60">
        <v>0</v>
      </c>
      <c r="J60">
        <v>3.25</v>
      </c>
      <c r="K60">
        <v>46.73</v>
      </c>
      <c r="L60" t="s">
        <v>77</v>
      </c>
      <c r="P60" t="s">
        <v>224</v>
      </c>
      <c r="Q60" t="s">
        <v>434</v>
      </c>
      <c r="R60" t="s">
        <v>80</v>
      </c>
      <c r="S60" t="s">
        <v>80</v>
      </c>
      <c r="T60" t="s">
        <v>80</v>
      </c>
      <c r="U60" t="s">
        <v>80</v>
      </c>
      <c r="V60" t="s">
        <v>80</v>
      </c>
      <c r="W60" t="s">
        <v>693</v>
      </c>
      <c r="X60" s="1">
        <v>44956</v>
      </c>
      <c r="Y60">
        <v>46.73</v>
      </c>
      <c r="Z60" t="s">
        <v>82</v>
      </c>
      <c r="AA60" t="str">
        <f t="shared" si="1"/>
        <v>1003</v>
      </c>
      <c r="AB60" t="s">
        <v>119</v>
      </c>
      <c r="AC60" t="s">
        <v>694</v>
      </c>
      <c r="AD60" t="s">
        <v>695</v>
      </c>
      <c r="AE60" t="str">
        <f>"55121600"</f>
        <v>55121600</v>
      </c>
      <c r="AF60" t="s">
        <v>195</v>
      </c>
      <c r="AG60" t="s">
        <v>196</v>
      </c>
      <c r="AH60" t="s">
        <v>197</v>
      </c>
      <c r="AI60" t="s">
        <v>197</v>
      </c>
      <c r="AK60" t="s">
        <v>696</v>
      </c>
      <c r="AL60" t="s">
        <v>696</v>
      </c>
      <c r="AO60" t="s">
        <v>697</v>
      </c>
      <c r="AP60" t="s">
        <v>92</v>
      </c>
      <c r="AR60">
        <v>16.989999999999998</v>
      </c>
      <c r="AS60">
        <v>14.59</v>
      </c>
      <c r="AT60">
        <v>1</v>
      </c>
      <c r="AU60">
        <v>14.59</v>
      </c>
      <c r="AV60">
        <v>0</v>
      </c>
      <c r="AX60">
        <v>1.0900000000000001</v>
      </c>
      <c r="AY60">
        <v>15.68</v>
      </c>
      <c r="BA60" t="s">
        <v>93</v>
      </c>
      <c r="BC60" t="s">
        <v>93</v>
      </c>
      <c r="BI60" t="s">
        <v>80</v>
      </c>
      <c r="BM60" t="s">
        <v>94</v>
      </c>
      <c r="BN60" t="s">
        <v>95</v>
      </c>
      <c r="BP60" t="s">
        <v>698</v>
      </c>
      <c r="BR60" t="s">
        <v>699</v>
      </c>
      <c r="BT60" t="s">
        <v>700</v>
      </c>
      <c r="BU60" t="s">
        <v>701</v>
      </c>
      <c r="BV60" t="str">
        <f>"523000"</f>
        <v>523000</v>
      </c>
      <c r="BW60">
        <v>839</v>
      </c>
      <c r="BX60" t="s">
        <v>2750</v>
      </c>
      <c r="BY60" t="s">
        <v>2659</v>
      </c>
      <c r="BZ60">
        <v>4</v>
      </c>
    </row>
    <row r="61" spans="1:78" x14ac:dyDescent="0.25">
      <c r="A61" s="1">
        <v>44952</v>
      </c>
      <c r="B61" t="s">
        <v>691</v>
      </c>
      <c r="C61" t="s">
        <v>100</v>
      </c>
      <c r="D61" t="s">
        <v>692</v>
      </c>
      <c r="E61">
        <v>2</v>
      </c>
      <c r="F61" t="s">
        <v>76</v>
      </c>
      <c r="G61">
        <v>43.48</v>
      </c>
      <c r="H61">
        <v>0</v>
      </c>
      <c r="I61">
        <v>0</v>
      </c>
      <c r="J61">
        <v>3.25</v>
      </c>
      <c r="K61">
        <v>46.73</v>
      </c>
      <c r="L61" t="s">
        <v>77</v>
      </c>
      <c r="P61" t="s">
        <v>224</v>
      </c>
      <c r="Q61" t="s">
        <v>434</v>
      </c>
      <c r="R61" t="s">
        <v>80</v>
      </c>
      <c r="S61" t="s">
        <v>80</v>
      </c>
      <c r="T61" t="s">
        <v>80</v>
      </c>
      <c r="U61" t="s">
        <v>80</v>
      </c>
      <c r="V61" t="s">
        <v>80</v>
      </c>
      <c r="W61" t="s">
        <v>693</v>
      </c>
      <c r="X61" s="1">
        <v>44956</v>
      </c>
      <c r="Y61">
        <v>46.73</v>
      </c>
      <c r="Z61" t="s">
        <v>82</v>
      </c>
      <c r="AA61" t="str">
        <f t="shared" si="1"/>
        <v>1003</v>
      </c>
      <c r="AB61" t="s">
        <v>105</v>
      </c>
      <c r="AC61" t="s">
        <v>702</v>
      </c>
      <c r="AD61" t="s">
        <v>703</v>
      </c>
      <c r="AE61" t="str">
        <f>"26121600"</f>
        <v>26121600</v>
      </c>
      <c r="AF61" t="s">
        <v>171</v>
      </c>
      <c r="AG61" t="s">
        <v>423</v>
      </c>
      <c r="AH61" t="s">
        <v>424</v>
      </c>
      <c r="AI61" t="s">
        <v>424</v>
      </c>
      <c r="AK61" t="s">
        <v>704</v>
      </c>
      <c r="AL61" t="s">
        <v>704</v>
      </c>
      <c r="AP61" t="s">
        <v>92</v>
      </c>
      <c r="AR61">
        <v>28.89</v>
      </c>
      <c r="AS61">
        <v>28.89</v>
      </c>
      <c r="AT61">
        <v>1</v>
      </c>
      <c r="AU61">
        <v>28.89</v>
      </c>
      <c r="AV61">
        <v>0</v>
      </c>
      <c r="AX61">
        <v>2.16</v>
      </c>
      <c r="AY61">
        <v>31.05</v>
      </c>
      <c r="BA61" t="s">
        <v>93</v>
      </c>
      <c r="BC61" t="s">
        <v>93</v>
      </c>
      <c r="BD61" t="s">
        <v>128</v>
      </c>
      <c r="BI61" t="s">
        <v>80</v>
      </c>
      <c r="BM61" t="s">
        <v>94</v>
      </c>
      <c r="BN61" t="s">
        <v>95</v>
      </c>
      <c r="BP61" t="s">
        <v>698</v>
      </c>
      <c r="BR61" t="s">
        <v>705</v>
      </c>
      <c r="BW61">
        <v>839</v>
      </c>
      <c r="BX61" t="s">
        <v>2750</v>
      </c>
      <c r="BY61" t="s">
        <v>2659</v>
      </c>
      <c r="BZ61">
        <v>4</v>
      </c>
    </row>
    <row r="62" spans="1:78" x14ac:dyDescent="0.25">
      <c r="A62" s="1">
        <v>44951</v>
      </c>
      <c r="B62" t="s">
        <v>706</v>
      </c>
      <c r="C62" t="s">
        <v>100</v>
      </c>
      <c r="D62" t="s">
        <v>707</v>
      </c>
      <c r="E62">
        <v>3</v>
      </c>
      <c r="F62" t="s">
        <v>76</v>
      </c>
      <c r="G62">
        <v>91.13</v>
      </c>
      <c r="H62">
        <v>0</v>
      </c>
      <c r="I62">
        <v>0</v>
      </c>
      <c r="J62">
        <v>7.05</v>
      </c>
      <c r="K62">
        <v>98.18</v>
      </c>
      <c r="L62" t="s">
        <v>77</v>
      </c>
      <c r="P62" t="s">
        <v>102</v>
      </c>
      <c r="Q62" t="s">
        <v>103</v>
      </c>
      <c r="R62" t="s">
        <v>80</v>
      </c>
      <c r="S62" t="s">
        <v>80</v>
      </c>
      <c r="T62" t="s">
        <v>80</v>
      </c>
      <c r="U62" t="s">
        <v>80</v>
      </c>
      <c r="V62" t="s">
        <v>80</v>
      </c>
      <c r="W62" t="s">
        <v>708</v>
      </c>
      <c r="X62" s="1">
        <v>44952</v>
      </c>
      <c r="Y62">
        <v>98.18</v>
      </c>
      <c r="Z62" t="s">
        <v>82</v>
      </c>
      <c r="AA62" t="str">
        <f t="shared" si="1"/>
        <v>1003</v>
      </c>
      <c r="AB62" t="s">
        <v>119</v>
      </c>
      <c r="AC62" t="s">
        <v>709</v>
      </c>
      <c r="AD62" t="s">
        <v>710</v>
      </c>
      <c r="AE62" t="str">
        <f>"49211805"</f>
        <v>49211805</v>
      </c>
      <c r="AF62" t="s">
        <v>711</v>
      </c>
      <c r="AG62" t="s">
        <v>712</v>
      </c>
      <c r="AH62" t="s">
        <v>713</v>
      </c>
      <c r="AI62" t="s">
        <v>714</v>
      </c>
      <c r="AK62" t="s">
        <v>715</v>
      </c>
      <c r="AL62" t="s">
        <v>715</v>
      </c>
      <c r="AN62" t="s">
        <v>716</v>
      </c>
      <c r="AO62" t="s">
        <v>716</v>
      </c>
      <c r="AP62" t="s">
        <v>92</v>
      </c>
      <c r="AR62">
        <v>19.899999999999999</v>
      </c>
      <c r="AS62">
        <v>16.57</v>
      </c>
      <c r="AT62">
        <v>2</v>
      </c>
      <c r="AU62">
        <v>33.14</v>
      </c>
      <c r="AV62">
        <v>0</v>
      </c>
      <c r="AX62">
        <v>2.56</v>
      </c>
      <c r="AY62">
        <v>35.700000000000003</v>
      </c>
      <c r="BA62" t="s">
        <v>93</v>
      </c>
      <c r="BC62" t="s">
        <v>93</v>
      </c>
      <c r="BI62" t="s">
        <v>80</v>
      </c>
      <c r="BM62" t="s">
        <v>572</v>
      </c>
      <c r="BN62" t="s">
        <v>95</v>
      </c>
      <c r="BP62" t="s">
        <v>221</v>
      </c>
      <c r="BR62" t="s">
        <v>715</v>
      </c>
      <c r="BT62" t="s">
        <v>587</v>
      </c>
      <c r="BU62" t="s">
        <v>296</v>
      </c>
      <c r="BV62" t="str">
        <f>"518000"</f>
        <v>518000</v>
      </c>
      <c r="BW62">
        <v>889</v>
      </c>
      <c r="BX62" t="s">
        <v>2731</v>
      </c>
      <c r="BY62" t="s">
        <v>2687</v>
      </c>
      <c r="BZ62">
        <v>4</v>
      </c>
    </row>
    <row r="63" spans="1:78" x14ac:dyDescent="0.25">
      <c r="A63" s="1">
        <v>44951</v>
      </c>
      <c r="B63" t="s">
        <v>706</v>
      </c>
      <c r="C63" t="s">
        <v>100</v>
      </c>
      <c r="D63" t="s">
        <v>707</v>
      </c>
      <c r="E63">
        <v>3</v>
      </c>
      <c r="F63" t="s">
        <v>76</v>
      </c>
      <c r="G63">
        <v>91.13</v>
      </c>
      <c r="H63">
        <v>0</v>
      </c>
      <c r="I63">
        <v>0</v>
      </c>
      <c r="J63">
        <v>7.05</v>
      </c>
      <c r="K63">
        <v>98.18</v>
      </c>
      <c r="L63" t="s">
        <v>77</v>
      </c>
      <c r="P63" t="s">
        <v>102</v>
      </c>
      <c r="Q63" t="s">
        <v>103</v>
      </c>
      <c r="R63" t="s">
        <v>80</v>
      </c>
      <c r="S63" t="s">
        <v>80</v>
      </c>
      <c r="T63" t="s">
        <v>80</v>
      </c>
      <c r="U63" t="s">
        <v>80</v>
      </c>
      <c r="V63" t="s">
        <v>80</v>
      </c>
      <c r="W63" t="s">
        <v>708</v>
      </c>
      <c r="X63" s="1">
        <v>44952</v>
      </c>
      <c r="Y63">
        <v>98.18</v>
      </c>
      <c r="Z63" t="s">
        <v>82</v>
      </c>
      <c r="AA63" t="str">
        <f t="shared" si="1"/>
        <v>1003</v>
      </c>
      <c r="AB63" t="s">
        <v>168</v>
      </c>
      <c r="AC63" t="s">
        <v>717</v>
      </c>
      <c r="AD63" t="s">
        <v>718</v>
      </c>
      <c r="AE63" t="str">
        <f>"14111701"</f>
        <v>14111701</v>
      </c>
      <c r="AF63" t="s">
        <v>213</v>
      </c>
      <c r="AG63" t="s">
        <v>214</v>
      </c>
      <c r="AH63" t="s">
        <v>719</v>
      </c>
      <c r="AI63" t="s">
        <v>720</v>
      </c>
      <c r="AJ63" t="s">
        <v>721</v>
      </c>
      <c r="AK63" t="s">
        <v>722</v>
      </c>
      <c r="AL63" t="s">
        <v>723</v>
      </c>
      <c r="AN63" t="str">
        <f>"21400"</f>
        <v>21400</v>
      </c>
      <c r="AO63" t="s">
        <v>724</v>
      </c>
      <c r="AP63" t="s">
        <v>92</v>
      </c>
      <c r="AR63">
        <v>57.99</v>
      </c>
      <c r="AS63">
        <v>57.99</v>
      </c>
      <c r="AT63">
        <v>1</v>
      </c>
      <c r="AU63">
        <v>57.99</v>
      </c>
      <c r="AV63">
        <v>0</v>
      </c>
      <c r="AX63">
        <v>4.49</v>
      </c>
      <c r="AY63">
        <v>62.48</v>
      </c>
      <c r="BA63" t="s">
        <v>93</v>
      </c>
      <c r="BC63" t="s">
        <v>93</v>
      </c>
      <c r="BI63" t="s">
        <v>80</v>
      </c>
      <c r="BM63" t="s">
        <v>572</v>
      </c>
      <c r="BN63" t="s">
        <v>95</v>
      </c>
      <c r="BP63" t="s">
        <v>221</v>
      </c>
      <c r="BR63" t="s">
        <v>338</v>
      </c>
      <c r="BT63" t="s">
        <v>131</v>
      </c>
      <c r="BU63" t="s">
        <v>339</v>
      </c>
      <c r="BV63" t="str">
        <f>"98109"</f>
        <v>98109</v>
      </c>
      <c r="BW63">
        <v>889</v>
      </c>
      <c r="BX63" t="s">
        <v>2731</v>
      </c>
      <c r="BY63" t="s">
        <v>2687</v>
      </c>
      <c r="BZ63">
        <v>4</v>
      </c>
    </row>
    <row r="64" spans="1:78" x14ac:dyDescent="0.25">
      <c r="A64" s="1">
        <v>44951</v>
      </c>
      <c r="B64" t="s">
        <v>725</v>
      </c>
      <c r="C64" t="s">
        <v>100</v>
      </c>
      <c r="D64" t="s">
        <v>707</v>
      </c>
      <c r="E64">
        <v>1</v>
      </c>
      <c r="F64" t="s">
        <v>76</v>
      </c>
      <c r="G64">
        <v>17.5</v>
      </c>
      <c r="H64">
        <v>0</v>
      </c>
      <c r="I64">
        <v>0</v>
      </c>
      <c r="J64">
        <v>1.36</v>
      </c>
      <c r="K64">
        <v>18.86</v>
      </c>
      <c r="L64" t="s">
        <v>77</v>
      </c>
      <c r="P64" t="s">
        <v>102</v>
      </c>
      <c r="Q64" t="s">
        <v>103</v>
      </c>
      <c r="R64" t="s">
        <v>80</v>
      </c>
      <c r="S64" t="s">
        <v>80</v>
      </c>
      <c r="T64" t="s">
        <v>80</v>
      </c>
      <c r="U64" t="s">
        <v>80</v>
      </c>
      <c r="V64" t="s">
        <v>80</v>
      </c>
      <c r="W64" t="s">
        <v>726</v>
      </c>
      <c r="X64" s="1">
        <v>44959</v>
      </c>
      <c r="Y64">
        <v>18.86</v>
      </c>
      <c r="Z64" t="s">
        <v>82</v>
      </c>
      <c r="AA64" t="str">
        <f t="shared" si="1"/>
        <v>1003</v>
      </c>
      <c r="AB64" t="s">
        <v>168</v>
      </c>
      <c r="AC64" t="s">
        <v>727</v>
      </c>
      <c r="AD64" t="s">
        <v>728</v>
      </c>
      <c r="AE64" t="str">
        <f>"47131502"</f>
        <v>47131502</v>
      </c>
      <c r="AF64" t="s">
        <v>144</v>
      </c>
      <c r="AG64" t="s">
        <v>145</v>
      </c>
      <c r="AH64" t="s">
        <v>729</v>
      </c>
      <c r="AI64" t="s">
        <v>730</v>
      </c>
      <c r="AJ64" t="s">
        <v>731</v>
      </c>
      <c r="AK64" t="s">
        <v>732</v>
      </c>
      <c r="AL64" t="s">
        <v>733</v>
      </c>
      <c r="AP64" t="s">
        <v>92</v>
      </c>
      <c r="AR64">
        <v>26.99</v>
      </c>
      <c r="AS64">
        <v>17.5</v>
      </c>
      <c r="AT64">
        <v>1</v>
      </c>
      <c r="AU64">
        <v>17.5</v>
      </c>
      <c r="AV64">
        <v>0</v>
      </c>
      <c r="AX64">
        <v>1.36</v>
      </c>
      <c r="AY64">
        <v>18.86</v>
      </c>
      <c r="BA64" t="s">
        <v>93</v>
      </c>
      <c r="BC64" t="s">
        <v>93</v>
      </c>
      <c r="BI64" t="s">
        <v>80</v>
      </c>
      <c r="BM64" t="s">
        <v>572</v>
      </c>
      <c r="BN64" t="s">
        <v>95</v>
      </c>
      <c r="BP64" t="s">
        <v>221</v>
      </c>
      <c r="BR64" t="s">
        <v>734</v>
      </c>
      <c r="BT64" t="s">
        <v>735</v>
      </c>
      <c r="BU64" t="s">
        <v>115</v>
      </c>
      <c r="BV64" t="str">
        <f>"92843"</f>
        <v>92843</v>
      </c>
      <c r="BW64">
        <v>889</v>
      </c>
      <c r="BX64" t="s">
        <v>2731</v>
      </c>
      <c r="BY64" t="s">
        <v>2687</v>
      </c>
      <c r="BZ64">
        <v>4</v>
      </c>
    </row>
    <row r="65" spans="1:78" x14ac:dyDescent="0.25">
      <c r="A65" s="1">
        <v>44951</v>
      </c>
      <c r="B65" t="s">
        <v>736</v>
      </c>
      <c r="C65" t="s">
        <v>100</v>
      </c>
      <c r="D65" t="s">
        <v>707</v>
      </c>
      <c r="E65">
        <v>1</v>
      </c>
      <c r="F65" t="s">
        <v>76</v>
      </c>
      <c r="G65">
        <v>32</v>
      </c>
      <c r="H65">
        <v>0</v>
      </c>
      <c r="I65">
        <v>0</v>
      </c>
      <c r="J65">
        <v>2.48</v>
      </c>
      <c r="K65">
        <v>34.479999999999997</v>
      </c>
      <c r="L65" t="s">
        <v>77</v>
      </c>
      <c r="P65" t="s">
        <v>102</v>
      </c>
      <c r="Q65" t="s">
        <v>103</v>
      </c>
      <c r="R65" t="s">
        <v>80</v>
      </c>
      <c r="S65" t="s">
        <v>80</v>
      </c>
      <c r="T65" t="s">
        <v>80</v>
      </c>
      <c r="U65" t="s">
        <v>80</v>
      </c>
      <c r="V65" t="s">
        <v>80</v>
      </c>
      <c r="W65" t="s">
        <v>737</v>
      </c>
      <c r="X65" s="1">
        <v>44953</v>
      </c>
      <c r="Y65">
        <v>34.479999999999997</v>
      </c>
      <c r="Z65" t="s">
        <v>82</v>
      </c>
      <c r="AA65" t="str">
        <f t="shared" si="1"/>
        <v>1003</v>
      </c>
      <c r="AB65" t="s">
        <v>141</v>
      </c>
      <c r="AC65" t="s">
        <v>738</v>
      </c>
      <c r="AD65" t="s">
        <v>739</v>
      </c>
      <c r="AE65" t="str">
        <f>"47131800"</f>
        <v>47131800</v>
      </c>
      <c r="AF65" t="s">
        <v>144</v>
      </c>
      <c r="AG65" t="s">
        <v>145</v>
      </c>
      <c r="AH65" t="s">
        <v>261</v>
      </c>
      <c r="AI65" t="s">
        <v>261</v>
      </c>
      <c r="AJ65" t="s">
        <v>740</v>
      </c>
      <c r="AK65" t="s">
        <v>741</v>
      </c>
      <c r="AL65" t="s">
        <v>741</v>
      </c>
      <c r="AN65" t="s">
        <v>742</v>
      </c>
      <c r="AO65" t="str">
        <f>"1050017"</f>
        <v>1050017</v>
      </c>
      <c r="AP65" t="s">
        <v>92</v>
      </c>
      <c r="AR65">
        <v>80.540000000000006</v>
      </c>
      <c r="AS65">
        <v>32</v>
      </c>
      <c r="AT65">
        <v>1</v>
      </c>
      <c r="AU65">
        <v>32</v>
      </c>
      <c r="AV65">
        <v>0</v>
      </c>
      <c r="AX65">
        <v>2.48</v>
      </c>
      <c r="AY65">
        <v>34.479999999999997</v>
      </c>
      <c r="BA65" t="s">
        <v>93</v>
      </c>
      <c r="BC65" t="s">
        <v>93</v>
      </c>
      <c r="BI65" t="s">
        <v>80</v>
      </c>
      <c r="BM65" t="s">
        <v>572</v>
      </c>
      <c r="BN65" t="s">
        <v>95</v>
      </c>
      <c r="BP65" t="s">
        <v>221</v>
      </c>
      <c r="BR65" t="s">
        <v>743</v>
      </c>
      <c r="BT65" t="s">
        <v>744</v>
      </c>
      <c r="BU65" t="s">
        <v>115</v>
      </c>
      <c r="BV65" t="str">
        <f>"95842"</f>
        <v>95842</v>
      </c>
      <c r="BW65">
        <v>889</v>
      </c>
      <c r="BX65" t="s">
        <v>2731</v>
      </c>
      <c r="BY65" t="s">
        <v>2687</v>
      </c>
      <c r="BZ65">
        <v>4</v>
      </c>
    </row>
    <row r="66" spans="1:78" x14ac:dyDescent="0.25">
      <c r="A66" s="1">
        <v>44951</v>
      </c>
      <c r="B66" t="s">
        <v>745</v>
      </c>
      <c r="C66" t="s">
        <v>100</v>
      </c>
      <c r="D66" t="s">
        <v>746</v>
      </c>
      <c r="E66">
        <v>1</v>
      </c>
      <c r="F66" t="s">
        <v>76</v>
      </c>
      <c r="G66">
        <v>50.74</v>
      </c>
      <c r="H66">
        <v>0</v>
      </c>
      <c r="I66">
        <v>0</v>
      </c>
      <c r="J66">
        <v>3.93</v>
      </c>
      <c r="K66">
        <v>54.67</v>
      </c>
      <c r="L66" t="s">
        <v>77</v>
      </c>
      <c r="P66" t="s">
        <v>208</v>
      </c>
      <c r="Q66" t="s">
        <v>209</v>
      </c>
      <c r="R66" t="s">
        <v>80</v>
      </c>
      <c r="S66" t="s">
        <v>80</v>
      </c>
      <c r="T66" t="s">
        <v>80</v>
      </c>
      <c r="U66" t="s">
        <v>80</v>
      </c>
      <c r="V66" t="s">
        <v>80</v>
      </c>
      <c r="W66" t="s">
        <v>747</v>
      </c>
      <c r="X66" s="1">
        <v>44951</v>
      </c>
      <c r="Y66">
        <v>54.67</v>
      </c>
      <c r="Z66" t="s">
        <v>82</v>
      </c>
      <c r="AA66" t="str">
        <f t="shared" si="1"/>
        <v>1003</v>
      </c>
      <c r="AB66" t="s">
        <v>119</v>
      </c>
      <c r="AC66" t="s">
        <v>748</v>
      </c>
      <c r="AD66" t="s">
        <v>749</v>
      </c>
      <c r="AE66" t="str">
        <f>"44102400"</f>
        <v>44102400</v>
      </c>
      <c r="AF66" t="s">
        <v>108</v>
      </c>
      <c r="AG66" t="s">
        <v>109</v>
      </c>
      <c r="AH66" t="s">
        <v>750</v>
      </c>
      <c r="AI66" t="s">
        <v>750</v>
      </c>
      <c r="AJ66" t="s">
        <v>751</v>
      </c>
      <c r="AK66" t="s">
        <v>752</v>
      </c>
      <c r="AL66" t="s">
        <v>753</v>
      </c>
      <c r="AN66" t="s">
        <v>754</v>
      </c>
      <c r="AO66" t="s">
        <v>754</v>
      </c>
      <c r="AP66" t="s">
        <v>92</v>
      </c>
      <c r="AR66">
        <v>50.74</v>
      </c>
      <c r="AS66">
        <v>50.74</v>
      </c>
      <c r="AT66">
        <v>1</v>
      </c>
      <c r="AU66">
        <v>50.74</v>
      </c>
      <c r="AV66">
        <v>0</v>
      </c>
      <c r="AX66">
        <v>3.93</v>
      </c>
      <c r="AY66">
        <v>54.67</v>
      </c>
      <c r="BA66" t="s">
        <v>93</v>
      </c>
      <c r="BC66" t="s">
        <v>93</v>
      </c>
      <c r="BI66" t="s">
        <v>80</v>
      </c>
      <c r="BM66" t="s">
        <v>94</v>
      </c>
      <c r="BN66" t="s">
        <v>95</v>
      </c>
      <c r="BP66" t="s">
        <v>413</v>
      </c>
      <c r="BR66" t="s">
        <v>338</v>
      </c>
      <c r="BT66" t="s">
        <v>131</v>
      </c>
      <c r="BU66" t="s">
        <v>339</v>
      </c>
      <c r="BV66" t="str">
        <f>"98109"</f>
        <v>98109</v>
      </c>
      <c r="BW66">
        <v>882</v>
      </c>
      <c r="BX66" t="s">
        <v>2743</v>
      </c>
      <c r="BY66" t="s">
        <v>2679</v>
      </c>
      <c r="BZ66">
        <v>4</v>
      </c>
    </row>
    <row r="67" spans="1:78" x14ac:dyDescent="0.25">
      <c r="A67" s="1">
        <v>44951</v>
      </c>
      <c r="B67" t="s">
        <v>755</v>
      </c>
      <c r="C67" t="s">
        <v>392</v>
      </c>
      <c r="E67">
        <v>3</v>
      </c>
      <c r="F67" t="s">
        <v>76</v>
      </c>
      <c r="G67">
        <v>41.59</v>
      </c>
      <c r="H67">
        <v>0</v>
      </c>
      <c r="I67">
        <v>0</v>
      </c>
      <c r="J67">
        <v>2.92</v>
      </c>
      <c r="K67">
        <v>44.51</v>
      </c>
      <c r="L67" t="s">
        <v>77</v>
      </c>
      <c r="P67" t="s">
        <v>418</v>
      </c>
      <c r="Q67" t="s">
        <v>419</v>
      </c>
      <c r="R67" t="s">
        <v>80</v>
      </c>
      <c r="S67" t="s">
        <v>80</v>
      </c>
      <c r="T67" t="s">
        <v>80</v>
      </c>
      <c r="U67" t="s">
        <v>80</v>
      </c>
      <c r="V67" t="s">
        <v>80</v>
      </c>
      <c r="W67" t="s">
        <v>756</v>
      </c>
      <c r="X67" s="1">
        <v>44951</v>
      </c>
      <c r="Y67">
        <v>44.51</v>
      </c>
      <c r="Z67" t="s">
        <v>82</v>
      </c>
      <c r="AA67" t="str">
        <f t="shared" si="1"/>
        <v>1003</v>
      </c>
      <c r="AB67" t="s">
        <v>119</v>
      </c>
      <c r="AC67" t="s">
        <v>757</v>
      </c>
      <c r="AD67" t="s">
        <v>758</v>
      </c>
      <c r="AE67" t="str">
        <f>"44121704"</f>
        <v>44121704</v>
      </c>
      <c r="AF67" t="s">
        <v>108</v>
      </c>
      <c r="AG67" t="s">
        <v>556</v>
      </c>
      <c r="AH67" t="s">
        <v>590</v>
      </c>
      <c r="AI67" t="s">
        <v>759</v>
      </c>
      <c r="AJ67" t="s">
        <v>760</v>
      </c>
      <c r="AK67" t="s">
        <v>761</v>
      </c>
      <c r="AL67" t="s">
        <v>761</v>
      </c>
      <c r="AN67" t="s">
        <v>762</v>
      </c>
      <c r="AO67" t="s">
        <v>762</v>
      </c>
      <c r="AP67" t="s">
        <v>92</v>
      </c>
      <c r="AR67">
        <v>19.989999999999998</v>
      </c>
      <c r="AS67">
        <v>13.5</v>
      </c>
      <c r="AT67">
        <v>1</v>
      </c>
      <c r="AU67">
        <v>13.5</v>
      </c>
      <c r="AV67">
        <v>0</v>
      </c>
      <c r="AX67">
        <v>0.95</v>
      </c>
      <c r="AY67">
        <v>14.45</v>
      </c>
      <c r="BA67" t="s">
        <v>93</v>
      </c>
      <c r="BC67" t="s">
        <v>93</v>
      </c>
      <c r="BD67" t="s">
        <v>128</v>
      </c>
      <c r="BE67">
        <v>6.49</v>
      </c>
      <c r="BF67" s="2">
        <v>0.32469999999999999</v>
      </c>
      <c r="BI67" t="s">
        <v>80</v>
      </c>
      <c r="BM67" t="s">
        <v>427</v>
      </c>
      <c r="BN67" t="s">
        <v>95</v>
      </c>
      <c r="BP67" t="s">
        <v>428</v>
      </c>
      <c r="BR67" t="s">
        <v>130</v>
      </c>
      <c r="BT67" t="s">
        <v>131</v>
      </c>
      <c r="BU67" t="s">
        <v>132</v>
      </c>
      <c r="BV67" t="str">
        <f>"98109"</f>
        <v>98109</v>
      </c>
      <c r="BW67">
        <v>894</v>
      </c>
      <c r="BX67" t="s">
        <v>2744</v>
      </c>
      <c r="BY67" t="s">
        <v>2697</v>
      </c>
      <c r="BZ67">
        <v>4</v>
      </c>
    </row>
    <row r="68" spans="1:78" x14ac:dyDescent="0.25">
      <c r="A68" s="1">
        <v>44951</v>
      </c>
      <c r="B68" t="s">
        <v>755</v>
      </c>
      <c r="C68" t="s">
        <v>392</v>
      </c>
      <c r="E68">
        <v>3</v>
      </c>
      <c r="F68" t="s">
        <v>76</v>
      </c>
      <c r="G68">
        <v>41.59</v>
      </c>
      <c r="H68">
        <v>0</v>
      </c>
      <c r="I68">
        <v>0</v>
      </c>
      <c r="J68">
        <v>2.92</v>
      </c>
      <c r="K68">
        <v>44.51</v>
      </c>
      <c r="L68" t="s">
        <v>77</v>
      </c>
      <c r="P68" t="s">
        <v>418</v>
      </c>
      <c r="Q68" t="s">
        <v>419</v>
      </c>
      <c r="R68" t="s">
        <v>80</v>
      </c>
      <c r="S68" t="s">
        <v>80</v>
      </c>
      <c r="T68" t="s">
        <v>80</v>
      </c>
      <c r="U68" t="s">
        <v>80</v>
      </c>
      <c r="V68" t="s">
        <v>80</v>
      </c>
      <c r="W68" t="s">
        <v>756</v>
      </c>
      <c r="X68" s="1">
        <v>44951</v>
      </c>
      <c r="Y68">
        <v>44.51</v>
      </c>
      <c r="Z68" t="s">
        <v>82</v>
      </c>
      <c r="AA68" t="str">
        <f t="shared" si="1"/>
        <v>1003</v>
      </c>
      <c r="AB68" t="s">
        <v>119</v>
      </c>
      <c r="AC68" t="s">
        <v>763</v>
      </c>
      <c r="AD68" t="s">
        <v>764</v>
      </c>
      <c r="AE68" t="str">
        <f>"44121704"</f>
        <v>44121704</v>
      </c>
      <c r="AF68" t="s">
        <v>108</v>
      </c>
      <c r="AG68" t="s">
        <v>556</v>
      </c>
      <c r="AH68" t="s">
        <v>590</v>
      </c>
      <c r="AI68" t="s">
        <v>759</v>
      </c>
      <c r="AJ68" t="s">
        <v>765</v>
      </c>
      <c r="AK68" t="s">
        <v>761</v>
      </c>
      <c r="AL68" t="s">
        <v>766</v>
      </c>
      <c r="AN68" t="s">
        <v>767</v>
      </c>
      <c r="AO68" t="s">
        <v>768</v>
      </c>
      <c r="AP68" t="s">
        <v>92</v>
      </c>
      <c r="AR68">
        <v>6.99</v>
      </c>
      <c r="AS68">
        <v>5.0999999999999996</v>
      </c>
      <c r="AT68">
        <v>1</v>
      </c>
      <c r="AU68">
        <v>5.0999999999999996</v>
      </c>
      <c r="AV68">
        <v>0</v>
      </c>
      <c r="AX68">
        <v>0.36</v>
      </c>
      <c r="AY68">
        <v>5.46</v>
      </c>
      <c r="BA68" t="s">
        <v>93</v>
      </c>
      <c r="BC68" t="s">
        <v>93</v>
      </c>
      <c r="BD68" t="s">
        <v>128</v>
      </c>
      <c r="BE68">
        <v>1.89</v>
      </c>
      <c r="BF68" s="2">
        <v>0.27039999999999997</v>
      </c>
      <c r="BI68" t="s">
        <v>80</v>
      </c>
      <c r="BM68" t="s">
        <v>427</v>
      </c>
      <c r="BN68" t="s">
        <v>95</v>
      </c>
      <c r="BP68" t="s">
        <v>428</v>
      </c>
      <c r="BR68" t="s">
        <v>130</v>
      </c>
      <c r="BT68" t="s">
        <v>131</v>
      </c>
      <c r="BU68" t="s">
        <v>132</v>
      </c>
      <c r="BV68" t="str">
        <f>"98109"</f>
        <v>98109</v>
      </c>
      <c r="BW68">
        <v>894</v>
      </c>
      <c r="BX68" t="s">
        <v>2744</v>
      </c>
      <c r="BY68" t="s">
        <v>2697</v>
      </c>
      <c r="BZ68">
        <v>4</v>
      </c>
    </row>
    <row r="69" spans="1:78" x14ac:dyDescent="0.25">
      <c r="A69" s="1">
        <v>44951</v>
      </c>
      <c r="B69" t="s">
        <v>755</v>
      </c>
      <c r="C69" t="s">
        <v>392</v>
      </c>
      <c r="E69">
        <v>3</v>
      </c>
      <c r="F69" t="s">
        <v>76</v>
      </c>
      <c r="G69">
        <v>41.59</v>
      </c>
      <c r="H69">
        <v>0</v>
      </c>
      <c r="I69">
        <v>0</v>
      </c>
      <c r="J69">
        <v>2.92</v>
      </c>
      <c r="K69">
        <v>44.51</v>
      </c>
      <c r="L69" t="s">
        <v>77</v>
      </c>
      <c r="P69" t="s">
        <v>418</v>
      </c>
      <c r="Q69" t="s">
        <v>419</v>
      </c>
      <c r="R69" t="s">
        <v>80</v>
      </c>
      <c r="S69" t="s">
        <v>80</v>
      </c>
      <c r="T69" t="s">
        <v>80</v>
      </c>
      <c r="U69" t="s">
        <v>80</v>
      </c>
      <c r="V69" t="s">
        <v>80</v>
      </c>
      <c r="W69" t="s">
        <v>756</v>
      </c>
      <c r="X69" s="1">
        <v>44951</v>
      </c>
      <c r="Y69">
        <v>44.51</v>
      </c>
      <c r="Z69" t="s">
        <v>82</v>
      </c>
      <c r="AA69" t="str">
        <f t="shared" si="1"/>
        <v>1003</v>
      </c>
      <c r="AB69" t="s">
        <v>119</v>
      </c>
      <c r="AC69" t="s">
        <v>769</v>
      </c>
      <c r="AD69" t="s">
        <v>770</v>
      </c>
      <c r="AE69" t="str">
        <f>"44122012"</f>
        <v>44122012</v>
      </c>
      <c r="AF69" t="s">
        <v>108</v>
      </c>
      <c r="AG69" t="s">
        <v>556</v>
      </c>
      <c r="AH69" t="s">
        <v>771</v>
      </c>
      <c r="AI69" t="s">
        <v>772</v>
      </c>
      <c r="AK69" t="s">
        <v>773</v>
      </c>
      <c r="AL69" t="s">
        <v>773</v>
      </c>
      <c r="AO69" t="s">
        <v>774</v>
      </c>
      <c r="AP69" t="s">
        <v>92</v>
      </c>
      <c r="AR69">
        <v>24.99</v>
      </c>
      <c r="AS69">
        <v>22.99</v>
      </c>
      <c r="AT69">
        <v>1</v>
      </c>
      <c r="AU69">
        <v>22.99</v>
      </c>
      <c r="AV69">
        <v>0</v>
      </c>
      <c r="AX69">
        <v>1.61</v>
      </c>
      <c r="AY69">
        <v>24.6</v>
      </c>
      <c r="BA69" t="s">
        <v>93</v>
      </c>
      <c r="BC69" t="s">
        <v>93</v>
      </c>
      <c r="BD69" t="s">
        <v>128</v>
      </c>
      <c r="BE69">
        <v>2</v>
      </c>
      <c r="BF69" s="3">
        <v>0.08</v>
      </c>
      <c r="BI69" t="s">
        <v>80</v>
      </c>
      <c r="BM69" t="s">
        <v>427</v>
      </c>
      <c r="BN69" t="s">
        <v>95</v>
      </c>
      <c r="BP69" t="s">
        <v>428</v>
      </c>
      <c r="BR69" t="s">
        <v>775</v>
      </c>
      <c r="BT69" t="s">
        <v>776</v>
      </c>
      <c r="BU69" t="s">
        <v>777</v>
      </c>
      <c r="BV69" t="str">
        <f>"410000"</f>
        <v>410000</v>
      </c>
      <c r="BW69">
        <v>894</v>
      </c>
      <c r="BX69" t="s">
        <v>2744</v>
      </c>
      <c r="BY69" t="s">
        <v>2697</v>
      </c>
      <c r="BZ69">
        <v>4</v>
      </c>
    </row>
    <row r="70" spans="1:78" x14ac:dyDescent="0.25">
      <c r="A70" s="1">
        <v>44951</v>
      </c>
      <c r="B70" t="s">
        <v>778</v>
      </c>
      <c r="C70" t="s">
        <v>223</v>
      </c>
      <c r="E70">
        <v>10</v>
      </c>
      <c r="F70" t="s">
        <v>76</v>
      </c>
      <c r="G70">
        <v>75.900000000000006</v>
      </c>
      <c r="H70">
        <v>0</v>
      </c>
      <c r="I70">
        <v>0</v>
      </c>
      <c r="J70">
        <v>5</v>
      </c>
      <c r="K70">
        <v>80.900000000000006</v>
      </c>
      <c r="L70" t="s">
        <v>77</v>
      </c>
      <c r="P70" t="s">
        <v>225</v>
      </c>
      <c r="Q70" t="s">
        <v>226</v>
      </c>
      <c r="R70" t="s">
        <v>80</v>
      </c>
      <c r="S70" t="s">
        <v>80</v>
      </c>
      <c r="T70" t="s">
        <v>80</v>
      </c>
      <c r="U70" t="s">
        <v>80</v>
      </c>
      <c r="V70" t="s">
        <v>80</v>
      </c>
      <c r="W70" t="s">
        <v>779</v>
      </c>
      <c r="X70" s="1">
        <v>44953</v>
      </c>
      <c r="Y70">
        <v>80.900000000000006</v>
      </c>
      <c r="Z70" t="s">
        <v>82</v>
      </c>
      <c r="AA70" t="str">
        <f t="shared" si="1"/>
        <v>1003</v>
      </c>
      <c r="AB70" t="s">
        <v>141</v>
      </c>
      <c r="AC70" t="s">
        <v>780</v>
      </c>
      <c r="AD70" t="s">
        <v>781</v>
      </c>
      <c r="AE70" t="str">
        <f>"42132200"</f>
        <v>42132200</v>
      </c>
      <c r="AF70" t="s">
        <v>243</v>
      </c>
      <c r="AG70" t="s">
        <v>244</v>
      </c>
      <c r="AH70" t="s">
        <v>245</v>
      </c>
      <c r="AI70" t="s">
        <v>245</v>
      </c>
      <c r="AJ70" t="s">
        <v>782</v>
      </c>
      <c r="AK70" t="s">
        <v>783</v>
      </c>
      <c r="AL70" t="s">
        <v>784</v>
      </c>
      <c r="AN70" t="s">
        <v>785</v>
      </c>
      <c r="AO70" t="str">
        <f>"1"</f>
        <v>1</v>
      </c>
      <c r="AP70" t="s">
        <v>92</v>
      </c>
      <c r="AR70">
        <v>9.98</v>
      </c>
      <c r="AS70">
        <v>7.59</v>
      </c>
      <c r="AT70">
        <v>10</v>
      </c>
      <c r="AU70">
        <v>75.900000000000006</v>
      </c>
      <c r="AV70">
        <v>0</v>
      </c>
      <c r="AX70">
        <v>5</v>
      </c>
      <c r="AY70">
        <v>80.900000000000006</v>
      </c>
      <c r="BA70" t="s">
        <v>93</v>
      </c>
      <c r="BC70" t="s">
        <v>93</v>
      </c>
      <c r="BI70" t="s">
        <v>80</v>
      </c>
      <c r="BM70" t="s">
        <v>94</v>
      </c>
      <c r="BN70" t="s">
        <v>95</v>
      </c>
      <c r="BP70" t="s">
        <v>235</v>
      </c>
      <c r="BR70" t="s">
        <v>786</v>
      </c>
      <c r="BS70" t="s">
        <v>113</v>
      </c>
      <c r="BT70" t="s">
        <v>787</v>
      </c>
      <c r="BU70" t="s">
        <v>115</v>
      </c>
      <c r="BV70" t="str">
        <f>"91709"</f>
        <v>91709</v>
      </c>
      <c r="BW70">
        <v>909</v>
      </c>
      <c r="BX70" t="s">
        <v>2732</v>
      </c>
      <c r="BY70" t="s">
        <v>2719</v>
      </c>
      <c r="BZ70">
        <v>4</v>
      </c>
    </row>
    <row r="71" spans="1:78" x14ac:dyDescent="0.25">
      <c r="A71" s="1">
        <v>44951</v>
      </c>
      <c r="B71" t="s">
        <v>788</v>
      </c>
      <c r="C71" t="s">
        <v>223</v>
      </c>
      <c r="E71">
        <v>1</v>
      </c>
      <c r="F71" t="s">
        <v>76</v>
      </c>
      <c r="G71">
        <v>9.89</v>
      </c>
      <c r="H71">
        <v>0</v>
      </c>
      <c r="I71">
        <v>0</v>
      </c>
      <c r="J71">
        <v>0.66</v>
      </c>
      <c r="K71">
        <v>10.55</v>
      </c>
      <c r="L71" t="s">
        <v>77</v>
      </c>
      <c r="P71" t="s">
        <v>225</v>
      </c>
      <c r="Q71" t="s">
        <v>226</v>
      </c>
      <c r="R71" t="s">
        <v>80</v>
      </c>
      <c r="S71" t="s">
        <v>80</v>
      </c>
      <c r="T71" t="s">
        <v>80</v>
      </c>
      <c r="U71" t="s">
        <v>80</v>
      </c>
      <c r="V71" t="s">
        <v>80</v>
      </c>
      <c r="W71" t="s">
        <v>789</v>
      </c>
      <c r="X71" s="1">
        <v>44956</v>
      </c>
      <c r="Y71">
        <v>10.55</v>
      </c>
      <c r="Z71" t="s">
        <v>82</v>
      </c>
      <c r="AA71" t="str">
        <f t="shared" si="1"/>
        <v>1003</v>
      </c>
      <c r="AB71" t="s">
        <v>119</v>
      </c>
      <c r="AC71" t="s">
        <v>790</v>
      </c>
      <c r="AD71" t="s">
        <v>791</v>
      </c>
      <c r="AE71" t="str">
        <f>"44121700"</f>
        <v>44121700</v>
      </c>
      <c r="AF71" t="s">
        <v>108</v>
      </c>
      <c r="AG71" t="s">
        <v>556</v>
      </c>
      <c r="AH71" t="s">
        <v>590</v>
      </c>
      <c r="AI71" t="s">
        <v>590</v>
      </c>
      <c r="AK71" t="s">
        <v>792</v>
      </c>
      <c r="AL71" t="s">
        <v>792</v>
      </c>
      <c r="AO71" t="s">
        <v>793</v>
      </c>
      <c r="AP71" t="s">
        <v>92</v>
      </c>
      <c r="AR71">
        <v>12.99</v>
      </c>
      <c r="AS71">
        <v>9.89</v>
      </c>
      <c r="AT71">
        <v>1</v>
      </c>
      <c r="AU71">
        <v>9.89</v>
      </c>
      <c r="AV71">
        <v>0</v>
      </c>
      <c r="AX71">
        <v>0.66</v>
      </c>
      <c r="AY71">
        <v>10.55</v>
      </c>
      <c r="BA71" t="s">
        <v>93</v>
      </c>
      <c r="BC71" t="s">
        <v>93</v>
      </c>
      <c r="BD71" t="s">
        <v>128</v>
      </c>
      <c r="BE71">
        <v>3.1</v>
      </c>
      <c r="BF71" s="2">
        <v>0.23860000000000001</v>
      </c>
      <c r="BI71" t="s">
        <v>80</v>
      </c>
      <c r="BM71" t="s">
        <v>94</v>
      </c>
      <c r="BN71" t="s">
        <v>95</v>
      </c>
      <c r="BP71" t="s">
        <v>235</v>
      </c>
      <c r="BR71" t="s">
        <v>794</v>
      </c>
      <c r="BT71" t="s">
        <v>679</v>
      </c>
      <c r="BU71" t="s">
        <v>523</v>
      </c>
      <c r="BV71" t="str">
        <f>"315314"</f>
        <v>315314</v>
      </c>
      <c r="BW71">
        <v>909</v>
      </c>
      <c r="BX71" t="s">
        <v>2732</v>
      </c>
      <c r="BY71" t="s">
        <v>2719</v>
      </c>
      <c r="BZ71">
        <v>4</v>
      </c>
    </row>
    <row r="72" spans="1:78" x14ac:dyDescent="0.25">
      <c r="A72" s="1">
        <v>44951</v>
      </c>
      <c r="B72" t="s">
        <v>795</v>
      </c>
      <c r="C72" t="s">
        <v>392</v>
      </c>
      <c r="E72">
        <v>2</v>
      </c>
      <c r="F72" t="s">
        <v>76</v>
      </c>
      <c r="G72">
        <v>19.71</v>
      </c>
      <c r="H72">
        <v>0</v>
      </c>
      <c r="I72">
        <v>0</v>
      </c>
      <c r="J72">
        <v>1.38</v>
      </c>
      <c r="K72">
        <v>21.09</v>
      </c>
      <c r="L72" t="s">
        <v>77</v>
      </c>
      <c r="P72" t="s">
        <v>418</v>
      </c>
      <c r="Q72" t="s">
        <v>419</v>
      </c>
      <c r="R72" t="s">
        <v>80</v>
      </c>
      <c r="S72" t="s">
        <v>80</v>
      </c>
      <c r="T72" t="s">
        <v>80</v>
      </c>
      <c r="U72" t="s">
        <v>80</v>
      </c>
      <c r="V72" t="s">
        <v>80</v>
      </c>
      <c r="W72" t="s">
        <v>796</v>
      </c>
      <c r="X72" s="1">
        <v>44953</v>
      </c>
      <c r="Y72">
        <v>21.09</v>
      </c>
      <c r="Z72" t="s">
        <v>82</v>
      </c>
      <c r="AA72" t="str">
        <f t="shared" si="1"/>
        <v>1003</v>
      </c>
      <c r="AB72" t="s">
        <v>133</v>
      </c>
      <c r="AC72" t="s">
        <v>797</v>
      </c>
      <c r="AD72" t="s">
        <v>798</v>
      </c>
      <c r="AE72" t="str">
        <f>"31201500"</f>
        <v>31201500</v>
      </c>
      <c r="AF72" t="s">
        <v>398</v>
      </c>
      <c r="AG72" t="s">
        <v>799</v>
      </c>
      <c r="AH72" t="s">
        <v>800</v>
      </c>
      <c r="AI72" t="s">
        <v>800</v>
      </c>
      <c r="AK72" t="s">
        <v>801</v>
      </c>
      <c r="AL72" t="s">
        <v>802</v>
      </c>
      <c r="AN72" t="str">
        <f>"216"</f>
        <v>216</v>
      </c>
      <c r="AO72" t="s">
        <v>803</v>
      </c>
      <c r="AP72" t="s">
        <v>92</v>
      </c>
      <c r="AR72">
        <v>29.99</v>
      </c>
      <c r="AS72">
        <v>12.59</v>
      </c>
      <c r="AT72">
        <v>1</v>
      </c>
      <c r="AU72">
        <v>12.59</v>
      </c>
      <c r="AV72">
        <v>0</v>
      </c>
      <c r="AX72">
        <v>0.88</v>
      </c>
      <c r="AY72">
        <v>13.47</v>
      </c>
      <c r="BA72" t="s">
        <v>93</v>
      </c>
      <c r="BC72" t="s">
        <v>93</v>
      </c>
      <c r="BI72" t="s">
        <v>80</v>
      </c>
      <c r="BM72" t="s">
        <v>94</v>
      </c>
      <c r="BN72" t="s">
        <v>95</v>
      </c>
      <c r="BP72" t="s">
        <v>428</v>
      </c>
      <c r="BR72" t="s">
        <v>801</v>
      </c>
      <c r="BS72" t="s">
        <v>250</v>
      </c>
      <c r="BW72">
        <v>894</v>
      </c>
      <c r="BX72" t="s">
        <v>2744</v>
      </c>
      <c r="BY72" t="s">
        <v>2697</v>
      </c>
      <c r="BZ72">
        <v>4</v>
      </c>
    </row>
    <row r="73" spans="1:78" x14ac:dyDescent="0.25">
      <c r="A73" s="1">
        <v>44951</v>
      </c>
      <c r="B73" t="s">
        <v>795</v>
      </c>
      <c r="C73" t="s">
        <v>392</v>
      </c>
      <c r="E73">
        <v>2</v>
      </c>
      <c r="F73" t="s">
        <v>76</v>
      </c>
      <c r="G73">
        <v>19.71</v>
      </c>
      <c r="H73">
        <v>0</v>
      </c>
      <c r="I73">
        <v>0</v>
      </c>
      <c r="J73">
        <v>1.38</v>
      </c>
      <c r="K73">
        <v>21.09</v>
      </c>
      <c r="L73" t="s">
        <v>77</v>
      </c>
      <c r="P73" t="s">
        <v>418</v>
      </c>
      <c r="Q73" t="s">
        <v>419</v>
      </c>
      <c r="R73" t="s">
        <v>80</v>
      </c>
      <c r="S73" t="s">
        <v>80</v>
      </c>
      <c r="T73" t="s">
        <v>80</v>
      </c>
      <c r="U73" t="s">
        <v>80</v>
      </c>
      <c r="V73" t="s">
        <v>80</v>
      </c>
      <c r="W73" t="s">
        <v>796</v>
      </c>
      <c r="X73" s="1">
        <v>44953</v>
      </c>
      <c r="Y73">
        <v>21.09</v>
      </c>
      <c r="Z73" t="s">
        <v>82</v>
      </c>
      <c r="AA73" t="str">
        <f t="shared" si="1"/>
        <v>1003</v>
      </c>
      <c r="AB73" t="s">
        <v>133</v>
      </c>
      <c r="AC73" t="s">
        <v>804</v>
      </c>
      <c r="AD73" t="s">
        <v>805</v>
      </c>
      <c r="AE73" t="str">
        <f>"39121703"</f>
        <v>39121703</v>
      </c>
      <c r="AF73" t="s">
        <v>181</v>
      </c>
      <c r="AG73" t="s">
        <v>182</v>
      </c>
      <c r="AH73" t="s">
        <v>806</v>
      </c>
      <c r="AI73" t="s">
        <v>807</v>
      </c>
      <c r="AK73" t="s">
        <v>808</v>
      </c>
      <c r="AL73" t="s">
        <v>809</v>
      </c>
      <c r="AO73" t="s">
        <v>810</v>
      </c>
      <c r="AP73" t="s">
        <v>92</v>
      </c>
      <c r="AR73">
        <v>12.49</v>
      </c>
      <c r="AS73">
        <v>7.12</v>
      </c>
      <c r="AT73">
        <v>1</v>
      </c>
      <c r="AU73">
        <v>7.12</v>
      </c>
      <c r="AV73">
        <v>0</v>
      </c>
      <c r="AX73">
        <v>0.5</v>
      </c>
      <c r="AY73">
        <v>7.62</v>
      </c>
      <c r="BA73" t="s">
        <v>93</v>
      </c>
      <c r="BC73" t="s">
        <v>93</v>
      </c>
      <c r="BD73" t="s">
        <v>128</v>
      </c>
      <c r="BE73">
        <v>5.37</v>
      </c>
      <c r="BF73" s="2">
        <v>0.4299</v>
      </c>
      <c r="BI73" t="s">
        <v>80</v>
      </c>
      <c r="BM73" t="s">
        <v>94</v>
      </c>
      <c r="BN73" t="s">
        <v>95</v>
      </c>
      <c r="BP73" t="s">
        <v>428</v>
      </c>
      <c r="BR73" t="s">
        <v>811</v>
      </c>
      <c r="BT73" t="s">
        <v>812</v>
      </c>
      <c r="BU73" t="s">
        <v>813</v>
      </c>
      <c r="BW73">
        <v>894</v>
      </c>
      <c r="BX73" t="s">
        <v>2744</v>
      </c>
      <c r="BY73" t="s">
        <v>2697</v>
      </c>
      <c r="BZ73">
        <v>4</v>
      </c>
    </row>
    <row r="74" spans="1:78" x14ac:dyDescent="0.25">
      <c r="A74" s="1">
        <v>44951</v>
      </c>
      <c r="B74" t="s">
        <v>814</v>
      </c>
      <c r="C74" t="s">
        <v>341</v>
      </c>
      <c r="E74">
        <v>1</v>
      </c>
      <c r="F74" t="s">
        <v>76</v>
      </c>
      <c r="G74">
        <v>28.79</v>
      </c>
      <c r="H74">
        <v>0</v>
      </c>
      <c r="I74">
        <v>0</v>
      </c>
      <c r="J74">
        <v>2.23</v>
      </c>
      <c r="K74">
        <v>31.02</v>
      </c>
      <c r="L74" t="s">
        <v>77</v>
      </c>
      <c r="P74" t="s">
        <v>342</v>
      </c>
      <c r="Q74" t="s">
        <v>343</v>
      </c>
      <c r="R74" t="s">
        <v>80</v>
      </c>
      <c r="S74" t="s">
        <v>80</v>
      </c>
      <c r="T74" t="s">
        <v>80</v>
      </c>
      <c r="U74" t="s">
        <v>80</v>
      </c>
      <c r="V74" t="s">
        <v>80</v>
      </c>
      <c r="W74" t="s">
        <v>815</v>
      </c>
      <c r="X74" s="1">
        <v>44951</v>
      </c>
      <c r="Y74">
        <v>31.02</v>
      </c>
      <c r="Z74" t="s">
        <v>82</v>
      </c>
      <c r="AA74" t="str">
        <f t="shared" si="1"/>
        <v>1003</v>
      </c>
      <c r="AB74" t="s">
        <v>638</v>
      </c>
      <c r="AC74" t="s">
        <v>816</v>
      </c>
      <c r="AD74" t="s">
        <v>817</v>
      </c>
      <c r="AE74" t="str">
        <f>"24112000"</f>
        <v>24112000</v>
      </c>
      <c r="AF74" t="s">
        <v>818</v>
      </c>
      <c r="AG74" t="s">
        <v>819</v>
      </c>
      <c r="AH74" t="s">
        <v>820</v>
      </c>
      <c r="AI74" t="s">
        <v>820</v>
      </c>
      <c r="AK74" t="s">
        <v>821</v>
      </c>
      <c r="AL74" t="s">
        <v>821</v>
      </c>
      <c r="AP74" t="s">
        <v>92</v>
      </c>
      <c r="AR74">
        <v>28.79</v>
      </c>
      <c r="AS74">
        <v>28.79</v>
      </c>
      <c r="AT74">
        <v>1</v>
      </c>
      <c r="AU74">
        <v>28.79</v>
      </c>
      <c r="AV74">
        <v>0</v>
      </c>
      <c r="AX74">
        <v>2.23</v>
      </c>
      <c r="AY74">
        <v>31.02</v>
      </c>
      <c r="BA74" t="s">
        <v>93</v>
      </c>
      <c r="BC74" t="s">
        <v>93</v>
      </c>
      <c r="BI74" t="s">
        <v>80</v>
      </c>
      <c r="BM74" t="s">
        <v>94</v>
      </c>
      <c r="BN74" t="s">
        <v>95</v>
      </c>
      <c r="BP74" t="s">
        <v>345</v>
      </c>
      <c r="BR74" t="s">
        <v>821</v>
      </c>
      <c r="BT74" t="s">
        <v>822</v>
      </c>
      <c r="BU74" t="s">
        <v>296</v>
      </c>
      <c r="BV74" t="str">
        <f>"510450"</f>
        <v>510450</v>
      </c>
      <c r="BW74">
        <v>931</v>
      </c>
      <c r="BX74" t="s">
        <v>2739</v>
      </c>
      <c r="BY74" t="s">
        <v>2723</v>
      </c>
      <c r="BZ74">
        <v>4</v>
      </c>
    </row>
    <row r="75" spans="1:78" x14ac:dyDescent="0.25">
      <c r="A75" s="1">
        <v>44951</v>
      </c>
      <c r="B75" t="s">
        <v>823</v>
      </c>
      <c r="C75" t="s">
        <v>283</v>
      </c>
      <c r="E75">
        <v>2</v>
      </c>
      <c r="F75" t="s">
        <v>76</v>
      </c>
      <c r="G75">
        <v>17.32</v>
      </c>
      <c r="H75">
        <v>0</v>
      </c>
      <c r="I75">
        <v>0</v>
      </c>
      <c r="J75">
        <v>1.74</v>
      </c>
      <c r="K75">
        <v>19.059999999999999</v>
      </c>
      <c r="L75" t="s">
        <v>77</v>
      </c>
      <c r="P75" t="s">
        <v>284</v>
      </c>
      <c r="Q75" t="s">
        <v>285</v>
      </c>
      <c r="R75" t="s">
        <v>80</v>
      </c>
      <c r="S75" t="s">
        <v>80</v>
      </c>
      <c r="T75" t="s">
        <v>80</v>
      </c>
      <c r="U75" t="s">
        <v>80</v>
      </c>
      <c r="V75" t="s">
        <v>80</v>
      </c>
      <c r="W75" t="s">
        <v>824</v>
      </c>
      <c r="X75" s="1">
        <v>44951</v>
      </c>
      <c r="Y75">
        <v>19.059999999999999</v>
      </c>
      <c r="Z75" t="s">
        <v>82</v>
      </c>
      <c r="AA75" t="str">
        <f t="shared" si="1"/>
        <v>1003</v>
      </c>
      <c r="AB75" t="s">
        <v>83</v>
      </c>
      <c r="AC75" t="s">
        <v>825</v>
      </c>
      <c r="AD75" t="s">
        <v>826</v>
      </c>
      <c r="AE75" t="str">
        <f>"43202222"</f>
        <v>43202222</v>
      </c>
      <c r="AF75" t="s">
        <v>86</v>
      </c>
      <c r="AG75" t="s">
        <v>87</v>
      </c>
      <c r="AH75" t="s">
        <v>827</v>
      </c>
      <c r="AI75" t="s">
        <v>828</v>
      </c>
      <c r="AJ75" t="s">
        <v>175</v>
      </c>
      <c r="AK75" t="s">
        <v>176</v>
      </c>
      <c r="AL75" t="s">
        <v>176</v>
      </c>
      <c r="AN75" t="s">
        <v>829</v>
      </c>
      <c r="AO75" t="s">
        <v>829</v>
      </c>
      <c r="AP75" t="s">
        <v>92</v>
      </c>
      <c r="AR75">
        <v>8.99</v>
      </c>
      <c r="AS75">
        <v>8.66</v>
      </c>
      <c r="AT75">
        <v>2</v>
      </c>
      <c r="AU75">
        <v>17.32</v>
      </c>
      <c r="AV75">
        <v>0</v>
      </c>
      <c r="AX75">
        <v>1.74</v>
      </c>
      <c r="AY75">
        <v>19.059999999999999</v>
      </c>
      <c r="BA75" t="s">
        <v>93</v>
      </c>
      <c r="BC75" t="s">
        <v>93</v>
      </c>
      <c r="BD75" t="s">
        <v>128</v>
      </c>
      <c r="BE75">
        <v>0.33</v>
      </c>
      <c r="BF75" s="2">
        <v>3.6700000000000003E-2</v>
      </c>
      <c r="BI75" t="s">
        <v>80</v>
      </c>
      <c r="BM75" t="s">
        <v>94</v>
      </c>
      <c r="BN75" t="s">
        <v>95</v>
      </c>
      <c r="BP75" t="s">
        <v>305</v>
      </c>
      <c r="BR75" t="s">
        <v>130</v>
      </c>
      <c r="BT75" t="s">
        <v>131</v>
      </c>
      <c r="BU75" t="s">
        <v>132</v>
      </c>
      <c r="BV75" t="str">
        <f>"98109"</f>
        <v>98109</v>
      </c>
      <c r="BW75">
        <v>880</v>
      </c>
      <c r="BX75" t="s">
        <v>2737</v>
      </c>
      <c r="BY75" t="s">
        <v>2675</v>
      </c>
      <c r="BZ75">
        <v>4</v>
      </c>
    </row>
    <row r="76" spans="1:78" x14ac:dyDescent="0.25">
      <c r="A76" s="1">
        <v>44951</v>
      </c>
      <c r="B76" t="s">
        <v>830</v>
      </c>
      <c r="C76" t="s">
        <v>283</v>
      </c>
      <c r="E76">
        <v>4</v>
      </c>
      <c r="F76" t="s">
        <v>76</v>
      </c>
      <c r="G76">
        <v>143.96</v>
      </c>
      <c r="H76">
        <v>0</v>
      </c>
      <c r="I76">
        <v>0</v>
      </c>
      <c r="J76">
        <v>14.52</v>
      </c>
      <c r="K76">
        <v>158.47999999999999</v>
      </c>
      <c r="L76" t="s">
        <v>77</v>
      </c>
      <c r="M76" t="s">
        <v>284</v>
      </c>
      <c r="P76" t="s">
        <v>284</v>
      </c>
      <c r="Q76" t="s">
        <v>285</v>
      </c>
      <c r="R76" t="s">
        <v>80</v>
      </c>
      <c r="S76" t="s">
        <v>80</v>
      </c>
      <c r="T76" t="s">
        <v>80</v>
      </c>
      <c r="U76" t="s">
        <v>80</v>
      </c>
      <c r="V76" t="s">
        <v>80</v>
      </c>
      <c r="W76" t="s">
        <v>831</v>
      </c>
      <c r="X76" s="1">
        <v>44951</v>
      </c>
      <c r="Y76">
        <v>158.47999999999999</v>
      </c>
      <c r="Z76" t="s">
        <v>82</v>
      </c>
      <c r="AA76" t="str">
        <f t="shared" si="1"/>
        <v>1003</v>
      </c>
      <c r="AB76" t="s">
        <v>168</v>
      </c>
      <c r="AC76" t="s">
        <v>832</v>
      </c>
      <c r="AD76" t="s">
        <v>833</v>
      </c>
      <c r="AE76" t="str">
        <f>"42172001"</f>
        <v>42172001</v>
      </c>
      <c r="AF76" t="s">
        <v>243</v>
      </c>
      <c r="AG76" t="s">
        <v>834</v>
      </c>
      <c r="AH76" t="s">
        <v>835</v>
      </c>
      <c r="AI76" t="s">
        <v>836</v>
      </c>
      <c r="AK76" t="s">
        <v>837</v>
      </c>
      <c r="AL76" t="s">
        <v>837</v>
      </c>
      <c r="AO76" t="s">
        <v>838</v>
      </c>
      <c r="AP76" t="s">
        <v>92</v>
      </c>
      <c r="AR76">
        <v>35.99</v>
      </c>
      <c r="AS76">
        <v>35.99</v>
      </c>
      <c r="AT76">
        <v>4</v>
      </c>
      <c r="AU76">
        <v>143.96</v>
      </c>
      <c r="AV76">
        <v>0</v>
      </c>
      <c r="AX76">
        <v>14.52</v>
      </c>
      <c r="AY76">
        <v>158.47999999999999</v>
      </c>
      <c r="BA76" t="s">
        <v>93</v>
      </c>
      <c r="BC76" t="s">
        <v>93</v>
      </c>
      <c r="BI76" t="s">
        <v>80</v>
      </c>
      <c r="BM76" t="s">
        <v>94</v>
      </c>
      <c r="BN76" t="s">
        <v>95</v>
      </c>
      <c r="BP76" t="s">
        <v>299</v>
      </c>
      <c r="BR76" t="s">
        <v>839</v>
      </c>
      <c r="BT76" t="s">
        <v>840</v>
      </c>
      <c r="BU76" t="s">
        <v>672</v>
      </c>
      <c r="BV76" t="str">
        <f>"214000"</f>
        <v>214000</v>
      </c>
      <c r="BW76">
        <v>877</v>
      </c>
      <c r="BX76" t="s">
        <v>2735</v>
      </c>
      <c r="BY76" t="s">
        <v>2669</v>
      </c>
      <c r="BZ76">
        <v>4</v>
      </c>
    </row>
    <row r="77" spans="1:78" x14ac:dyDescent="0.25">
      <c r="A77" s="1">
        <v>44951</v>
      </c>
      <c r="B77" t="s">
        <v>841</v>
      </c>
      <c r="C77" t="s">
        <v>283</v>
      </c>
      <c r="E77">
        <v>3</v>
      </c>
      <c r="F77" t="s">
        <v>76</v>
      </c>
      <c r="G77">
        <v>419.94</v>
      </c>
      <c r="H77">
        <v>0</v>
      </c>
      <c r="I77">
        <v>0</v>
      </c>
      <c r="J77">
        <v>42.42</v>
      </c>
      <c r="K77">
        <v>462.36</v>
      </c>
      <c r="L77" t="s">
        <v>77</v>
      </c>
      <c r="M77" t="s">
        <v>284</v>
      </c>
      <c r="P77" t="s">
        <v>284</v>
      </c>
      <c r="Q77" t="s">
        <v>285</v>
      </c>
      <c r="R77" t="s">
        <v>80</v>
      </c>
      <c r="S77" t="s">
        <v>80</v>
      </c>
      <c r="T77" t="s">
        <v>80</v>
      </c>
      <c r="U77" t="s">
        <v>80</v>
      </c>
      <c r="V77" t="s">
        <v>80</v>
      </c>
      <c r="W77" t="s">
        <v>842</v>
      </c>
      <c r="X77" s="1">
        <v>44953</v>
      </c>
      <c r="Y77">
        <v>462.36</v>
      </c>
      <c r="Z77" t="s">
        <v>82</v>
      </c>
      <c r="AA77" t="str">
        <f t="shared" si="1"/>
        <v>1003</v>
      </c>
      <c r="AB77" t="s">
        <v>133</v>
      </c>
      <c r="AC77" t="s">
        <v>843</v>
      </c>
      <c r="AD77" t="s">
        <v>844</v>
      </c>
      <c r="AE77" t="str">
        <f>"46211500"</f>
        <v>46211500</v>
      </c>
      <c r="AF77" t="s">
        <v>451</v>
      </c>
      <c r="AG77" t="s">
        <v>845</v>
      </c>
      <c r="AH77" t="s">
        <v>846</v>
      </c>
      <c r="AI77" t="s">
        <v>846</v>
      </c>
      <c r="AJ77" t="s">
        <v>139</v>
      </c>
      <c r="AK77" t="s">
        <v>140</v>
      </c>
      <c r="AL77" t="s">
        <v>847</v>
      </c>
      <c r="AN77" t="str">
        <f>"80095"</f>
        <v>80095</v>
      </c>
      <c r="AO77" t="str">
        <f>"80095"</f>
        <v>80095</v>
      </c>
      <c r="AP77" t="s">
        <v>92</v>
      </c>
      <c r="AR77">
        <v>139.97999999999999</v>
      </c>
      <c r="AS77">
        <v>139.97999999999999</v>
      </c>
      <c r="AT77">
        <v>3</v>
      </c>
      <c r="AU77">
        <v>419.94</v>
      </c>
      <c r="AV77">
        <v>0</v>
      </c>
      <c r="AX77">
        <v>42.42</v>
      </c>
      <c r="AY77">
        <v>462.36</v>
      </c>
      <c r="BA77" t="s">
        <v>93</v>
      </c>
      <c r="BC77" t="s">
        <v>93</v>
      </c>
      <c r="BD77" t="s">
        <v>128</v>
      </c>
      <c r="BI77" t="s">
        <v>80</v>
      </c>
      <c r="BM77" t="s">
        <v>94</v>
      </c>
      <c r="BN77" t="s">
        <v>95</v>
      </c>
      <c r="BP77" t="s">
        <v>299</v>
      </c>
      <c r="BR77" t="s">
        <v>130</v>
      </c>
      <c r="BT77" t="s">
        <v>131</v>
      </c>
      <c r="BU77" t="s">
        <v>132</v>
      </c>
      <c r="BV77" t="str">
        <f>"98109"</f>
        <v>98109</v>
      </c>
      <c r="BW77">
        <v>877</v>
      </c>
      <c r="BX77" t="s">
        <v>2735</v>
      </c>
      <c r="BY77" t="s">
        <v>2669</v>
      </c>
      <c r="BZ77">
        <v>4</v>
      </c>
    </row>
    <row r="78" spans="1:78" x14ac:dyDescent="0.25">
      <c r="A78" s="1">
        <v>44951</v>
      </c>
      <c r="B78" t="s">
        <v>848</v>
      </c>
      <c r="C78" t="s">
        <v>189</v>
      </c>
      <c r="E78">
        <v>1</v>
      </c>
      <c r="F78" t="s">
        <v>76</v>
      </c>
      <c r="G78">
        <v>37.99</v>
      </c>
      <c r="H78">
        <v>2.99</v>
      </c>
      <c r="I78">
        <v>-2.99</v>
      </c>
      <c r="J78">
        <v>3.13</v>
      </c>
      <c r="K78">
        <v>41.12</v>
      </c>
      <c r="L78" t="s">
        <v>77</v>
      </c>
      <c r="P78" t="s">
        <v>190</v>
      </c>
      <c r="Q78" t="s">
        <v>191</v>
      </c>
      <c r="R78" t="s">
        <v>80</v>
      </c>
      <c r="S78" t="s">
        <v>80</v>
      </c>
      <c r="T78" t="s">
        <v>80</v>
      </c>
      <c r="U78" t="s">
        <v>80</v>
      </c>
      <c r="V78" t="s">
        <v>80</v>
      </c>
      <c r="W78" t="s">
        <v>849</v>
      </c>
      <c r="X78" s="1">
        <v>44951</v>
      </c>
      <c r="Y78">
        <v>41.12</v>
      </c>
      <c r="Z78" t="s">
        <v>82</v>
      </c>
      <c r="AA78" t="str">
        <f t="shared" si="1"/>
        <v>1003</v>
      </c>
      <c r="AB78" t="s">
        <v>119</v>
      </c>
      <c r="AC78" t="s">
        <v>193</v>
      </c>
      <c r="AD78" t="s">
        <v>194</v>
      </c>
      <c r="AE78" t="str">
        <f>"55121605"</f>
        <v>55121605</v>
      </c>
      <c r="AF78" t="s">
        <v>195</v>
      </c>
      <c r="AG78" t="s">
        <v>196</v>
      </c>
      <c r="AH78" t="s">
        <v>197</v>
      </c>
      <c r="AI78" t="s">
        <v>198</v>
      </c>
      <c r="AK78" t="s">
        <v>199</v>
      </c>
      <c r="AL78" t="s">
        <v>199</v>
      </c>
      <c r="AN78" t="s">
        <v>200</v>
      </c>
      <c r="AO78" t="s">
        <v>200</v>
      </c>
      <c r="AP78" t="s">
        <v>92</v>
      </c>
      <c r="AR78">
        <v>49.95</v>
      </c>
      <c r="AS78">
        <v>37.99</v>
      </c>
      <c r="AT78">
        <v>1</v>
      </c>
      <c r="AU78">
        <v>37.99</v>
      </c>
      <c r="AV78">
        <v>2.99</v>
      </c>
      <c r="AW78">
        <v>-2.99</v>
      </c>
      <c r="AX78">
        <v>3.13</v>
      </c>
      <c r="AY78">
        <v>41.12</v>
      </c>
      <c r="BA78" t="s">
        <v>93</v>
      </c>
      <c r="BC78" t="s">
        <v>93</v>
      </c>
      <c r="BD78" t="s">
        <v>128</v>
      </c>
      <c r="BE78">
        <v>11.96</v>
      </c>
      <c r="BF78" s="2">
        <v>0.2394</v>
      </c>
      <c r="BI78" t="s">
        <v>80</v>
      </c>
      <c r="BM78" t="s">
        <v>94</v>
      </c>
      <c r="BN78" t="s">
        <v>95</v>
      </c>
      <c r="BP78" t="s">
        <v>201</v>
      </c>
      <c r="BR78" t="s">
        <v>202</v>
      </c>
      <c r="BT78" t="s">
        <v>203</v>
      </c>
      <c r="BU78" t="s">
        <v>204</v>
      </c>
      <c r="BV78" t="str">
        <f>"51800"</f>
        <v>51800</v>
      </c>
      <c r="BW78">
        <v>901</v>
      </c>
      <c r="BX78" t="s">
        <v>2730</v>
      </c>
      <c r="BY78" t="s">
        <v>2705</v>
      </c>
      <c r="BZ78">
        <v>4</v>
      </c>
    </row>
    <row r="79" spans="1:78" x14ac:dyDescent="0.25">
      <c r="A79" s="1">
        <v>44950</v>
      </c>
      <c r="B79" t="s">
        <v>850</v>
      </c>
      <c r="C79" t="s">
        <v>851</v>
      </c>
      <c r="E79">
        <v>5</v>
      </c>
      <c r="F79" t="s">
        <v>76</v>
      </c>
      <c r="G79">
        <v>349.95</v>
      </c>
      <c r="H79">
        <v>0</v>
      </c>
      <c r="I79">
        <v>0</v>
      </c>
      <c r="J79">
        <v>27.1</v>
      </c>
      <c r="K79">
        <v>377.05</v>
      </c>
      <c r="L79" t="s">
        <v>77</v>
      </c>
      <c r="M79" t="s">
        <v>852</v>
      </c>
      <c r="P79" t="s">
        <v>852</v>
      </c>
      <c r="Q79" t="s">
        <v>853</v>
      </c>
      <c r="R79" t="s">
        <v>80</v>
      </c>
      <c r="S79" t="s">
        <v>80</v>
      </c>
      <c r="T79" t="s">
        <v>80</v>
      </c>
      <c r="U79" t="s">
        <v>80</v>
      </c>
      <c r="V79" t="s">
        <v>80</v>
      </c>
      <c r="W79" t="s">
        <v>854</v>
      </c>
      <c r="X79" s="1">
        <v>44950</v>
      </c>
      <c r="Y79">
        <v>377.05</v>
      </c>
      <c r="Z79" t="s">
        <v>82</v>
      </c>
      <c r="AA79" t="str">
        <f t="shared" si="1"/>
        <v>1003</v>
      </c>
      <c r="AB79" t="s">
        <v>133</v>
      </c>
      <c r="AC79" t="s">
        <v>855</v>
      </c>
      <c r="AD79" t="s">
        <v>856</v>
      </c>
      <c r="AE79" t="str">
        <f>"31151900"</f>
        <v>31151900</v>
      </c>
      <c r="AF79" t="s">
        <v>398</v>
      </c>
      <c r="AG79" t="s">
        <v>399</v>
      </c>
      <c r="AH79" t="s">
        <v>400</v>
      </c>
      <c r="AI79" t="s">
        <v>400</v>
      </c>
      <c r="AK79" t="s">
        <v>857</v>
      </c>
      <c r="AL79" t="s">
        <v>857</v>
      </c>
      <c r="AN79" t="s">
        <v>858</v>
      </c>
      <c r="AO79" t="s">
        <v>858</v>
      </c>
      <c r="AP79" t="s">
        <v>92</v>
      </c>
      <c r="AR79">
        <v>69.989999999999995</v>
      </c>
      <c r="AS79">
        <v>69.989999999999995</v>
      </c>
      <c r="AT79">
        <v>5</v>
      </c>
      <c r="AU79">
        <v>349.95</v>
      </c>
      <c r="AV79">
        <v>0</v>
      </c>
      <c r="AX79">
        <v>27.1</v>
      </c>
      <c r="AY79">
        <v>377.05</v>
      </c>
      <c r="BA79" t="s">
        <v>93</v>
      </c>
      <c r="BC79" t="s">
        <v>93</v>
      </c>
      <c r="BI79" t="s">
        <v>80</v>
      </c>
      <c r="BM79" t="s">
        <v>372</v>
      </c>
      <c r="BN79" t="s">
        <v>373</v>
      </c>
      <c r="BP79" t="s">
        <v>266</v>
      </c>
      <c r="BR79" t="s">
        <v>859</v>
      </c>
      <c r="BS79" t="s">
        <v>237</v>
      </c>
      <c r="BW79">
        <v>848</v>
      </c>
      <c r="BX79" t="s">
        <v>2733</v>
      </c>
      <c r="BY79" t="s">
        <v>2661</v>
      </c>
      <c r="BZ79">
        <v>4</v>
      </c>
    </row>
    <row r="80" spans="1:78" x14ac:dyDescent="0.25">
      <c r="A80" s="1">
        <v>44950</v>
      </c>
      <c r="B80" t="s">
        <v>860</v>
      </c>
      <c r="C80" t="s">
        <v>100</v>
      </c>
      <c r="D80" t="s">
        <v>861</v>
      </c>
      <c r="E80">
        <v>2</v>
      </c>
      <c r="F80" t="s">
        <v>76</v>
      </c>
      <c r="G80">
        <v>19.98</v>
      </c>
      <c r="H80">
        <v>0</v>
      </c>
      <c r="I80">
        <v>0</v>
      </c>
      <c r="J80">
        <v>1.54</v>
      </c>
      <c r="K80">
        <v>21.52</v>
      </c>
      <c r="L80" t="s">
        <v>207</v>
      </c>
      <c r="P80" t="s">
        <v>208</v>
      </c>
      <c r="Q80" t="s">
        <v>209</v>
      </c>
      <c r="R80" t="s">
        <v>80</v>
      </c>
      <c r="S80" t="s">
        <v>80</v>
      </c>
      <c r="T80" t="s">
        <v>80</v>
      </c>
      <c r="U80" t="s">
        <v>80</v>
      </c>
      <c r="V80" t="s">
        <v>80</v>
      </c>
      <c r="W80" t="s">
        <v>862</v>
      </c>
      <c r="X80" s="1">
        <v>44951</v>
      </c>
      <c r="Y80">
        <v>21.52</v>
      </c>
      <c r="Z80" t="s">
        <v>82</v>
      </c>
      <c r="AA80" t="str">
        <f t="shared" si="1"/>
        <v>1003</v>
      </c>
      <c r="AB80" t="s">
        <v>268</v>
      </c>
      <c r="AC80" t="s">
        <v>863</v>
      </c>
      <c r="AD80" t="s">
        <v>864</v>
      </c>
      <c r="AE80" t="str">
        <f>"47131600"</f>
        <v>47131600</v>
      </c>
      <c r="AF80" t="s">
        <v>144</v>
      </c>
      <c r="AG80" t="s">
        <v>145</v>
      </c>
      <c r="AH80" t="s">
        <v>271</v>
      </c>
      <c r="AI80" t="s">
        <v>271</v>
      </c>
      <c r="AK80" t="s">
        <v>865</v>
      </c>
      <c r="AL80" t="s">
        <v>865</v>
      </c>
      <c r="AN80" t="s">
        <v>866</v>
      </c>
      <c r="AO80" t="s">
        <v>866</v>
      </c>
      <c r="AP80" t="s">
        <v>92</v>
      </c>
      <c r="AR80">
        <v>16.989999999999998</v>
      </c>
      <c r="AS80">
        <v>9.99</v>
      </c>
      <c r="AT80">
        <v>2</v>
      </c>
      <c r="AU80">
        <v>19.98</v>
      </c>
      <c r="AV80">
        <v>0</v>
      </c>
      <c r="AX80">
        <v>1.54</v>
      </c>
      <c r="AY80">
        <v>21.52</v>
      </c>
      <c r="BA80" t="s">
        <v>93</v>
      </c>
      <c r="BC80" t="s">
        <v>93</v>
      </c>
      <c r="BI80" t="s">
        <v>80</v>
      </c>
      <c r="BM80" t="s">
        <v>94</v>
      </c>
      <c r="BN80" t="s">
        <v>95</v>
      </c>
      <c r="BP80" t="s">
        <v>345</v>
      </c>
      <c r="BR80" t="s">
        <v>867</v>
      </c>
      <c r="BT80" t="s">
        <v>868</v>
      </c>
      <c r="BU80" t="s">
        <v>869</v>
      </c>
      <c r="BV80" t="str">
        <f>"510101"</f>
        <v>510101</v>
      </c>
      <c r="BW80">
        <v>931</v>
      </c>
      <c r="BX80" t="s">
        <v>2739</v>
      </c>
      <c r="BY80" t="s">
        <v>2723</v>
      </c>
      <c r="BZ80">
        <v>4</v>
      </c>
    </row>
    <row r="81" spans="1:78" x14ac:dyDescent="0.25">
      <c r="A81" s="1">
        <v>44950</v>
      </c>
      <c r="B81" t="s">
        <v>870</v>
      </c>
      <c r="C81" t="s">
        <v>100</v>
      </c>
      <c r="D81" t="s">
        <v>861</v>
      </c>
      <c r="E81">
        <v>1</v>
      </c>
      <c r="F81" t="s">
        <v>76</v>
      </c>
      <c r="G81">
        <v>87.99</v>
      </c>
      <c r="H81">
        <v>0</v>
      </c>
      <c r="I81">
        <v>0</v>
      </c>
      <c r="J81">
        <v>6.82</v>
      </c>
      <c r="K81">
        <v>94.81</v>
      </c>
      <c r="L81" t="s">
        <v>77</v>
      </c>
      <c r="P81" t="s">
        <v>208</v>
      </c>
      <c r="Q81" t="s">
        <v>209</v>
      </c>
      <c r="R81" t="s">
        <v>80</v>
      </c>
      <c r="S81" t="s">
        <v>80</v>
      </c>
      <c r="T81" t="s">
        <v>80</v>
      </c>
      <c r="U81" t="s">
        <v>80</v>
      </c>
      <c r="V81" t="s">
        <v>80</v>
      </c>
      <c r="W81" t="s">
        <v>871</v>
      </c>
      <c r="X81" s="1">
        <v>44951</v>
      </c>
      <c r="Y81">
        <v>94.81</v>
      </c>
      <c r="Z81" t="s">
        <v>82</v>
      </c>
      <c r="AA81" t="str">
        <f t="shared" si="1"/>
        <v>1003</v>
      </c>
      <c r="AB81" t="s">
        <v>638</v>
      </c>
      <c r="AC81" t="s">
        <v>872</v>
      </c>
      <c r="AD81" t="s">
        <v>873</v>
      </c>
      <c r="AE81" t="str">
        <f>"47121602"</f>
        <v>47121602</v>
      </c>
      <c r="AF81" t="s">
        <v>144</v>
      </c>
      <c r="AG81" t="s">
        <v>617</v>
      </c>
      <c r="AH81" t="s">
        <v>618</v>
      </c>
      <c r="AI81" t="s">
        <v>874</v>
      </c>
      <c r="AJ81" t="s">
        <v>875</v>
      </c>
      <c r="AK81" t="s">
        <v>876</v>
      </c>
      <c r="AL81" t="s">
        <v>877</v>
      </c>
      <c r="AN81" t="s">
        <v>878</v>
      </c>
      <c r="AO81" t="s">
        <v>878</v>
      </c>
      <c r="AP81" t="s">
        <v>92</v>
      </c>
      <c r="AR81">
        <v>87.99</v>
      </c>
      <c r="AS81">
        <v>87.99</v>
      </c>
      <c r="AT81">
        <v>1</v>
      </c>
      <c r="AU81">
        <v>87.99</v>
      </c>
      <c r="AV81">
        <v>0</v>
      </c>
      <c r="AX81">
        <v>6.82</v>
      </c>
      <c r="AY81">
        <v>94.81</v>
      </c>
      <c r="BA81" t="s">
        <v>93</v>
      </c>
      <c r="BC81" t="s">
        <v>93</v>
      </c>
      <c r="BI81" t="s">
        <v>80</v>
      </c>
      <c r="BM81" t="s">
        <v>94</v>
      </c>
      <c r="BN81" t="s">
        <v>95</v>
      </c>
      <c r="BP81" t="s">
        <v>345</v>
      </c>
      <c r="BR81" t="s">
        <v>338</v>
      </c>
      <c r="BT81" t="s">
        <v>131</v>
      </c>
      <c r="BU81" t="s">
        <v>339</v>
      </c>
      <c r="BV81" t="str">
        <f>"98109"</f>
        <v>98109</v>
      </c>
      <c r="BW81">
        <v>931</v>
      </c>
      <c r="BX81" t="s">
        <v>2739</v>
      </c>
      <c r="BY81" t="s">
        <v>2723</v>
      </c>
      <c r="BZ81">
        <v>4</v>
      </c>
    </row>
    <row r="82" spans="1:78" x14ac:dyDescent="0.25">
      <c r="A82" s="1">
        <v>44950</v>
      </c>
      <c r="B82" t="s">
        <v>879</v>
      </c>
      <c r="C82" t="s">
        <v>392</v>
      </c>
      <c r="E82">
        <v>2</v>
      </c>
      <c r="F82" t="s">
        <v>76</v>
      </c>
      <c r="G82">
        <v>32.96</v>
      </c>
      <c r="H82">
        <v>0</v>
      </c>
      <c r="I82">
        <v>0</v>
      </c>
      <c r="J82">
        <v>2.2999999999999998</v>
      </c>
      <c r="K82">
        <v>35.26</v>
      </c>
      <c r="L82" t="s">
        <v>77</v>
      </c>
      <c r="P82" t="s">
        <v>418</v>
      </c>
      <c r="Q82" t="s">
        <v>419</v>
      </c>
      <c r="R82" t="s">
        <v>80</v>
      </c>
      <c r="S82" t="s">
        <v>80</v>
      </c>
      <c r="T82" t="s">
        <v>80</v>
      </c>
      <c r="U82" t="s">
        <v>80</v>
      </c>
      <c r="V82" t="s">
        <v>80</v>
      </c>
      <c r="W82" t="s">
        <v>880</v>
      </c>
      <c r="X82" s="1">
        <v>44950</v>
      </c>
      <c r="Y82">
        <v>35.26</v>
      </c>
      <c r="Z82" t="s">
        <v>82</v>
      </c>
      <c r="AA82" t="str">
        <f t="shared" ref="AA82:AA145" si="2">"1003"</f>
        <v>1003</v>
      </c>
      <c r="AB82" t="s">
        <v>268</v>
      </c>
      <c r="AC82" t="s">
        <v>881</v>
      </c>
      <c r="AD82" t="s">
        <v>882</v>
      </c>
      <c r="AE82" t="str">
        <f>"52152100"</f>
        <v>52152100</v>
      </c>
      <c r="AF82" t="s">
        <v>684</v>
      </c>
      <c r="AG82" t="s">
        <v>883</v>
      </c>
      <c r="AH82" t="s">
        <v>884</v>
      </c>
      <c r="AI82" t="s">
        <v>884</v>
      </c>
      <c r="AK82" t="s">
        <v>885</v>
      </c>
      <c r="AP82" t="s">
        <v>92</v>
      </c>
      <c r="AR82">
        <v>25.99</v>
      </c>
      <c r="AS82">
        <v>16.48</v>
      </c>
      <c r="AT82">
        <v>2</v>
      </c>
      <c r="AU82">
        <v>32.96</v>
      </c>
      <c r="AV82">
        <v>0</v>
      </c>
      <c r="AX82">
        <v>2.2999999999999998</v>
      </c>
      <c r="AY82">
        <v>35.26</v>
      </c>
      <c r="BA82" t="s">
        <v>93</v>
      </c>
      <c r="BC82" t="s">
        <v>93</v>
      </c>
      <c r="BD82" t="s">
        <v>128</v>
      </c>
      <c r="BE82">
        <v>9.51</v>
      </c>
      <c r="BF82" s="2">
        <v>0.3659</v>
      </c>
      <c r="BI82" t="s">
        <v>80</v>
      </c>
      <c r="BM82" t="s">
        <v>427</v>
      </c>
      <c r="BN82" t="s">
        <v>95</v>
      </c>
      <c r="BP82" t="s">
        <v>428</v>
      </c>
      <c r="BR82" t="s">
        <v>885</v>
      </c>
      <c r="BT82" t="s">
        <v>522</v>
      </c>
      <c r="BU82" t="s">
        <v>523</v>
      </c>
      <c r="BV82" t="str">
        <f>"311100"</f>
        <v>311100</v>
      </c>
      <c r="BW82">
        <v>894</v>
      </c>
      <c r="BX82" t="s">
        <v>2744</v>
      </c>
      <c r="BY82" t="s">
        <v>2697</v>
      </c>
      <c r="BZ82">
        <v>4</v>
      </c>
    </row>
    <row r="83" spans="1:78" x14ac:dyDescent="0.25">
      <c r="A83" s="1">
        <v>44950</v>
      </c>
      <c r="B83" t="s">
        <v>886</v>
      </c>
      <c r="C83" t="s">
        <v>392</v>
      </c>
      <c r="E83">
        <v>4</v>
      </c>
      <c r="F83" t="s">
        <v>76</v>
      </c>
      <c r="G83">
        <v>66.62</v>
      </c>
      <c r="H83">
        <v>0</v>
      </c>
      <c r="I83">
        <v>0</v>
      </c>
      <c r="J83">
        <v>4.67</v>
      </c>
      <c r="K83">
        <v>71.290000000000006</v>
      </c>
      <c r="L83" t="s">
        <v>77</v>
      </c>
      <c r="P83" t="s">
        <v>887</v>
      </c>
      <c r="Q83" t="s">
        <v>888</v>
      </c>
      <c r="R83" t="s">
        <v>80</v>
      </c>
      <c r="S83" t="s">
        <v>80</v>
      </c>
      <c r="T83" t="s">
        <v>80</v>
      </c>
      <c r="U83" t="s">
        <v>80</v>
      </c>
      <c r="V83" t="s">
        <v>80</v>
      </c>
      <c r="W83" t="s">
        <v>889</v>
      </c>
      <c r="X83" s="1">
        <v>44951</v>
      </c>
      <c r="Y83">
        <v>60.92</v>
      </c>
      <c r="Z83" t="s">
        <v>82</v>
      </c>
      <c r="AA83" t="str">
        <f t="shared" si="2"/>
        <v>1003</v>
      </c>
      <c r="AB83" t="s">
        <v>268</v>
      </c>
      <c r="AC83" t="s">
        <v>890</v>
      </c>
      <c r="AD83" t="s">
        <v>891</v>
      </c>
      <c r="AE83" t="str">
        <f>"52121604"</f>
        <v>52121604</v>
      </c>
      <c r="AF83" t="s">
        <v>684</v>
      </c>
      <c r="AG83" t="s">
        <v>892</v>
      </c>
      <c r="AH83" t="s">
        <v>893</v>
      </c>
      <c r="AI83" t="s">
        <v>894</v>
      </c>
      <c r="AK83" t="s">
        <v>312</v>
      </c>
      <c r="AL83" t="s">
        <v>312</v>
      </c>
      <c r="AN83" t="str">
        <f>"1"</f>
        <v>1</v>
      </c>
      <c r="AO83" s="4">
        <v>44935</v>
      </c>
      <c r="AP83" t="s">
        <v>92</v>
      </c>
      <c r="AR83">
        <v>16.989999999999998</v>
      </c>
      <c r="AS83">
        <v>16.989999999999998</v>
      </c>
      <c r="AT83">
        <v>1</v>
      </c>
      <c r="AU83">
        <v>16.989999999999998</v>
      </c>
      <c r="AV83">
        <v>0</v>
      </c>
      <c r="AX83">
        <v>1.19</v>
      </c>
      <c r="AY83">
        <v>18.18</v>
      </c>
      <c r="BA83" t="s">
        <v>93</v>
      </c>
      <c r="BC83" t="s">
        <v>93</v>
      </c>
      <c r="BI83" t="s">
        <v>80</v>
      </c>
      <c r="BM83" t="s">
        <v>427</v>
      </c>
      <c r="BN83" t="s">
        <v>95</v>
      </c>
      <c r="BP83" t="s">
        <v>895</v>
      </c>
      <c r="BR83" t="s">
        <v>315</v>
      </c>
      <c r="BT83" t="s">
        <v>316</v>
      </c>
      <c r="BU83" t="s">
        <v>317</v>
      </c>
      <c r="BV83" t="str">
        <f>"230000"</f>
        <v>230000</v>
      </c>
      <c r="BW83">
        <v>823</v>
      </c>
      <c r="BX83">
        <v>300</v>
      </c>
      <c r="BY83" t="s">
        <v>2645</v>
      </c>
      <c r="BZ83">
        <v>4</v>
      </c>
    </row>
    <row r="84" spans="1:78" x14ac:dyDescent="0.25">
      <c r="A84" s="1">
        <v>44950</v>
      </c>
      <c r="B84" t="s">
        <v>886</v>
      </c>
      <c r="C84" t="s">
        <v>392</v>
      </c>
      <c r="E84">
        <v>4</v>
      </c>
      <c r="F84" t="s">
        <v>76</v>
      </c>
      <c r="G84">
        <v>66.62</v>
      </c>
      <c r="H84">
        <v>0</v>
      </c>
      <c r="I84">
        <v>0</v>
      </c>
      <c r="J84">
        <v>4.67</v>
      </c>
      <c r="K84">
        <v>71.290000000000006</v>
      </c>
      <c r="L84" t="s">
        <v>77</v>
      </c>
      <c r="P84" t="s">
        <v>887</v>
      </c>
      <c r="Q84" t="s">
        <v>888</v>
      </c>
      <c r="R84" t="s">
        <v>80</v>
      </c>
      <c r="S84" t="s">
        <v>80</v>
      </c>
      <c r="T84" t="s">
        <v>80</v>
      </c>
      <c r="U84" t="s">
        <v>80</v>
      </c>
      <c r="V84" t="s">
        <v>80</v>
      </c>
      <c r="W84" t="s">
        <v>889</v>
      </c>
      <c r="X84" s="1">
        <v>44951</v>
      </c>
      <c r="Y84">
        <v>60.92</v>
      </c>
      <c r="Z84" t="s">
        <v>82</v>
      </c>
      <c r="AA84" t="str">
        <f t="shared" si="2"/>
        <v>1003</v>
      </c>
      <c r="AB84" t="s">
        <v>268</v>
      </c>
      <c r="AC84" t="s">
        <v>896</v>
      </c>
      <c r="AD84" t="s">
        <v>897</v>
      </c>
      <c r="AE84" t="str">
        <f>"44110000"</f>
        <v>44110000</v>
      </c>
      <c r="AF84" t="s">
        <v>108</v>
      </c>
      <c r="AG84" t="s">
        <v>122</v>
      </c>
      <c r="AH84" t="s">
        <v>122</v>
      </c>
      <c r="AI84" t="s">
        <v>122</v>
      </c>
      <c r="AK84" t="s">
        <v>898</v>
      </c>
      <c r="AL84" t="s">
        <v>898</v>
      </c>
      <c r="AO84" t="s">
        <v>899</v>
      </c>
      <c r="AP84" t="s">
        <v>92</v>
      </c>
      <c r="AR84">
        <v>11.99</v>
      </c>
      <c r="AS84">
        <v>11.99</v>
      </c>
      <c r="AT84">
        <v>1</v>
      </c>
      <c r="AU84">
        <v>11.99</v>
      </c>
      <c r="AV84">
        <v>0</v>
      </c>
      <c r="AX84">
        <v>0.84</v>
      </c>
      <c r="AY84">
        <v>12.83</v>
      </c>
      <c r="BA84" t="s">
        <v>93</v>
      </c>
      <c r="BC84" t="s">
        <v>93</v>
      </c>
      <c r="BI84" t="s">
        <v>80</v>
      </c>
      <c r="BM84" t="s">
        <v>427</v>
      </c>
      <c r="BN84" t="s">
        <v>95</v>
      </c>
      <c r="BP84" t="s">
        <v>895</v>
      </c>
      <c r="BR84" t="s">
        <v>898</v>
      </c>
      <c r="BS84" t="s">
        <v>113</v>
      </c>
      <c r="BT84" t="s">
        <v>900</v>
      </c>
      <c r="BU84" t="s">
        <v>901</v>
      </c>
      <c r="BV84" t="str">
        <f>"21131"</f>
        <v>21131</v>
      </c>
      <c r="BW84">
        <v>823</v>
      </c>
      <c r="BX84">
        <v>300</v>
      </c>
      <c r="BY84" t="s">
        <v>2645</v>
      </c>
      <c r="BZ84">
        <v>4</v>
      </c>
    </row>
    <row r="85" spans="1:78" x14ac:dyDescent="0.25">
      <c r="A85" s="1">
        <v>44950</v>
      </c>
      <c r="B85" t="s">
        <v>886</v>
      </c>
      <c r="C85" t="s">
        <v>392</v>
      </c>
      <c r="E85">
        <v>4</v>
      </c>
      <c r="F85" t="s">
        <v>76</v>
      </c>
      <c r="G85">
        <v>66.62</v>
      </c>
      <c r="H85">
        <v>0</v>
      </c>
      <c r="I85">
        <v>0</v>
      </c>
      <c r="J85">
        <v>4.67</v>
      </c>
      <c r="K85">
        <v>71.290000000000006</v>
      </c>
      <c r="L85" t="s">
        <v>77</v>
      </c>
      <c r="P85" t="s">
        <v>887</v>
      </c>
      <c r="Q85" t="s">
        <v>888</v>
      </c>
      <c r="R85" t="s">
        <v>80</v>
      </c>
      <c r="S85" t="s">
        <v>80</v>
      </c>
      <c r="T85" t="s">
        <v>80</v>
      </c>
      <c r="U85" t="s">
        <v>80</v>
      </c>
      <c r="V85" t="s">
        <v>80</v>
      </c>
      <c r="W85" t="s">
        <v>889</v>
      </c>
      <c r="X85" s="1">
        <v>44951</v>
      </c>
      <c r="Y85">
        <v>60.92</v>
      </c>
      <c r="Z85" t="s">
        <v>82</v>
      </c>
      <c r="AA85" t="str">
        <f t="shared" si="2"/>
        <v>1003</v>
      </c>
      <c r="AB85" t="s">
        <v>119</v>
      </c>
      <c r="AC85" t="s">
        <v>902</v>
      </c>
      <c r="AD85" t="s">
        <v>903</v>
      </c>
      <c r="AE85" t="str">
        <f>"60121008"</f>
        <v>60121008</v>
      </c>
      <c r="AF85" t="s">
        <v>349</v>
      </c>
      <c r="AG85" t="s">
        <v>472</v>
      </c>
      <c r="AH85" t="s">
        <v>473</v>
      </c>
      <c r="AI85" t="s">
        <v>474</v>
      </c>
      <c r="AK85" t="s">
        <v>904</v>
      </c>
      <c r="AL85" t="s">
        <v>904</v>
      </c>
      <c r="AO85" t="s">
        <v>905</v>
      </c>
      <c r="AP85" t="s">
        <v>92</v>
      </c>
      <c r="AR85">
        <v>22.95</v>
      </c>
      <c r="AS85">
        <v>27.95</v>
      </c>
      <c r="AT85">
        <v>1</v>
      </c>
      <c r="AU85">
        <v>27.95</v>
      </c>
      <c r="AV85">
        <v>0</v>
      </c>
      <c r="AX85">
        <v>1.96</v>
      </c>
      <c r="AY85">
        <v>29.91</v>
      </c>
      <c r="BA85" t="s">
        <v>93</v>
      </c>
      <c r="BC85" t="s">
        <v>93</v>
      </c>
      <c r="BI85" t="s">
        <v>80</v>
      </c>
      <c r="BM85" t="s">
        <v>427</v>
      </c>
      <c r="BN85" t="s">
        <v>95</v>
      </c>
      <c r="BP85" t="s">
        <v>895</v>
      </c>
      <c r="BR85" t="s">
        <v>904</v>
      </c>
      <c r="BS85" t="s">
        <v>113</v>
      </c>
      <c r="BT85" t="s">
        <v>906</v>
      </c>
      <c r="BU85" t="s">
        <v>115</v>
      </c>
      <c r="BV85" t="str">
        <f>"90004"</f>
        <v>90004</v>
      </c>
      <c r="BW85">
        <v>823</v>
      </c>
      <c r="BX85">
        <v>300</v>
      </c>
      <c r="BY85" t="s">
        <v>2645</v>
      </c>
      <c r="BZ85">
        <v>4</v>
      </c>
    </row>
    <row r="86" spans="1:78" x14ac:dyDescent="0.25">
      <c r="A86" s="1">
        <v>44950</v>
      </c>
      <c r="B86" t="s">
        <v>886</v>
      </c>
      <c r="C86" t="s">
        <v>392</v>
      </c>
      <c r="E86">
        <v>4</v>
      </c>
      <c r="F86" t="s">
        <v>76</v>
      </c>
      <c r="G86">
        <v>66.62</v>
      </c>
      <c r="H86">
        <v>0</v>
      </c>
      <c r="I86">
        <v>0</v>
      </c>
      <c r="J86">
        <v>4.67</v>
      </c>
      <c r="K86">
        <v>71.290000000000006</v>
      </c>
      <c r="L86" t="s">
        <v>77</v>
      </c>
      <c r="P86" t="s">
        <v>887</v>
      </c>
      <c r="Q86" t="s">
        <v>888</v>
      </c>
      <c r="R86" t="s">
        <v>80</v>
      </c>
      <c r="S86" t="s">
        <v>80</v>
      </c>
      <c r="T86" t="s">
        <v>80</v>
      </c>
      <c r="U86" t="s">
        <v>80</v>
      </c>
      <c r="V86" t="s">
        <v>80</v>
      </c>
      <c r="W86" t="s">
        <v>907</v>
      </c>
      <c r="X86" s="1">
        <v>44955</v>
      </c>
      <c r="Y86">
        <v>10.37</v>
      </c>
      <c r="Z86" t="s">
        <v>82</v>
      </c>
      <c r="AA86" t="str">
        <f t="shared" si="2"/>
        <v>1003</v>
      </c>
      <c r="AB86" t="s">
        <v>908</v>
      </c>
      <c r="AC86" t="s">
        <v>909</v>
      </c>
      <c r="AD86" t="s">
        <v>910</v>
      </c>
      <c r="AE86" t="str">
        <f>"14111500"</f>
        <v>14111500</v>
      </c>
      <c r="AF86" t="s">
        <v>213</v>
      </c>
      <c r="AG86" t="s">
        <v>214</v>
      </c>
      <c r="AH86" t="s">
        <v>215</v>
      </c>
      <c r="AI86" t="s">
        <v>215</v>
      </c>
      <c r="AJ86" t="s">
        <v>911</v>
      </c>
      <c r="AK86" t="s">
        <v>912</v>
      </c>
      <c r="AL86" t="s">
        <v>913</v>
      </c>
      <c r="AN86" t="str">
        <f>"0057308"</f>
        <v>0057308</v>
      </c>
      <c r="AO86" t="str">
        <f>"0057308"</f>
        <v>0057308</v>
      </c>
      <c r="AP86" t="s">
        <v>92</v>
      </c>
      <c r="AR86">
        <v>9.69</v>
      </c>
      <c r="AS86">
        <v>9.69</v>
      </c>
      <c r="AT86">
        <v>1</v>
      </c>
      <c r="AU86">
        <v>9.69</v>
      </c>
      <c r="AV86">
        <v>0</v>
      </c>
      <c r="AX86">
        <v>0.68</v>
      </c>
      <c r="AY86">
        <v>10.37</v>
      </c>
      <c r="BA86" t="s">
        <v>93</v>
      </c>
      <c r="BC86" t="s">
        <v>93</v>
      </c>
      <c r="BI86" t="s">
        <v>80</v>
      </c>
      <c r="BM86" t="s">
        <v>427</v>
      </c>
      <c r="BN86" t="s">
        <v>95</v>
      </c>
      <c r="BP86" t="s">
        <v>895</v>
      </c>
      <c r="BR86" t="s">
        <v>338</v>
      </c>
      <c r="BT86" t="s">
        <v>131</v>
      </c>
      <c r="BU86" t="s">
        <v>339</v>
      </c>
      <c r="BV86" t="str">
        <f>"98109"</f>
        <v>98109</v>
      </c>
      <c r="BW86">
        <v>823</v>
      </c>
      <c r="BX86">
        <v>300</v>
      </c>
      <c r="BY86" t="s">
        <v>2645</v>
      </c>
      <c r="BZ86">
        <v>4</v>
      </c>
    </row>
    <row r="87" spans="1:78" x14ac:dyDescent="0.25">
      <c r="A87" s="1">
        <v>44950</v>
      </c>
      <c r="B87" t="s">
        <v>914</v>
      </c>
      <c r="C87" t="s">
        <v>392</v>
      </c>
      <c r="E87">
        <v>1</v>
      </c>
      <c r="F87" t="s">
        <v>76</v>
      </c>
      <c r="G87">
        <v>7.99</v>
      </c>
      <c r="H87">
        <v>0</v>
      </c>
      <c r="I87">
        <v>0</v>
      </c>
      <c r="J87">
        <v>0.56000000000000005</v>
      </c>
      <c r="K87">
        <v>8.5500000000000007</v>
      </c>
      <c r="L87" t="s">
        <v>77</v>
      </c>
      <c r="P87" t="s">
        <v>887</v>
      </c>
      <c r="Q87" t="s">
        <v>888</v>
      </c>
      <c r="R87" t="s">
        <v>80</v>
      </c>
      <c r="S87" t="s">
        <v>80</v>
      </c>
      <c r="T87" t="s">
        <v>80</v>
      </c>
      <c r="U87" t="s">
        <v>80</v>
      </c>
      <c r="V87" t="s">
        <v>80</v>
      </c>
      <c r="W87" t="s">
        <v>915</v>
      </c>
      <c r="X87" s="1">
        <v>44953</v>
      </c>
      <c r="Y87">
        <v>8.5500000000000007</v>
      </c>
      <c r="Z87" t="s">
        <v>82</v>
      </c>
      <c r="AA87" t="str">
        <f t="shared" si="2"/>
        <v>1003</v>
      </c>
      <c r="AB87" t="s">
        <v>119</v>
      </c>
      <c r="AC87" t="s">
        <v>916</v>
      </c>
      <c r="AD87" t="s">
        <v>917</v>
      </c>
      <c r="AE87" t="str">
        <f>"44111900"</f>
        <v>44111900</v>
      </c>
      <c r="AF87" t="s">
        <v>108</v>
      </c>
      <c r="AG87" t="s">
        <v>122</v>
      </c>
      <c r="AH87" t="s">
        <v>438</v>
      </c>
      <c r="AI87" t="s">
        <v>438</v>
      </c>
      <c r="AK87" t="s">
        <v>918</v>
      </c>
      <c r="AL87" t="s">
        <v>918</v>
      </c>
      <c r="AO87" t="s">
        <v>919</v>
      </c>
      <c r="AP87" t="s">
        <v>92</v>
      </c>
      <c r="AR87">
        <v>10.99</v>
      </c>
      <c r="AS87">
        <v>7.99</v>
      </c>
      <c r="AT87">
        <v>1</v>
      </c>
      <c r="AU87">
        <v>7.99</v>
      </c>
      <c r="AV87">
        <v>0</v>
      </c>
      <c r="AX87">
        <v>0.56000000000000005</v>
      </c>
      <c r="AY87">
        <v>8.5500000000000007</v>
      </c>
      <c r="BA87" t="s">
        <v>93</v>
      </c>
      <c r="BC87" t="s">
        <v>93</v>
      </c>
      <c r="BI87" t="s">
        <v>80</v>
      </c>
      <c r="BM87" t="s">
        <v>427</v>
      </c>
      <c r="BN87" t="s">
        <v>95</v>
      </c>
      <c r="BP87" t="s">
        <v>895</v>
      </c>
      <c r="BR87" t="s">
        <v>920</v>
      </c>
      <c r="BT87" t="s">
        <v>275</v>
      </c>
      <c r="BU87" t="s">
        <v>98</v>
      </c>
      <c r="BV87" t="str">
        <f>"518110"</f>
        <v>518110</v>
      </c>
      <c r="BW87">
        <v>823</v>
      </c>
      <c r="BX87">
        <v>300</v>
      </c>
      <c r="BY87" t="s">
        <v>2645</v>
      </c>
      <c r="BZ87">
        <v>4</v>
      </c>
    </row>
    <row r="88" spans="1:78" x14ac:dyDescent="0.25">
      <c r="A88" s="1">
        <v>44950</v>
      </c>
      <c r="B88" t="s">
        <v>921</v>
      </c>
      <c r="C88" t="s">
        <v>100</v>
      </c>
      <c r="D88" t="s">
        <v>922</v>
      </c>
      <c r="E88">
        <v>1</v>
      </c>
      <c r="F88" t="s">
        <v>76</v>
      </c>
      <c r="G88">
        <v>1329</v>
      </c>
      <c r="H88">
        <v>0</v>
      </c>
      <c r="I88">
        <v>0</v>
      </c>
      <c r="J88">
        <v>129.58000000000001</v>
      </c>
      <c r="K88">
        <v>1458.58</v>
      </c>
      <c r="L88" t="s">
        <v>207</v>
      </c>
      <c r="M88" t="s">
        <v>224</v>
      </c>
      <c r="P88" t="s">
        <v>224</v>
      </c>
      <c r="Q88" t="s">
        <v>434</v>
      </c>
      <c r="R88" t="s">
        <v>80</v>
      </c>
      <c r="S88" t="s">
        <v>80</v>
      </c>
      <c r="T88" t="s">
        <v>80</v>
      </c>
      <c r="U88" t="s">
        <v>80</v>
      </c>
      <c r="V88" t="s">
        <v>80</v>
      </c>
      <c r="W88" t="s">
        <v>923</v>
      </c>
      <c r="X88" s="1">
        <v>44951</v>
      </c>
      <c r="Y88">
        <v>1458.58</v>
      </c>
      <c r="Z88" t="s">
        <v>82</v>
      </c>
      <c r="AA88" t="str">
        <f t="shared" si="2"/>
        <v>1003</v>
      </c>
      <c r="AB88" t="s">
        <v>119</v>
      </c>
      <c r="AC88" t="s">
        <v>924</v>
      </c>
      <c r="AD88" t="s">
        <v>925</v>
      </c>
      <c r="AE88" t="str">
        <f>"14111507"</f>
        <v>14111507</v>
      </c>
      <c r="AF88" t="s">
        <v>213</v>
      </c>
      <c r="AG88" t="s">
        <v>214</v>
      </c>
      <c r="AH88" t="s">
        <v>215</v>
      </c>
      <c r="AI88" t="s">
        <v>216</v>
      </c>
      <c r="AJ88" t="s">
        <v>926</v>
      </c>
      <c r="AK88" t="s">
        <v>927</v>
      </c>
      <c r="AL88" t="s">
        <v>928</v>
      </c>
      <c r="AN88" t="s">
        <v>929</v>
      </c>
      <c r="AO88" t="s">
        <v>929</v>
      </c>
      <c r="AP88" t="s">
        <v>92</v>
      </c>
      <c r="AR88">
        <v>1359</v>
      </c>
      <c r="AS88">
        <v>1329</v>
      </c>
      <c r="AT88">
        <v>1</v>
      </c>
      <c r="AU88">
        <v>1329</v>
      </c>
      <c r="AV88">
        <v>0</v>
      </c>
      <c r="AX88">
        <v>129.58000000000001</v>
      </c>
      <c r="AY88">
        <v>1458.58</v>
      </c>
      <c r="BA88" t="s">
        <v>93</v>
      </c>
      <c r="BC88" t="s">
        <v>93</v>
      </c>
      <c r="BD88" t="s">
        <v>128</v>
      </c>
      <c r="BE88">
        <v>30</v>
      </c>
      <c r="BF88" s="2">
        <v>2.2100000000000002E-2</v>
      </c>
      <c r="BI88" t="s">
        <v>80</v>
      </c>
      <c r="BM88" t="s">
        <v>94</v>
      </c>
      <c r="BN88" t="s">
        <v>95</v>
      </c>
      <c r="BP88" t="s">
        <v>609</v>
      </c>
      <c r="BR88" t="s">
        <v>130</v>
      </c>
      <c r="BT88" t="s">
        <v>131</v>
      </c>
      <c r="BU88" t="s">
        <v>132</v>
      </c>
      <c r="BV88" t="str">
        <f>"98109"</f>
        <v>98109</v>
      </c>
      <c r="BW88">
        <v>812</v>
      </c>
      <c r="BX88" t="s">
        <v>2748</v>
      </c>
      <c r="BY88" t="s">
        <v>2628</v>
      </c>
      <c r="BZ88">
        <v>4</v>
      </c>
    </row>
    <row r="89" spans="1:78" x14ac:dyDescent="0.25">
      <c r="A89" s="1">
        <v>44950</v>
      </c>
      <c r="B89" t="s">
        <v>930</v>
      </c>
      <c r="C89" t="s">
        <v>254</v>
      </c>
      <c r="E89">
        <v>6</v>
      </c>
      <c r="F89" t="s">
        <v>76</v>
      </c>
      <c r="G89">
        <v>66.66</v>
      </c>
      <c r="H89">
        <v>0</v>
      </c>
      <c r="I89">
        <v>0</v>
      </c>
      <c r="J89">
        <v>5.64</v>
      </c>
      <c r="K89">
        <v>72.3</v>
      </c>
      <c r="L89" t="s">
        <v>77</v>
      </c>
      <c r="P89" t="s">
        <v>446</v>
      </c>
      <c r="Q89" t="s">
        <v>447</v>
      </c>
      <c r="R89" t="s">
        <v>80</v>
      </c>
      <c r="S89" t="s">
        <v>80</v>
      </c>
      <c r="T89" t="s">
        <v>80</v>
      </c>
      <c r="U89" t="s">
        <v>80</v>
      </c>
      <c r="V89" t="s">
        <v>80</v>
      </c>
      <c r="W89" t="s">
        <v>931</v>
      </c>
      <c r="X89" s="1">
        <v>44952</v>
      </c>
      <c r="Y89">
        <v>72.3</v>
      </c>
      <c r="Z89" t="s">
        <v>82</v>
      </c>
      <c r="AA89" t="str">
        <f t="shared" si="2"/>
        <v>1003</v>
      </c>
      <c r="AB89" t="s">
        <v>119</v>
      </c>
      <c r="AC89" t="s">
        <v>932</v>
      </c>
      <c r="AD89" t="s">
        <v>933</v>
      </c>
      <c r="AE89" t="str">
        <f>"44122105"</f>
        <v>44122105</v>
      </c>
      <c r="AF89" t="s">
        <v>108</v>
      </c>
      <c r="AG89" t="s">
        <v>556</v>
      </c>
      <c r="AH89" t="s">
        <v>934</v>
      </c>
      <c r="AI89" t="s">
        <v>935</v>
      </c>
      <c r="AK89" t="s">
        <v>936</v>
      </c>
      <c r="AL89" t="s">
        <v>937</v>
      </c>
      <c r="AN89" t="s">
        <v>938</v>
      </c>
      <c r="AO89" t="s">
        <v>938</v>
      </c>
      <c r="AP89" t="s">
        <v>92</v>
      </c>
      <c r="AR89">
        <v>15.99</v>
      </c>
      <c r="AS89">
        <v>10.4</v>
      </c>
      <c r="AT89">
        <v>3</v>
      </c>
      <c r="AU89">
        <v>31.2</v>
      </c>
      <c r="AV89">
        <v>0</v>
      </c>
      <c r="AX89">
        <v>2.64</v>
      </c>
      <c r="AY89">
        <v>33.840000000000003</v>
      </c>
      <c r="BA89" t="s">
        <v>93</v>
      </c>
      <c r="BC89" t="s">
        <v>93</v>
      </c>
      <c r="BD89" t="s">
        <v>128</v>
      </c>
      <c r="BE89">
        <v>5.59</v>
      </c>
      <c r="BF89" s="2">
        <v>0.34960000000000002</v>
      </c>
      <c r="BI89" t="s">
        <v>80</v>
      </c>
      <c r="BM89" t="s">
        <v>94</v>
      </c>
      <c r="BN89" t="s">
        <v>95</v>
      </c>
      <c r="BP89" t="s">
        <v>455</v>
      </c>
      <c r="BR89" t="s">
        <v>937</v>
      </c>
      <c r="BT89" t="s">
        <v>587</v>
      </c>
      <c r="BU89" t="s">
        <v>296</v>
      </c>
      <c r="BV89" t="str">
        <f>"518129"</f>
        <v>518129</v>
      </c>
      <c r="BW89">
        <v>807</v>
      </c>
      <c r="BX89" t="s">
        <v>2746</v>
      </c>
      <c r="BY89" t="s">
        <v>2620</v>
      </c>
      <c r="BZ89">
        <v>4</v>
      </c>
    </row>
    <row r="90" spans="1:78" x14ac:dyDescent="0.25">
      <c r="A90" s="1">
        <v>44950</v>
      </c>
      <c r="B90" t="s">
        <v>930</v>
      </c>
      <c r="C90" t="s">
        <v>254</v>
      </c>
      <c r="E90">
        <v>6</v>
      </c>
      <c r="F90" t="s">
        <v>76</v>
      </c>
      <c r="G90">
        <v>66.66</v>
      </c>
      <c r="H90">
        <v>0</v>
      </c>
      <c r="I90">
        <v>0</v>
      </c>
      <c r="J90">
        <v>5.64</v>
      </c>
      <c r="K90">
        <v>72.3</v>
      </c>
      <c r="L90" t="s">
        <v>77</v>
      </c>
      <c r="P90" t="s">
        <v>446</v>
      </c>
      <c r="Q90" t="s">
        <v>447</v>
      </c>
      <c r="R90" t="s">
        <v>80</v>
      </c>
      <c r="S90" t="s">
        <v>80</v>
      </c>
      <c r="T90" t="s">
        <v>80</v>
      </c>
      <c r="U90" t="s">
        <v>80</v>
      </c>
      <c r="V90" t="s">
        <v>80</v>
      </c>
      <c r="W90" t="s">
        <v>931</v>
      </c>
      <c r="X90" s="1">
        <v>44952</v>
      </c>
      <c r="Y90">
        <v>72.3</v>
      </c>
      <c r="Z90" t="s">
        <v>82</v>
      </c>
      <c r="AA90" t="str">
        <f t="shared" si="2"/>
        <v>1003</v>
      </c>
      <c r="AB90" t="s">
        <v>119</v>
      </c>
      <c r="AC90" t="s">
        <v>939</v>
      </c>
      <c r="AD90" t="s">
        <v>940</v>
      </c>
      <c r="AE90" t="str">
        <f>"44122105"</f>
        <v>44122105</v>
      </c>
      <c r="AF90" t="s">
        <v>108</v>
      </c>
      <c r="AG90" t="s">
        <v>556</v>
      </c>
      <c r="AH90" t="s">
        <v>934</v>
      </c>
      <c r="AI90" t="s">
        <v>935</v>
      </c>
      <c r="AK90" t="s">
        <v>941</v>
      </c>
      <c r="AL90" t="s">
        <v>941</v>
      </c>
      <c r="AN90" t="str">
        <f>"123"</f>
        <v>123</v>
      </c>
      <c r="AO90" t="str">
        <f>"123"</f>
        <v>123</v>
      </c>
      <c r="AP90" t="s">
        <v>92</v>
      </c>
      <c r="AR90">
        <v>12.99</v>
      </c>
      <c r="AS90">
        <v>11.82</v>
      </c>
      <c r="AT90">
        <v>3</v>
      </c>
      <c r="AU90">
        <v>35.46</v>
      </c>
      <c r="AV90">
        <v>0</v>
      </c>
      <c r="AX90">
        <v>3</v>
      </c>
      <c r="AY90">
        <v>38.46</v>
      </c>
      <c r="BA90" t="s">
        <v>93</v>
      </c>
      <c r="BC90" t="s">
        <v>93</v>
      </c>
      <c r="BD90" t="s">
        <v>128</v>
      </c>
      <c r="BE90">
        <v>1.17</v>
      </c>
      <c r="BF90" s="2">
        <v>9.01E-2</v>
      </c>
      <c r="BI90" t="s">
        <v>80</v>
      </c>
      <c r="BM90" t="s">
        <v>94</v>
      </c>
      <c r="BN90" t="s">
        <v>95</v>
      </c>
      <c r="BP90" t="s">
        <v>455</v>
      </c>
      <c r="BR90" t="s">
        <v>942</v>
      </c>
      <c r="BT90" t="s">
        <v>943</v>
      </c>
      <c r="BU90" t="s">
        <v>944</v>
      </c>
      <c r="BV90" t="str">
        <f>"355214"</f>
        <v>355214</v>
      </c>
      <c r="BW90">
        <v>807</v>
      </c>
      <c r="BX90" t="s">
        <v>2746</v>
      </c>
      <c r="BY90" t="s">
        <v>2620</v>
      </c>
      <c r="BZ90">
        <v>4</v>
      </c>
    </row>
    <row r="91" spans="1:78" x14ac:dyDescent="0.25">
      <c r="A91" s="1">
        <v>44950</v>
      </c>
      <c r="B91" t="s">
        <v>945</v>
      </c>
      <c r="C91" t="s">
        <v>596</v>
      </c>
      <c r="E91">
        <v>1</v>
      </c>
      <c r="F91" t="s">
        <v>76</v>
      </c>
      <c r="G91">
        <v>39.99</v>
      </c>
      <c r="H91">
        <v>0</v>
      </c>
      <c r="I91">
        <v>0</v>
      </c>
      <c r="J91">
        <v>3.9</v>
      </c>
      <c r="K91">
        <v>43.89</v>
      </c>
      <c r="L91" t="s">
        <v>77</v>
      </c>
      <c r="P91" t="s">
        <v>597</v>
      </c>
      <c r="Q91" t="s">
        <v>598</v>
      </c>
      <c r="R91" t="s">
        <v>80</v>
      </c>
      <c r="S91" t="s">
        <v>80</v>
      </c>
      <c r="T91" t="s">
        <v>80</v>
      </c>
      <c r="U91" t="s">
        <v>80</v>
      </c>
      <c r="V91" t="s">
        <v>80</v>
      </c>
      <c r="W91" t="s">
        <v>946</v>
      </c>
      <c r="X91" s="1">
        <v>44952</v>
      </c>
      <c r="Y91">
        <v>43.89</v>
      </c>
      <c r="Z91" t="s">
        <v>82</v>
      </c>
      <c r="AA91" t="str">
        <f t="shared" si="2"/>
        <v>1003</v>
      </c>
      <c r="AB91" t="s">
        <v>141</v>
      </c>
      <c r="AC91" t="s">
        <v>947</v>
      </c>
      <c r="AD91" t="s">
        <v>948</v>
      </c>
      <c r="AE91" t="str">
        <f>"47131800"</f>
        <v>47131800</v>
      </c>
      <c r="AF91" t="s">
        <v>144</v>
      </c>
      <c r="AG91" t="s">
        <v>145</v>
      </c>
      <c r="AH91" t="s">
        <v>261</v>
      </c>
      <c r="AI91" t="s">
        <v>261</v>
      </c>
      <c r="AJ91" t="s">
        <v>949</v>
      </c>
      <c r="AK91" t="s">
        <v>950</v>
      </c>
      <c r="AL91" t="s">
        <v>951</v>
      </c>
      <c r="AN91" t="s">
        <v>952</v>
      </c>
      <c r="AO91" t="s">
        <v>952</v>
      </c>
      <c r="AP91" t="s">
        <v>92</v>
      </c>
      <c r="AR91">
        <v>39.99</v>
      </c>
      <c r="AS91">
        <v>39.99</v>
      </c>
      <c r="AT91">
        <v>1</v>
      </c>
      <c r="AU91">
        <v>39.99</v>
      </c>
      <c r="AV91">
        <v>0</v>
      </c>
      <c r="AX91">
        <v>3.9</v>
      </c>
      <c r="AY91">
        <v>43.89</v>
      </c>
      <c r="BA91" t="s">
        <v>93</v>
      </c>
      <c r="BC91" t="s">
        <v>93</v>
      </c>
      <c r="BI91" t="s">
        <v>80</v>
      </c>
      <c r="BM91" t="s">
        <v>94</v>
      </c>
      <c r="BN91" t="s">
        <v>95</v>
      </c>
      <c r="BP91" t="s">
        <v>609</v>
      </c>
      <c r="BR91" t="s">
        <v>338</v>
      </c>
      <c r="BT91" t="s">
        <v>131</v>
      </c>
      <c r="BU91" t="s">
        <v>339</v>
      </c>
      <c r="BV91" t="str">
        <f>"98109"</f>
        <v>98109</v>
      </c>
      <c r="BW91">
        <v>812</v>
      </c>
      <c r="BX91" t="s">
        <v>2748</v>
      </c>
      <c r="BY91" t="s">
        <v>2628</v>
      </c>
      <c r="BZ91">
        <v>4</v>
      </c>
    </row>
    <row r="92" spans="1:78" x14ac:dyDescent="0.25">
      <c r="A92" s="1">
        <v>44950</v>
      </c>
      <c r="B92" t="s">
        <v>953</v>
      </c>
      <c r="C92" t="s">
        <v>596</v>
      </c>
      <c r="E92">
        <v>3</v>
      </c>
      <c r="F92" t="s">
        <v>76</v>
      </c>
      <c r="G92">
        <v>29.97</v>
      </c>
      <c r="H92">
        <v>0</v>
      </c>
      <c r="I92">
        <v>0</v>
      </c>
      <c r="J92">
        <v>2.91</v>
      </c>
      <c r="K92">
        <v>32.880000000000003</v>
      </c>
      <c r="L92" t="s">
        <v>77</v>
      </c>
      <c r="P92" t="s">
        <v>597</v>
      </c>
      <c r="Q92" t="s">
        <v>598</v>
      </c>
      <c r="R92" t="s">
        <v>80</v>
      </c>
      <c r="S92" t="s">
        <v>80</v>
      </c>
      <c r="T92" t="s">
        <v>80</v>
      </c>
      <c r="U92" t="s">
        <v>80</v>
      </c>
      <c r="V92" t="s">
        <v>80</v>
      </c>
      <c r="W92" t="s">
        <v>954</v>
      </c>
      <c r="X92" s="1">
        <v>44950</v>
      </c>
      <c r="Y92">
        <v>32.880000000000003</v>
      </c>
      <c r="Z92" t="s">
        <v>82</v>
      </c>
      <c r="AA92" t="str">
        <f t="shared" si="2"/>
        <v>1003</v>
      </c>
      <c r="AB92" t="s">
        <v>268</v>
      </c>
      <c r="AC92" t="s">
        <v>955</v>
      </c>
      <c r="AD92" t="s">
        <v>956</v>
      </c>
      <c r="AE92" t="str">
        <f>"47130000"</f>
        <v>47130000</v>
      </c>
      <c r="AF92" t="s">
        <v>144</v>
      </c>
      <c r="AG92" t="s">
        <v>145</v>
      </c>
      <c r="AH92" t="s">
        <v>145</v>
      </c>
      <c r="AI92" t="s">
        <v>145</v>
      </c>
      <c r="AK92" t="s">
        <v>957</v>
      </c>
      <c r="AL92" t="s">
        <v>957</v>
      </c>
      <c r="AN92" t="s">
        <v>958</v>
      </c>
      <c r="AO92" t="s">
        <v>958</v>
      </c>
      <c r="AP92" t="s">
        <v>92</v>
      </c>
      <c r="AR92">
        <v>29.99</v>
      </c>
      <c r="AS92">
        <v>9.99</v>
      </c>
      <c r="AT92">
        <v>3</v>
      </c>
      <c r="AU92">
        <v>29.97</v>
      </c>
      <c r="AV92">
        <v>0</v>
      </c>
      <c r="AX92">
        <v>2.91</v>
      </c>
      <c r="AY92">
        <v>32.880000000000003</v>
      </c>
      <c r="BA92" t="s">
        <v>93</v>
      </c>
      <c r="BC92" t="s">
        <v>93</v>
      </c>
      <c r="BI92" t="s">
        <v>80</v>
      </c>
      <c r="BM92" t="s">
        <v>94</v>
      </c>
      <c r="BN92" t="s">
        <v>95</v>
      </c>
      <c r="BP92" t="s">
        <v>609</v>
      </c>
      <c r="BR92" t="s">
        <v>959</v>
      </c>
      <c r="BT92" t="s">
        <v>587</v>
      </c>
      <c r="BU92" t="s">
        <v>296</v>
      </c>
      <c r="BV92" t="str">
        <f>"518000"</f>
        <v>518000</v>
      </c>
      <c r="BW92">
        <v>812</v>
      </c>
      <c r="BX92" t="s">
        <v>2748</v>
      </c>
      <c r="BY92" t="s">
        <v>2628</v>
      </c>
      <c r="BZ92">
        <v>4</v>
      </c>
    </row>
    <row r="93" spans="1:78" x14ac:dyDescent="0.25">
      <c r="A93" s="1">
        <v>44950</v>
      </c>
      <c r="B93" t="s">
        <v>960</v>
      </c>
      <c r="C93" t="s">
        <v>596</v>
      </c>
      <c r="E93">
        <v>2</v>
      </c>
      <c r="F93" t="s">
        <v>76</v>
      </c>
      <c r="G93">
        <v>30.36</v>
      </c>
      <c r="H93">
        <v>0</v>
      </c>
      <c r="I93">
        <v>0</v>
      </c>
      <c r="J93">
        <v>2.96</v>
      </c>
      <c r="K93">
        <v>33.32</v>
      </c>
      <c r="L93" t="s">
        <v>77</v>
      </c>
      <c r="P93" t="s">
        <v>597</v>
      </c>
      <c r="Q93" t="s">
        <v>598</v>
      </c>
      <c r="R93" t="s">
        <v>80</v>
      </c>
      <c r="S93" t="s">
        <v>80</v>
      </c>
      <c r="T93" t="s">
        <v>80</v>
      </c>
      <c r="U93" t="s">
        <v>80</v>
      </c>
      <c r="V93" t="s">
        <v>80</v>
      </c>
      <c r="W93" t="s">
        <v>961</v>
      </c>
      <c r="X93" s="1">
        <v>44950</v>
      </c>
      <c r="Y93">
        <v>33.32</v>
      </c>
      <c r="Z93" t="s">
        <v>82</v>
      </c>
      <c r="AA93" t="str">
        <f t="shared" si="2"/>
        <v>1003</v>
      </c>
      <c r="AB93" t="s">
        <v>168</v>
      </c>
      <c r="AC93" t="s">
        <v>169</v>
      </c>
      <c r="AD93" t="s">
        <v>170</v>
      </c>
      <c r="AE93" t="str">
        <f>"26111702"</f>
        <v>26111702</v>
      </c>
      <c r="AF93" t="s">
        <v>171</v>
      </c>
      <c r="AG93" t="s">
        <v>172</v>
      </c>
      <c r="AH93" t="s">
        <v>173</v>
      </c>
      <c r="AI93" t="s">
        <v>174</v>
      </c>
      <c r="AJ93" t="s">
        <v>175</v>
      </c>
      <c r="AK93" t="s">
        <v>176</v>
      </c>
      <c r="AL93" t="s">
        <v>176</v>
      </c>
      <c r="AN93" t="s">
        <v>177</v>
      </c>
      <c r="AO93" t="s">
        <v>178</v>
      </c>
      <c r="AP93" t="s">
        <v>92</v>
      </c>
      <c r="AR93">
        <v>16.489999999999998</v>
      </c>
      <c r="AS93">
        <v>15.18</v>
      </c>
      <c r="AT93">
        <v>2</v>
      </c>
      <c r="AU93">
        <v>30.36</v>
      </c>
      <c r="AV93">
        <v>0</v>
      </c>
      <c r="AX93">
        <v>2.96</v>
      </c>
      <c r="AY93">
        <v>33.32</v>
      </c>
      <c r="BA93" t="s">
        <v>93</v>
      </c>
      <c r="BC93" t="s">
        <v>93</v>
      </c>
      <c r="BD93" t="s">
        <v>128</v>
      </c>
      <c r="BE93">
        <v>1.31</v>
      </c>
      <c r="BF93" s="2">
        <v>7.9399999999999998E-2</v>
      </c>
      <c r="BI93" t="s">
        <v>80</v>
      </c>
      <c r="BM93" t="s">
        <v>94</v>
      </c>
      <c r="BN93" t="s">
        <v>95</v>
      </c>
      <c r="BP93" t="s">
        <v>609</v>
      </c>
      <c r="BR93" t="s">
        <v>130</v>
      </c>
      <c r="BT93" t="s">
        <v>131</v>
      </c>
      <c r="BU93" t="s">
        <v>132</v>
      </c>
      <c r="BV93" t="str">
        <f>"98109"</f>
        <v>98109</v>
      </c>
      <c r="BW93">
        <v>812</v>
      </c>
      <c r="BX93" t="s">
        <v>2748</v>
      </c>
      <c r="BY93" t="s">
        <v>2628</v>
      </c>
      <c r="BZ93">
        <v>4</v>
      </c>
    </row>
    <row r="94" spans="1:78" x14ac:dyDescent="0.25">
      <c r="A94" s="1">
        <v>44950</v>
      </c>
      <c r="B94" t="s">
        <v>962</v>
      </c>
      <c r="C94" t="s">
        <v>75</v>
      </c>
      <c r="E94">
        <v>2</v>
      </c>
      <c r="F94" t="s">
        <v>76</v>
      </c>
      <c r="G94">
        <v>109.98</v>
      </c>
      <c r="H94">
        <v>0</v>
      </c>
      <c r="I94">
        <v>0</v>
      </c>
      <c r="J94">
        <v>7.7</v>
      </c>
      <c r="K94">
        <v>117.68</v>
      </c>
      <c r="L94" t="s">
        <v>77</v>
      </c>
      <c r="P94" t="s">
        <v>78</v>
      </c>
      <c r="Q94" t="s">
        <v>79</v>
      </c>
      <c r="R94" t="s">
        <v>80</v>
      </c>
      <c r="S94" t="s">
        <v>80</v>
      </c>
      <c r="T94" t="s">
        <v>80</v>
      </c>
      <c r="U94" t="s">
        <v>80</v>
      </c>
      <c r="V94" t="s">
        <v>80</v>
      </c>
      <c r="W94" t="s">
        <v>963</v>
      </c>
      <c r="X94" s="1">
        <v>44953</v>
      </c>
      <c r="Y94">
        <v>117.68</v>
      </c>
      <c r="Z94" t="s">
        <v>82</v>
      </c>
      <c r="AA94" t="str">
        <f t="shared" si="2"/>
        <v>1003</v>
      </c>
      <c r="AB94" t="s">
        <v>638</v>
      </c>
      <c r="AC94" t="s">
        <v>964</v>
      </c>
      <c r="AD94" t="s">
        <v>965</v>
      </c>
      <c r="AE94" t="str">
        <f>"52141800"</f>
        <v>52141800</v>
      </c>
      <c r="AF94" t="s">
        <v>684</v>
      </c>
      <c r="AG94" t="s">
        <v>685</v>
      </c>
      <c r="AH94" t="s">
        <v>966</v>
      </c>
      <c r="AI94" t="s">
        <v>966</v>
      </c>
      <c r="AJ94" t="s">
        <v>967</v>
      </c>
      <c r="AK94" t="s">
        <v>968</v>
      </c>
      <c r="AL94" t="s">
        <v>968</v>
      </c>
      <c r="AN94" t="str">
        <f>"755320"</f>
        <v>755320</v>
      </c>
      <c r="AO94" t="str">
        <f>"755320"</f>
        <v>755320</v>
      </c>
      <c r="AP94" t="s">
        <v>92</v>
      </c>
      <c r="AR94">
        <v>69.989999999999995</v>
      </c>
      <c r="AS94">
        <v>54.99</v>
      </c>
      <c r="AT94">
        <v>2</v>
      </c>
      <c r="AU94">
        <v>109.98</v>
      </c>
      <c r="AV94">
        <v>0</v>
      </c>
      <c r="AX94">
        <v>7.7</v>
      </c>
      <c r="AY94">
        <v>117.68</v>
      </c>
      <c r="BA94" t="s">
        <v>93</v>
      </c>
      <c r="BC94" t="s">
        <v>93</v>
      </c>
      <c r="BI94" t="s">
        <v>80</v>
      </c>
      <c r="BM94" t="s">
        <v>94</v>
      </c>
      <c r="BN94" t="s">
        <v>95</v>
      </c>
      <c r="BP94" t="s">
        <v>96</v>
      </c>
      <c r="BR94" t="s">
        <v>338</v>
      </c>
      <c r="BT94" t="s">
        <v>131</v>
      </c>
      <c r="BU94" t="s">
        <v>339</v>
      </c>
      <c r="BV94" t="str">
        <f>"98109"</f>
        <v>98109</v>
      </c>
      <c r="BW94">
        <v>806</v>
      </c>
      <c r="BX94" t="s">
        <v>2728</v>
      </c>
      <c r="BY94" t="s">
        <v>2618</v>
      </c>
      <c r="BZ94">
        <v>4</v>
      </c>
    </row>
    <row r="95" spans="1:78" x14ac:dyDescent="0.25">
      <c r="A95" s="1">
        <v>44949</v>
      </c>
      <c r="B95" t="s">
        <v>969</v>
      </c>
      <c r="C95" t="s">
        <v>100</v>
      </c>
      <c r="D95" t="s">
        <v>970</v>
      </c>
      <c r="E95">
        <v>1</v>
      </c>
      <c r="F95" t="s">
        <v>76</v>
      </c>
      <c r="G95">
        <v>25.48</v>
      </c>
      <c r="H95">
        <v>0</v>
      </c>
      <c r="I95">
        <v>0</v>
      </c>
      <c r="J95">
        <v>1.97</v>
      </c>
      <c r="K95">
        <v>27.45</v>
      </c>
      <c r="L95" t="s">
        <v>77</v>
      </c>
      <c r="P95" t="s">
        <v>102</v>
      </c>
      <c r="Q95" t="s">
        <v>103</v>
      </c>
      <c r="R95" t="s">
        <v>80</v>
      </c>
      <c r="S95" t="s">
        <v>80</v>
      </c>
      <c r="T95" t="s">
        <v>80</v>
      </c>
      <c r="U95" t="s">
        <v>80</v>
      </c>
      <c r="V95" t="s">
        <v>80</v>
      </c>
      <c r="W95" t="s">
        <v>971</v>
      </c>
      <c r="X95" s="1">
        <v>44949</v>
      </c>
      <c r="Y95">
        <v>27.45</v>
      </c>
      <c r="Z95" t="s">
        <v>82</v>
      </c>
      <c r="AA95" t="str">
        <f t="shared" si="2"/>
        <v>1003</v>
      </c>
      <c r="AB95" t="s">
        <v>119</v>
      </c>
      <c r="AC95" t="s">
        <v>972</v>
      </c>
      <c r="AD95" t="s">
        <v>973</v>
      </c>
      <c r="AE95" t="str">
        <f>"44100000"</f>
        <v>44100000</v>
      </c>
      <c r="AF95" t="s">
        <v>108</v>
      </c>
      <c r="AG95" t="s">
        <v>109</v>
      </c>
      <c r="AH95" t="s">
        <v>109</v>
      </c>
      <c r="AI95" t="s">
        <v>109</v>
      </c>
      <c r="AK95" t="s">
        <v>974</v>
      </c>
      <c r="AL95" t="s">
        <v>974</v>
      </c>
      <c r="AN95" t="s">
        <v>975</v>
      </c>
      <c r="AO95" t="s">
        <v>976</v>
      </c>
      <c r="AP95" t="s">
        <v>92</v>
      </c>
      <c r="AR95">
        <v>69.989999999999995</v>
      </c>
      <c r="AS95">
        <v>25.48</v>
      </c>
      <c r="AT95">
        <v>1</v>
      </c>
      <c r="AU95">
        <v>25.48</v>
      </c>
      <c r="AV95">
        <v>0</v>
      </c>
      <c r="AX95">
        <v>1.97</v>
      </c>
      <c r="AY95">
        <v>27.45</v>
      </c>
      <c r="BA95" t="s">
        <v>93</v>
      </c>
      <c r="BC95" t="s">
        <v>93</v>
      </c>
      <c r="BI95" t="s">
        <v>80</v>
      </c>
      <c r="BM95" t="s">
        <v>94</v>
      </c>
      <c r="BN95" t="s">
        <v>95</v>
      </c>
      <c r="BP95" t="s">
        <v>345</v>
      </c>
      <c r="BR95" t="s">
        <v>977</v>
      </c>
      <c r="BT95" t="s">
        <v>978</v>
      </c>
      <c r="BU95" t="s">
        <v>361</v>
      </c>
      <c r="BV95" t="str">
        <f>"516000"</f>
        <v>516000</v>
      </c>
      <c r="BW95">
        <v>931</v>
      </c>
      <c r="BX95" t="s">
        <v>2739</v>
      </c>
      <c r="BY95" t="s">
        <v>2723</v>
      </c>
      <c r="BZ95">
        <v>4</v>
      </c>
    </row>
    <row r="96" spans="1:78" x14ac:dyDescent="0.25">
      <c r="A96" s="1">
        <v>44949</v>
      </c>
      <c r="B96" t="s">
        <v>979</v>
      </c>
      <c r="C96" t="s">
        <v>392</v>
      </c>
      <c r="E96">
        <v>1</v>
      </c>
      <c r="F96" t="s">
        <v>76</v>
      </c>
      <c r="G96">
        <v>17.59</v>
      </c>
      <c r="H96">
        <v>0</v>
      </c>
      <c r="I96">
        <v>0</v>
      </c>
      <c r="J96">
        <v>1.23</v>
      </c>
      <c r="K96">
        <v>18.82</v>
      </c>
      <c r="L96" t="s">
        <v>77</v>
      </c>
      <c r="P96" t="s">
        <v>393</v>
      </c>
      <c r="Q96" t="s">
        <v>394</v>
      </c>
      <c r="R96" t="s">
        <v>80</v>
      </c>
      <c r="S96" t="s">
        <v>80</v>
      </c>
      <c r="T96" t="s">
        <v>80</v>
      </c>
      <c r="U96" t="s">
        <v>80</v>
      </c>
      <c r="V96" t="s">
        <v>80</v>
      </c>
      <c r="W96" t="s">
        <v>980</v>
      </c>
      <c r="X96" s="1">
        <v>44949</v>
      </c>
      <c r="Y96">
        <v>18.82</v>
      </c>
      <c r="Z96" t="s">
        <v>82</v>
      </c>
      <c r="AA96" t="str">
        <f t="shared" si="2"/>
        <v>1003</v>
      </c>
      <c r="AB96" t="s">
        <v>119</v>
      </c>
      <c r="AC96" t="s">
        <v>981</v>
      </c>
      <c r="AD96" t="s">
        <v>982</v>
      </c>
      <c r="AE96" t="str">
        <f>"44121605"</f>
        <v>44121605</v>
      </c>
      <c r="AF96" t="s">
        <v>108</v>
      </c>
      <c r="AG96" t="s">
        <v>556</v>
      </c>
      <c r="AH96" t="s">
        <v>983</v>
      </c>
      <c r="AI96" t="s">
        <v>984</v>
      </c>
      <c r="AK96" t="s">
        <v>985</v>
      </c>
      <c r="AL96" t="s">
        <v>985</v>
      </c>
      <c r="AN96" t="s">
        <v>986</v>
      </c>
      <c r="AO96" t="s">
        <v>986</v>
      </c>
      <c r="AP96" t="s">
        <v>92</v>
      </c>
      <c r="AR96">
        <v>18.989999999999998</v>
      </c>
      <c r="AS96">
        <v>17.59</v>
      </c>
      <c r="AT96">
        <v>1</v>
      </c>
      <c r="AU96">
        <v>17.59</v>
      </c>
      <c r="AV96">
        <v>0</v>
      </c>
      <c r="AX96">
        <v>1.23</v>
      </c>
      <c r="AY96">
        <v>18.82</v>
      </c>
      <c r="BA96" t="s">
        <v>93</v>
      </c>
      <c r="BC96" t="s">
        <v>93</v>
      </c>
      <c r="BD96" t="s">
        <v>128</v>
      </c>
      <c r="BE96">
        <v>1.4</v>
      </c>
      <c r="BF96" s="2">
        <v>7.3700000000000002E-2</v>
      </c>
      <c r="BI96" t="s">
        <v>80</v>
      </c>
      <c r="BM96" t="s">
        <v>94</v>
      </c>
      <c r="BN96" t="s">
        <v>95</v>
      </c>
      <c r="BP96" t="s">
        <v>405</v>
      </c>
      <c r="BR96" t="s">
        <v>987</v>
      </c>
      <c r="BT96" t="s">
        <v>275</v>
      </c>
      <c r="BU96" t="s">
        <v>98</v>
      </c>
      <c r="BV96" t="str">
        <f>"518172"</f>
        <v>518172</v>
      </c>
      <c r="BW96">
        <v>893</v>
      </c>
      <c r="BX96" t="s">
        <v>2742</v>
      </c>
      <c r="BY96" t="s">
        <v>2695</v>
      </c>
      <c r="BZ96">
        <v>4</v>
      </c>
    </row>
    <row r="97" spans="1:78" x14ac:dyDescent="0.25">
      <c r="A97" s="1">
        <v>44949</v>
      </c>
      <c r="B97" t="s">
        <v>988</v>
      </c>
      <c r="C97" t="s">
        <v>392</v>
      </c>
      <c r="E97">
        <v>1</v>
      </c>
      <c r="F97" t="s">
        <v>76</v>
      </c>
      <c r="G97">
        <v>76.14</v>
      </c>
      <c r="H97">
        <v>12.91</v>
      </c>
      <c r="I97">
        <v>0</v>
      </c>
      <c r="J97">
        <v>6.23</v>
      </c>
      <c r="K97">
        <v>95.28</v>
      </c>
      <c r="L97" t="s">
        <v>77</v>
      </c>
      <c r="P97" t="s">
        <v>393</v>
      </c>
      <c r="Q97" t="s">
        <v>394</v>
      </c>
      <c r="R97" t="s">
        <v>80</v>
      </c>
      <c r="S97" t="s">
        <v>80</v>
      </c>
      <c r="T97" t="s">
        <v>80</v>
      </c>
      <c r="U97" t="s">
        <v>80</v>
      </c>
      <c r="V97" t="s">
        <v>80</v>
      </c>
      <c r="W97" t="s">
        <v>989</v>
      </c>
      <c r="X97" s="1">
        <v>44950</v>
      </c>
      <c r="Y97">
        <v>95.28</v>
      </c>
      <c r="Z97" t="s">
        <v>82</v>
      </c>
      <c r="AA97" t="str">
        <f t="shared" si="2"/>
        <v>1003</v>
      </c>
      <c r="AB97" t="s">
        <v>83</v>
      </c>
      <c r="AC97" t="s">
        <v>990</v>
      </c>
      <c r="AD97" t="s">
        <v>991</v>
      </c>
      <c r="AE97" t="str">
        <f>"44103103"</f>
        <v>44103103</v>
      </c>
      <c r="AF97" t="s">
        <v>108</v>
      </c>
      <c r="AG97" t="s">
        <v>109</v>
      </c>
      <c r="AH97" t="s">
        <v>992</v>
      </c>
      <c r="AI97" t="s">
        <v>993</v>
      </c>
      <c r="AJ97" t="s">
        <v>994</v>
      </c>
      <c r="AK97" t="s">
        <v>995</v>
      </c>
      <c r="AL97" t="s">
        <v>995</v>
      </c>
      <c r="AN97" t="s">
        <v>996</v>
      </c>
      <c r="AO97" t="s">
        <v>996</v>
      </c>
      <c r="AP97" t="s">
        <v>92</v>
      </c>
      <c r="AR97">
        <v>76.14</v>
      </c>
      <c r="AS97">
        <v>76.14</v>
      </c>
      <c r="AT97">
        <v>1</v>
      </c>
      <c r="AU97">
        <v>76.14</v>
      </c>
      <c r="AV97">
        <v>12.91</v>
      </c>
      <c r="AX97">
        <v>6.23</v>
      </c>
      <c r="AY97">
        <v>95.28</v>
      </c>
      <c r="BA97" t="s">
        <v>93</v>
      </c>
      <c r="BC97" t="s">
        <v>93</v>
      </c>
      <c r="BI97" t="s">
        <v>80</v>
      </c>
      <c r="BM97" t="s">
        <v>94</v>
      </c>
      <c r="BN97" t="s">
        <v>95</v>
      </c>
      <c r="BP97" t="s">
        <v>405</v>
      </c>
      <c r="BR97" t="s">
        <v>997</v>
      </c>
      <c r="BS97" t="s">
        <v>113</v>
      </c>
      <c r="BT97" t="s">
        <v>998</v>
      </c>
      <c r="BU97" t="s">
        <v>281</v>
      </c>
      <c r="BV97" t="str">
        <f>"85225"</f>
        <v>85225</v>
      </c>
      <c r="BW97">
        <v>893</v>
      </c>
      <c r="BX97" t="s">
        <v>2742</v>
      </c>
      <c r="BY97" t="s">
        <v>2695</v>
      </c>
      <c r="BZ97">
        <v>4</v>
      </c>
    </row>
    <row r="98" spans="1:78" x14ac:dyDescent="0.25">
      <c r="A98" s="1">
        <v>44949</v>
      </c>
      <c r="B98" t="s">
        <v>999</v>
      </c>
      <c r="C98" t="s">
        <v>392</v>
      </c>
      <c r="E98">
        <v>1</v>
      </c>
      <c r="F98" t="s">
        <v>76</v>
      </c>
      <c r="G98">
        <v>10.07</v>
      </c>
      <c r="H98">
        <v>0</v>
      </c>
      <c r="I98">
        <v>0</v>
      </c>
      <c r="J98">
        <v>0.7</v>
      </c>
      <c r="K98">
        <v>10.77</v>
      </c>
      <c r="L98" t="s">
        <v>77</v>
      </c>
      <c r="P98" t="s">
        <v>393</v>
      </c>
      <c r="Q98" t="s">
        <v>394</v>
      </c>
      <c r="R98" t="s">
        <v>80</v>
      </c>
      <c r="S98" t="s">
        <v>80</v>
      </c>
      <c r="T98" t="s">
        <v>80</v>
      </c>
      <c r="U98" t="s">
        <v>80</v>
      </c>
      <c r="V98" t="s">
        <v>80</v>
      </c>
      <c r="W98" t="s">
        <v>1000</v>
      </c>
      <c r="X98" s="1">
        <v>44951</v>
      </c>
      <c r="Y98">
        <v>10.77</v>
      </c>
      <c r="Z98" t="s">
        <v>82</v>
      </c>
      <c r="AA98" t="str">
        <f t="shared" si="2"/>
        <v>1003</v>
      </c>
      <c r="AB98" t="s">
        <v>119</v>
      </c>
      <c r="AC98" t="s">
        <v>1001</v>
      </c>
      <c r="AD98" t="s">
        <v>1002</v>
      </c>
      <c r="AE98" t="str">
        <f>"44121615"</f>
        <v>44121615</v>
      </c>
      <c r="AF98" t="s">
        <v>108</v>
      </c>
      <c r="AG98" t="s">
        <v>556</v>
      </c>
      <c r="AH98" t="s">
        <v>983</v>
      </c>
      <c r="AI98" t="s">
        <v>1003</v>
      </c>
      <c r="AJ98" t="s">
        <v>613</v>
      </c>
      <c r="AK98" t="s">
        <v>176</v>
      </c>
      <c r="AL98" t="s">
        <v>176</v>
      </c>
      <c r="AN98" t="s">
        <v>1004</v>
      </c>
      <c r="AO98" t="s">
        <v>1004</v>
      </c>
      <c r="AP98" t="s">
        <v>92</v>
      </c>
      <c r="AR98">
        <v>11.19</v>
      </c>
      <c r="AS98">
        <v>10.07</v>
      </c>
      <c r="AT98">
        <v>1</v>
      </c>
      <c r="AU98">
        <v>10.07</v>
      </c>
      <c r="AV98">
        <v>0</v>
      </c>
      <c r="AX98">
        <v>0.7</v>
      </c>
      <c r="AY98">
        <v>10.77</v>
      </c>
      <c r="BA98" t="s">
        <v>93</v>
      </c>
      <c r="BC98" t="s">
        <v>93</v>
      </c>
      <c r="BD98" t="s">
        <v>128</v>
      </c>
      <c r="BE98">
        <v>1.1200000000000001</v>
      </c>
      <c r="BF98" s="2">
        <v>0.10009999999999999</v>
      </c>
      <c r="BI98" t="s">
        <v>80</v>
      </c>
      <c r="BM98" t="s">
        <v>94</v>
      </c>
      <c r="BN98" t="s">
        <v>95</v>
      </c>
      <c r="BP98" t="s">
        <v>405</v>
      </c>
      <c r="BR98" t="s">
        <v>130</v>
      </c>
      <c r="BT98" t="s">
        <v>131</v>
      </c>
      <c r="BU98" t="s">
        <v>132</v>
      </c>
      <c r="BV98" t="str">
        <f>"98109"</f>
        <v>98109</v>
      </c>
      <c r="BW98">
        <v>893</v>
      </c>
      <c r="BX98" t="s">
        <v>2742</v>
      </c>
      <c r="BY98" t="s">
        <v>2695</v>
      </c>
      <c r="BZ98">
        <v>4</v>
      </c>
    </row>
    <row r="99" spans="1:78" x14ac:dyDescent="0.25">
      <c r="A99" s="1">
        <v>44949</v>
      </c>
      <c r="B99" t="s">
        <v>1005</v>
      </c>
      <c r="C99" t="s">
        <v>392</v>
      </c>
      <c r="E99">
        <v>2</v>
      </c>
      <c r="F99" t="s">
        <v>76</v>
      </c>
      <c r="G99">
        <v>49.08</v>
      </c>
      <c r="H99">
        <v>0</v>
      </c>
      <c r="I99">
        <v>0</v>
      </c>
      <c r="J99">
        <v>3.43</v>
      </c>
      <c r="K99">
        <v>52.51</v>
      </c>
      <c r="L99" t="s">
        <v>77</v>
      </c>
      <c r="P99" t="s">
        <v>1006</v>
      </c>
      <c r="Q99" t="s">
        <v>1007</v>
      </c>
      <c r="R99" t="s">
        <v>80</v>
      </c>
      <c r="S99" t="s">
        <v>80</v>
      </c>
      <c r="T99" t="s">
        <v>80</v>
      </c>
      <c r="U99" t="s">
        <v>80</v>
      </c>
      <c r="V99" t="s">
        <v>80</v>
      </c>
      <c r="W99" t="s">
        <v>1008</v>
      </c>
      <c r="X99" s="1">
        <v>44949</v>
      </c>
      <c r="Y99">
        <v>52.51</v>
      </c>
      <c r="Z99" t="s">
        <v>82</v>
      </c>
      <c r="AA99" t="str">
        <f t="shared" si="2"/>
        <v>1003</v>
      </c>
      <c r="AB99" t="s">
        <v>133</v>
      </c>
      <c r="AC99" t="s">
        <v>1009</v>
      </c>
      <c r="AD99" t="s">
        <v>1010</v>
      </c>
      <c r="AE99" t="str">
        <f>"44000000"</f>
        <v>44000000</v>
      </c>
      <c r="AF99" t="s">
        <v>108</v>
      </c>
      <c r="AG99" t="s">
        <v>108</v>
      </c>
      <c r="AH99" t="s">
        <v>108</v>
      </c>
      <c r="AI99" t="s">
        <v>108</v>
      </c>
      <c r="AK99" t="s">
        <v>1011</v>
      </c>
      <c r="AL99" t="s">
        <v>1012</v>
      </c>
      <c r="AO99" t="s">
        <v>1013</v>
      </c>
      <c r="AP99" t="s">
        <v>92</v>
      </c>
      <c r="AR99">
        <v>36.99</v>
      </c>
      <c r="AS99">
        <v>26.59</v>
      </c>
      <c r="AT99">
        <v>1</v>
      </c>
      <c r="AU99">
        <v>26.59</v>
      </c>
      <c r="AV99">
        <v>0</v>
      </c>
      <c r="AX99">
        <v>1.86</v>
      </c>
      <c r="AY99">
        <v>28.45</v>
      </c>
      <c r="BA99" t="s">
        <v>93</v>
      </c>
      <c r="BC99" t="s">
        <v>93</v>
      </c>
      <c r="BI99" t="s">
        <v>80</v>
      </c>
      <c r="BM99" t="s">
        <v>94</v>
      </c>
      <c r="BN99" t="s">
        <v>95</v>
      </c>
      <c r="BP99" t="s">
        <v>1014</v>
      </c>
      <c r="BR99" t="s">
        <v>1012</v>
      </c>
      <c r="BT99" t="s">
        <v>1015</v>
      </c>
      <c r="BU99" t="s">
        <v>1016</v>
      </c>
      <c r="BV99" t="str">
        <f>"214117"</f>
        <v>214117</v>
      </c>
      <c r="BW99">
        <v>804</v>
      </c>
      <c r="BX99" t="s">
        <v>2751</v>
      </c>
      <c r="BY99" t="s">
        <v>2614</v>
      </c>
      <c r="BZ99">
        <v>4</v>
      </c>
    </row>
    <row r="100" spans="1:78" x14ac:dyDescent="0.25">
      <c r="A100" s="1">
        <v>44949</v>
      </c>
      <c r="B100" t="s">
        <v>1005</v>
      </c>
      <c r="C100" t="s">
        <v>392</v>
      </c>
      <c r="E100">
        <v>2</v>
      </c>
      <c r="F100" t="s">
        <v>76</v>
      </c>
      <c r="G100">
        <v>49.08</v>
      </c>
      <c r="H100">
        <v>0</v>
      </c>
      <c r="I100">
        <v>0</v>
      </c>
      <c r="J100">
        <v>3.43</v>
      </c>
      <c r="K100">
        <v>52.51</v>
      </c>
      <c r="L100" t="s">
        <v>77</v>
      </c>
      <c r="P100" t="s">
        <v>1006</v>
      </c>
      <c r="Q100" t="s">
        <v>1007</v>
      </c>
      <c r="R100" t="s">
        <v>80</v>
      </c>
      <c r="S100" t="s">
        <v>80</v>
      </c>
      <c r="T100" t="s">
        <v>80</v>
      </c>
      <c r="U100" t="s">
        <v>80</v>
      </c>
      <c r="V100" t="s">
        <v>80</v>
      </c>
      <c r="W100" t="s">
        <v>1008</v>
      </c>
      <c r="X100" s="1">
        <v>44949</v>
      </c>
      <c r="Y100">
        <v>52.51</v>
      </c>
      <c r="Z100" t="s">
        <v>82</v>
      </c>
      <c r="AA100" t="str">
        <f t="shared" si="2"/>
        <v>1003</v>
      </c>
      <c r="AB100" t="s">
        <v>119</v>
      </c>
      <c r="AC100" t="s">
        <v>1017</v>
      </c>
      <c r="AD100" t="s">
        <v>1018</v>
      </c>
      <c r="AE100" t="str">
        <f>"56101500"</f>
        <v>56101500</v>
      </c>
      <c r="AF100" t="s">
        <v>159</v>
      </c>
      <c r="AG100" t="s">
        <v>160</v>
      </c>
      <c r="AH100" t="s">
        <v>653</v>
      </c>
      <c r="AI100" t="s">
        <v>653</v>
      </c>
      <c r="AK100" t="s">
        <v>1019</v>
      </c>
      <c r="AL100" t="s">
        <v>1019</v>
      </c>
      <c r="AN100" t="s">
        <v>1020</v>
      </c>
      <c r="AO100" t="s">
        <v>1021</v>
      </c>
      <c r="AP100" t="s">
        <v>92</v>
      </c>
      <c r="AR100">
        <v>24.94</v>
      </c>
      <c r="AS100">
        <v>22.49</v>
      </c>
      <c r="AT100">
        <v>1</v>
      </c>
      <c r="AU100">
        <v>22.49</v>
      </c>
      <c r="AV100">
        <v>0</v>
      </c>
      <c r="AX100">
        <v>1.57</v>
      </c>
      <c r="AY100">
        <v>24.06</v>
      </c>
      <c r="BA100" t="s">
        <v>93</v>
      </c>
      <c r="BC100" t="s">
        <v>93</v>
      </c>
      <c r="BI100" t="s">
        <v>80</v>
      </c>
      <c r="BM100" t="s">
        <v>94</v>
      </c>
      <c r="BN100" t="s">
        <v>95</v>
      </c>
      <c r="BP100" t="s">
        <v>1014</v>
      </c>
      <c r="BR100" t="s">
        <v>1022</v>
      </c>
      <c r="BS100" t="s">
        <v>237</v>
      </c>
      <c r="BT100" t="s">
        <v>1023</v>
      </c>
      <c r="BU100" t="s">
        <v>416</v>
      </c>
      <c r="BV100" t="str">
        <f>"07111"</f>
        <v>07111</v>
      </c>
      <c r="BW100">
        <v>804</v>
      </c>
      <c r="BX100" t="s">
        <v>2751</v>
      </c>
      <c r="BY100" t="s">
        <v>2614</v>
      </c>
      <c r="BZ100">
        <v>4</v>
      </c>
    </row>
    <row r="101" spans="1:78" x14ac:dyDescent="0.25">
      <c r="A101" s="1">
        <v>44949</v>
      </c>
      <c r="B101" t="s">
        <v>1024</v>
      </c>
      <c r="C101" t="s">
        <v>75</v>
      </c>
      <c r="E101">
        <v>2</v>
      </c>
      <c r="F101" t="s">
        <v>76</v>
      </c>
      <c r="G101">
        <v>107.48</v>
      </c>
      <c r="H101">
        <v>0</v>
      </c>
      <c r="I101">
        <v>0</v>
      </c>
      <c r="J101">
        <v>7.52</v>
      </c>
      <c r="K101">
        <v>115</v>
      </c>
      <c r="L101" t="s">
        <v>77</v>
      </c>
      <c r="M101" t="s">
        <v>78</v>
      </c>
      <c r="P101" t="s">
        <v>78</v>
      </c>
      <c r="Q101" t="s">
        <v>79</v>
      </c>
      <c r="R101" t="s">
        <v>80</v>
      </c>
      <c r="S101" t="s">
        <v>80</v>
      </c>
      <c r="T101" t="s">
        <v>80</v>
      </c>
      <c r="U101" t="s">
        <v>80</v>
      </c>
      <c r="V101" t="s">
        <v>80</v>
      </c>
      <c r="W101" t="s">
        <v>1025</v>
      </c>
      <c r="X101" s="1">
        <v>44949</v>
      </c>
      <c r="Y101">
        <v>115</v>
      </c>
      <c r="Z101" t="s">
        <v>82</v>
      </c>
      <c r="AA101" t="str">
        <f t="shared" si="2"/>
        <v>1003</v>
      </c>
      <c r="AB101" t="s">
        <v>133</v>
      </c>
      <c r="AC101" t="s">
        <v>1026</v>
      </c>
      <c r="AD101" t="s">
        <v>1027</v>
      </c>
      <c r="AE101" t="str">
        <f>"27112700"</f>
        <v>27112700</v>
      </c>
      <c r="AF101" t="s">
        <v>504</v>
      </c>
      <c r="AG101" t="s">
        <v>505</v>
      </c>
      <c r="AH101" t="s">
        <v>1028</v>
      </c>
      <c r="AI101" t="s">
        <v>1028</v>
      </c>
      <c r="AK101" t="s">
        <v>1029</v>
      </c>
      <c r="AL101" t="s">
        <v>1030</v>
      </c>
      <c r="AP101" t="s">
        <v>92</v>
      </c>
      <c r="AR101">
        <v>69.989999999999995</v>
      </c>
      <c r="AS101">
        <v>47.49</v>
      </c>
      <c r="AT101">
        <v>1</v>
      </c>
      <c r="AU101">
        <v>47.49</v>
      </c>
      <c r="AV101">
        <v>0</v>
      </c>
      <c r="AX101">
        <v>3.32</v>
      </c>
      <c r="AY101">
        <v>50.81</v>
      </c>
      <c r="BA101" t="s">
        <v>93</v>
      </c>
      <c r="BC101" t="s">
        <v>93</v>
      </c>
      <c r="BD101" t="s">
        <v>128</v>
      </c>
      <c r="BE101">
        <v>22.5</v>
      </c>
      <c r="BF101" s="2">
        <v>0.32150000000000001</v>
      </c>
      <c r="BI101" t="s">
        <v>80</v>
      </c>
      <c r="BM101" t="s">
        <v>94</v>
      </c>
      <c r="BN101" t="s">
        <v>95</v>
      </c>
      <c r="BP101" t="s">
        <v>96</v>
      </c>
      <c r="BR101" t="s">
        <v>1029</v>
      </c>
      <c r="BT101" t="s">
        <v>1031</v>
      </c>
      <c r="BU101" t="s">
        <v>1032</v>
      </c>
      <c r="BV101" t="str">
        <f>"321000"</f>
        <v>321000</v>
      </c>
      <c r="BW101">
        <v>806</v>
      </c>
      <c r="BX101" t="s">
        <v>2728</v>
      </c>
      <c r="BY101" t="s">
        <v>2618</v>
      </c>
      <c r="BZ101">
        <v>4</v>
      </c>
    </row>
    <row r="102" spans="1:78" x14ac:dyDescent="0.25">
      <c r="A102" s="1">
        <v>44949</v>
      </c>
      <c r="B102" t="s">
        <v>1024</v>
      </c>
      <c r="C102" t="s">
        <v>75</v>
      </c>
      <c r="E102">
        <v>2</v>
      </c>
      <c r="F102" t="s">
        <v>76</v>
      </c>
      <c r="G102">
        <v>107.48</v>
      </c>
      <c r="H102">
        <v>0</v>
      </c>
      <c r="I102">
        <v>0</v>
      </c>
      <c r="J102">
        <v>7.52</v>
      </c>
      <c r="K102">
        <v>115</v>
      </c>
      <c r="L102" t="s">
        <v>77</v>
      </c>
      <c r="M102" t="s">
        <v>78</v>
      </c>
      <c r="P102" t="s">
        <v>78</v>
      </c>
      <c r="Q102" t="s">
        <v>79</v>
      </c>
      <c r="R102" t="s">
        <v>80</v>
      </c>
      <c r="S102" t="s">
        <v>80</v>
      </c>
      <c r="T102" t="s">
        <v>80</v>
      </c>
      <c r="U102" t="s">
        <v>80</v>
      </c>
      <c r="V102" t="s">
        <v>80</v>
      </c>
      <c r="W102" t="s">
        <v>1025</v>
      </c>
      <c r="X102" s="1">
        <v>44949</v>
      </c>
      <c r="Y102">
        <v>115</v>
      </c>
      <c r="Z102" t="s">
        <v>82</v>
      </c>
      <c r="AA102" t="str">
        <f t="shared" si="2"/>
        <v>1003</v>
      </c>
      <c r="AB102" t="s">
        <v>133</v>
      </c>
      <c r="AC102" t="s">
        <v>1033</v>
      </c>
      <c r="AD102" t="s">
        <v>1034</v>
      </c>
      <c r="AE102" t="str">
        <f>"27110000"</f>
        <v>27110000</v>
      </c>
      <c r="AF102" t="s">
        <v>504</v>
      </c>
      <c r="AG102" t="s">
        <v>505</v>
      </c>
      <c r="AH102" t="s">
        <v>505</v>
      </c>
      <c r="AI102" t="s">
        <v>505</v>
      </c>
      <c r="AK102" t="s">
        <v>1035</v>
      </c>
      <c r="AL102" t="s">
        <v>1035</v>
      </c>
      <c r="AO102" t="s">
        <v>1036</v>
      </c>
      <c r="AP102" t="s">
        <v>92</v>
      </c>
      <c r="AR102">
        <v>83.99</v>
      </c>
      <c r="AS102">
        <v>59.99</v>
      </c>
      <c r="AT102">
        <v>1</v>
      </c>
      <c r="AU102">
        <v>59.99</v>
      </c>
      <c r="AV102">
        <v>0</v>
      </c>
      <c r="AX102">
        <v>4.2</v>
      </c>
      <c r="AY102">
        <v>64.19</v>
      </c>
      <c r="BA102" t="s">
        <v>93</v>
      </c>
      <c r="BC102" t="s">
        <v>93</v>
      </c>
      <c r="BI102" t="s">
        <v>80</v>
      </c>
      <c r="BM102" t="s">
        <v>94</v>
      </c>
      <c r="BN102" t="s">
        <v>95</v>
      </c>
      <c r="BP102" t="s">
        <v>96</v>
      </c>
      <c r="BR102" t="s">
        <v>1037</v>
      </c>
      <c r="BT102" t="s">
        <v>1038</v>
      </c>
      <c r="BU102" t="s">
        <v>1032</v>
      </c>
      <c r="BV102" t="str">
        <f>"310000"</f>
        <v>310000</v>
      </c>
      <c r="BW102">
        <v>806</v>
      </c>
      <c r="BX102" t="s">
        <v>2728</v>
      </c>
      <c r="BY102" t="s">
        <v>2618</v>
      </c>
      <c r="BZ102">
        <v>4</v>
      </c>
    </row>
    <row r="103" spans="1:78" x14ac:dyDescent="0.25">
      <c r="A103" s="1">
        <v>44949</v>
      </c>
      <c r="B103" t="s">
        <v>1039</v>
      </c>
      <c r="C103" t="s">
        <v>75</v>
      </c>
      <c r="E103">
        <v>1</v>
      </c>
      <c r="F103" t="s">
        <v>76</v>
      </c>
      <c r="G103">
        <v>94.99</v>
      </c>
      <c r="H103">
        <v>0</v>
      </c>
      <c r="I103">
        <v>0</v>
      </c>
      <c r="J103">
        <v>6.65</v>
      </c>
      <c r="K103">
        <v>101.64</v>
      </c>
      <c r="L103" t="s">
        <v>77</v>
      </c>
      <c r="M103" t="s">
        <v>78</v>
      </c>
      <c r="P103" t="s">
        <v>78</v>
      </c>
      <c r="Q103" t="s">
        <v>79</v>
      </c>
      <c r="R103" t="s">
        <v>80</v>
      </c>
      <c r="S103" t="s">
        <v>80</v>
      </c>
      <c r="T103" t="s">
        <v>80</v>
      </c>
      <c r="U103" t="s">
        <v>80</v>
      </c>
      <c r="V103" t="s">
        <v>80</v>
      </c>
      <c r="W103" t="s">
        <v>1040</v>
      </c>
      <c r="X103" s="1">
        <v>44949</v>
      </c>
      <c r="Y103">
        <v>101.64</v>
      </c>
      <c r="Z103" t="s">
        <v>82</v>
      </c>
      <c r="AA103" t="str">
        <f t="shared" si="2"/>
        <v>1003</v>
      </c>
      <c r="AB103" t="s">
        <v>133</v>
      </c>
      <c r="AC103" t="s">
        <v>1041</v>
      </c>
      <c r="AD103" t="s">
        <v>1042</v>
      </c>
      <c r="AE103" t="str">
        <f>"27000000"</f>
        <v>27000000</v>
      </c>
      <c r="AF103" t="s">
        <v>504</v>
      </c>
      <c r="AG103" t="s">
        <v>504</v>
      </c>
      <c r="AH103" t="s">
        <v>504</v>
      </c>
      <c r="AI103" t="s">
        <v>504</v>
      </c>
      <c r="AK103" t="s">
        <v>1043</v>
      </c>
      <c r="AL103" t="s">
        <v>1044</v>
      </c>
      <c r="AO103" t="s">
        <v>1045</v>
      </c>
      <c r="AP103" t="s">
        <v>92</v>
      </c>
      <c r="AR103">
        <v>94.99</v>
      </c>
      <c r="AS103">
        <v>94.99</v>
      </c>
      <c r="AT103">
        <v>1</v>
      </c>
      <c r="AU103">
        <v>94.99</v>
      </c>
      <c r="AV103">
        <v>0</v>
      </c>
      <c r="AX103">
        <v>6.65</v>
      </c>
      <c r="AY103">
        <v>101.64</v>
      </c>
      <c r="BA103" t="s">
        <v>93</v>
      </c>
      <c r="BC103" t="s">
        <v>93</v>
      </c>
      <c r="BI103" t="s">
        <v>80</v>
      </c>
      <c r="BM103" t="s">
        <v>94</v>
      </c>
      <c r="BN103" t="s">
        <v>95</v>
      </c>
      <c r="BP103" t="s">
        <v>96</v>
      </c>
      <c r="BR103" t="s">
        <v>1043</v>
      </c>
      <c r="BS103" t="s">
        <v>237</v>
      </c>
      <c r="BT103" t="s">
        <v>1046</v>
      </c>
      <c r="BU103" t="s">
        <v>115</v>
      </c>
      <c r="BV103" t="str">
        <f>"91024"</f>
        <v>91024</v>
      </c>
      <c r="BW103">
        <v>806</v>
      </c>
      <c r="BX103" t="s">
        <v>2728</v>
      </c>
      <c r="BY103" t="s">
        <v>2618</v>
      </c>
      <c r="BZ103">
        <v>4</v>
      </c>
    </row>
    <row r="104" spans="1:78" x14ac:dyDescent="0.25">
      <c r="A104" s="1">
        <v>44949</v>
      </c>
      <c r="B104" t="s">
        <v>1047</v>
      </c>
      <c r="C104" t="s">
        <v>283</v>
      </c>
      <c r="E104">
        <v>2</v>
      </c>
      <c r="F104" t="s">
        <v>76</v>
      </c>
      <c r="G104">
        <v>29.41</v>
      </c>
      <c r="H104">
        <v>0</v>
      </c>
      <c r="I104">
        <v>0</v>
      </c>
      <c r="J104">
        <v>2.95</v>
      </c>
      <c r="K104">
        <v>32.36</v>
      </c>
      <c r="L104" t="s">
        <v>77</v>
      </c>
      <c r="P104" t="s">
        <v>284</v>
      </c>
      <c r="Q104" t="s">
        <v>285</v>
      </c>
      <c r="R104" t="s">
        <v>80</v>
      </c>
      <c r="S104" t="s">
        <v>80</v>
      </c>
      <c r="T104" t="s">
        <v>80</v>
      </c>
      <c r="U104" t="s">
        <v>80</v>
      </c>
      <c r="V104" t="s">
        <v>80</v>
      </c>
      <c r="W104" t="s">
        <v>1048</v>
      </c>
      <c r="X104" s="1">
        <v>44949</v>
      </c>
      <c r="Y104">
        <v>32.36</v>
      </c>
      <c r="Z104" t="s">
        <v>82</v>
      </c>
      <c r="AA104" t="str">
        <f t="shared" si="2"/>
        <v>1003</v>
      </c>
      <c r="AB104" t="s">
        <v>268</v>
      </c>
      <c r="AC104" t="s">
        <v>1049</v>
      </c>
      <c r="AD104" t="s">
        <v>1050</v>
      </c>
      <c r="AE104" t="str">
        <f>"47130000"</f>
        <v>47130000</v>
      </c>
      <c r="AF104" t="s">
        <v>144</v>
      </c>
      <c r="AG104" t="s">
        <v>145</v>
      </c>
      <c r="AH104" t="s">
        <v>145</v>
      </c>
      <c r="AI104" t="s">
        <v>145</v>
      </c>
      <c r="AK104" t="s">
        <v>1051</v>
      </c>
      <c r="AL104" t="s">
        <v>1052</v>
      </c>
      <c r="AP104" t="s">
        <v>92</v>
      </c>
      <c r="AR104">
        <v>16.95</v>
      </c>
      <c r="AS104">
        <v>14.95</v>
      </c>
      <c r="AT104">
        <v>1</v>
      </c>
      <c r="AU104">
        <v>14.95</v>
      </c>
      <c r="AV104">
        <v>0</v>
      </c>
      <c r="AX104">
        <v>1.5</v>
      </c>
      <c r="AY104">
        <v>16.45</v>
      </c>
      <c r="BA104" t="s">
        <v>93</v>
      </c>
      <c r="BC104" t="s">
        <v>93</v>
      </c>
      <c r="BD104" t="s">
        <v>128</v>
      </c>
      <c r="BE104">
        <v>2</v>
      </c>
      <c r="BF104" s="2">
        <v>0.11799999999999999</v>
      </c>
      <c r="BI104" t="s">
        <v>80</v>
      </c>
      <c r="BM104" t="s">
        <v>94</v>
      </c>
      <c r="BN104" t="s">
        <v>95</v>
      </c>
      <c r="BP104" t="s">
        <v>302</v>
      </c>
      <c r="BR104" t="s">
        <v>1053</v>
      </c>
      <c r="BT104" t="s">
        <v>1054</v>
      </c>
      <c r="BW104">
        <v>902</v>
      </c>
      <c r="BX104" t="s">
        <v>2736</v>
      </c>
      <c r="BY104" t="s">
        <v>2707</v>
      </c>
      <c r="BZ104">
        <v>4</v>
      </c>
    </row>
    <row r="105" spans="1:78" x14ac:dyDescent="0.25">
      <c r="A105" s="1">
        <v>44949</v>
      </c>
      <c r="B105" t="s">
        <v>1047</v>
      </c>
      <c r="C105" t="s">
        <v>283</v>
      </c>
      <c r="E105">
        <v>2</v>
      </c>
      <c r="F105" t="s">
        <v>76</v>
      </c>
      <c r="G105">
        <v>29.41</v>
      </c>
      <c r="H105">
        <v>0</v>
      </c>
      <c r="I105">
        <v>0</v>
      </c>
      <c r="J105">
        <v>2.95</v>
      </c>
      <c r="K105">
        <v>32.36</v>
      </c>
      <c r="L105" t="s">
        <v>77</v>
      </c>
      <c r="P105" t="s">
        <v>284</v>
      </c>
      <c r="Q105" t="s">
        <v>285</v>
      </c>
      <c r="R105" t="s">
        <v>80</v>
      </c>
      <c r="S105" t="s">
        <v>80</v>
      </c>
      <c r="T105" t="s">
        <v>80</v>
      </c>
      <c r="U105" t="s">
        <v>80</v>
      </c>
      <c r="V105" t="s">
        <v>80</v>
      </c>
      <c r="W105" t="s">
        <v>1048</v>
      </c>
      <c r="X105" s="1">
        <v>44949</v>
      </c>
      <c r="Y105">
        <v>32.36</v>
      </c>
      <c r="Z105" t="s">
        <v>82</v>
      </c>
      <c r="AA105" t="str">
        <f t="shared" si="2"/>
        <v>1003</v>
      </c>
      <c r="AB105" t="s">
        <v>638</v>
      </c>
      <c r="AC105" t="s">
        <v>1055</v>
      </c>
      <c r="AD105" t="s">
        <v>1056</v>
      </c>
      <c r="AE105" t="str">
        <f>"47131704"</f>
        <v>47131704</v>
      </c>
      <c r="AF105" t="s">
        <v>144</v>
      </c>
      <c r="AG105" t="s">
        <v>145</v>
      </c>
      <c r="AH105" t="s">
        <v>1057</v>
      </c>
      <c r="AI105" t="s">
        <v>1058</v>
      </c>
      <c r="AJ105" t="s">
        <v>1059</v>
      </c>
      <c r="AK105" t="s">
        <v>1060</v>
      </c>
      <c r="AL105" t="s">
        <v>1060</v>
      </c>
      <c r="AN105" t="str">
        <f>"50033"</f>
        <v>50033</v>
      </c>
      <c r="AO105" t="str">
        <f>"50033"</f>
        <v>50033</v>
      </c>
      <c r="AP105" t="s">
        <v>92</v>
      </c>
      <c r="AR105">
        <v>14.46</v>
      </c>
      <c r="AS105">
        <v>14.46</v>
      </c>
      <c r="AT105">
        <v>1</v>
      </c>
      <c r="AU105">
        <v>14.46</v>
      </c>
      <c r="AV105">
        <v>0</v>
      </c>
      <c r="AX105">
        <v>1.45</v>
      </c>
      <c r="AY105">
        <v>15.91</v>
      </c>
      <c r="BA105" t="s">
        <v>93</v>
      </c>
      <c r="BC105" t="s">
        <v>93</v>
      </c>
      <c r="BD105" t="s">
        <v>128</v>
      </c>
      <c r="BI105" t="s">
        <v>80</v>
      </c>
      <c r="BM105" t="s">
        <v>94</v>
      </c>
      <c r="BN105" t="s">
        <v>95</v>
      </c>
      <c r="BP105" t="s">
        <v>302</v>
      </c>
      <c r="BR105" t="s">
        <v>130</v>
      </c>
      <c r="BT105" t="s">
        <v>131</v>
      </c>
      <c r="BU105" t="s">
        <v>132</v>
      </c>
      <c r="BV105" t="str">
        <f>"98109"</f>
        <v>98109</v>
      </c>
      <c r="BW105">
        <v>902</v>
      </c>
      <c r="BX105" t="s">
        <v>2736</v>
      </c>
      <c r="BY105" t="s">
        <v>2707</v>
      </c>
      <c r="BZ105">
        <v>4</v>
      </c>
    </row>
    <row r="106" spans="1:78" x14ac:dyDescent="0.25">
      <c r="A106" s="1">
        <v>44949</v>
      </c>
      <c r="B106" t="s">
        <v>1061</v>
      </c>
      <c r="C106" t="s">
        <v>100</v>
      </c>
      <c r="D106" t="s">
        <v>1062</v>
      </c>
      <c r="E106">
        <v>2</v>
      </c>
      <c r="F106" t="s">
        <v>76</v>
      </c>
      <c r="G106">
        <v>56.84</v>
      </c>
      <c r="H106">
        <v>0</v>
      </c>
      <c r="I106">
        <v>0</v>
      </c>
      <c r="J106">
        <v>3.98</v>
      </c>
      <c r="K106">
        <v>60.82</v>
      </c>
      <c r="L106" t="s">
        <v>77</v>
      </c>
      <c r="P106" t="s">
        <v>208</v>
      </c>
      <c r="Q106" t="s">
        <v>209</v>
      </c>
      <c r="R106" t="s">
        <v>80</v>
      </c>
      <c r="S106" t="s">
        <v>80</v>
      </c>
      <c r="T106" t="s">
        <v>80</v>
      </c>
      <c r="U106" t="s">
        <v>80</v>
      </c>
      <c r="V106" t="s">
        <v>80</v>
      </c>
      <c r="W106" t="s">
        <v>1063</v>
      </c>
      <c r="X106" s="1">
        <v>44949</v>
      </c>
      <c r="Y106">
        <v>60.82</v>
      </c>
      <c r="Z106" t="s">
        <v>82</v>
      </c>
      <c r="AA106" t="str">
        <f t="shared" si="2"/>
        <v>1003</v>
      </c>
      <c r="AB106" t="s">
        <v>133</v>
      </c>
      <c r="AC106" t="s">
        <v>1064</v>
      </c>
      <c r="AD106" t="s">
        <v>1065</v>
      </c>
      <c r="AE106" t="str">
        <f>"27111701"</f>
        <v>27111701</v>
      </c>
      <c r="AF106" t="s">
        <v>504</v>
      </c>
      <c r="AG106" t="s">
        <v>505</v>
      </c>
      <c r="AH106" t="s">
        <v>1066</v>
      </c>
      <c r="AI106" t="s">
        <v>1067</v>
      </c>
      <c r="AJ106" t="s">
        <v>1068</v>
      </c>
      <c r="AK106" t="s">
        <v>1069</v>
      </c>
      <c r="AL106" t="s">
        <v>1070</v>
      </c>
      <c r="AN106" t="s">
        <v>1071</v>
      </c>
      <c r="AO106" t="s">
        <v>1071</v>
      </c>
      <c r="AP106" t="s">
        <v>92</v>
      </c>
      <c r="AR106">
        <v>29.85</v>
      </c>
      <c r="AS106">
        <v>29.85</v>
      </c>
      <c r="AT106">
        <v>1</v>
      </c>
      <c r="AU106">
        <v>29.85</v>
      </c>
      <c r="AV106">
        <v>0</v>
      </c>
      <c r="AX106">
        <v>2.09</v>
      </c>
      <c r="AY106">
        <v>31.94</v>
      </c>
      <c r="BA106" t="s">
        <v>93</v>
      </c>
      <c r="BC106" t="s">
        <v>93</v>
      </c>
      <c r="BD106" t="s">
        <v>128</v>
      </c>
      <c r="BI106" t="s">
        <v>80</v>
      </c>
      <c r="BM106" t="s">
        <v>94</v>
      </c>
      <c r="BN106" t="s">
        <v>95</v>
      </c>
      <c r="BP106" t="s">
        <v>1014</v>
      </c>
      <c r="BR106" t="s">
        <v>1072</v>
      </c>
      <c r="BS106" t="s">
        <v>113</v>
      </c>
      <c r="BW106">
        <v>804</v>
      </c>
      <c r="BX106" t="s">
        <v>2751</v>
      </c>
      <c r="BY106" t="s">
        <v>2614</v>
      </c>
      <c r="BZ106">
        <v>4</v>
      </c>
    </row>
    <row r="107" spans="1:78" x14ac:dyDescent="0.25">
      <c r="A107" s="1">
        <v>44949</v>
      </c>
      <c r="B107" t="s">
        <v>1061</v>
      </c>
      <c r="C107" t="s">
        <v>100</v>
      </c>
      <c r="D107" t="s">
        <v>1062</v>
      </c>
      <c r="E107">
        <v>2</v>
      </c>
      <c r="F107" t="s">
        <v>76</v>
      </c>
      <c r="G107">
        <v>56.84</v>
      </c>
      <c r="H107">
        <v>0</v>
      </c>
      <c r="I107">
        <v>0</v>
      </c>
      <c r="J107">
        <v>3.98</v>
      </c>
      <c r="K107">
        <v>60.82</v>
      </c>
      <c r="L107" t="s">
        <v>77</v>
      </c>
      <c r="P107" t="s">
        <v>208</v>
      </c>
      <c r="Q107" t="s">
        <v>209</v>
      </c>
      <c r="R107" t="s">
        <v>80</v>
      </c>
      <c r="S107" t="s">
        <v>80</v>
      </c>
      <c r="T107" t="s">
        <v>80</v>
      </c>
      <c r="U107" t="s">
        <v>80</v>
      </c>
      <c r="V107" t="s">
        <v>80</v>
      </c>
      <c r="W107" t="s">
        <v>1063</v>
      </c>
      <c r="X107" s="1">
        <v>44949</v>
      </c>
      <c r="Y107">
        <v>60.82</v>
      </c>
      <c r="Z107" t="s">
        <v>82</v>
      </c>
      <c r="AA107" t="str">
        <f t="shared" si="2"/>
        <v>1003</v>
      </c>
      <c r="AB107" t="s">
        <v>119</v>
      </c>
      <c r="AC107" t="s">
        <v>1073</v>
      </c>
      <c r="AD107" t="s">
        <v>1074</v>
      </c>
      <c r="AE107" t="str">
        <f>"60121400"</f>
        <v>60121400</v>
      </c>
      <c r="AF107" t="s">
        <v>349</v>
      </c>
      <c r="AG107" t="s">
        <v>472</v>
      </c>
      <c r="AH107" t="s">
        <v>1075</v>
      </c>
      <c r="AI107" t="s">
        <v>1075</v>
      </c>
      <c r="AK107" t="s">
        <v>1076</v>
      </c>
      <c r="AL107" t="s">
        <v>1077</v>
      </c>
      <c r="AN107" t="s">
        <v>1078</v>
      </c>
      <c r="AO107" t="str">
        <f>"68651"</f>
        <v>68651</v>
      </c>
      <c r="AP107" t="s">
        <v>92</v>
      </c>
      <c r="AR107">
        <v>28.99</v>
      </c>
      <c r="AS107">
        <v>26.99</v>
      </c>
      <c r="AT107">
        <v>1</v>
      </c>
      <c r="AU107">
        <v>26.99</v>
      </c>
      <c r="AV107">
        <v>0</v>
      </c>
      <c r="AX107">
        <v>1.89</v>
      </c>
      <c r="AY107">
        <v>28.88</v>
      </c>
      <c r="BA107" t="s">
        <v>93</v>
      </c>
      <c r="BC107" t="s">
        <v>93</v>
      </c>
      <c r="BI107" t="s">
        <v>80</v>
      </c>
      <c r="BM107" t="s">
        <v>94</v>
      </c>
      <c r="BN107" t="s">
        <v>95</v>
      </c>
      <c r="BP107" t="s">
        <v>1014</v>
      </c>
      <c r="BR107" t="s">
        <v>1077</v>
      </c>
      <c r="BT107" t="s">
        <v>1079</v>
      </c>
      <c r="BU107" t="s">
        <v>115</v>
      </c>
      <c r="BV107" t="str">
        <f>"94080"</f>
        <v>94080</v>
      </c>
      <c r="BW107">
        <v>804</v>
      </c>
      <c r="BX107" t="s">
        <v>2751</v>
      </c>
      <c r="BY107" t="s">
        <v>2614</v>
      </c>
      <c r="BZ107">
        <v>4</v>
      </c>
    </row>
    <row r="108" spans="1:78" x14ac:dyDescent="0.25">
      <c r="A108" s="1">
        <v>44949</v>
      </c>
      <c r="B108" t="s">
        <v>1080</v>
      </c>
      <c r="C108" t="s">
        <v>100</v>
      </c>
      <c r="D108" t="s">
        <v>1081</v>
      </c>
      <c r="E108">
        <v>1</v>
      </c>
      <c r="F108" t="s">
        <v>76</v>
      </c>
      <c r="G108">
        <v>324.55</v>
      </c>
      <c r="H108">
        <v>0</v>
      </c>
      <c r="I108">
        <v>-3.25</v>
      </c>
      <c r="J108">
        <v>22.49</v>
      </c>
      <c r="K108">
        <v>343.79</v>
      </c>
      <c r="L108" t="s">
        <v>77</v>
      </c>
      <c r="M108" t="s">
        <v>224</v>
      </c>
      <c r="P108" t="s">
        <v>224</v>
      </c>
      <c r="Q108" t="s">
        <v>434</v>
      </c>
      <c r="R108" t="s">
        <v>80</v>
      </c>
      <c r="S108" t="s">
        <v>80</v>
      </c>
      <c r="T108" t="s">
        <v>80</v>
      </c>
      <c r="U108" t="s">
        <v>80</v>
      </c>
      <c r="V108" t="s">
        <v>80</v>
      </c>
      <c r="W108" t="s">
        <v>1082</v>
      </c>
      <c r="X108" s="1">
        <v>44958</v>
      </c>
      <c r="Y108">
        <v>343.79</v>
      </c>
      <c r="Z108" t="s">
        <v>82</v>
      </c>
      <c r="AA108" t="str">
        <f t="shared" si="2"/>
        <v>1003</v>
      </c>
      <c r="AB108" t="s">
        <v>268</v>
      </c>
      <c r="AC108" t="s">
        <v>1083</v>
      </c>
      <c r="AD108" t="s">
        <v>1084</v>
      </c>
      <c r="AE108" t="str">
        <f>"56101500"</f>
        <v>56101500</v>
      </c>
      <c r="AF108" t="s">
        <v>159</v>
      </c>
      <c r="AG108" t="s">
        <v>160</v>
      </c>
      <c r="AH108" t="s">
        <v>653</v>
      </c>
      <c r="AI108" t="s">
        <v>653</v>
      </c>
      <c r="AK108" t="s">
        <v>1085</v>
      </c>
      <c r="AL108" t="s">
        <v>1085</v>
      </c>
      <c r="AP108" t="s">
        <v>92</v>
      </c>
      <c r="AR108">
        <v>699.99</v>
      </c>
      <c r="AS108">
        <v>324.55</v>
      </c>
      <c r="AT108">
        <v>1</v>
      </c>
      <c r="AU108">
        <v>324.55</v>
      </c>
      <c r="AV108">
        <v>0</v>
      </c>
      <c r="AW108">
        <v>-3.25</v>
      </c>
      <c r="AX108">
        <v>22.49</v>
      </c>
      <c r="AY108">
        <v>343.79</v>
      </c>
      <c r="BA108" t="s">
        <v>93</v>
      </c>
      <c r="BC108" t="s">
        <v>93</v>
      </c>
      <c r="BD108" t="s">
        <v>128</v>
      </c>
      <c r="BE108">
        <v>375.44</v>
      </c>
      <c r="BF108" s="2">
        <v>0.53639999999999999</v>
      </c>
      <c r="BI108" t="s">
        <v>80</v>
      </c>
      <c r="BM108" t="s">
        <v>94</v>
      </c>
      <c r="BN108" t="s">
        <v>95</v>
      </c>
      <c r="BP108" t="s">
        <v>895</v>
      </c>
      <c r="BR108" t="s">
        <v>1086</v>
      </c>
      <c r="BT108" t="s">
        <v>1087</v>
      </c>
      <c r="BU108" t="s">
        <v>1088</v>
      </c>
      <c r="BV108" t="str">
        <f>"471000"</f>
        <v>471000</v>
      </c>
      <c r="BW108">
        <v>823</v>
      </c>
      <c r="BX108">
        <v>300</v>
      </c>
      <c r="BY108" t="s">
        <v>2645</v>
      </c>
      <c r="BZ108">
        <v>4</v>
      </c>
    </row>
    <row r="109" spans="1:78" x14ac:dyDescent="0.25">
      <c r="A109" s="1">
        <v>44949</v>
      </c>
      <c r="B109" t="s">
        <v>1089</v>
      </c>
      <c r="C109" t="s">
        <v>100</v>
      </c>
      <c r="D109" t="s">
        <v>1081</v>
      </c>
      <c r="E109">
        <v>1</v>
      </c>
      <c r="F109" t="s">
        <v>76</v>
      </c>
      <c r="G109">
        <v>9.99</v>
      </c>
      <c r="H109">
        <v>0</v>
      </c>
      <c r="I109">
        <v>0</v>
      </c>
      <c r="J109">
        <v>0.7</v>
      </c>
      <c r="K109">
        <v>10.69</v>
      </c>
      <c r="L109" t="s">
        <v>77</v>
      </c>
      <c r="M109" t="s">
        <v>224</v>
      </c>
      <c r="P109" t="s">
        <v>224</v>
      </c>
      <c r="Q109" t="s">
        <v>434</v>
      </c>
      <c r="R109" t="s">
        <v>80</v>
      </c>
      <c r="S109" t="s">
        <v>80</v>
      </c>
      <c r="T109" t="s">
        <v>80</v>
      </c>
      <c r="U109" t="s">
        <v>80</v>
      </c>
      <c r="V109" t="s">
        <v>80</v>
      </c>
      <c r="W109" t="s">
        <v>1090</v>
      </c>
      <c r="X109" s="1">
        <v>44950</v>
      </c>
      <c r="Y109">
        <v>10.69</v>
      </c>
      <c r="Z109" t="s">
        <v>82</v>
      </c>
      <c r="AA109" t="str">
        <f t="shared" si="2"/>
        <v>1003</v>
      </c>
      <c r="AB109" t="s">
        <v>119</v>
      </c>
      <c r="AC109" t="s">
        <v>1091</v>
      </c>
      <c r="AD109" t="s">
        <v>1092</v>
      </c>
      <c r="AE109" t="str">
        <f>"44121800"</f>
        <v>44121800</v>
      </c>
      <c r="AF109" t="s">
        <v>108</v>
      </c>
      <c r="AG109" t="s">
        <v>556</v>
      </c>
      <c r="AH109" t="s">
        <v>1093</v>
      </c>
      <c r="AI109" t="s">
        <v>1093</v>
      </c>
      <c r="AK109" t="s">
        <v>1094</v>
      </c>
      <c r="AL109" t="s">
        <v>1095</v>
      </c>
      <c r="AO109" t="s">
        <v>1096</v>
      </c>
      <c r="AP109" t="s">
        <v>92</v>
      </c>
      <c r="AR109">
        <v>14.99</v>
      </c>
      <c r="AS109">
        <v>9.99</v>
      </c>
      <c r="AT109">
        <v>1</v>
      </c>
      <c r="AU109">
        <v>9.99</v>
      </c>
      <c r="AV109">
        <v>0</v>
      </c>
      <c r="AX109">
        <v>0.7</v>
      </c>
      <c r="AY109">
        <v>10.69</v>
      </c>
      <c r="BA109" t="s">
        <v>93</v>
      </c>
      <c r="BC109" t="s">
        <v>93</v>
      </c>
      <c r="BI109" t="s">
        <v>80</v>
      </c>
      <c r="BM109" t="s">
        <v>94</v>
      </c>
      <c r="BN109" t="s">
        <v>95</v>
      </c>
      <c r="BP109" t="s">
        <v>895</v>
      </c>
      <c r="BR109" t="s">
        <v>1095</v>
      </c>
      <c r="BW109">
        <v>823</v>
      </c>
      <c r="BX109">
        <v>300</v>
      </c>
      <c r="BY109" t="s">
        <v>2645</v>
      </c>
      <c r="BZ109">
        <v>4</v>
      </c>
    </row>
    <row r="110" spans="1:78" x14ac:dyDescent="0.25">
      <c r="A110" s="1">
        <v>44949</v>
      </c>
      <c r="B110" t="s">
        <v>1097</v>
      </c>
      <c r="C110" t="s">
        <v>100</v>
      </c>
      <c r="D110" t="s">
        <v>1081</v>
      </c>
      <c r="E110">
        <v>10</v>
      </c>
      <c r="F110" t="s">
        <v>76</v>
      </c>
      <c r="G110">
        <v>316.97000000000003</v>
      </c>
      <c r="H110">
        <v>0</v>
      </c>
      <c r="I110">
        <v>0</v>
      </c>
      <c r="J110">
        <v>22.18</v>
      </c>
      <c r="K110">
        <v>339.15</v>
      </c>
      <c r="L110" t="s">
        <v>77</v>
      </c>
      <c r="M110" t="s">
        <v>224</v>
      </c>
      <c r="P110" t="s">
        <v>224</v>
      </c>
      <c r="Q110" t="s">
        <v>434</v>
      </c>
      <c r="R110" t="s">
        <v>80</v>
      </c>
      <c r="S110" t="s">
        <v>80</v>
      </c>
      <c r="T110" t="s">
        <v>80</v>
      </c>
      <c r="U110" t="s">
        <v>80</v>
      </c>
      <c r="V110" t="s">
        <v>80</v>
      </c>
      <c r="W110" t="s">
        <v>1098</v>
      </c>
      <c r="X110" s="1">
        <v>44952</v>
      </c>
      <c r="Y110">
        <v>301.75</v>
      </c>
      <c r="Z110" t="s">
        <v>82</v>
      </c>
      <c r="AA110" t="str">
        <f t="shared" si="2"/>
        <v>1003</v>
      </c>
      <c r="AB110" t="s">
        <v>119</v>
      </c>
      <c r="AC110" t="s">
        <v>1099</v>
      </c>
      <c r="AD110" t="s">
        <v>1100</v>
      </c>
      <c r="AE110" t="str">
        <f>"44111907"</f>
        <v>44111907</v>
      </c>
      <c r="AF110" t="s">
        <v>108</v>
      </c>
      <c r="AG110" t="s">
        <v>122</v>
      </c>
      <c r="AH110" t="s">
        <v>438</v>
      </c>
      <c r="AI110" t="s">
        <v>1101</v>
      </c>
      <c r="AK110" t="s">
        <v>1102</v>
      </c>
      <c r="AL110" t="s">
        <v>1103</v>
      </c>
      <c r="AO110" t="s">
        <v>1104</v>
      </c>
      <c r="AP110" t="s">
        <v>92</v>
      </c>
      <c r="AR110">
        <v>105.9</v>
      </c>
      <c r="AS110">
        <v>105.9</v>
      </c>
      <c r="AT110">
        <v>1</v>
      </c>
      <c r="AU110">
        <v>105.9</v>
      </c>
      <c r="AV110">
        <v>0</v>
      </c>
      <c r="AX110">
        <v>7.41</v>
      </c>
      <c r="AY110">
        <v>113.31</v>
      </c>
      <c r="BA110" t="s">
        <v>93</v>
      </c>
      <c r="BC110" t="s">
        <v>93</v>
      </c>
      <c r="BI110" t="s">
        <v>80</v>
      </c>
      <c r="BM110" t="s">
        <v>94</v>
      </c>
      <c r="BN110" t="s">
        <v>95</v>
      </c>
      <c r="BP110" t="s">
        <v>895</v>
      </c>
      <c r="BR110" t="s">
        <v>1105</v>
      </c>
      <c r="BT110" t="s">
        <v>1106</v>
      </c>
      <c r="BU110" t="s">
        <v>1107</v>
      </c>
      <c r="BV110" t="str">
        <f>"06098"</f>
        <v>06098</v>
      </c>
      <c r="BW110">
        <v>823</v>
      </c>
      <c r="BX110">
        <v>300</v>
      </c>
      <c r="BY110" t="s">
        <v>2645</v>
      </c>
      <c r="BZ110">
        <v>4</v>
      </c>
    </row>
    <row r="111" spans="1:78" x14ac:dyDescent="0.25">
      <c r="A111" s="1">
        <v>44949</v>
      </c>
      <c r="B111" t="s">
        <v>1097</v>
      </c>
      <c r="C111" t="s">
        <v>100</v>
      </c>
      <c r="D111" t="s">
        <v>1081</v>
      </c>
      <c r="E111">
        <v>10</v>
      </c>
      <c r="F111" t="s">
        <v>76</v>
      </c>
      <c r="G111">
        <v>316.97000000000003</v>
      </c>
      <c r="H111">
        <v>0</v>
      </c>
      <c r="I111">
        <v>0</v>
      </c>
      <c r="J111">
        <v>22.18</v>
      </c>
      <c r="K111">
        <v>339.15</v>
      </c>
      <c r="L111" t="s">
        <v>77</v>
      </c>
      <c r="M111" t="s">
        <v>224</v>
      </c>
      <c r="P111" t="s">
        <v>224</v>
      </c>
      <c r="Q111" t="s">
        <v>434</v>
      </c>
      <c r="R111" t="s">
        <v>80</v>
      </c>
      <c r="S111" t="s">
        <v>80</v>
      </c>
      <c r="T111" t="s">
        <v>80</v>
      </c>
      <c r="U111" t="s">
        <v>80</v>
      </c>
      <c r="V111" t="s">
        <v>80</v>
      </c>
      <c r="W111" t="s">
        <v>1098</v>
      </c>
      <c r="X111" s="1">
        <v>44952</v>
      </c>
      <c r="Y111">
        <v>301.75</v>
      </c>
      <c r="Z111" t="s">
        <v>82</v>
      </c>
      <c r="AA111" t="str">
        <f t="shared" si="2"/>
        <v>1003</v>
      </c>
      <c r="AB111" t="s">
        <v>119</v>
      </c>
      <c r="AC111" t="s">
        <v>1108</v>
      </c>
      <c r="AD111" t="s">
        <v>1109</v>
      </c>
      <c r="AE111" t="str">
        <f>"44121700"</f>
        <v>44121700</v>
      </c>
      <c r="AF111" t="s">
        <v>108</v>
      </c>
      <c r="AG111" t="s">
        <v>556</v>
      </c>
      <c r="AH111" t="s">
        <v>590</v>
      </c>
      <c r="AI111" t="s">
        <v>590</v>
      </c>
      <c r="AK111" t="s">
        <v>1110</v>
      </c>
      <c r="AL111" t="s">
        <v>1110</v>
      </c>
      <c r="AO111" t="s">
        <v>1111</v>
      </c>
      <c r="AP111" t="s">
        <v>92</v>
      </c>
      <c r="AR111">
        <v>16.79</v>
      </c>
      <c r="AS111">
        <v>13.99</v>
      </c>
      <c r="AT111">
        <v>1</v>
      </c>
      <c r="AU111">
        <v>13.99</v>
      </c>
      <c r="AV111">
        <v>0</v>
      </c>
      <c r="AX111">
        <v>0.98</v>
      </c>
      <c r="AY111">
        <v>14.97</v>
      </c>
      <c r="BA111" t="s">
        <v>93</v>
      </c>
      <c r="BC111" t="s">
        <v>93</v>
      </c>
      <c r="BI111" t="s">
        <v>80</v>
      </c>
      <c r="BM111" t="s">
        <v>94</v>
      </c>
      <c r="BN111" t="s">
        <v>95</v>
      </c>
      <c r="BP111" t="s">
        <v>895</v>
      </c>
      <c r="BR111" t="s">
        <v>1110</v>
      </c>
      <c r="BT111" t="s">
        <v>1038</v>
      </c>
      <c r="BU111" t="s">
        <v>1032</v>
      </c>
      <c r="BV111" t="str">
        <f>"311500"</f>
        <v>311500</v>
      </c>
      <c r="BW111">
        <v>823</v>
      </c>
      <c r="BX111">
        <v>300</v>
      </c>
      <c r="BY111" t="s">
        <v>2645</v>
      </c>
      <c r="BZ111">
        <v>4</v>
      </c>
    </row>
    <row r="112" spans="1:78" x14ac:dyDescent="0.25">
      <c r="A112" s="1">
        <v>44949</v>
      </c>
      <c r="B112" t="s">
        <v>1097</v>
      </c>
      <c r="C112" t="s">
        <v>100</v>
      </c>
      <c r="D112" t="s">
        <v>1081</v>
      </c>
      <c r="E112">
        <v>10</v>
      </c>
      <c r="F112" t="s">
        <v>76</v>
      </c>
      <c r="G112">
        <v>316.97000000000003</v>
      </c>
      <c r="H112">
        <v>0</v>
      </c>
      <c r="I112">
        <v>0</v>
      </c>
      <c r="J112">
        <v>22.18</v>
      </c>
      <c r="K112">
        <v>339.15</v>
      </c>
      <c r="L112" t="s">
        <v>77</v>
      </c>
      <c r="M112" t="s">
        <v>224</v>
      </c>
      <c r="P112" t="s">
        <v>224</v>
      </c>
      <c r="Q112" t="s">
        <v>434</v>
      </c>
      <c r="R112" t="s">
        <v>80</v>
      </c>
      <c r="S112" t="s">
        <v>80</v>
      </c>
      <c r="T112" t="s">
        <v>80</v>
      </c>
      <c r="U112" t="s">
        <v>80</v>
      </c>
      <c r="V112" t="s">
        <v>80</v>
      </c>
      <c r="W112" t="s">
        <v>1098</v>
      </c>
      <c r="X112" s="1">
        <v>44952</v>
      </c>
      <c r="Y112">
        <v>301.75</v>
      </c>
      <c r="Z112" t="s">
        <v>82</v>
      </c>
      <c r="AA112" t="str">
        <f t="shared" si="2"/>
        <v>1003</v>
      </c>
      <c r="AB112" t="s">
        <v>119</v>
      </c>
      <c r="AC112" t="s">
        <v>1112</v>
      </c>
      <c r="AD112" t="s">
        <v>1113</v>
      </c>
      <c r="AE112" t="str">
        <f>"55121611"</f>
        <v>55121611</v>
      </c>
      <c r="AF112" t="s">
        <v>195</v>
      </c>
      <c r="AG112" t="s">
        <v>196</v>
      </c>
      <c r="AH112" t="s">
        <v>197</v>
      </c>
      <c r="AI112" t="s">
        <v>1114</v>
      </c>
      <c r="AK112" t="s">
        <v>1115</v>
      </c>
      <c r="AL112" t="s">
        <v>1115</v>
      </c>
      <c r="AN112" t="s">
        <v>1116</v>
      </c>
      <c r="AO112" t="s">
        <v>1117</v>
      </c>
      <c r="AP112" t="s">
        <v>92</v>
      </c>
      <c r="AR112">
        <v>16.989999999999998</v>
      </c>
      <c r="AS112">
        <v>14.89</v>
      </c>
      <c r="AT112">
        <v>2</v>
      </c>
      <c r="AU112">
        <v>29.78</v>
      </c>
      <c r="AV112">
        <v>0</v>
      </c>
      <c r="AX112">
        <v>2.08</v>
      </c>
      <c r="AY112">
        <v>31.86</v>
      </c>
      <c r="BA112" t="s">
        <v>93</v>
      </c>
      <c r="BC112" t="s">
        <v>93</v>
      </c>
      <c r="BD112" t="s">
        <v>128</v>
      </c>
      <c r="BE112">
        <v>2.1</v>
      </c>
      <c r="BF112" s="2">
        <v>0.1236</v>
      </c>
      <c r="BI112" t="s">
        <v>80</v>
      </c>
      <c r="BM112" t="s">
        <v>94</v>
      </c>
      <c r="BN112" t="s">
        <v>95</v>
      </c>
      <c r="BP112" t="s">
        <v>895</v>
      </c>
      <c r="BR112" t="s">
        <v>1115</v>
      </c>
      <c r="BT112" t="s">
        <v>1118</v>
      </c>
      <c r="BU112" t="s">
        <v>98</v>
      </c>
      <c r="BV112" t="str">
        <f>"519000"</f>
        <v>519000</v>
      </c>
      <c r="BW112">
        <v>823</v>
      </c>
      <c r="BX112">
        <v>300</v>
      </c>
      <c r="BY112" t="s">
        <v>2645</v>
      </c>
      <c r="BZ112">
        <v>4</v>
      </c>
    </row>
    <row r="113" spans="1:78" x14ac:dyDescent="0.25">
      <c r="A113" s="1">
        <v>44949</v>
      </c>
      <c r="B113" t="s">
        <v>1097</v>
      </c>
      <c r="C113" t="s">
        <v>100</v>
      </c>
      <c r="D113" t="s">
        <v>1081</v>
      </c>
      <c r="E113">
        <v>10</v>
      </c>
      <c r="F113" t="s">
        <v>76</v>
      </c>
      <c r="G113">
        <v>316.97000000000003</v>
      </c>
      <c r="H113">
        <v>0</v>
      </c>
      <c r="I113">
        <v>0</v>
      </c>
      <c r="J113">
        <v>22.18</v>
      </c>
      <c r="K113">
        <v>339.15</v>
      </c>
      <c r="L113" t="s">
        <v>77</v>
      </c>
      <c r="M113" t="s">
        <v>224</v>
      </c>
      <c r="P113" t="s">
        <v>224</v>
      </c>
      <c r="Q113" t="s">
        <v>434</v>
      </c>
      <c r="R113" t="s">
        <v>80</v>
      </c>
      <c r="S113" t="s">
        <v>80</v>
      </c>
      <c r="T113" t="s">
        <v>80</v>
      </c>
      <c r="U113" t="s">
        <v>80</v>
      </c>
      <c r="V113" t="s">
        <v>80</v>
      </c>
      <c r="W113" t="s">
        <v>1098</v>
      </c>
      <c r="X113" s="1">
        <v>44952</v>
      </c>
      <c r="Y113">
        <v>301.75</v>
      </c>
      <c r="Z113" t="s">
        <v>82</v>
      </c>
      <c r="AA113" t="str">
        <f t="shared" si="2"/>
        <v>1003</v>
      </c>
      <c r="AB113" t="s">
        <v>119</v>
      </c>
      <c r="AC113" t="s">
        <v>1119</v>
      </c>
      <c r="AD113" t="s">
        <v>1120</v>
      </c>
      <c r="AE113" t="str">
        <f>"44122000"</f>
        <v>44122000</v>
      </c>
      <c r="AF113" t="s">
        <v>108</v>
      </c>
      <c r="AG113" t="s">
        <v>556</v>
      </c>
      <c r="AH113" t="s">
        <v>771</v>
      </c>
      <c r="AI113" t="s">
        <v>771</v>
      </c>
      <c r="AJ113" t="s">
        <v>175</v>
      </c>
      <c r="AK113" t="s">
        <v>176</v>
      </c>
      <c r="AL113" t="s">
        <v>1121</v>
      </c>
      <c r="AN113" t="s">
        <v>1122</v>
      </c>
      <c r="AO113" t="s">
        <v>1122</v>
      </c>
      <c r="AP113" t="s">
        <v>92</v>
      </c>
      <c r="AR113">
        <v>10.99</v>
      </c>
      <c r="AS113">
        <v>9.19</v>
      </c>
      <c r="AT113">
        <v>2</v>
      </c>
      <c r="AU113">
        <v>18.38</v>
      </c>
      <c r="AV113">
        <v>0</v>
      </c>
      <c r="AX113">
        <v>1.28</v>
      </c>
      <c r="AY113">
        <v>19.66</v>
      </c>
      <c r="BA113" t="s">
        <v>93</v>
      </c>
      <c r="BC113" t="s">
        <v>93</v>
      </c>
      <c r="BI113" t="s">
        <v>80</v>
      </c>
      <c r="BM113" t="s">
        <v>94</v>
      </c>
      <c r="BN113" t="s">
        <v>95</v>
      </c>
      <c r="BP113" t="s">
        <v>895</v>
      </c>
      <c r="BR113" t="s">
        <v>338</v>
      </c>
      <c r="BT113" t="s">
        <v>131</v>
      </c>
      <c r="BU113" t="s">
        <v>339</v>
      </c>
      <c r="BV113" t="str">
        <f>"98109"</f>
        <v>98109</v>
      </c>
      <c r="BW113">
        <v>823</v>
      </c>
      <c r="BX113">
        <v>300</v>
      </c>
      <c r="BY113" t="s">
        <v>2645</v>
      </c>
      <c r="BZ113">
        <v>4</v>
      </c>
    </row>
    <row r="114" spans="1:78" x14ac:dyDescent="0.25">
      <c r="A114" s="1">
        <v>44949</v>
      </c>
      <c r="B114" t="s">
        <v>1097</v>
      </c>
      <c r="C114" t="s">
        <v>100</v>
      </c>
      <c r="D114" t="s">
        <v>1081</v>
      </c>
      <c r="E114">
        <v>10</v>
      </c>
      <c r="F114" t="s">
        <v>76</v>
      </c>
      <c r="G114">
        <v>316.97000000000003</v>
      </c>
      <c r="H114">
        <v>0</v>
      </c>
      <c r="I114">
        <v>0</v>
      </c>
      <c r="J114">
        <v>22.18</v>
      </c>
      <c r="K114">
        <v>339.15</v>
      </c>
      <c r="L114" t="s">
        <v>77</v>
      </c>
      <c r="M114" t="s">
        <v>224</v>
      </c>
      <c r="P114" t="s">
        <v>224</v>
      </c>
      <c r="Q114" t="s">
        <v>434</v>
      </c>
      <c r="R114" t="s">
        <v>80</v>
      </c>
      <c r="S114" t="s">
        <v>80</v>
      </c>
      <c r="T114" t="s">
        <v>80</v>
      </c>
      <c r="U114" t="s">
        <v>80</v>
      </c>
      <c r="V114" t="s">
        <v>80</v>
      </c>
      <c r="W114" t="s">
        <v>1098</v>
      </c>
      <c r="X114" s="1">
        <v>44952</v>
      </c>
      <c r="Y114">
        <v>301.75</v>
      </c>
      <c r="Z114" t="s">
        <v>82</v>
      </c>
      <c r="AA114" t="str">
        <f t="shared" si="2"/>
        <v>1003</v>
      </c>
      <c r="AB114" t="s">
        <v>119</v>
      </c>
      <c r="AC114" t="s">
        <v>1123</v>
      </c>
      <c r="AD114" t="s">
        <v>1124</v>
      </c>
      <c r="AE114" t="str">
        <f>"44111515"</f>
        <v>44111515</v>
      </c>
      <c r="AF114" t="s">
        <v>108</v>
      </c>
      <c r="AG114" t="s">
        <v>122</v>
      </c>
      <c r="AH114" t="s">
        <v>123</v>
      </c>
      <c r="AI114" t="s">
        <v>1125</v>
      </c>
      <c r="AJ114" t="s">
        <v>1126</v>
      </c>
      <c r="AK114" t="s">
        <v>1127</v>
      </c>
      <c r="AL114" t="s">
        <v>154</v>
      </c>
      <c r="AN114" t="str">
        <f>"0071302"</f>
        <v>0071302</v>
      </c>
      <c r="AO114" t="str">
        <f>"0071302"</f>
        <v>0071302</v>
      </c>
      <c r="AP114" t="s">
        <v>92</v>
      </c>
      <c r="AR114">
        <v>49.99</v>
      </c>
      <c r="AS114">
        <v>49.99</v>
      </c>
      <c r="AT114">
        <v>2</v>
      </c>
      <c r="AU114">
        <v>99.98</v>
      </c>
      <c r="AV114">
        <v>0</v>
      </c>
      <c r="AX114">
        <v>7</v>
      </c>
      <c r="AY114">
        <v>106.98</v>
      </c>
      <c r="BA114" t="s">
        <v>93</v>
      </c>
      <c r="BC114" t="s">
        <v>93</v>
      </c>
      <c r="BI114" t="s">
        <v>80</v>
      </c>
      <c r="BM114" t="s">
        <v>94</v>
      </c>
      <c r="BN114" t="s">
        <v>95</v>
      </c>
      <c r="BP114" t="s">
        <v>895</v>
      </c>
      <c r="BR114" t="s">
        <v>338</v>
      </c>
      <c r="BT114" t="s">
        <v>131</v>
      </c>
      <c r="BU114" t="s">
        <v>339</v>
      </c>
      <c r="BV114" t="str">
        <f>"98109"</f>
        <v>98109</v>
      </c>
      <c r="BW114">
        <v>823</v>
      </c>
      <c r="BX114">
        <v>300</v>
      </c>
      <c r="BY114" t="s">
        <v>2645</v>
      </c>
      <c r="BZ114">
        <v>4</v>
      </c>
    </row>
    <row r="115" spans="1:78" x14ac:dyDescent="0.25">
      <c r="A115" s="1">
        <v>44949</v>
      </c>
      <c r="B115" t="s">
        <v>1097</v>
      </c>
      <c r="C115" t="s">
        <v>100</v>
      </c>
      <c r="D115" t="s">
        <v>1081</v>
      </c>
      <c r="E115">
        <v>10</v>
      </c>
      <c r="F115" t="s">
        <v>76</v>
      </c>
      <c r="G115">
        <v>316.97000000000003</v>
      </c>
      <c r="H115">
        <v>0</v>
      </c>
      <c r="I115">
        <v>0</v>
      </c>
      <c r="J115">
        <v>22.18</v>
      </c>
      <c r="K115">
        <v>339.15</v>
      </c>
      <c r="L115" t="s">
        <v>77</v>
      </c>
      <c r="M115" t="s">
        <v>224</v>
      </c>
      <c r="P115" t="s">
        <v>224</v>
      </c>
      <c r="Q115" t="s">
        <v>434</v>
      </c>
      <c r="R115" t="s">
        <v>80</v>
      </c>
      <c r="S115" t="s">
        <v>80</v>
      </c>
      <c r="T115" t="s">
        <v>80</v>
      </c>
      <c r="U115" t="s">
        <v>80</v>
      </c>
      <c r="V115" t="s">
        <v>80</v>
      </c>
      <c r="W115" t="s">
        <v>1098</v>
      </c>
      <c r="X115" s="1">
        <v>44952</v>
      </c>
      <c r="Y115">
        <v>301.75</v>
      </c>
      <c r="Z115" t="s">
        <v>82</v>
      </c>
      <c r="AA115" t="str">
        <f t="shared" si="2"/>
        <v>1003</v>
      </c>
      <c r="AB115" t="s">
        <v>119</v>
      </c>
      <c r="AC115" t="s">
        <v>1128</v>
      </c>
      <c r="AD115" t="s">
        <v>1129</v>
      </c>
      <c r="AE115" t="str">
        <f>"44121701"</f>
        <v>44121701</v>
      </c>
      <c r="AF115" t="s">
        <v>108</v>
      </c>
      <c r="AG115" t="s">
        <v>556</v>
      </c>
      <c r="AH115" t="s">
        <v>590</v>
      </c>
      <c r="AI115" t="s">
        <v>591</v>
      </c>
      <c r="AK115" t="s">
        <v>1110</v>
      </c>
      <c r="AL115" t="s">
        <v>1110</v>
      </c>
      <c r="AO115" t="s">
        <v>1130</v>
      </c>
      <c r="AP115" t="s">
        <v>92</v>
      </c>
      <c r="AR115">
        <v>14.99</v>
      </c>
      <c r="AS115">
        <v>13.99</v>
      </c>
      <c r="AT115">
        <v>1</v>
      </c>
      <c r="AU115">
        <v>13.99</v>
      </c>
      <c r="AV115">
        <v>0</v>
      </c>
      <c r="AX115">
        <v>0.98</v>
      </c>
      <c r="AY115">
        <v>14.97</v>
      </c>
      <c r="BA115" t="s">
        <v>93</v>
      </c>
      <c r="BC115" t="s">
        <v>93</v>
      </c>
      <c r="BI115" t="s">
        <v>80</v>
      </c>
      <c r="BM115" t="s">
        <v>94</v>
      </c>
      <c r="BN115" t="s">
        <v>95</v>
      </c>
      <c r="BP115" t="s">
        <v>895</v>
      </c>
      <c r="BR115" t="s">
        <v>1110</v>
      </c>
      <c r="BT115" t="s">
        <v>1038</v>
      </c>
      <c r="BU115" t="s">
        <v>1032</v>
      </c>
      <c r="BV115" t="str">
        <f>"311500"</f>
        <v>311500</v>
      </c>
      <c r="BW115">
        <v>823</v>
      </c>
      <c r="BX115">
        <v>300</v>
      </c>
      <c r="BY115" t="s">
        <v>2645</v>
      </c>
      <c r="BZ115">
        <v>4</v>
      </c>
    </row>
    <row r="116" spans="1:78" x14ac:dyDescent="0.25">
      <c r="A116" s="1">
        <v>44949</v>
      </c>
      <c r="B116" t="s">
        <v>1097</v>
      </c>
      <c r="C116" t="s">
        <v>100</v>
      </c>
      <c r="D116" t="s">
        <v>1081</v>
      </c>
      <c r="E116">
        <v>10</v>
      </c>
      <c r="F116" t="s">
        <v>76</v>
      </c>
      <c r="G116">
        <v>316.97000000000003</v>
      </c>
      <c r="H116">
        <v>0</v>
      </c>
      <c r="I116">
        <v>0</v>
      </c>
      <c r="J116">
        <v>22.18</v>
      </c>
      <c r="K116">
        <v>339.15</v>
      </c>
      <c r="L116" t="s">
        <v>77</v>
      </c>
      <c r="M116" t="s">
        <v>224</v>
      </c>
      <c r="P116" t="s">
        <v>224</v>
      </c>
      <c r="Q116" t="s">
        <v>434</v>
      </c>
      <c r="R116" t="s">
        <v>80</v>
      </c>
      <c r="S116" t="s">
        <v>80</v>
      </c>
      <c r="T116" t="s">
        <v>80</v>
      </c>
      <c r="U116" t="s">
        <v>80</v>
      </c>
      <c r="V116" t="s">
        <v>80</v>
      </c>
      <c r="W116" t="s">
        <v>1131</v>
      </c>
      <c r="X116" s="1">
        <v>44950</v>
      </c>
      <c r="Y116">
        <v>37.4</v>
      </c>
      <c r="Z116" t="s">
        <v>82</v>
      </c>
      <c r="AA116" t="str">
        <f t="shared" si="2"/>
        <v>1003</v>
      </c>
      <c r="AB116" t="s">
        <v>168</v>
      </c>
      <c r="AC116" t="s">
        <v>1132</v>
      </c>
      <c r="AD116" t="s">
        <v>1133</v>
      </c>
      <c r="AE116" t="str">
        <f>"53131626"</f>
        <v>53131626</v>
      </c>
      <c r="AF116" t="s">
        <v>1134</v>
      </c>
      <c r="AG116" t="s">
        <v>1135</v>
      </c>
      <c r="AH116" t="s">
        <v>1136</v>
      </c>
      <c r="AI116" t="s">
        <v>1137</v>
      </c>
      <c r="AK116" t="s">
        <v>1138</v>
      </c>
      <c r="AL116" t="s">
        <v>1139</v>
      </c>
      <c r="AP116" t="s">
        <v>92</v>
      </c>
      <c r="AR116">
        <v>36.1</v>
      </c>
      <c r="AS116">
        <v>34.950000000000003</v>
      </c>
      <c r="AT116">
        <v>1</v>
      </c>
      <c r="AU116">
        <v>34.950000000000003</v>
      </c>
      <c r="AV116">
        <v>0</v>
      </c>
      <c r="AX116">
        <v>2.4500000000000002</v>
      </c>
      <c r="AY116">
        <v>37.4</v>
      </c>
      <c r="BA116" t="s">
        <v>93</v>
      </c>
      <c r="BC116" t="s">
        <v>93</v>
      </c>
      <c r="BD116" t="s">
        <v>128</v>
      </c>
      <c r="BE116">
        <v>1.1499999999999999</v>
      </c>
      <c r="BF116" s="2">
        <v>3.1899999999999998E-2</v>
      </c>
      <c r="BI116" t="s">
        <v>80</v>
      </c>
      <c r="BM116" t="s">
        <v>94</v>
      </c>
      <c r="BN116" t="s">
        <v>95</v>
      </c>
      <c r="BP116" t="s">
        <v>895</v>
      </c>
      <c r="BR116" t="s">
        <v>130</v>
      </c>
      <c r="BT116" t="s">
        <v>131</v>
      </c>
      <c r="BU116" t="s">
        <v>132</v>
      </c>
      <c r="BV116" t="str">
        <f>"98109"</f>
        <v>98109</v>
      </c>
      <c r="BW116">
        <v>823</v>
      </c>
      <c r="BX116">
        <v>300</v>
      </c>
      <c r="BY116" t="s">
        <v>2645</v>
      </c>
      <c r="BZ116">
        <v>4</v>
      </c>
    </row>
    <row r="117" spans="1:78" x14ac:dyDescent="0.25">
      <c r="A117" s="1">
        <v>44949</v>
      </c>
      <c r="B117" t="s">
        <v>1140</v>
      </c>
      <c r="C117" t="s">
        <v>283</v>
      </c>
      <c r="E117">
        <v>1</v>
      </c>
      <c r="F117" t="s">
        <v>76</v>
      </c>
      <c r="G117">
        <v>8.99</v>
      </c>
      <c r="H117">
        <v>0</v>
      </c>
      <c r="I117">
        <v>0</v>
      </c>
      <c r="J117">
        <v>0.9</v>
      </c>
      <c r="K117">
        <v>9.89</v>
      </c>
      <c r="L117" t="s">
        <v>77</v>
      </c>
      <c r="P117" t="s">
        <v>284</v>
      </c>
      <c r="Q117" t="s">
        <v>285</v>
      </c>
      <c r="R117" t="s">
        <v>80</v>
      </c>
      <c r="S117" t="s">
        <v>80</v>
      </c>
      <c r="T117" t="s">
        <v>80</v>
      </c>
      <c r="U117" t="s">
        <v>80</v>
      </c>
      <c r="V117" t="s">
        <v>80</v>
      </c>
      <c r="W117" t="s">
        <v>1141</v>
      </c>
      <c r="X117" s="1">
        <v>44949</v>
      </c>
      <c r="Y117">
        <v>9.89</v>
      </c>
      <c r="Z117" t="s">
        <v>82</v>
      </c>
      <c r="AA117" t="str">
        <f t="shared" si="2"/>
        <v>1003</v>
      </c>
      <c r="AB117" t="s">
        <v>168</v>
      </c>
      <c r="AC117" t="s">
        <v>1142</v>
      </c>
      <c r="AD117" t="s">
        <v>1143</v>
      </c>
      <c r="AE117" t="str">
        <f>"47131800"</f>
        <v>47131800</v>
      </c>
      <c r="AF117" t="s">
        <v>144</v>
      </c>
      <c r="AG117" t="s">
        <v>145</v>
      </c>
      <c r="AH117" t="s">
        <v>261</v>
      </c>
      <c r="AI117" t="s">
        <v>261</v>
      </c>
      <c r="AJ117" t="s">
        <v>1144</v>
      </c>
      <c r="AK117" t="s">
        <v>1145</v>
      </c>
      <c r="AL117" t="s">
        <v>1146</v>
      </c>
      <c r="AN117" t="str">
        <f>"10030772001223"</f>
        <v>10030772001223</v>
      </c>
      <c r="AO117" t="str">
        <f>"10030772001223"</f>
        <v>10030772001223</v>
      </c>
      <c r="AP117" t="s">
        <v>92</v>
      </c>
      <c r="AR117">
        <v>9.99</v>
      </c>
      <c r="AS117">
        <v>8.99</v>
      </c>
      <c r="AT117">
        <v>1</v>
      </c>
      <c r="AU117">
        <v>8.99</v>
      </c>
      <c r="AV117">
        <v>0</v>
      </c>
      <c r="AX117">
        <v>0.9</v>
      </c>
      <c r="AY117">
        <v>9.89</v>
      </c>
      <c r="BA117" t="s">
        <v>93</v>
      </c>
      <c r="BC117" t="s">
        <v>93</v>
      </c>
      <c r="BD117" t="s">
        <v>128</v>
      </c>
      <c r="BE117">
        <v>1</v>
      </c>
      <c r="BF117" s="2">
        <v>0.10009999999999999</v>
      </c>
      <c r="BI117" t="s">
        <v>80</v>
      </c>
      <c r="BM117" t="s">
        <v>94</v>
      </c>
      <c r="BN117" t="s">
        <v>95</v>
      </c>
      <c r="BP117" t="s">
        <v>305</v>
      </c>
      <c r="BR117" t="s">
        <v>130</v>
      </c>
      <c r="BT117" t="s">
        <v>131</v>
      </c>
      <c r="BU117" t="s">
        <v>132</v>
      </c>
      <c r="BV117" t="str">
        <f>"98109"</f>
        <v>98109</v>
      </c>
      <c r="BW117">
        <v>880</v>
      </c>
      <c r="BX117" t="s">
        <v>2737</v>
      </c>
      <c r="BY117" t="s">
        <v>2675</v>
      </c>
      <c r="BZ117">
        <v>4</v>
      </c>
    </row>
    <row r="118" spans="1:78" x14ac:dyDescent="0.25">
      <c r="A118" s="1">
        <v>44949</v>
      </c>
      <c r="B118" t="s">
        <v>1147</v>
      </c>
      <c r="C118" t="s">
        <v>283</v>
      </c>
      <c r="E118">
        <v>1</v>
      </c>
      <c r="F118" t="s">
        <v>76</v>
      </c>
      <c r="G118">
        <v>84.89</v>
      </c>
      <c r="H118">
        <v>0</v>
      </c>
      <c r="I118">
        <v>0</v>
      </c>
      <c r="J118">
        <v>8.49</v>
      </c>
      <c r="K118">
        <v>93.38</v>
      </c>
      <c r="L118" t="s">
        <v>77</v>
      </c>
      <c r="P118" t="s">
        <v>284</v>
      </c>
      <c r="Q118" t="s">
        <v>285</v>
      </c>
      <c r="R118" t="s">
        <v>80</v>
      </c>
      <c r="S118" t="s">
        <v>80</v>
      </c>
      <c r="T118" t="s">
        <v>80</v>
      </c>
      <c r="U118" t="s">
        <v>80</v>
      </c>
      <c r="V118" t="s">
        <v>80</v>
      </c>
      <c r="W118" t="s">
        <v>1148</v>
      </c>
      <c r="X118" s="1">
        <v>44949</v>
      </c>
      <c r="Y118">
        <v>93.38</v>
      </c>
      <c r="Z118" t="s">
        <v>82</v>
      </c>
      <c r="AA118" t="str">
        <f t="shared" si="2"/>
        <v>1003</v>
      </c>
      <c r="AB118" t="s">
        <v>105</v>
      </c>
      <c r="AC118" t="s">
        <v>1149</v>
      </c>
      <c r="AD118" t="s">
        <v>1150</v>
      </c>
      <c r="AE118" t="str">
        <f>"43212104"</f>
        <v>43212104</v>
      </c>
      <c r="AF118" t="s">
        <v>86</v>
      </c>
      <c r="AG118" t="s">
        <v>1151</v>
      </c>
      <c r="AH118" t="s">
        <v>1152</v>
      </c>
      <c r="AI118" t="s">
        <v>1153</v>
      </c>
      <c r="AJ118" t="s">
        <v>1154</v>
      </c>
      <c r="AK118" t="s">
        <v>1155</v>
      </c>
      <c r="AL118" t="s">
        <v>1156</v>
      </c>
      <c r="AN118" t="s">
        <v>1157</v>
      </c>
      <c r="AO118" t="s">
        <v>1158</v>
      </c>
      <c r="AP118" t="s">
        <v>92</v>
      </c>
      <c r="AR118">
        <v>84.99</v>
      </c>
      <c r="AS118">
        <v>84.89</v>
      </c>
      <c r="AT118">
        <v>1</v>
      </c>
      <c r="AU118">
        <v>84.89</v>
      </c>
      <c r="AV118">
        <v>0</v>
      </c>
      <c r="AX118">
        <v>8.49</v>
      </c>
      <c r="AY118">
        <v>93.38</v>
      </c>
      <c r="BA118" t="s">
        <v>93</v>
      </c>
      <c r="BC118" t="s">
        <v>93</v>
      </c>
      <c r="BI118" t="s">
        <v>80</v>
      </c>
      <c r="BM118" t="s">
        <v>94</v>
      </c>
      <c r="BN118" t="s">
        <v>95</v>
      </c>
      <c r="BP118" t="s">
        <v>305</v>
      </c>
      <c r="BR118" t="s">
        <v>338</v>
      </c>
      <c r="BT118" t="s">
        <v>131</v>
      </c>
      <c r="BU118" t="s">
        <v>339</v>
      </c>
      <c r="BV118" t="str">
        <f>"98109"</f>
        <v>98109</v>
      </c>
      <c r="BW118">
        <v>880</v>
      </c>
      <c r="BX118" t="s">
        <v>2737</v>
      </c>
      <c r="BY118" t="s">
        <v>2675</v>
      </c>
      <c r="BZ118">
        <v>4</v>
      </c>
    </row>
    <row r="119" spans="1:78" x14ac:dyDescent="0.25">
      <c r="A119" s="1">
        <v>44949</v>
      </c>
      <c r="B119" t="s">
        <v>1159</v>
      </c>
      <c r="C119" t="s">
        <v>1160</v>
      </c>
      <c r="E119">
        <v>2</v>
      </c>
      <c r="F119" t="s">
        <v>76</v>
      </c>
      <c r="G119">
        <v>29.58</v>
      </c>
      <c r="H119">
        <v>2.99</v>
      </c>
      <c r="I119">
        <v>-2.99</v>
      </c>
      <c r="J119">
        <v>2.0699999999999998</v>
      </c>
      <c r="K119">
        <v>31.65</v>
      </c>
      <c r="L119" t="s">
        <v>77</v>
      </c>
      <c r="P119" t="s">
        <v>1161</v>
      </c>
      <c r="Q119" t="s">
        <v>1162</v>
      </c>
      <c r="R119" t="s">
        <v>80</v>
      </c>
      <c r="S119" t="s">
        <v>80</v>
      </c>
      <c r="T119" t="s">
        <v>80</v>
      </c>
      <c r="U119" t="s">
        <v>80</v>
      </c>
      <c r="V119" t="s">
        <v>80</v>
      </c>
      <c r="W119" t="s">
        <v>1163</v>
      </c>
      <c r="X119" s="1">
        <v>44949</v>
      </c>
      <c r="Y119">
        <v>13.47</v>
      </c>
      <c r="Z119" t="s">
        <v>82</v>
      </c>
      <c r="AA119" t="str">
        <f t="shared" si="2"/>
        <v>1003</v>
      </c>
      <c r="AB119" t="s">
        <v>119</v>
      </c>
      <c r="AC119" t="s">
        <v>1164</v>
      </c>
      <c r="AD119" t="s">
        <v>1165</v>
      </c>
      <c r="AE119" t="str">
        <f>"44122000"</f>
        <v>44122000</v>
      </c>
      <c r="AF119" t="s">
        <v>108</v>
      </c>
      <c r="AG119" t="s">
        <v>556</v>
      </c>
      <c r="AH119" t="s">
        <v>771</v>
      </c>
      <c r="AI119" t="s">
        <v>771</v>
      </c>
      <c r="AJ119" t="s">
        <v>1166</v>
      </c>
      <c r="AK119" t="s">
        <v>176</v>
      </c>
      <c r="AL119" t="s">
        <v>176</v>
      </c>
      <c r="AN119" t="s">
        <v>1167</v>
      </c>
      <c r="AO119" t="s">
        <v>1167</v>
      </c>
      <c r="AP119" t="s">
        <v>92</v>
      </c>
      <c r="AR119">
        <v>14.99</v>
      </c>
      <c r="AS119">
        <v>12.59</v>
      </c>
      <c r="AT119">
        <v>1</v>
      </c>
      <c r="AU119">
        <v>12.59</v>
      </c>
      <c r="AV119">
        <v>1.5</v>
      </c>
      <c r="AW119">
        <v>-1.5</v>
      </c>
      <c r="AX119">
        <v>0.88</v>
      </c>
      <c r="AY119">
        <v>13.47</v>
      </c>
      <c r="BA119" t="s">
        <v>93</v>
      </c>
      <c r="BC119" t="s">
        <v>93</v>
      </c>
      <c r="BD119" t="s">
        <v>128</v>
      </c>
      <c r="BE119">
        <v>2.4</v>
      </c>
      <c r="BF119" s="2">
        <v>0.16009999999999999</v>
      </c>
      <c r="BI119" t="s">
        <v>80</v>
      </c>
      <c r="BM119" t="s">
        <v>372</v>
      </c>
      <c r="BN119" t="s">
        <v>1168</v>
      </c>
      <c r="BP119" t="s">
        <v>1169</v>
      </c>
      <c r="BR119" t="s">
        <v>130</v>
      </c>
      <c r="BT119" t="s">
        <v>131</v>
      </c>
      <c r="BU119" t="s">
        <v>132</v>
      </c>
      <c r="BV119" t="str">
        <f>"98109"</f>
        <v>98109</v>
      </c>
      <c r="BW119">
        <v>810</v>
      </c>
      <c r="BX119" t="s">
        <v>2752</v>
      </c>
      <c r="BY119" t="s">
        <v>2624</v>
      </c>
      <c r="BZ119">
        <v>4</v>
      </c>
    </row>
    <row r="120" spans="1:78" x14ac:dyDescent="0.25">
      <c r="A120" s="1">
        <v>44949</v>
      </c>
      <c r="B120" t="s">
        <v>1159</v>
      </c>
      <c r="C120" t="s">
        <v>1160</v>
      </c>
      <c r="E120">
        <v>2</v>
      </c>
      <c r="F120" t="s">
        <v>76</v>
      </c>
      <c r="G120">
        <v>29.58</v>
      </c>
      <c r="H120">
        <v>2.99</v>
      </c>
      <c r="I120">
        <v>-2.99</v>
      </c>
      <c r="J120">
        <v>2.0699999999999998</v>
      </c>
      <c r="K120">
        <v>31.65</v>
      </c>
      <c r="L120" t="s">
        <v>77</v>
      </c>
      <c r="P120" t="s">
        <v>1161</v>
      </c>
      <c r="Q120" t="s">
        <v>1162</v>
      </c>
      <c r="R120" t="s">
        <v>80</v>
      </c>
      <c r="S120" t="s">
        <v>80</v>
      </c>
      <c r="T120" t="s">
        <v>80</v>
      </c>
      <c r="U120" t="s">
        <v>80</v>
      </c>
      <c r="V120" t="s">
        <v>80</v>
      </c>
      <c r="W120" t="s">
        <v>1170</v>
      </c>
      <c r="X120" s="1">
        <v>44949</v>
      </c>
      <c r="Y120">
        <v>18.18</v>
      </c>
      <c r="Z120" t="s">
        <v>82</v>
      </c>
      <c r="AA120" t="str">
        <f t="shared" si="2"/>
        <v>1003</v>
      </c>
      <c r="AB120" t="s">
        <v>83</v>
      </c>
      <c r="AC120" t="s">
        <v>1171</v>
      </c>
      <c r="AD120" t="s">
        <v>1172</v>
      </c>
      <c r="AE120" t="str">
        <f>"43211708"</f>
        <v>43211708</v>
      </c>
      <c r="AF120" t="s">
        <v>86</v>
      </c>
      <c r="AG120" t="s">
        <v>1151</v>
      </c>
      <c r="AH120" t="s">
        <v>1173</v>
      </c>
      <c r="AI120" t="s">
        <v>1174</v>
      </c>
      <c r="AK120" t="s">
        <v>1175</v>
      </c>
      <c r="AL120" t="s">
        <v>1175</v>
      </c>
      <c r="AN120" t="str">
        <f>"8541645745"</f>
        <v>8541645745</v>
      </c>
      <c r="AO120" t="s">
        <v>1176</v>
      </c>
      <c r="AP120" t="s">
        <v>92</v>
      </c>
      <c r="AR120">
        <v>16.989999999999998</v>
      </c>
      <c r="AS120">
        <v>16.989999999999998</v>
      </c>
      <c r="AT120">
        <v>1</v>
      </c>
      <c r="AU120">
        <v>16.989999999999998</v>
      </c>
      <c r="AV120">
        <v>1.49</v>
      </c>
      <c r="AW120">
        <v>-1.49</v>
      </c>
      <c r="AX120">
        <v>1.19</v>
      </c>
      <c r="AY120">
        <v>18.18</v>
      </c>
      <c r="BA120" t="s">
        <v>93</v>
      </c>
      <c r="BC120" t="s">
        <v>93</v>
      </c>
      <c r="BI120" t="s">
        <v>80</v>
      </c>
      <c r="BM120" t="s">
        <v>372</v>
      </c>
      <c r="BN120" t="s">
        <v>1168</v>
      </c>
      <c r="BP120" t="s">
        <v>1169</v>
      </c>
      <c r="BR120" t="s">
        <v>1177</v>
      </c>
      <c r="BT120" t="s">
        <v>587</v>
      </c>
      <c r="BU120" t="s">
        <v>296</v>
      </c>
      <c r="BV120" t="str">
        <f>"518000"</f>
        <v>518000</v>
      </c>
      <c r="BW120">
        <v>810</v>
      </c>
      <c r="BX120" t="s">
        <v>2752</v>
      </c>
      <c r="BY120" t="s">
        <v>2624</v>
      </c>
      <c r="BZ120">
        <v>4</v>
      </c>
    </row>
    <row r="121" spans="1:78" x14ac:dyDescent="0.25">
      <c r="A121" s="1">
        <v>44949</v>
      </c>
      <c r="B121" t="s">
        <v>1178</v>
      </c>
      <c r="C121" t="s">
        <v>392</v>
      </c>
      <c r="E121">
        <v>3</v>
      </c>
      <c r="F121" t="s">
        <v>76</v>
      </c>
      <c r="G121">
        <v>45.97</v>
      </c>
      <c r="H121">
        <v>0</v>
      </c>
      <c r="I121">
        <v>0</v>
      </c>
      <c r="J121">
        <v>3.22</v>
      </c>
      <c r="K121">
        <v>49.19</v>
      </c>
      <c r="L121" t="s">
        <v>77</v>
      </c>
      <c r="P121" t="s">
        <v>393</v>
      </c>
      <c r="Q121" t="s">
        <v>394</v>
      </c>
      <c r="R121" t="s">
        <v>80</v>
      </c>
      <c r="S121" t="s">
        <v>80</v>
      </c>
      <c r="T121" t="s">
        <v>80</v>
      </c>
      <c r="U121" t="s">
        <v>80</v>
      </c>
      <c r="V121" t="s">
        <v>80</v>
      </c>
      <c r="W121" t="s">
        <v>1179</v>
      </c>
      <c r="X121" s="1">
        <v>44949</v>
      </c>
      <c r="Y121">
        <v>49.19</v>
      </c>
      <c r="Z121" t="s">
        <v>82</v>
      </c>
      <c r="AA121" t="str">
        <f t="shared" si="2"/>
        <v>1003</v>
      </c>
      <c r="AB121" t="s">
        <v>268</v>
      </c>
      <c r="AC121" t="s">
        <v>890</v>
      </c>
      <c r="AD121" t="s">
        <v>891</v>
      </c>
      <c r="AE121" t="str">
        <f>"52121604"</f>
        <v>52121604</v>
      </c>
      <c r="AF121" t="s">
        <v>684</v>
      </c>
      <c r="AG121" t="s">
        <v>892</v>
      </c>
      <c r="AH121" t="s">
        <v>893</v>
      </c>
      <c r="AI121" t="s">
        <v>894</v>
      </c>
      <c r="AK121" t="s">
        <v>312</v>
      </c>
      <c r="AL121" t="s">
        <v>312</v>
      </c>
      <c r="AN121" t="str">
        <f>"1"</f>
        <v>1</v>
      </c>
      <c r="AO121" s="4">
        <v>44935</v>
      </c>
      <c r="AP121" t="s">
        <v>92</v>
      </c>
      <c r="AR121">
        <v>16.989999999999998</v>
      </c>
      <c r="AS121">
        <v>16.989999999999998</v>
      </c>
      <c r="AT121">
        <v>2</v>
      </c>
      <c r="AU121">
        <v>33.979999999999997</v>
      </c>
      <c r="AV121">
        <v>0</v>
      </c>
      <c r="AX121">
        <v>2.38</v>
      </c>
      <c r="AY121">
        <v>36.36</v>
      </c>
      <c r="BA121" t="s">
        <v>93</v>
      </c>
      <c r="BC121" t="s">
        <v>93</v>
      </c>
      <c r="BI121" t="s">
        <v>80</v>
      </c>
      <c r="BM121" t="s">
        <v>94</v>
      </c>
      <c r="BN121" t="s">
        <v>95</v>
      </c>
      <c r="BP121" t="s">
        <v>405</v>
      </c>
      <c r="BR121" t="s">
        <v>315</v>
      </c>
      <c r="BT121" t="s">
        <v>316</v>
      </c>
      <c r="BU121" t="s">
        <v>317</v>
      </c>
      <c r="BV121" t="str">
        <f>"230000"</f>
        <v>230000</v>
      </c>
      <c r="BW121">
        <v>893</v>
      </c>
      <c r="BX121" t="s">
        <v>2742</v>
      </c>
      <c r="BY121" t="s">
        <v>2695</v>
      </c>
      <c r="BZ121">
        <v>4</v>
      </c>
    </row>
    <row r="122" spans="1:78" x14ac:dyDescent="0.25">
      <c r="A122" s="1">
        <v>44949</v>
      </c>
      <c r="B122" t="s">
        <v>1178</v>
      </c>
      <c r="C122" t="s">
        <v>392</v>
      </c>
      <c r="E122">
        <v>3</v>
      </c>
      <c r="F122" t="s">
        <v>76</v>
      </c>
      <c r="G122">
        <v>45.97</v>
      </c>
      <c r="H122">
        <v>0</v>
      </c>
      <c r="I122">
        <v>0</v>
      </c>
      <c r="J122">
        <v>3.22</v>
      </c>
      <c r="K122">
        <v>49.19</v>
      </c>
      <c r="L122" t="s">
        <v>77</v>
      </c>
      <c r="P122" t="s">
        <v>393</v>
      </c>
      <c r="Q122" t="s">
        <v>394</v>
      </c>
      <c r="R122" t="s">
        <v>80</v>
      </c>
      <c r="S122" t="s">
        <v>80</v>
      </c>
      <c r="T122" t="s">
        <v>80</v>
      </c>
      <c r="U122" t="s">
        <v>80</v>
      </c>
      <c r="V122" t="s">
        <v>80</v>
      </c>
      <c r="W122" t="s">
        <v>1179</v>
      </c>
      <c r="X122" s="1">
        <v>44949</v>
      </c>
      <c r="Y122">
        <v>49.19</v>
      </c>
      <c r="Z122" t="s">
        <v>82</v>
      </c>
      <c r="AA122" t="str">
        <f t="shared" si="2"/>
        <v>1003</v>
      </c>
      <c r="AB122" t="s">
        <v>638</v>
      </c>
      <c r="AC122" t="s">
        <v>1180</v>
      </c>
      <c r="AD122" t="s">
        <v>1181</v>
      </c>
      <c r="AE122" t="str">
        <f>"55121706"</f>
        <v>55121706</v>
      </c>
      <c r="AF122" t="s">
        <v>195</v>
      </c>
      <c r="AG122" t="s">
        <v>196</v>
      </c>
      <c r="AH122" t="s">
        <v>290</v>
      </c>
      <c r="AI122" t="s">
        <v>291</v>
      </c>
      <c r="AK122" t="s">
        <v>1182</v>
      </c>
      <c r="AO122" t="s">
        <v>1183</v>
      </c>
      <c r="AP122" t="s">
        <v>92</v>
      </c>
      <c r="AR122">
        <v>15.99</v>
      </c>
      <c r="AS122">
        <v>11.99</v>
      </c>
      <c r="AT122">
        <v>1</v>
      </c>
      <c r="AU122">
        <v>11.99</v>
      </c>
      <c r="AV122">
        <v>0</v>
      </c>
      <c r="AX122">
        <v>0.84</v>
      </c>
      <c r="AY122">
        <v>12.83</v>
      </c>
      <c r="BA122" t="s">
        <v>93</v>
      </c>
      <c r="BC122" t="s">
        <v>93</v>
      </c>
      <c r="BI122" t="s">
        <v>80</v>
      </c>
      <c r="BM122" t="s">
        <v>94</v>
      </c>
      <c r="BN122" t="s">
        <v>95</v>
      </c>
      <c r="BP122" t="s">
        <v>405</v>
      </c>
      <c r="BR122" t="s">
        <v>1184</v>
      </c>
      <c r="BT122" t="s">
        <v>1185</v>
      </c>
      <c r="BU122" t="s">
        <v>115</v>
      </c>
      <c r="BV122" t="str">
        <f>"91789"</f>
        <v>91789</v>
      </c>
      <c r="BW122">
        <v>893</v>
      </c>
      <c r="BX122" t="s">
        <v>2742</v>
      </c>
      <c r="BY122" t="s">
        <v>2695</v>
      </c>
      <c r="BZ122">
        <v>4</v>
      </c>
    </row>
    <row r="123" spans="1:78" x14ac:dyDescent="0.25">
      <c r="A123" s="1">
        <v>44949</v>
      </c>
      <c r="B123" t="s">
        <v>1186</v>
      </c>
      <c r="C123" t="s">
        <v>392</v>
      </c>
      <c r="E123">
        <v>1</v>
      </c>
      <c r="F123" t="s">
        <v>76</v>
      </c>
      <c r="G123">
        <v>13.99</v>
      </c>
      <c r="H123">
        <v>0</v>
      </c>
      <c r="I123">
        <v>0</v>
      </c>
      <c r="J123">
        <v>0.98</v>
      </c>
      <c r="K123">
        <v>14.97</v>
      </c>
      <c r="L123" t="s">
        <v>77</v>
      </c>
      <c r="P123" t="s">
        <v>393</v>
      </c>
      <c r="Q123" t="s">
        <v>394</v>
      </c>
      <c r="R123" t="s">
        <v>80</v>
      </c>
      <c r="S123" t="s">
        <v>80</v>
      </c>
      <c r="T123" t="s">
        <v>80</v>
      </c>
      <c r="U123" t="s">
        <v>80</v>
      </c>
      <c r="V123" t="s">
        <v>80</v>
      </c>
      <c r="W123" t="s">
        <v>1187</v>
      </c>
      <c r="X123" s="1">
        <v>44954</v>
      </c>
      <c r="Y123">
        <v>14.97</v>
      </c>
      <c r="Z123" t="s">
        <v>82</v>
      </c>
      <c r="AA123" t="str">
        <f t="shared" si="2"/>
        <v>1003</v>
      </c>
      <c r="AB123" t="s">
        <v>346</v>
      </c>
      <c r="AC123" t="s">
        <v>1188</v>
      </c>
      <c r="AD123" t="s">
        <v>1189</v>
      </c>
      <c r="AE123" t="str">
        <f>"60000000"</f>
        <v>60000000</v>
      </c>
      <c r="AF123" t="s">
        <v>349</v>
      </c>
      <c r="AG123" t="s">
        <v>349</v>
      </c>
      <c r="AH123" t="s">
        <v>349</v>
      </c>
      <c r="AI123" t="s">
        <v>349</v>
      </c>
      <c r="AK123" t="s">
        <v>1190</v>
      </c>
      <c r="AL123" t="s">
        <v>1190</v>
      </c>
      <c r="AO123" t="s">
        <v>1191</v>
      </c>
      <c r="AP123" t="s">
        <v>92</v>
      </c>
      <c r="AR123">
        <v>13.99</v>
      </c>
      <c r="AS123">
        <v>13.99</v>
      </c>
      <c r="AT123">
        <v>1</v>
      </c>
      <c r="AU123">
        <v>13.99</v>
      </c>
      <c r="AV123">
        <v>0</v>
      </c>
      <c r="AX123">
        <v>0.98</v>
      </c>
      <c r="AY123">
        <v>14.97</v>
      </c>
      <c r="BA123" t="s">
        <v>93</v>
      </c>
      <c r="BC123" t="s">
        <v>93</v>
      </c>
      <c r="BI123" t="s">
        <v>80</v>
      </c>
      <c r="BM123" t="s">
        <v>94</v>
      </c>
      <c r="BN123" t="s">
        <v>95</v>
      </c>
      <c r="BP123" t="s">
        <v>405</v>
      </c>
      <c r="BR123" t="s">
        <v>1192</v>
      </c>
      <c r="BT123" t="s">
        <v>483</v>
      </c>
      <c r="BU123" t="s">
        <v>484</v>
      </c>
      <c r="BV123" t="str">
        <f>"230000"</f>
        <v>230000</v>
      </c>
      <c r="BW123">
        <v>893</v>
      </c>
      <c r="BX123" t="s">
        <v>2742</v>
      </c>
      <c r="BY123" t="s">
        <v>2695</v>
      </c>
      <c r="BZ123">
        <v>4</v>
      </c>
    </row>
    <row r="124" spans="1:78" x14ac:dyDescent="0.25">
      <c r="A124" s="1">
        <v>44946</v>
      </c>
      <c r="B124" t="s">
        <v>1193</v>
      </c>
      <c r="C124" t="s">
        <v>283</v>
      </c>
      <c r="E124">
        <v>1</v>
      </c>
      <c r="F124" t="s">
        <v>76</v>
      </c>
      <c r="G124">
        <v>25.46</v>
      </c>
      <c r="H124">
        <v>0</v>
      </c>
      <c r="I124">
        <v>0</v>
      </c>
      <c r="J124">
        <v>2.5499999999999998</v>
      </c>
      <c r="K124">
        <v>28.01</v>
      </c>
      <c r="L124" t="s">
        <v>77</v>
      </c>
      <c r="P124" t="s">
        <v>284</v>
      </c>
      <c r="Q124" t="s">
        <v>285</v>
      </c>
      <c r="R124" t="s">
        <v>80</v>
      </c>
      <c r="S124" t="s">
        <v>80</v>
      </c>
      <c r="T124" t="s">
        <v>80</v>
      </c>
      <c r="U124" t="s">
        <v>80</v>
      </c>
      <c r="V124" t="s">
        <v>80</v>
      </c>
      <c r="W124" t="s">
        <v>1194</v>
      </c>
      <c r="X124" s="1">
        <v>44948</v>
      </c>
      <c r="Y124">
        <v>28.01</v>
      </c>
      <c r="Z124" t="s">
        <v>82</v>
      </c>
      <c r="AA124" t="str">
        <f t="shared" si="2"/>
        <v>1003</v>
      </c>
      <c r="AB124" t="s">
        <v>119</v>
      </c>
      <c r="AC124" t="s">
        <v>1195</v>
      </c>
      <c r="AD124" t="s">
        <v>1196</v>
      </c>
      <c r="AE124" t="str">
        <f>"60120000"</f>
        <v>60120000</v>
      </c>
      <c r="AF124" t="s">
        <v>349</v>
      </c>
      <c r="AG124" t="s">
        <v>472</v>
      </c>
      <c r="AH124" t="s">
        <v>472</v>
      </c>
      <c r="AI124" t="s">
        <v>472</v>
      </c>
      <c r="AK124" t="s">
        <v>1197</v>
      </c>
      <c r="AL124" t="s">
        <v>1197</v>
      </c>
      <c r="AO124" t="s">
        <v>1198</v>
      </c>
      <c r="AP124" t="s">
        <v>92</v>
      </c>
      <c r="AR124">
        <v>25.46</v>
      </c>
      <c r="AS124">
        <v>25.46</v>
      </c>
      <c r="AT124">
        <v>1</v>
      </c>
      <c r="AU124">
        <v>25.46</v>
      </c>
      <c r="AV124">
        <v>0</v>
      </c>
      <c r="AX124">
        <v>2.5499999999999998</v>
      </c>
      <c r="AY124">
        <v>28.01</v>
      </c>
      <c r="BA124" t="s">
        <v>93</v>
      </c>
      <c r="BC124" t="s">
        <v>93</v>
      </c>
      <c r="BD124" t="s">
        <v>128</v>
      </c>
      <c r="BI124" t="s">
        <v>80</v>
      </c>
      <c r="BM124" t="s">
        <v>94</v>
      </c>
      <c r="BN124" t="s">
        <v>95</v>
      </c>
      <c r="BP124" t="s">
        <v>305</v>
      </c>
      <c r="BR124" t="s">
        <v>1199</v>
      </c>
      <c r="BT124" t="s">
        <v>1200</v>
      </c>
      <c r="BU124" t="s">
        <v>1201</v>
      </c>
      <c r="BV124" t="str">
        <f>"518101"</f>
        <v>518101</v>
      </c>
      <c r="BW124">
        <v>880</v>
      </c>
      <c r="BX124" t="s">
        <v>2737</v>
      </c>
      <c r="BY124" t="s">
        <v>2675</v>
      </c>
      <c r="BZ124">
        <v>3</v>
      </c>
    </row>
    <row r="125" spans="1:78" x14ac:dyDescent="0.25">
      <c r="A125" s="1">
        <v>44946</v>
      </c>
      <c r="B125" t="s">
        <v>1202</v>
      </c>
      <c r="C125" t="s">
        <v>283</v>
      </c>
      <c r="E125">
        <v>1</v>
      </c>
      <c r="F125" t="s">
        <v>76</v>
      </c>
      <c r="G125">
        <v>21.99</v>
      </c>
      <c r="H125">
        <v>0</v>
      </c>
      <c r="I125">
        <v>0</v>
      </c>
      <c r="J125">
        <v>2.2000000000000002</v>
      </c>
      <c r="K125">
        <v>24.19</v>
      </c>
      <c r="L125" t="s">
        <v>77</v>
      </c>
      <c r="P125" t="s">
        <v>284</v>
      </c>
      <c r="Q125" t="s">
        <v>285</v>
      </c>
      <c r="R125" t="s">
        <v>80</v>
      </c>
      <c r="S125" t="s">
        <v>80</v>
      </c>
      <c r="T125" t="s">
        <v>80</v>
      </c>
      <c r="U125" t="s">
        <v>80</v>
      </c>
      <c r="V125" t="s">
        <v>80</v>
      </c>
      <c r="W125" t="s">
        <v>1203</v>
      </c>
      <c r="X125" s="1">
        <v>44948</v>
      </c>
      <c r="Y125">
        <v>24.19</v>
      </c>
      <c r="Z125" t="s">
        <v>82</v>
      </c>
      <c r="AA125" t="str">
        <f t="shared" si="2"/>
        <v>1003</v>
      </c>
      <c r="AB125" t="s">
        <v>119</v>
      </c>
      <c r="AC125" t="s">
        <v>1204</v>
      </c>
      <c r="AD125" t="s">
        <v>1205</v>
      </c>
      <c r="AE125" t="str">
        <f>"52121505"</f>
        <v>52121505</v>
      </c>
      <c r="AF125" t="s">
        <v>684</v>
      </c>
      <c r="AG125" t="s">
        <v>892</v>
      </c>
      <c r="AH125" t="s">
        <v>1206</v>
      </c>
      <c r="AI125" t="s">
        <v>1207</v>
      </c>
      <c r="AK125" t="s">
        <v>1208</v>
      </c>
      <c r="AL125" t="s">
        <v>1208</v>
      </c>
      <c r="AO125" t="s">
        <v>1209</v>
      </c>
      <c r="AP125" t="s">
        <v>92</v>
      </c>
      <c r="AR125">
        <v>29.99</v>
      </c>
      <c r="AS125">
        <v>21.99</v>
      </c>
      <c r="AT125">
        <v>1</v>
      </c>
      <c r="AU125">
        <v>21.99</v>
      </c>
      <c r="AV125">
        <v>0</v>
      </c>
      <c r="AX125">
        <v>2.2000000000000002</v>
      </c>
      <c r="AY125">
        <v>24.19</v>
      </c>
      <c r="BA125" t="s">
        <v>93</v>
      </c>
      <c r="BC125" t="s">
        <v>93</v>
      </c>
      <c r="BI125" t="s">
        <v>80</v>
      </c>
      <c r="BM125" t="s">
        <v>94</v>
      </c>
      <c r="BN125" t="s">
        <v>95</v>
      </c>
      <c r="BP125" t="s">
        <v>305</v>
      </c>
      <c r="BR125" t="s">
        <v>1208</v>
      </c>
      <c r="BT125" t="s">
        <v>1210</v>
      </c>
      <c r="BU125" t="s">
        <v>1211</v>
      </c>
      <c r="BV125" t="str">
        <f>"350400"</f>
        <v>350400</v>
      </c>
      <c r="BW125">
        <v>880</v>
      </c>
      <c r="BX125" t="s">
        <v>2737</v>
      </c>
      <c r="BY125" t="s">
        <v>2675</v>
      </c>
      <c r="BZ125">
        <v>3</v>
      </c>
    </row>
    <row r="126" spans="1:78" x14ac:dyDescent="0.25">
      <c r="A126" s="1">
        <v>44946</v>
      </c>
      <c r="B126" t="s">
        <v>1212</v>
      </c>
      <c r="C126" t="s">
        <v>283</v>
      </c>
      <c r="E126">
        <v>1</v>
      </c>
      <c r="F126" t="s">
        <v>76</v>
      </c>
      <c r="G126">
        <v>35.9</v>
      </c>
      <c r="H126">
        <v>0</v>
      </c>
      <c r="I126">
        <v>0</v>
      </c>
      <c r="J126">
        <v>3.59</v>
      </c>
      <c r="K126">
        <v>39.49</v>
      </c>
      <c r="L126" t="s">
        <v>77</v>
      </c>
      <c r="P126" t="s">
        <v>284</v>
      </c>
      <c r="Q126" t="s">
        <v>285</v>
      </c>
      <c r="R126" t="s">
        <v>80</v>
      </c>
      <c r="S126" t="s">
        <v>80</v>
      </c>
      <c r="T126" t="s">
        <v>80</v>
      </c>
      <c r="U126" t="s">
        <v>80</v>
      </c>
      <c r="V126" t="s">
        <v>80</v>
      </c>
      <c r="W126" t="s">
        <v>1213</v>
      </c>
      <c r="X126" s="1">
        <v>44948</v>
      </c>
      <c r="Y126">
        <v>39.49</v>
      </c>
      <c r="Z126" t="s">
        <v>82</v>
      </c>
      <c r="AA126" t="str">
        <f t="shared" si="2"/>
        <v>1003</v>
      </c>
      <c r="AB126" t="s">
        <v>119</v>
      </c>
      <c r="AC126" t="s">
        <v>1214</v>
      </c>
      <c r="AD126" t="s">
        <v>1215</v>
      </c>
      <c r="AE126" t="str">
        <f>"44110000"</f>
        <v>44110000</v>
      </c>
      <c r="AF126" t="s">
        <v>108</v>
      </c>
      <c r="AG126" t="s">
        <v>122</v>
      </c>
      <c r="AH126" t="s">
        <v>122</v>
      </c>
      <c r="AI126" t="s">
        <v>122</v>
      </c>
      <c r="AK126" t="s">
        <v>1216</v>
      </c>
      <c r="AL126" t="s">
        <v>1216</v>
      </c>
      <c r="AO126" t="s">
        <v>1217</v>
      </c>
      <c r="AP126" t="s">
        <v>92</v>
      </c>
      <c r="AR126">
        <v>35.9</v>
      </c>
      <c r="AS126">
        <v>35.9</v>
      </c>
      <c r="AT126">
        <v>1</v>
      </c>
      <c r="AU126">
        <v>35.9</v>
      </c>
      <c r="AV126">
        <v>0</v>
      </c>
      <c r="AX126">
        <v>3.59</v>
      </c>
      <c r="AY126">
        <v>39.49</v>
      </c>
      <c r="BA126" t="s">
        <v>93</v>
      </c>
      <c r="BC126" t="s">
        <v>93</v>
      </c>
      <c r="BI126" t="s">
        <v>80</v>
      </c>
      <c r="BM126" t="s">
        <v>94</v>
      </c>
      <c r="BN126" t="s">
        <v>95</v>
      </c>
      <c r="BP126" t="s">
        <v>305</v>
      </c>
      <c r="BR126" t="s">
        <v>1218</v>
      </c>
      <c r="BT126" t="s">
        <v>1219</v>
      </c>
      <c r="BU126" t="s">
        <v>672</v>
      </c>
      <c r="BV126" t="str">
        <f>"211111"</f>
        <v>211111</v>
      </c>
      <c r="BW126">
        <v>880</v>
      </c>
      <c r="BX126" t="s">
        <v>2737</v>
      </c>
      <c r="BY126" t="s">
        <v>2675</v>
      </c>
      <c r="BZ126">
        <v>3</v>
      </c>
    </row>
    <row r="127" spans="1:78" x14ac:dyDescent="0.25">
      <c r="A127" s="1">
        <v>44946</v>
      </c>
      <c r="B127" t="s">
        <v>1220</v>
      </c>
      <c r="C127" t="s">
        <v>392</v>
      </c>
      <c r="E127">
        <v>1</v>
      </c>
      <c r="F127" t="s">
        <v>76</v>
      </c>
      <c r="G127">
        <v>8.98</v>
      </c>
      <c r="H127">
        <v>0</v>
      </c>
      <c r="I127">
        <v>0</v>
      </c>
      <c r="J127">
        <v>0.63</v>
      </c>
      <c r="K127">
        <v>9.61</v>
      </c>
      <c r="L127" t="s">
        <v>77</v>
      </c>
      <c r="P127" t="s">
        <v>1006</v>
      </c>
      <c r="Q127" t="s">
        <v>1007</v>
      </c>
      <c r="R127" t="s">
        <v>80</v>
      </c>
      <c r="S127" t="s">
        <v>80</v>
      </c>
      <c r="T127" t="s">
        <v>80</v>
      </c>
      <c r="U127" t="s">
        <v>80</v>
      </c>
      <c r="V127" t="s">
        <v>80</v>
      </c>
      <c r="W127" t="s">
        <v>1221</v>
      </c>
      <c r="X127" s="1">
        <v>44948</v>
      </c>
      <c r="Y127">
        <v>9.61</v>
      </c>
      <c r="Z127" t="s">
        <v>82</v>
      </c>
      <c r="AA127" t="str">
        <f t="shared" si="2"/>
        <v>1003</v>
      </c>
      <c r="AB127" t="s">
        <v>133</v>
      </c>
      <c r="AC127" t="s">
        <v>1222</v>
      </c>
      <c r="AD127" t="s">
        <v>1223</v>
      </c>
      <c r="AE127" t="str">
        <f>"40141600"</f>
        <v>40141600</v>
      </c>
      <c r="AF127" t="s">
        <v>1224</v>
      </c>
      <c r="AG127" t="s">
        <v>1225</v>
      </c>
      <c r="AH127" t="s">
        <v>1226</v>
      </c>
      <c r="AI127" t="s">
        <v>1226</v>
      </c>
      <c r="AK127" t="s">
        <v>1227</v>
      </c>
      <c r="AL127" t="s">
        <v>1228</v>
      </c>
      <c r="AO127" t="s">
        <v>1229</v>
      </c>
      <c r="AP127" t="s">
        <v>92</v>
      </c>
      <c r="AR127">
        <v>12.99</v>
      </c>
      <c r="AS127">
        <v>8.98</v>
      </c>
      <c r="AT127">
        <v>1</v>
      </c>
      <c r="AU127">
        <v>8.98</v>
      </c>
      <c r="AV127">
        <v>0</v>
      </c>
      <c r="AX127">
        <v>0.63</v>
      </c>
      <c r="AY127">
        <v>9.61</v>
      </c>
      <c r="BA127" t="s">
        <v>93</v>
      </c>
      <c r="BC127" t="s">
        <v>93</v>
      </c>
      <c r="BD127" t="s">
        <v>128</v>
      </c>
      <c r="BE127">
        <v>4.01</v>
      </c>
      <c r="BF127" s="2">
        <v>0.30869999999999997</v>
      </c>
      <c r="BI127" t="s">
        <v>80</v>
      </c>
      <c r="BM127" t="s">
        <v>94</v>
      </c>
      <c r="BN127" t="s">
        <v>95</v>
      </c>
      <c r="BP127" t="s">
        <v>1014</v>
      </c>
      <c r="BR127" t="s">
        <v>1230</v>
      </c>
      <c r="BT127" t="s">
        <v>1231</v>
      </c>
      <c r="BW127">
        <v>804</v>
      </c>
      <c r="BX127" t="s">
        <v>2751</v>
      </c>
      <c r="BY127" t="s">
        <v>2614</v>
      </c>
      <c r="BZ127">
        <v>3</v>
      </c>
    </row>
    <row r="128" spans="1:78" x14ac:dyDescent="0.25">
      <c r="A128" s="1">
        <v>44946</v>
      </c>
      <c r="B128" t="s">
        <v>1232</v>
      </c>
      <c r="C128" t="s">
        <v>392</v>
      </c>
      <c r="E128">
        <v>2</v>
      </c>
      <c r="F128" t="s">
        <v>76</v>
      </c>
      <c r="G128">
        <v>69.89</v>
      </c>
      <c r="H128">
        <v>0</v>
      </c>
      <c r="I128">
        <v>0</v>
      </c>
      <c r="J128">
        <v>4.8899999999999997</v>
      </c>
      <c r="K128">
        <v>74.78</v>
      </c>
      <c r="L128" t="s">
        <v>77</v>
      </c>
      <c r="P128" t="s">
        <v>1006</v>
      </c>
      <c r="Q128" t="s">
        <v>1007</v>
      </c>
      <c r="R128" t="s">
        <v>80</v>
      </c>
      <c r="S128" t="s">
        <v>80</v>
      </c>
      <c r="T128" t="s">
        <v>80</v>
      </c>
      <c r="U128" t="s">
        <v>80</v>
      </c>
      <c r="V128" t="s">
        <v>80</v>
      </c>
      <c r="W128" t="s">
        <v>1233</v>
      </c>
      <c r="X128" s="1">
        <v>44948</v>
      </c>
      <c r="Y128">
        <v>74.78</v>
      </c>
      <c r="Z128" t="s">
        <v>82</v>
      </c>
      <c r="AA128" t="str">
        <f t="shared" si="2"/>
        <v>1003</v>
      </c>
      <c r="AB128" t="s">
        <v>287</v>
      </c>
      <c r="AC128" t="s">
        <v>1234</v>
      </c>
      <c r="AD128" t="s">
        <v>1235</v>
      </c>
      <c r="AE128" t="str">
        <f>"40142008"</f>
        <v>40142008</v>
      </c>
      <c r="AF128" t="s">
        <v>1224</v>
      </c>
      <c r="AG128" t="s">
        <v>1225</v>
      </c>
      <c r="AH128" t="s">
        <v>1236</v>
      </c>
      <c r="AI128" t="s">
        <v>1237</v>
      </c>
      <c r="AK128" t="s">
        <v>1238</v>
      </c>
      <c r="AL128" t="s">
        <v>1238</v>
      </c>
      <c r="AN128" t="s">
        <v>1239</v>
      </c>
      <c r="AO128" t="s">
        <v>1239</v>
      </c>
      <c r="AP128" t="s">
        <v>92</v>
      </c>
      <c r="AR128">
        <v>42.9</v>
      </c>
      <c r="AS128">
        <v>42.9</v>
      </c>
      <c r="AT128">
        <v>1</v>
      </c>
      <c r="AU128">
        <v>42.9</v>
      </c>
      <c r="AV128">
        <v>0</v>
      </c>
      <c r="AX128">
        <v>3</v>
      </c>
      <c r="AY128">
        <v>45.9</v>
      </c>
      <c r="BA128" t="s">
        <v>93</v>
      </c>
      <c r="BC128" t="s">
        <v>93</v>
      </c>
      <c r="BI128" t="s">
        <v>80</v>
      </c>
      <c r="BM128" t="s">
        <v>94</v>
      </c>
      <c r="BN128" t="s">
        <v>95</v>
      </c>
      <c r="BP128" t="s">
        <v>1014</v>
      </c>
      <c r="BR128" t="s">
        <v>338</v>
      </c>
      <c r="BT128" t="s">
        <v>131</v>
      </c>
      <c r="BU128" t="s">
        <v>339</v>
      </c>
      <c r="BV128" t="str">
        <f>"98109"</f>
        <v>98109</v>
      </c>
      <c r="BW128">
        <v>804</v>
      </c>
      <c r="BX128" t="s">
        <v>2751</v>
      </c>
      <c r="BY128" t="s">
        <v>2614</v>
      </c>
      <c r="BZ128">
        <v>3</v>
      </c>
    </row>
    <row r="129" spans="1:78" x14ac:dyDescent="0.25">
      <c r="A129" s="1">
        <v>44946</v>
      </c>
      <c r="B129" t="s">
        <v>1232</v>
      </c>
      <c r="C129" t="s">
        <v>392</v>
      </c>
      <c r="E129">
        <v>2</v>
      </c>
      <c r="F129" t="s">
        <v>76</v>
      </c>
      <c r="G129">
        <v>69.89</v>
      </c>
      <c r="H129">
        <v>0</v>
      </c>
      <c r="I129">
        <v>0</v>
      </c>
      <c r="J129">
        <v>4.8899999999999997</v>
      </c>
      <c r="K129">
        <v>74.78</v>
      </c>
      <c r="L129" t="s">
        <v>77</v>
      </c>
      <c r="P129" t="s">
        <v>1006</v>
      </c>
      <c r="Q129" t="s">
        <v>1007</v>
      </c>
      <c r="R129" t="s">
        <v>80</v>
      </c>
      <c r="S129" t="s">
        <v>80</v>
      </c>
      <c r="T129" t="s">
        <v>80</v>
      </c>
      <c r="U129" t="s">
        <v>80</v>
      </c>
      <c r="V129" t="s">
        <v>80</v>
      </c>
      <c r="W129" t="s">
        <v>1233</v>
      </c>
      <c r="X129" s="1">
        <v>44948</v>
      </c>
      <c r="Y129">
        <v>74.78</v>
      </c>
      <c r="Z129" t="s">
        <v>82</v>
      </c>
      <c r="AA129" t="str">
        <f t="shared" si="2"/>
        <v>1003</v>
      </c>
      <c r="AB129" t="s">
        <v>168</v>
      </c>
      <c r="AC129" t="s">
        <v>1240</v>
      </c>
      <c r="AD129" t="s">
        <v>1241</v>
      </c>
      <c r="AE129" t="str">
        <f>"47131800"</f>
        <v>47131800</v>
      </c>
      <c r="AF129" t="s">
        <v>144</v>
      </c>
      <c r="AG129" t="s">
        <v>145</v>
      </c>
      <c r="AH129" t="s">
        <v>261</v>
      </c>
      <c r="AI129" t="s">
        <v>261</v>
      </c>
      <c r="AK129" t="s">
        <v>1242</v>
      </c>
      <c r="AL129" t="s">
        <v>1243</v>
      </c>
      <c r="AO129" t="str">
        <f>"2170700100001"</f>
        <v>2170700100001</v>
      </c>
      <c r="AP129" t="s">
        <v>92</v>
      </c>
      <c r="AR129">
        <v>26.99</v>
      </c>
      <c r="AS129">
        <v>26.99</v>
      </c>
      <c r="AT129">
        <v>1</v>
      </c>
      <c r="AU129">
        <v>26.99</v>
      </c>
      <c r="AV129">
        <v>0</v>
      </c>
      <c r="AX129">
        <v>1.89</v>
      </c>
      <c r="AY129">
        <v>28.88</v>
      </c>
      <c r="BA129" t="s">
        <v>93</v>
      </c>
      <c r="BC129" t="s">
        <v>93</v>
      </c>
      <c r="BD129" t="s">
        <v>128</v>
      </c>
      <c r="BI129" t="s">
        <v>80</v>
      </c>
      <c r="BM129" t="s">
        <v>94</v>
      </c>
      <c r="BN129" t="s">
        <v>95</v>
      </c>
      <c r="BP129" t="s">
        <v>1014</v>
      </c>
      <c r="BR129" t="s">
        <v>1242</v>
      </c>
      <c r="BS129" t="s">
        <v>538</v>
      </c>
      <c r="BT129" t="s">
        <v>1244</v>
      </c>
      <c r="BU129" t="s">
        <v>115</v>
      </c>
      <c r="BV129" t="str">
        <f>"92649"</f>
        <v>92649</v>
      </c>
      <c r="BW129">
        <v>804</v>
      </c>
      <c r="BX129" t="s">
        <v>2751</v>
      </c>
      <c r="BY129" t="s">
        <v>2614</v>
      </c>
      <c r="BZ129">
        <v>3</v>
      </c>
    </row>
    <row r="130" spans="1:78" x14ac:dyDescent="0.25">
      <c r="A130" s="1">
        <v>44946</v>
      </c>
      <c r="B130" t="s">
        <v>1245</v>
      </c>
      <c r="C130" t="s">
        <v>254</v>
      </c>
      <c r="E130">
        <v>4</v>
      </c>
      <c r="F130" t="s">
        <v>76</v>
      </c>
      <c r="G130">
        <v>38.43</v>
      </c>
      <c r="H130">
        <v>0</v>
      </c>
      <c r="I130">
        <v>0</v>
      </c>
      <c r="J130">
        <v>3.25</v>
      </c>
      <c r="K130">
        <v>41.68</v>
      </c>
      <c r="L130" t="s">
        <v>77</v>
      </c>
      <c r="M130" t="s">
        <v>446</v>
      </c>
      <c r="P130" t="s">
        <v>446</v>
      </c>
      <c r="Q130" t="s">
        <v>447</v>
      </c>
      <c r="R130" t="s">
        <v>80</v>
      </c>
      <c r="S130" t="s">
        <v>80</v>
      </c>
      <c r="T130" t="s">
        <v>80</v>
      </c>
      <c r="U130" t="s">
        <v>80</v>
      </c>
      <c r="V130" t="s">
        <v>80</v>
      </c>
      <c r="W130" t="s">
        <v>1246</v>
      </c>
      <c r="X130" s="1">
        <v>44947</v>
      </c>
      <c r="Y130">
        <v>41.68</v>
      </c>
      <c r="Z130" t="s">
        <v>82</v>
      </c>
      <c r="AA130" t="str">
        <f t="shared" si="2"/>
        <v>1003</v>
      </c>
      <c r="AB130" t="s">
        <v>119</v>
      </c>
      <c r="AC130" t="s">
        <v>1247</v>
      </c>
      <c r="AD130" t="s">
        <v>1248</v>
      </c>
      <c r="AE130" t="str">
        <f>"44122000"</f>
        <v>44122000</v>
      </c>
      <c r="AF130" t="s">
        <v>108</v>
      </c>
      <c r="AG130" t="s">
        <v>556</v>
      </c>
      <c r="AH130" t="s">
        <v>771</v>
      </c>
      <c r="AI130" t="s">
        <v>771</v>
      </c>
      <c r="AK130" t="s">
        <v>1249</v>
      </c>
      <c r="AL130" t="s">
        <v>1249</v>
      </c>
      <c r="AO130" t="s">
        <v>1250</v>
      </c>
      <c r="AP130" t="s">
        <v>92</v>
      </c>
      <c r="AR130">
        <v>8.99</v>
      </c>
      <c r="AS130">
        <v>8.99</v>
      </c>
      <c r="AT130">
        <v>3</v>
      </c>
      <c r="AU130">
        <v>26.97</v>
      </c>
      <c r="AV130">
        <v>0</v>
      </c>
      <c r="AX130">
        <v>2.2799999999999998</v>
      </c>
      <c r="AY130">
        <v>29.25</v>
      </c>
      <c r="BA130" t="s">
        <v>93</v>
      </c>
      <c r="BC130" t="s">
        <v>93</v>
      </c>
      <c r="BI130" t="s">
        <v>80</v>
      </c>
      <c r="BM130" t="s">
        <v>94</v>
      </c>
      <c r="BN130" t="s">
        <v>95</v>
      </c>
      <c r="BP130" t="s">
        <v>455</v>
      </c>
      <c r="BR130" t="s">
        <v>1251</v>
      </c>
      <c r="BT130" t="s">
        <v>1252</v>
      </c>
      <c r="BU130" t="s">
        <v>944</v>
      </c>
      <c r="BV130" t="str">
        <f>"364000"</f>
        <v>364000</v>
      </c>
      <c r="BW130">
        <v>807</v>
      </c>
      <c r="BX130" t="s">
        <v>2746</v>
      </c>
      <c r="BY130" t="s">
        <v>2620</v>
      </c>
      <c r="BZ130">
        <v>3</v>
      </c>
    </row>
    <row r="131" spans="1:78" x14ac:dyDescent="0.25">
      <c r="A131" s="1">
        <v>44946</v>
      </c>
      <c r="B131" t="s">
        <v>1245</v>
      </c>
      <c r="C131" t="s">
        <v>254</v>
      </c>
      <c r="E131">
        <v>4</v>
      </c>
      <c r="F131" t="s">
        <v>76</v>
      </c>
      <c r="G131">
        <v>38.43</v>
      </c>
      <c r="H131">
        <v>0</v>
      </c>
      <c r="I131">
        <v>0</v>
      </c>
      <c r="J131">
        <v>3.25</v>
      </c>
      <c r="K131">
        <v>41.68</v>
      </c>
      <c r="L131" t="s">
        <v>77</v>
      </c>
      <c r="M131" t="s">
        <v>446</v>
      </c>
      <c r="P131" t="s">
        <v>446</v>
      </c>
      <c r="Q131" t="s">
        <v>447</v>
      </c>
      <c r="R131" t="s">
        <v>80</v>
      </c>
      <c r="S131" t="s">
        <v>80</v>
      </c>
      <c r="T131" t="s">
        <v>80</v>
      </c>
      <c r="U131" t="s">
        <v>80</v>
      </c>
      <c r="V131" t="s">
        <v>80</v>
      </c>
      <c r="W131" t="s">
        <v>1246</v>
      </c>
      <c r="X131" s="1">
        <v>44947</v>
      </c>
      <c r="Y131">
        <v>41.68</v>
      </c>
      <c r="Z131" t="s">
        <v>82</v>
      </c>
      <c r="AA131" t="str">
        <f t="shared" si="2"/>
        <v>1003</v>
      </c>
      <c r="AB131" t="s">
        <v>119</v>
      </c>
      <c r="AC131" t="s">
        <v>1253</v>
      </c>
      <c r="AD131" t="s">
        <v>1254</v>
      </c>
      <c r="AE131" t="str">
        <f>"31201526"</f>
        <v>31201526</v>
      </c>
      <c r="AF131" t="s">
        <v>398</v>
      </c>
      <c r="AG131" t="s">
        <v>799</v>
      </c>
      <c r="AH131" t="s">
        <v>800</v>
      </c>
      <c r="AI131" t="s">
        <v>1255</v>
      </c>
      <c r="AK131" t="s">
        <v>801</v>
      </c>
      <c r="AL131" t="s">
        <v>802</v>
      </c>
      <c r="AN131" t="str">
        <f>"229"</f>
        <v>229</v>
      </c>
      <c r="AO131" t="s">
        <v>1256</v>
      </c>
      <c r="AP131" t="s">
        <v>92</v>
      </c>
      <c r="AR131">
        <v>11.46</v>
      </c>
      <c r="AS131">
        <v>11.46</v>
      </c>
      <c r="AT131">
        <v>1</v>
      </c>
      <c r="AU131">
        <v>11.46</v>
      </c>
      <c r="AV131">
        <v>0</v>
      </c>
      <c r="AX131">
        <v>0.97</v>
      </c>
      <c r="AY131">
        <v>12.43</v>
      </c>
      <c r="BA131" t="s">
        <v>93</v>
      </c>
      <c r="BC131" t="s">
        <v>93</v>
      </c>
      <c r="BI131" t="s">
        <v>80</v>
      </c>
      <c r="BM131" t="s">
        <v>94</v>
      </c>
      <c r="BN131" t="s">
        <v>95</v>
      </c>
      <c r="BP131" t="s">
        <v>455</v>
      </c>
      <c r="BR131" t="s">
        <v>801</v>
      </c>
      <c r="BS131" t="s">
        <v>250</v>
      </c>
      <c r="BW131">
        <v>807</v>
      </c>
      <c r="BX131" t="s">
        <v>2746</v>
      </c>
      <c r="BY131" t="s">
        <v>2620</v>
      </c>
      <c r="BZ131">
        <v>3</v>
      </c>
    </row>
    <row r="132" spans="1:78" x14ac:dyDescent="0.25">
      <c r="A132" s="1">
        <v>44946</v>
      </c>
      <c r="B132" t="s">
        <v>1257</v>
      </c>
      <c r="C132" t="s">
        <v>254</v>
      </c>
      <c r="E132">
        <v>2</v>
      </c>
      <c r="F132" t="s">
        <v>76</v>
      </c>
      <c r="G132">
        <v>81.48</v>
      </c>
      <c r="H132">
        <v>0</v>
      </c>
      <c r="I132">
        <v>0</v>
      </c>
      <c r="J132">
        <v>6.92</v>
      </c>
      <c r="K132">
        <v>88.4</v>
      </c>
      <c r="L132" t="s">
        <v>77</v>
      </c>
      <c r="M132" t="s">
        <v>446</v>
      </c>
      <c r="P132" t="s">
        <v>446</v>
      </c>
      <c r="Q132" t="s">
        <v>447</v>
      </c>
      <c r="R132" t="s">
        <v>80</v>
      </c>
      <c r="S132" t="s">
        <v>80</v>
      </c>
      <c r="T132" t="s">
        <v>80</v>
      </c>
      <c r="U132" t="s">
        <v>80</v>
      </c>
      <c r="V132" t="s">
        <v>80</v>
      </c>
      <c r="W132" t="s">
        <v>1258</v>
      </c>
      <c r="X132" s="1">
        <v>44947</v>
      </c>
      <c r="Y132">
        <v>88.4</v>
      </c>
      <c r="Z132" t="s">
        <v>82</v>
      </c>
      <c r="AA132" t="str">
        <f t="shared" si="2"/>
        <v>1003</v>
      </c>
      <c r="AB132" t="s">
        <v>141</v>
      </c>
      <c r="AC132" t="s">
        <v>1259</v>
      </c>
      <c r="AD132" t="s">
        <v>1260</v>
      </c>
      <c r="AE132" t="str">
        <f>"47131800"</f>
        <v>47131800</v>
      </c>
      <c r="AF132" t="s">
        <v>144</v>
      </c>
      <c r="AG132" t="s">
        <v>145</v>
      </c>
      <c r="AH132" t="s">
        <v>261</v>
      </c>
      <c r="AI132" t="s">
        <v>261</v>
      </c>
      <c r="AJ132" t="s">
        <v>1261</v>
      </c>
      <c r="AK132" t="s">
        <v>1262</v>
      </c>
      <c r="AL132" t="s">
        <v>1263</v>
      </c>
      <c r="AN132" t="str">
        <f>"31"</f>
        <v>31</v>
      </c>
      <c r="AO132" t="str">
        <f>"31"</f>
        <v>31</v>
      </c>
      <c r="AP132" t="s">
        <v>92</v>
      </c>
      <c r="AR132">
        <v>67.8</v>
      </c>
      <c r="AS132">
        <v>40.74</v>
      </c>
      <c r="AT132">
        <v>2</v>
      </c>
      <c r="AU132">
        <v>81.48</v>
      </c>
      <c r="AV132">
        <v>0</v>
      </c>
      <c r="AX132">
        <v>6.92</v>
      </c>
      <c r="AY132">
        <v>88.4</v>
      </c>
      <c r="BA132" t="s">
        <v>93</v>
      </c>
      <c r="BC132" t="s">
        <v>93</v>
      </c>
      <c r="BD132" t="s">
        <v>128</v>
      </c>
      <c r="BE132">
        <v>27.06</v>
      </c>
      <c r="BF132" s="2">
        <v>0.39910000000000001</v>
      </c>
      <c r="BI132" t="s">
        <v>80</v>
      </c>
      <c r="BM132" t="s">
        <v>94</v>
      </c>
      <c r="BN132" t="s">
        <v>95</v>
      </c>
      <c r="BP132" t="s">
        <v>455</v>
      </c>
      <c r="BR132" t="s">
        <v>130</v>
      </c>
      <c r="BT132" t="s">
        <v>131</v>
      </c>
      <c r="BU132" t="s">
        <v>132</v>
      </c>
      <c r="BV132" t="str">
        <f>"98109"</f>
        <v>98109</v>
      </c>
      <c r="BW132">
        <v>807</v>
      </c>
      <c r="BX132" t="s">
        <v>2746</v>
      </c>
      <c r="BY132" t="s">
        <v>2620</v>
      </c>
      <c r="BZ132">
        <v>3</v>
      </c>
    </row>
    <row r="133" spans="1:78" x14ac:dyDescent="0.25">
      <c r="A133" s="1">
        <v>44946</v>
      </c>
      <c r="B133" t="s">
        <v>1264</v>
      </c>
      <c r="C133" t="s">
        <v>254</v>
      </c>
      <c r="E133">
        <v>10</v>
      </c>
      <c r="F133" t="s">
        <v>76</v>
      </c>
      <c r="G133">
        <v>92.56</v>
      </c>
      <c r="H133">
        <v>0</v>
      </c>
      <c r="I133">
        <v>0</v>
      </c>
      <c r="J133">
        <v>7.86</v>
      </c>
      <c r="K133">
        <v>100.42</v>
      </c>
      <c r="L133" t="s">
        <v>77</v>
      </c>
      <c r="M133" t="s">
        <v>446</v>
      </c>
      <c r="P133" t="s">
        <v>446</v>
      </c>
      <c r="Q133" t="s">
        <v>447</v>
      </c>
      <c r="R133" t="s">
        <v>80</v>
      </c>
      <c r="S133" t="s">
        <v>80</v>
      </c>
      <c r="T133" t="s">
        <v>80</v>
      </c>
      <c r="U133" t="s">
        <v>80</v>
      </c>
      <c r="V133" t="s">
        <v>80</v>
      </c>
      <c r="W133" t="s">
        <v>1265</v>
      </c>
      <c r="X133" s="1">
        <v>44949</v>
      </c>
      <c r="Y133">
        <v>100.42</v>
      </c>
      <c r="Z133" t="s">
        <v>82</v>
      </c>
      <c r="AA133" t="str">
        <f t="shared" si="2"/>
        <v>1003</v>
      </c>
      <c r="AB133" t="s">
        <v>119</v>
      </c>
      <c r="AC133" t="s">
        <v>1266</v>
      </c>
      <c r="AD133" t="s">
        <v>1267</v>
      </c>
      <c r="AE133" t="str">
        <f>"44121605"</f>
        <v>44121605</v>
      </c>
      <c r="AF133" t="s">
        <v>108</v>
      </c>
      <c r="AG133" t="s">
        <v>556</v>
      </c>
      <c r="AH133" t="s">
        <v>983</v>
      </c>
      <c r="AI133" t="s">
        <v>984</v>
      </c>
      <c r="AJ133" t="s">
        <v>175</v>
      </c>
      <c r="AK133" t="s">
        <v>176</v>
      </c>
      <c r="AL133" t="s">
        <v>176</v>
      </c>
      <c r="AN133" t="s">
        <v>1268</v>
      </c>
      <c r="AO133" t="s">
        <v>1268</v>
      </c>
      <c r="AP133" t="s">
        <v>92</v>
      </c>
      <c r="AR133">
        <v>11.99</v>
      </c>
      <c r="AS133">
        <v>13</v>
      </c>
      <c r="AT133">
        <v>2</v>
      </c>
      <c r="AU133">
        <v>26</v>
      </c>
      <c r="AV133">
        <v>0</v>
      </c>
      <c r="AX133">
        <v>2.2200000000000002</v>
      </c>
      <c r="AY133">
        <v>28.22</v>
      </c>
      <c r="BA133" t="s">
        <v>93</v>
      </c>
      <c r="BC133" t="s">
        <v>93</v>
      </c>
      <c r="BD133" t="s">
        <v>128</v>
      </c>
      <c r="BI133" t="s">
        <v>80</v>
      </c>
      <c r="BM133" t="s">
        <v>94</v>
      </c>
      <c r="BN133" t="s">
        <v>95</v>
      </c>
      <c r="BP133" t="s">
        <v>455</v>
      </c>
      <c r="BR133" t="s">
        <v>130</v>
      </c>
      <c r="BT133" t="s">
        <v>131</v>
      </c>
      <c r="BU133" t="s">
        <v>132</v>
      </c>
      <c r="BV133" t="str">
        <f>"98109"</f>
        <v>98109</v>
      </c>
      <c r="BW133">
        <v>807</v>
      </c>
      <c r="BX133" t="s">
        <v>2746</v>
      </c>
      <c r="BY133" t="s">
        <v>2620</v>
      </c>
      <c r="BZ133">
        <v>3</v>
      </c>
    </row>
    <row r="134" spans="1:78" x14ac:dyDescent="0.25">
      <c r="A134" s="1">
        <v>44946</v>
      </c>
      <c r="B134" t="s">
        <v>1264</v>
      </c>
      <c r="C134" t="s">
        <v>254</v>
      </c>
      <c r="E134">
        <v>10</v>
      </c>
      <c r="F134" t="s">
        <v>76</v>
      </c>
      <c r="G134">
        <v>92.56</v>
      </c>
      <c r="H134">
        <v>0</v>
      </c>
      <c r="I134">
        <v>0</v>
      </c>
      <c r="J134">
        <v>7.86</v>
      </c>
      <c r="K134">
        <v>100.42</v>
      </c>
      <c r="L134" t="s">
        <v>77</v>
      </c>
      <c r="M134" t="s">
        <v>446</v>
      </c>
      <c r="P134" t="s">
        <v>446</v>
      </c>
      <c r="Q134" t="s">
        <v>447</v>
      </c>
      <c r="R134" t="s">
        <v>80</v>
      </c>
      <c r="S134" t="s">
        <v>80</v>
      </c>
      <c r="T134" t="s">
        <v>80</v>
      </c>
      <c r="U134" t="s">
        <v>80</v>
      </c>
      <c r="V134" t="s">
        <v>80</v>
      </c>
      <c r="W134" t="s">
        <v>1265</v>
      </c>
      <c r="X134" s="1">
        <v>44949</v>
      </c>
      <c r="Y134">
        <v>100.42</v>
      </c>
      <c r="Z134" t="s">
        <v>82</v>
      </c>
      <c r="AA134" t="str">
        <f t="shared" si="2"/>
        <v>1003</v>
      </c>
      <c r="AB134" t="s">
        <v>119</v>
      </c>
      <c r="AC134" t="s">
        <v>1269</v>
      </c>
      <c r="AD134" t="s">
        <v>1270</v>
      </c>
      <c r="AE134" t="str">
        <f>"44111509"</f>
        <v>44111509</v>
      </c>
      <c r="AF134" t="s">
        <v>108</v>
      </c>
      <c r="AG134" t="s">
        <v>122</v>
      </c>
      <c r="AH134" t="s">
        <v>123</v>
      </c>
      <c r="AI134" t="s">
        <v>1271</v>
      </c>
      <c r="AK134" t="s">
        <v>1272</v>
      </c>
      <c r="AL134" t="s">
        <v>1272</v>
      </c>
      <c r="AN134" t="s">
        <v>1273</v>
      </c>
      <c r="AO134" t="s">
        <v>1273</v>
      </c>
      <c r="AP134" t="s">
        <v>92</v>
      </c>
      <c r="AR134">
        <v>19.95</v>
      </c>
      <c r="AS134">
        <v>10.95</v>
      </c>
      <c r="AT134">
        <v>1</v>
      </c>
      <c r="AU134">
        <v>10.95</v>
      </c>
      <c r="AV134">
        <v>0</v>
      </c>
      <c r="AX134">
        <v>0.93</v>
      </c>
      <c r="AY134">
        <v>11.88</v>
      </c>
      <c r="BA134" t="s">
        <v>93</v>
      </c>
      <c r="BC134" t="s">
        <v>93</v>
      </c>
      <c r="BD134" t="s">
        <v>128</v>
      </c>
      <c r="BE134">
        <v>9</v>
      </c>
      <c r="BF134" s="2">
        <v>0.4511</v>
      </c>
      <c r="BI134" t="s">
        <v>80</v>
      </c>
      <c r="BM134" t="s">
        <v>94</v>
      </c>
      <c r="BN134" t="s">
        <v>95</v>
      </c>
      <c r="BP134" t="s">
        <v>455</v>
      </c>
      <c r="BR134" t="s">
        <v>1274</v>
      </c>
      <c r="BT134" t="s">
        <v>1275</v>
      </c>
      <c r="BU134" t="s">
        <v>1276</v>
      </c>
      <c r="BV134" t="str">
        <f>"266000"</f>
        <v>266000</v>
      </c>
      <c r="BW134">
        <v>807</v>
      </c>
      <c r="BX134" t="s">
        <v>2746</v>
      </c>
      <c r="BY134" t="s">
        <v>2620</v>
      </c>
      <c r="BZ134">
        <v>3</v>
      </c>
    </row>
    <row r="135" spans="1:78" x14ac:dyDescent="0.25">
      <c r="A135" s="1">
        <v>44946</v>
      </c>
      <c r="B135" t="s">
        <v>1264</v>
      </c>
      <c r="C135" t="s">
        <v>254</v>
      </c>
      <c r="E135">
        <v>10</v>
      </c>
      <c r="F135" t="s">
        <v>76</v>
      </c>
      <c r="G135">
        <v>92.56</v>
      </c>
      <c r="H135">
        <v>0</v>
      </c>
      <c r="I135">
        <v>0</v>
      </c>
      <c r="J135">
        <v>7.86</v>
      </c>
      <c r="K135">
        <v>100.42</v>
      </c>
      <c r="L135" t="s">
        <v>77</v>
      </c>
      <c r="M135" t="s">
        <v>446</v>
      </c>
      <c r="P135" t="s">
        <v>446</v>
      </c>
      <c r="Q135" t="s">
        <v>447</v>
      </c>
      <c r="R135" t="s">
        <v>80</v>
      </c>
      <c r="S135" t="s">
        <v>80</v>
      </c>
      <c r="T135" t="s">
        <v>80</v>
      </c>
      <c r="U135" t="s">
        <v>80</v>
      </c>
      <c r="V135" t="s">
        <v>80</v>
      </c>
      <c r="W135" t="s">
        <v>1265</v>
      </c>
      <c r="X135" s="1">
        <v>44949</v>
      </c>
      <c r="Y135">
        <v>100.42</v>
      </c>
      <c r="Z135" t="s">
        <v>82</v>
      </c>
      <c r="AA135" t="str">
        <f t="shared" si="2"/>
        <v>1003</v>
      </c>
      <c r="AB135" t="s">
        <v>119</v>
      </c>
      <c r="AC135" t="s">
        <v>1277</v>
      </c>
      <c r="AD135" t="s">
        <v>1278</v>
      </c>
      <c r="AE135" t="str">
        <f>"44121704"</f>
        <v>44121704</v>
      </c>
      <c r="AF135" t="s">
        <v>108</v>
      </c>
      <c r="AG135" t="s">
        <v>556</v>
      </c>
      <c r="AH135" t="s">
        <v>590</v>
      </c>
      <c r="AI135" t="s">
        <v>759</v>
      </c>
      <c r="AJ135" t="s">
        <v>765</v>
      </c>
      <c r="AK135" t="s">
        <v>761</v>
      </c>
      <c r="AL135" t="s">
        <v>766</v>
      </c>
      <c r="AN135" t="s">
        <v>1279</v>
      </c>
      <c r="AO135" t="s">
        <v>1279</v>
      </c>
      <c r="AP135" t="s">
        <v>92</v>
      </c>
      <c r="AR135">
        <v>6.99</v>
      </c>
      <c r="AS135">
        <v>5.47</v>
      </c>
      <c r="AT135">
        <v>4</v>
      </c>
      <c r="AU135">
        <v>21.88</v>
      </c>
      <c r="AV135">
        <v>0</v>
      </c>
      <c r="AX135">
        <v>1.84</v>
      </c>
      <c r="AY135">
        <v>23.72</v>
      </c>
      <c r="BA135" t="s">
        <v>93</v>
      </c>
      <c r="BC135" t="s">
        <v>93</v>
      </c>
      <c r="BD135" t="s">
        <v>128</v>
      </c>
      <c r="BE135">
        <v>1.52</v>
      </c>
      <c r="BF135" s="2">
        <v>0.2175</v>
      </c>
      <c r="BI135" t="s">
        <v>80</v>
      </c>
      <c r="BM135" t="s">
        <v>94</v>
      </c>
      <c r="BN135" t="s">
        <v>95</v>
      </c>
      <c r="BP135" t="s">
        <v>455</v>
      </c>
      <c r="BR135" t="s">
        <v>130</v>
      </c>
      <c r="BT135" t="s">
        <v>131</v>
      </c>
      <c r="BU135" t="s">
        <v>132</v>
      </c>
      <c r="BV135" t="str">
        <f>"98109"</f>
        <v>98109</v>
      </c>
      <c r="BW135">
        <v>807</v>
      </c>
      <c r="BX135" t="s">
        <v>2746</v>
      </c>
      <c r="BY135" t="s">
        <v>2620</v>
      </c>
      <c r="BZ135">
        <v>3</v>
      </c>
    </row>
    <row r="136" spans="1:78" x14ac:dyDescent="0.25">
      <c r="A136" s="1">
        <v>44946</v>
      </c>
      <c r="B136" t="s">
        <v>1264</v>
      </c>
      <c r="C136" t="s">
        <v>254</v>
      </c>
      <c r="E136">
        <v>10</v>
      </c>
      <c r="F136" t="s">
        <v>76</v>
      </c>
      <c r="G136">
        <v>92.56</v>
      </c>
      <c r="H136">
        <v>0</v>
      </c>
      <c r="I136">
        <v>0</v>
      </c>
      <c r="J136">
        <v>7.86</v>
      </c>
      <c r="K136">
        <v>100.42</v>
      </c>
      <c r="L136" t="s">
        <v>77</v>
      </c>
      <c r="M136" t="s">
        <v>446</v>
      </c>
      <c r="P136" t="s">
        <v>446</v>
      </c>
      <c r="Q136" t="s">
        <v>447</v>
      </c>
      <c r="R136" t="s">
        <v>80</v>
      </c>
      <c r="S136" t="s">
        <v>80</v>
      </c>
      <c r="T136" t="s">
        <v>80</v>
      </c>
      <c r="U136" t="s">
        <v>80</v>
      </c>
      <c r="V136" t="s">
        <v>80</v>
      </c>
      <c r="W136" t="s">
        <v>1265</v>
      </c>
      <c r="X136" s="1">
        <v>44949</v>
      </c>
      <c r="Y136">
        <v>100.42</v>
      </c>
      <c r="Z136" t="s">
        <v>82</v>
      </c>
      <c r="AA136" t="str">
        <f t="shared" si="2"/>
        <v>1003</v>
      </c>
      <c r="AB136" t="s">
        <v>133</v>
      </c>
      <c r="AC136" t="s">
        <v>1280</v>
      </c>
      <c r="AD136" t="s">
        <v>1281</v>
      </c>
      <c r="AE136" t="str">
        <f>"44121618"</f>
        <v>44121618</v>
      </c>
      <c r="AF136" t="s">
        <v>108</v>
      </c>
      <c r="AG136" t="s">
        <v>556</v>
      </c>
      <c r="AH136" t="s">
        <v>983</v>
      </c>
      <c r="AI136" t="s">
        <v>1282</v>
      </c>
      <c r="AK136" t="s">
        <v>1283</v>
      </c>
      <c r="AL136" t="s">
        <v>1283</v>
      </c>
      <c r="AO136" t="str">
        <f>"663002"</f>
        <v>663002</v>
      </c>
      <c r="AP136" t="s">
        <v>92</v>
      </c>
      <c r="AR136">
        <v>30.99</v>
      </c>
      <c r="AS136">
        <v>20.39</v>
      </c>
      <c r="AT136">
        <v>1</v>
      </c>
      <c r="AU136">
        <v>20.39</v>
      </c>
      <c r="AV136">
        <v>0</v>
      </c>
      <c r="AX136">
        <v>1.73</v>
      </c>
      <c r="AY136">
        <v>22.12</v>
      </c>
      <c r="BA136" t="s">
        <v>93</v>
      </c>
      <c r="BC136" t="s">
        <v>93</v>
      </c>
      <c r="BI136" t="s">
        <v>80</v>
      </c>
      <c r="BM136" t="s">
        <v>94</v>
      </c>
      <c r="BN136" t="s">
        <v>95</v>
      </c>
      <c r="BP136" t="s">
        <v>455</v>
      </c>
      <c r="BR136" t="s">
        <v>1284</v>
      </c>
      <c r="BT136" t="s">
        <v>587</v>
      </c>
      <c r="BU136" t="s">
        <v>296</v>
      </c>
      <c r="BV136" t="str">
        <f>"518100"</f>
        <v>518100</v>
      </c>
      <c r="BW136">
        <v>807</v>
      </c>
      <c r="BX136" t="s">
        <v>2746</v>
      </c>
      <c r="BY136" t="s">
        <v>2620</v>
      </c>
      <c r="BZ136">
        <v>3</v>
      </c>
    </row>
    <row r="137" spans="1:78" x14ac:dyDescent="0.25">
      <c r="A137" s="1">
        <v>44946</v>
      </c>
      <c r="B137" t="s">
        <v>1264</v>
      </c>
      <c r="C137" t="s">
        <v>254</v>
      </c>
      <c r="E137">
        <v>10</v>
      </c>
      <c r="F137" t="s">
        <v>76</v>
      </c>
      <c r="G137">
        <v>92.56</v>
      </c>
      <c r="H137">
        <v>0</v>
      </c>
      <c r="I137">
        <v>0</v>
      </c>
      <c r="J137">
        <v>7.86</v>
      </c>
      <c r="K137">
        <v>100.42</v>
      </c>
      <c r="L137" t="s">
        <v>77</v>
      </c>
      <c r="M137" t="s">
        <v>446</v>
      </c>
      <c r="P137" t="s">
        <v>446</v>
      </c>
      <c r="Q137" t="s">
        <v>447</v>
      </c>
      <c r="R137" t="s">
        <v>80</v>
      </c>
      <c r="S137" t="s">
        <v>80</v>
      </c>
      <c r="T137" t="s">
        <v>80</v>
      </c>
      <c r="U137" t="s">
        <v>80</v>
      </c>
      <c r="V137" t="s">
        <v>80</v>
      </c>
      <c r="W137" t="s">
        <v>1265</v>
      </c>
      <c r="X137" s="1">
        <v>44949</v>
      </c>
      <c r="Y137">
        <v>100.42</v>
      </c>
      <c r="Z137" t="s">
        <v>82</v>
      </c>
      <c r="AA137" t="str">
        <f t="shared" si="2"/>
        <v>1003</v>
      </c>
      <c r="AB137" t="s">
        <v>119</v>
      </c>
      <c r="AC137" t="s">
        <v>1285</v>
      </c>
      <c r="AD137" t="s">
        <v>1286</v>
      </c>
      <c r="AE137" t="str">
        <f>"44122100"</f>
        <v>44122100</v>
      </c>
      <c r="AF137" t="s">
        <v>108</v>
      </c>
      <c r="AG137" t="s">
        <v>556</v>
      </c>
      <c r="AH137" t="s">
        <v>934</v>
      </c>
      <c r="AI137" t="s">
        <v>934</v>
      </c>
      <c r="AJ137" t="s">
        <v>125</v>
      </c>
      <c r="AK137" t="s">
        <v>126</v>
      </c>
      <c r="AL137" t="s">
        <v>126</v>
      </c>
      <c r="AN137" t="str">
        <f>"91925"</f>
        <v>91925</v>
      </c>
      <c r="AO137" t="str">
        <f>"91925"</f>
        <v>91925</v>
      </c>
      <c r="AP137" t="s">
        <v>92</v>
      </c>
      <c r="AR137">
        <v>7.98</v>
      </c>
      <c r="AS137">
        <v>6.67</v>
      </c>
      <c r="AT137">
        <v>2</v>
      </c>
      <c r="AU137">
        <v>13.34</v>
      </c>
      <c r="AV137">
        <v>0</v>
      </c>
      <c r="AX137">
        <v>1.1399999999999999</v>
      </c>
      <c r="AY137">
        <v>14.48</v>
      </c>
      <c r="BA137" t="s">
        <v>93</v>
      </c>
      <c r="BC137" t="s">
        <v>93</v>
      </c>
      <c r="BD137" t="s">
        <v>128</v>
      </c>
      <c r="BE137">
        <v>1.31</v>
      </c>
      <c r="BF137" s="2">
        <v>0.16420000000000001</v>
      </c>
      <c r="BI137" t="s">
        <v>80</v>
      </c>
      <c r="BM137" t="s">
        <v>94</v>
      </c>
      <c r="BN137" t="s">
        <v>95</v>
      </c>
      <c r="BP137" t="s">
        <v>455</v>
      </c>
      <c r="BR137" t="s">
        <v>130</v>
      </c>
      <c r="BT137" t="s">
        <v>131</v>
      </c>
      <c r="BU137" t="s">
        <v>132</v>
      </c>
      <c r="BV137" t="str">
        <f>"98109"</f>
        <v>98109</v>
      </c>
      <c r="BW137">
        <v>807</v>
      </c>
      <c r="BX137" t="s">
        <v>2746</v>
      </c>
      <c r="BY137" t="s">
        <v>2620</v>
      </c>
      <c r="BZ137">
        <v>3</v>
      </c>
    </row>
    <row r="138" spans="1:78" x14ac:dyDescent="0.25">
      <c r="A138" s="1">
        <v>44946</v>
      </c>
      <c r="B138" t="s">
        <v>1287</v>
      </c>
      <c r="C138" t="s">
        <v>189</v>
      </c>
      <c r="E138">
        <v>3</v>
      </c>
      <c r="F138" t="s">
        <v>76</v>
      </c>
      <c r="G138">
        <v>85.68</v>
      </c>
      <c r="H138">
        <v>0</v>
      </c>
      <c r="I138">
        <v>0</v>
      </c>
      <c r="J138">
        <v>7.08</v>
      </c>
      <c r="K138">
        <v>92.76</v>
      </c>
      <c r="L138" t="s">
        <v>77</v>
      </c>
      <c r="P138" t="s">
        <v>307</v>
      </c>
      <c r="Q138" t="s">
        <v>308</v>
      </c>
      <c r="R138" t="s">
        <v>80</v>
      </c>
      <c r="S138" t="s">
        <v>80</v>
      </c>
      <c r="T138" t="s">
        <v>80</v>
      </c>
      <c r="U138" t="s">
        <v>80</v>
      </c>
      <c r="V138" t="s">
        <v>80</v>
      </c>
      <c r="W138" t="s">
        <v>1288</v>
      </c>
      <c r="X138" s="1">
        <v>44948</v>
      </c>
      <c r="Y138">
        <v>92.76</v>
      </c>
      <c r="Z138" t="s">
        <v>82</v>
      </c>
      <c r="AA138" t="str">
        <f t="shared" si="2"/>
        <v>1003</v>
      </c>
      <c r="AB138" t="s">
        <v>119</v>
      </c>
      <c r="AC138" t="s">
        <v>1289</v>
      </c>
      <c r="AD138" t="s">
        <v>1290</v>
      </c>
      <c r="AE138" t="str">
        <f>"44122000"</f>
        <v>44122000</v>
      </c>
      <c r="AF138" t="s">
        <v>108</v>
      </c>
      <c r="AG138" t="s">
        <v>556</v>
      </c>
      <c r="AH138" t="s">
        <v>771</v>
      </c>
      <c r="AI138" t="s">
        <v>771</v>
      </c>
      <c r="AJ138" t="s">
        <v>613</v>
      </c>
      <c r="AK138" t="s">
        <v>176</v>
      </c>
      <c r="AL138" t="s">
        <v>176</v>
      </c>
      <c r="AN138" t="s">
        <v>1291</v>
      </c>
      <c r="AO138" t="s">
        <v>1291</v>
      </c>
      <c r="AP138" t="s">
        <v>92</v>
      </c>
      <c r="AR138">
        <v>26.99</v>
      </c>
      <c r="AS138">
        <v>28.56</v>
      </c>
      <c r="AT138">
        <v>3</v>
      </c>
      <c r="AU138">
        <v>85.68</v>
      </c>
      <c r="AV138">
        <v>0</v>
      </c>
      <c r="AX138">
        <v>7.08</v>
      </c>
      <c r="AY138">
        <v>92.76</v>
      </c>
      <c r="BA138" t="s">
        <v>93</v>
      </c>
      <c r="BC138" t="s">
        <v>93</v>
      </c>
      <c r="BD138" t="s">
        <v>128</v>
      </c>
      <c r="BI138" t="s">
        <v>80</v>
      </c>
      <c r="BM138" t="s">
        <v>94</v>
      </c>
      <c r="BN138" t="s">
        <v>95</v>
      </c>
      <c r="BP138" t="s">
        <v>314</v>
      </c>
      <c r="BR138" t="s">
        <v>130</v>
      </c>
      <c r="BT138" t="s">
        <v>131</v>
      </c>
      <c r="BU138" t="s">
        <v>132</v>
      </c>
      <c r="BV138" t="str">
        <f>"98109"</f>
        <v>98109</v>
      </c>
      <c r="BW138">
        <v>868</v>
      </c>
      <c r="BX138" t="s">
        <v>2738</v>
      </c>
      <c r="BY138" t="s">
        <v>2665</v>
      </c>
      <c r="BZ138">
        <v>3</v>
      </c>
    </row>
    <row r="139" spans="1:78" x14ac:dyDescent="0.25">
      <c r="A139" s="1">
        <v>44945</v>
      </c>
      <c r="B139" t="s">
        <v>1292</v>
      </c>
      <c r="C139" t="s">
        <v>100</v>
      </c>
      <c r="D139" t="s">
        <v>1293</v>
      </c>
      <c r="E139">
        <v>4</v>
      </c>
      <c r="F139" t="s">
        <v>76</v>
      </c>
      <c r="G139">
        <v>43.32</v>
      </c>
      <c r="H139">
        <v>2.99</v>
      </c>
      <c r="I139">
        <v>-2.99</v>
      </c>
      <c r="J139">
        <v>4.12</v>
      </c>
      <c r="K139">
        <v>47.44</v>
      </c>
      <c r="L139" t="s">
        <v>77</v>
      </c>
      <c r="M139" t="s">
        <v>102</v>
      </c>
      <c r="P139" t="s">
        <v>102</v>
      </c>
      <c r="Q139" t="s">
        <v>103</v>
      </c>
      <c r="R139" t="s">
        <v>80</v>
      </c>
      <c r="S139" t="s">
        <v>80</v>
      </c>
      <c r="T139" t="s">
        <v>80</v>
      </c>
      <c r="U139" t="s">
        <v>80</v>
      </c>
      <c r="V139" t="s">
        <v>80</v>
      </c>
      <c r="W139" t="s">
        <v>1294</v>
      </c>
      <c r="X139" s="1">
        <v>44946</v>
      </c>
      <c r="Y139">
        <v>47.44</v>
      </c>
      <c r="Z139" t="s">
        <v>82</v>
      </c>
      <c r="AA139" t="str">
        <f t="shared" si="2"/>
        <v>1003</v>
      </c>
      <c r="AB139" t="s">
        <v>168</v>
      </c>
      <c r="AC139" t="s">
        <v>1295</v>
      </c>
      <c r="AD139" t="s">
        <v>1296</v>
      </c>
      <c r="AE139" t="str">
        <f>"48102107"</f>
        <v>48102107</v>
      </c>
      <c r="AF139" t="s">
        <v>1297</v>
      </c>
      <c r="AG139" t="s">
        <v>1298</v>
      </c>
      <c r="AH139" t="s">
        <v>1299</v>
      </c>
      <c r="AI139" t="s">
        <v>1300</v>
      </c>
      <c r="AJ139" t="s">
        <v>1301</v>
      </c>
      <c r="AK139" t="s">
        <v>1302</v>
      </c>
      <c r="AL139" t="s">
        <v>1303</v>
      </c>
      <c r="AN139" t="str">
        <f>"140660"</f>
        <v>140660</v>
      </c>
      <c r="AO139" t="str">
        <f>"140660"</f>
        <v>140660</v>
      </c>
      <c r="AP139" t="s">
        <v>92</v>
      </c>
      <c r="AR139">
        <v>11.99</v>
      </c>
      <c r="AS139">
        <v>10.83</v>
      </c>
      <c r="AT139">
        <v>4</v>
      </c>
      <c r="AU139">
        <v>43.32</v>
      </c>
      <c r="AV139">
        <v>2.99</v>
      </c>
      <c r="AW139">
        <v>-2.99</v>
      </c>
      <c r="AX139">
        <v>4.12</v>
      </c>
      <c r="AY139">
        <v>47.44</v>
      </c>
      <c r="BA139" t="s">
        <v>93</v>
      </c>
      <c r="BC139" t="s">
        <v>93</v>
      </c>
      <c r="BD139" t="s">
        <v>128</v>
      </c>
      <c r="BE139">
        <v>1.1599999999999999</v>
      </c>
      <c r="BF139" s="2">
        <v>9.6699999999999994E-2</v>
      </c>
      <c r="BI139" t="s">
        <v>80</v>
      </c>
      <c r="BM139" t="s">
        <v>427</v>
      </c>
      <c r="BN139" t="s">
        <v>95</v>
      </c>
      <c r="BP139" t="s">
        <v>387</v>
      </c>
      <c r="BR139" t="s">
        <v>130</v>
      </c>
      <c r="BT139" t="s">
        <v>131</v>
      </c>
      <c r="BU139" t="s">
        <v>132</v>
      </c>
      <c r="BV139" t="str">
        <f>"98109"</f>
        <v>98109</v>
      </c>
      <c r="BW139">
        <v>1</v>
      </c>
      <c r="BX139" t="s">
        <v>2741</v>
      </c>
      <c r="BY139" t="s">
        <v>2573</v>
      </c>
      <c r="BZ139">
        <v>3</v>
      </c>
    </row>
    <row r="140" spans="1:78" x14ac:dyDescent="0.25">
      <c r="A140" s="1">
        <v>44945</v>
      </c>
      <c r="B140" t="s">
        <v>1304</v>
      </c>
      <c r="C140" t="s">
        <v>100</v>
      </c>
      <c r="D140" t="s">
        <v>1293</v>
      </c>
      <c r="E140">
        <v>2</v>
      </c>
      <c r="F140" t="s">
        <v>76</v>
      </c>
      <c r="G140">
        <v>17.36</v>
      </c>
      <c r="H140">
        <v>0</v>
      </c>
      <c r="I140">
        <v>0</v>
      </c>
      <c r="J140">
        <v>1.64</v>
      </c>
      <c r="K140">
        <v>19</v>
      </c>
      <c r="L140" t="s">
        <v>77</v>
      </c>
      <c r="M140" t="s">
        <v>102</v>
      </c>
      <c r="P140" t="s">
        <v>102</v>
      </c>
      <c r="Q140" t="s">
        <v>103</v>
      </c>
      <c r="R140" t="s">
        <v>80</v>
      </c>
      <c r="S140" t="s">
        <v>80</v>
      </c>
      <c r="T140" t="s">
        <v>80</v>
      </c>
      <c r="U140" t="s">
        <v>80</v>
      </c>
      <c r="V140" t="s">
        <v>80</v>
      </c>
      <c r="W140" t="s">
        <v>1305</v>
      </c>
      <c r="X140" s="1">
        <v>44946</v>
      </c>
      <c r="Y140">
        <v>19</v>
      </c>
      <c r="Z140" t="s">
        <v>82</v>
      </c>
      <c r="AA140" t="str">
        <f t="shared" si="2"/>
        <v>1003</v>
      </c>
      <c r="AB140" t="s">
        <v>119</v>
      </c>
      <c r="AC140" t="s">
        <v>1306</v>
      </c>
      <c r="AD140" t="s">
        <v>1307</v>
      </c>
      <c r="AE140" t="str">
        <f>"44120000"</f>
        <v>44120000</v>
      </c>
      <c r="AF140" t="s">
        <v>108</v>
      </c>
      <c r="AG140" t="s">
        <v>556</v>
      </c>
      <c r="AH140" t="s">
        <v>556</v>
      </c>
      <c r="AI140" t="s">
        <v>556</v>
      </c>
      <c r="AK140" t="s">
        <v>1308</v>
      </c>
      <c r="AL140" t="s">
        <v>1308</v>
      </c>
      <c r="AO140" t="s">
        <v>1309</v>
      </c>
      <c r="AP140" t="s">
        <v>92</v>
      </c>
      <c r="AR140">
        <v>9.99</v>
      </c>
      <c r="AS140">
        <v>8.68</v>
      </c>
      <c r="AT140">
        <v>2</v>
      </c>
      <c r="AU140">
        <v>17.36</v>
      </c>
      <c r="AV140">
        <v>0</v>
      </c>
      <c r="AX140">
        <v>1.64</v>
      </c>
      <c r="AY140">
        <v>19</v>
      </c>
      <c r="BA140" t="s">
        <v>93</v>
      </c>
      <c r="BC140" t="s">
        <v>93</v>
      </c>
      <c r="BD140" t="s">
        <v>128</v>
      </c>
      <c r="BE140">
        <v>1.31</v>
      </c>
      <c r="BF140" s="2">
        <v>0.13109999999999999</v>
      </c>
      <c r="BI140" t="s">
        <v>80</v>
      </c>
      <c r="BM140" t="s">
        <v>427</v>
      </c>
      <c r="BN140" t="s">
        <v>95</v>
      </c>
      <c r="BP140" t="s">
        <v>387</v>
      </c>
      <c r="BR140" t="s">
        <v>1310</v>
      </c>
      <c r="BT140" t="s">
        <v>1311</v>
      </c>
      <c r="BU140" t="s">
        <v>281</v>
      </c>
      <c r="BV140" t="str">
        <f>"85044"</f>
        <v>85044</v>
      </c>
      <c r="BW140">
        <v>1</v>
      </c>
      <c r="BX140" t="s">
        <v>2741</v>
      </c>
      <c r="BY140" t="s">
        <v>2573</v>
      </c>
      <c r="BZ140">
        <v>3</v>
      </c>
    </row>
    <row r="141" spans="1:78" x14ac:dyDescent="0.25">
      <c r="A141" s="1">
        <v>44945</v>
      </c>
      <c r="B141" t="s">
        <v>1312</v>
      </c>
      <c r="C141" t="s">
        <v>100</v>
      </c>
      <c r="D141" t="s">
        <v>1293</v>
      </c>
      <c r="E141">
        <v>2</v>
      </c>
      <c r="F141" t="s">
        <v>76</v>
      </c>
      <c r="G141">
        <v>145.9</v>
      </c>
      <c r="H141">
        <v>0</v>
      </c>
      <c r="I141">
        <v>0</v>
      </c>
      <c r="J141">
        <v>13.86</v>
      </c>
      <c r="K141">
        <v>159.76</v>
      </c>
      <c r="L141" t="s">
        <v>77</v>
      </c>
      <c r="M141" t="s">
        <v>102</v>
      </c>
      <c r="P141" t="s">
        <v>102</v>
      </c>
      <c r="Q141" t="s">
        <v>103</v>
      </c>
      <c r="R141" t="s">
        <v>80</v>
      </c>
      <c r="S141" t="s">
        <v>80</v>
      </c>
      <c r="T141" t="s">
        <v>80</v>
      </c>
      <c r="U141" t="s">
        <v>80</v>
      </c>
      <c r="V141" t="s">
        <v>80</v>
      </c>
      <c r="W141" t="s">
        <v>1313</v>
      </c>
      <c r="X141" s="1">
        <v>44948</v>
      </c>
      <c r="Y141">
        <v>159.76</v>
      </c>
      <c r="Z141" t="s">
        <v>82</v>
      </c>
      <c r="AA141" t="str">
        <f t="shared" si="2"/>
        <v>1003</v>
      </c>
      <c r="AB141" t="s">
        <v>168</v>
      </c>
      <c r="AC141" t="s">
        <v>1314</v>
      </c>
      <c r="AD141" t="s">
        <v>1315</v>
      </c>
      <c r="AE141" t="str">
        <f>"47130000"</f>
        <v>47130000</v>
      </c>
      <c r="AF141" t="s">
        <v>144</v>
      </c>
      <c r="AG141" t="s">
        <v>145</v>
      </c>
      <c r="AH141" t="s">
        <v>145</v>
      </c>
      <c r="AI141" t="s">
        <v>145</v>
      </c>
      <c r="AK141" t="s">
        <v>1316</v>
      </c>
      <c r="AP141" t="s">
        <v>92</v>
      </c>
      <c r="AR141">
        <v>69.95</v>
      </c>
      <c r="AS141">
        <v>72.95</v>
      </c>
      <c r="AT141">
        <v>2</v>
      </c>
      <c r="AU141">
        <v>145.9</v>
      </c>
      <c r="AV141">
        <v>0</v>
      </c>
      <c r="AX141">
        <v>13.86</v>
      </c>
      <c r="AY141">
        <v>159.76</v>
      </c>
      <c r="BA141" t="s">
        <v>93</v>
      </c>
      <c r="BC141" t="s">
        <v>93</v>
      </c>
      <c r="BI141" t="s">
        <v>80</v>
      </c>
      <c r="BM141" t="s">
        <v>427</v>
      </c>
      <c r="BN141" t="s">
        <v>95</v>
      </c>
      <c r="BP141" t="s">
        <v>387</v>
      </c>
      <c r="BR141" t="s">
        <v>1316</v>
      </c>
      <c r="BW141">
        <v>1</v>
      </c>
      <c r="BX141" t="s">
        <v>2741</v>
      </c>
      <c r="BY141" t="s">
        <v>2573</v>
      </c>
      <c r="BZ141">
        <v>3</v>
      </c>
    </row>
    <row r="142" spans="1:78" x14ac:dyDescent="0.25">
      <c r="A142" s="1">
        <v>44945</v>
      </c>
      <c r="B142" t="s">
        <v>1317</v>
      </c>
      <c r="C142" t="s">
        <v>100</v>
      </c>
      <c r="D142" t="s">
        <v>1293</v>
      </c>
      <c r="E142">
        <v>2</v>
      </c>
      <c r="F142" t="s">
        <v>76</v>
      </c>
      <c r="G142">
        <v>13.78</v>
      </c>
      <c r="H142">
        <v>0</v>
      </c>
      <c r="I142">
        <v>0</v>
      </c>
      <c r="J142">
        <v>1.3</v>
      </c>
      <c r="K142">
        <v>15.08</v>
      </c>
      <c r="L142" t="s">
        <v>77</v>
      </c>
      <c r="M142" t="s">
        <v>102</v>
      </c>
      <c r="P142" t="s">
        <v>102</v>
      </c>
      <c r="Q142" t="s">
        <v>103</v>
      </c>
      <c r="R142" t="s">
        <v>80</v>
      </c>
      <c r="S142" t="s">
        <v>80</v>
      </c>
      <c r="T142" t="s">
        <v>80</v>
      </c>
      <c r="U142" t="s">
        <v>80</v>
      </c>
      <c r="V142" t="s">
        <v>80</v>
      </c>
      <c r="W142" t="s">
        <v>1318</v>
      </c>
      <c r="X142" s="1">
        <v>44945</v>
      </c>
      <c r="Y142">
        <v>15.08</v>
      </c>
      <c r="Z142" t="s">
        <v>82</v>
      </c>
      <c r="AA142" t="str">
        <f t="shared" si="2"/>
        <v>1003</v>
      </c>
      <c r="AB142" t="s">
        <v>653</v>
      </c>
      <c r="AC142" t="s">
        <v>1319</v>
      </c>
      <c r="AD142" t="s">
        <v>1320</v>
      </c>
      <c r="AE142" t="str">
        <f>"55121616"</f>
        <v>55121616</v>
      </c>
      <c r="AF142" t="s">
        <v>195</v>
      </c>
      <c r="AG142" t="s">
        <v>196</v>
      </c>
      <c r="AH142" t="s">
        <v>197</v>
      </c>
      <c r="AI142" t="s">
        <v>1321</v>
      </c>
      <c r="AJ142" t="s">
        <v>1322</v>
      </c>
      <c r="AK142" t="s">
        <v>1323</v>
      </c>
      <c r="AL142" t="s">
        <v>1324</v>
      </c>
      <c r="AN142" t="s">
        <v>1325</v>
      </c>
      <c r="AO142" t="s">
        <v>1325</v>
      </c>
      <c r="AP142" t="s">
        <v>92</v>
      </c>
      <c r="AR142">
        <v>10.99</v>
      </c>
      <c r="AS142">
        <v>6.89</v>
      </c>
      <c r="AT142">
        <v>2</v>
      </c>
      <c r="AU142">
        <v>13.78</v>
      </c>
      <c r="AV142">
        <v>0</v>
      </c>
      <c r="AX142">
        <v>1.3</v>
      </c>
      <c r="AY142">
        <v>15.08</v>
      </c>
      <c r="BA142" t="s">
        <v>93</v>
      </c>
      <c r="BC142" t="s">
        <v>93</v>
      </c>
      <c r="BI142" t="s">
        <v>80</v>
      </c>
      <c r="BM142" t="s">
        <v>427</v>
      </c>
      <c r="BN142" t="s">
        <v>95</v>
      </c>
      <c r="BP142" t="s">
        <v>387</v>
      </c>
      <c r="BR142" t="s">
        <v>338</v>
      </c>
      <c r="BT142" t="s">
        <v>131</v>
      </c>
      <c r="BU142" t="s">
        <v>339</v>
      </c>
      <c r="BV142" t="str">
        <f>"98109"</f>
        <v>98109</v>
      </c>
      <c r="BW142">
        <v>1</v>
      </c>
      <c r="BX142" t="s">
        <v>2741</v>
      </c>
      <c r="BY142" t="s">
        <v>2573</v>
      </c>
      <c r="BZ142">
        <v>3</v>
      </c>
    </row>
    <row r="143" spans="1:78" x14ac:dyDescent="0.25">
      <c r="A143" s="1">
        <v>44945</v>
      </c>
      <c r="B143" t="s">
        <v>1326</v>
      </c>
      <c r="C143" t="s">
        <v>100</v>
      </c>
      <c r="E143">
        <v>1</v>
      </c>
      <c r="F143" t="s">
        <v>76</v>
      </c>
      <c r="G143">
        <v>9.2899999999999991</v>
      </c>
      <c r="H143">
        <v>0</v>
      </c>
      <c r="I143">
        <v>0</v>
      </c>
      <c r="J143">
        <v>0.88</v>
      </c>
      <c r="K143">
        <v>10.17</v>
      </c>
      <c r="L143" t="s">
        <v>77</v>
      </c>
      <c r="P143" t="s">
        <v>208</v>
      </c>
      <c r="Q143" t="s">
        <v>209</v>
      </c>
      <c r="R143" t="s">
        <v>80</v>
      </c>
      <c r="S143" t="s">
        <v>80</v>
      </c>
      <c r="T143" t="s">
        <v>80</v>
      </c>
      <c r="U143" t="s">
        <v>80</v>
      </c>
      <c r="V143" t="s">
        <v>80</v>
      </c>
      <c r="W143" t="s">
        <v>1327</v>
      </c>
      <c r="X143" s="1">
        <v>44948</v>
      </c>
      <c r="Y143">
        <v>10.17</v>
      </c>
      <c r="Z143" t="s">
        <v>82</v>
      </c>
      <c r="AA143" t="str">
        <f t="shared" si="2"/>
        <v>1003</v>
      </c>
      <c r="AB143" t="s">
        <v>141</v>
      </c>
      <c r="AC143" t="s">
        <v>1328</v>
      </c>
      <c r="AD143" t="s">
        <v>1329</v>
      </c>
      <c r="AE143" t="str">
        <f>"44000000"</f>
        <v>44000000</v>
      </c>
      <c r="AF143" t="s">
        <v>108</v>
      </c>
      <c r="AG143" t="s">
        <v>108</v>
      </c>
      <c r="AH143" t="s">
        <v>108</v>
      </c>
      <c r="AI143" t="s">
        <v>108</v>
      </c>
      <c r="AK143" t="s">
        <v>1330</v>
      </c>
      <c r="AL143" t="s">
        <v>1330</v>
      </c>
      <c r="AO143" t="s">
        <v>1331</v>
      </c>
      <c r="AP143" t="s">
        <v>92</v>
      </c>
      <c r="AR143">
        <v>9.2899999999999991</v>
      </c>
      <c r="AS143">
        <v>9.2899999999999991</v>
      </c>
      <c r="AT143">
        <v>1</v>
      </c>
      <c r="AU143">
        <v>9.2899999999999991</v>
      </c>
      <c r="AV143">
        <v>0</v>
      </c>
      <c r="AX143">
        <v>0.88</v>
      </c>
      <c r="AY143">
        <v>10.17</v>
      </c>
      <c r="BA143" t="s">
        <v>93</v>
      </c>
      <c r="BC143" t="s">
        <v>93</v>
      </c>
      <c r="BD143" t="s">
        <v>128</v>
      </c>
      <c r="BI143" t="s">
        <v>80</v>
      </c>
      <c r="BM143" t="s">
        <v>94</v>
      </c>
      <c r="BN143" t="s">
        <v>95</v>
      </c>
      <c r="BP143" t="s">
        <v>387</v>
      </c>
      <c r="BR143" t="s">
        <v>1332</v>
      </c>
      <c r="BT143" t="s">
        <v>1333</v>
      </c>
      <c r="BU143" t="s">
        <v>98</v>
      </c>
      <c r="BV143" t="str">
        <f>"523000"</f>
        <v>523000</v>
      </c>
      <c r="BW143">
        <v>1</v>
      </c>
      <c r="BX143" t="s">
        <v>2741</v>
      </c>
      <c r="BY143" t="s">
        <v>2573</v>
      </c>
      <c r="BZ143">
        <v>3</v>
      </c>
    </row>
    <row r="144" spans="1:78" x14ac:dyDescent="0.25">
      <c r="A144" s="1">
        <v>44945</v>
      </c>
      <c r="B144" t="s">
        <v>1334</v>
      </c>
      <c r="C144" t="s">
        <v>100</v>
      </c>
      <c r="E144">
        <v>3</v>
      </c>
      <c r="F144" t="s">
        <v>76</v>
      </c>
      <c r="G144">
        <v>53.67</v>
      </c>
      <c r="H144">
        <v>0</v>
      </c>
      <c r="I144">
        <v>0</v>
      </c>
      <c r="J144">
        <v>5.0999999999999996</v>
      </c>
      <c r="K144">
        <v>58.77</v>
      </c>
      <c r="L144" t="s">
        <v>77</v>
      </c>
      <c r="P144" t="s">
        <v>208</v>
      </c>
      <c r="Q144" t="s">
        <v>209</v>
      </c>
      <c r="R144" t="s">
        <v>80</v>
      </c>
      <c r="S144" t="s">
        <v>80</v>
      </c>
      <c r="T144" t="s">
        <v>80</v>
      </c>
      <c r="U144" t="s">
        <v>80</v>
      </c>
      <c r="V144" t="s">
        <v>80</v>
      </c>
      <c r="W144" t="s">
        <v>1335</v>
      </c>
      <c r="X144" s="1">
        <v>44945</v>
      </c>
      <c r="Y144">
        <v>58.77</v>
      </c>
      <c r="Z144" t="s">
        <v>82</v>
      </c>
      <c r="AA144" t="str">
        <f t="shared" si="2"/>
        <v>1003</v>
      </c>
      <c r="AB144" t="s">
        <v>168</v>
      </c>
      <c r="AC144" t="s">
        <v>727</v>
      </c>
      <c r="AD144" t="s">
        <v>728</v>
      </c>
      <c r="AE144" t="str">
        <f>"47131502"</f>
        <v>47131502</v>
      </c>
      <c r="AF144" t="s">
        <v>144</v>
      </c>
      <c r="AG144" t="s">
        <v>145</v>
      </c>
      <c r="AH144" t="s">
        <v>729</v>
      </c>
      <c r="AI144" t="s">
        <v>730</v>
      </c>
      <c r="AJ144" t="s">
        <v>731</v>
      </c>
      <c r="AK144" t="s">
        <v>732</v>
      </c>
      <c r="AL144" t="s">
        <v>733</v>
      </c>
      <c r="AP144" t="s">
        <v>92</v>
      </c>
      <c r="AR144">
        <v>26.99</v>
      </c>
      <c r="AS144">
        <v>17.89</v>
      </c>
      <c r="AT144">
        <v>3</v>
      </c>
      <c r="AU144">
        <v>53.67</v>
      </c>
      <c r="AV144">
        <v>0</v>
      </c>
      <c r="AX144">
        <v>5.0999999999999996</v>
      </c>
      <c r="AY144">
        <v>58.77</v>
      </c>
      <c r="BA144" t="s">
        <v>93</v>
      </c>
      <c r="BC144" t="s">
        <v>93</v>
      </c>
      <c r="BI144" t="s">
        <v>80</v>
      </c>
      <c r="BM144" t="s">
        <v>94</v>
      </c>
      <c r="BN144" t="s">
        <v>95</v>
      </c>
      <c r="BP144" t="s">
        <v>387</v>
      </c>
      <c r="BR144" t="s">
        <v>1336</v>
      </c>
      <c r="BT144" t="s">
        <v>1337</v>
      </c>
      <c r="BU144" t="s">
        <v>1338</v>
      </c>
      <c r="BV144" t="str">
        <f>"60031"</f>
        <v>60031</v>
      </c>
      <c r="BW144">
        <v>1</v>
      </c>
      <c r="BX144" t="s">
        <v>2741</v>
      </c>
      <c r="BY144" t="s">
        <v>2573</v>
      </c>
      <c r="BZ144">
        <v>3</v>
      </c>
    </row>
    <row r="145" spans="1:78" x14ac:dyDescent="0.25">
      <c r="A145" s="1">
        <v>44945</v>
      </c>
      <c r="B145" t="s">
        <v>1339</v>
      </c>
      <c r="C145" t="s">
        <v>100</v>
      </c>
      <c r="D145" t="s">
        <v>1340</v>
      </c>
      <c r="E145">
        <v>4</v>
      </c>
      <c r="F145" t="s">
        <v>76</v>
      </c>
      <c r="G145">
        <v>356.68</v>
      </c>
      <c r="H145">
        <v>279.95999999999998</v>
      </c>
      <c r="I145">
        <v>0</v>
      </c>
      <c r="J145">
        <v>44.56</v>
      </c>
      <c r="K145">
        <v>681.2</v>
      </c>
      <c r="L145" t="s">
        <v>77</v>
      </c>
      <c r="M145" t="s">
        <v>208</v>
      </c>
      <c r="P145" t="s">
        <v>208</v>
      </c>
      <c r="Q145" t="s">
        <v>209</v>
      </c>
      <c r="R145" t="s">
        <v>80</v>
      </c>
      <c r="S145" t="s">
        <v>80</v>
      </c>
      <c r="T145" t="s">
        <v>80</v>
      </c>
      <c r="U145" t="s">
        <v>80</v>
      </c>
      <c r="V145" t="s">
        <v>80</v>
      </c>
      <c r="W145" t="s">
        <v>1341</v>
      </c>
      <c r="X145" s="1">
        <v>44957</v>
      </c>
      <c r="Y145">
        <v>681.2</v>
      </c>
      <c r="Z145" t="s">
        <v>82</v>
      </c>
      <c r="AA145" t="str">
        <f t="shared" si="2"/>
        <v>1003</v>
      </c>
      <c r="AB145" t="s">
        <v>268</v>
      </c>
      <c r="AC145" t="s">
        <v>1342</v>
      </c>
      <c r="AD145" t="s">
        <v>1343</v>
      </c>
      <c r="AE145" t="str">
        <f>"56101520"</f>
        <v>56101520</v>
      </c>
      <c r="AF145" t="s">
        <v>159</v>
      </c>
      <c r="AG145" t="s">
        <v>160</v>
      </c>
      <c r="AH145" t="s">
        <v>653</v>
      </c>
      <c r="AI145" t="s">
        <v>1344</v>
      </c>
      <c r="AK145" t="s">
        <v>1345</v>
      </c>
      <c r="AL145" t="s">
        <v>1345</v>
      </c>
      <c r="AO145" t="s">
        <v>1346</v>
      </c>
      <c r="AP145" t="s">
        <v>92</v>
      </c>
      <c r="AR145">
        <v>89.17</v>
      </c>
      <c r="AS145">
        <v>89.17</v>
      </c>
      <c r="AT145">
        <v>4</v>
      </c>
      <c r="AU145">
        <v>356.68</v>
      </c>
      <c r="AV145">
        <v>279.95999999999998</v>
      </c>
      <c r="AX145">
        <v>44.56</v>
      </c>
      <c r="AY145">
        <v>681.2</v>
      </c>
      <c r="BA145" t="s">
        <v>93</v>
      </c>
      <c r="BC145" t="s">
        <v>93</v>
      </c>
      <c r="BD145" t="s">
        <v>128</v>
      </c>
      <c r="BI145" t="s">
        <v>80</v>
      </c>
      <c r="BM145" t="s">
        <v>94</v>
      </c>
      <c r="BN145" t="s">
        <v>95</v>
      </c>
      <c r="BP145" t="s">
        <v>428</v>
      </c>
      <c r="BR145" t="s">
        <v>1345</v>
      </c>
      <c r="BT145" t="s">
        <v>164</v>
      </c>
      <c r="BU145" t="s">
        <v>1347</v>
      </c>
      <c r="BV145" t="str">
        <f>"92509"</f>
        <v>92509</v>
      </c>
      <c r="BW145">
        <v>894</v>
      </c>
      <c r="BX145" t="s">
        <v>2744</v>
      </c>
      <c r="BY145" t="s">
        <v>2697</v>
      </c>
      <c r="BZ145">
        <v>3</v>
      </c>
    </row>
    <row r="146" spans="1:78" x14ac:dyDescent="0.25">
      <c r="A146" s="1">
        <v>44945</v>
      </c>
      <c r="B146" t="s">
        <v>1348</v>
      </c>
      <c r="C146" t="s">
        <v>100</v>
      </c>
      <c r="D146" t="s">
        <v>1340</v>
      </c>
      <c r="E146">
        <v>1</v>
      </c>
      <c r="F146" t="s">
        <v>76</v>
      </c>
      <c r="G146">
        <v>194.8</v>
      </c>
      <c r="H146">
        <v>0</v>
      </c>
      <c r="I146">
        <v>0</v>
      </c>
      <c r="J146">
        <v>13.64</v>
      </c>
      <c r="K146">
        <v>208.44</v>
      </c>
      <c r="L146" t="s">
        <v>77</v>
      </c>
      <c r="M146" t="s">
        <v>208</v>
      </c>
      <c r="P146" t="s">
        <v>208</v>
      </c>
      <c r="Q146" t="s">
        <v>209</v>
      </c>
      <c r="R146" t="s">
        <v>80</v>
      </c>
      <c r="S146" t="s">
        <v>80</v>
      </c>
      <c r="T146" t="s">
        <v>80</v>
      </c>
      <c r="U146" t="s">
        <v>80</v>
      </c>
      <c r="V146" t="s">
        <v>80</v>
      </c>
      <c r="W146" t="s">
        <v>1349</v>
      </c>
      <c r="X146" s="1">
        <v>44946</v>
      </c>
      <c r="Y146">
        <v>208.44</v>
      </c>
      <c r="Z146" t="s">
        <v>82</v>
      </c>
      <c r="AA146" t="str">
        <f t="shared" ref="AA146:AA209" si="3">"1003"</f>
        <v>1003</v>
      </c>
      <c r="AB146" t="s">
        <v>119</v>
      </c>
      <c r="AC146" t="s">
        <v>1350</v>
      </c>
      <c r="AD146" t="s">
        <v>1351</v>
      </c>
      <c r="AE146" t="str">
        <f>"44111900"</f>
        <v>44111900</v>
      </c>
      <c r="AF146" t="s">
        <v>108</v>
      </c>
      <c r="AG146" t="s">
        <v>122</v>
      </c>
      <c r="AH146" t="s">
        <v>438</v>
      </c>
      <c r="AI146" t="s">
        <v>438</v>
      </c>
      <c r="AK146" t="s">
        <v>1352</v>
      </c>
      <c r="AL146" t="s">
        <v>1352</v>
      </c>
      <c r="AO146" t="s">
        <v>1353</v>
      </c>
      <c r="AP146" t="s">
        <v>92</v>
      </c>
      <c r="AR146">
        <v>299.99</v>
      </c>
      <c r="AS146">
        <v>194.8</v>
      </c>
      <c r="AT146">
        <v>1</v>
      </c>
      <c r="AU146">
        <v>194.8</v>
      </c>
      <c r="AV146">
        <v>0</v>
      </c>
      <c r="AX146">
        <v>13.64</v>
      </c>
      <c r="AY146">
        <v>208.44</v>
      </c>
      <c r="BA146" t="s">
        <v>93</v>
      </c>
      <c r="BC146" t="s">
        <v>93</v>
      </c>
      <c r="BD146" t="s">
        <v>128</v>
      </c>
      <c r="BE146">
        <v>105.19</v>
      </c>
      <c r="BF146" s="2">
        <v>0.35060000000000002</v>
      </c>
      <c r="BI146" t="s">
        <v>80</v>
      </c>
      <c r="BM146" t="s">
        <v>94</v>
      </c>
      <c r="BN146" t="s">
        <v>95</v>
      </c>
      <c r="BP146" t="s">
        <v>428</v>
      </c>
      <c r="BR146" t="s">
        <v>1352</v>
      </c>
      <c r="BT146" t="s">
        <v>1354</v>
      </c>
      <c r="BU146" t="s">
        <v>1355</v>
      </c>
      <c r="BV146" t="str">
        <f>"215400"</f>
        <v>215400</v>
      </c>
      <c r="BW146">
        <v>894</v>
      </c>
      <c r="BX146" t="s">
        <v>2744</v>
      </c>
      <c r="BY146" t="s">
        <v>2697</v>
      </c>
      <c r="BZ146">
        <v>3</v>
      </c>
    </row>
    <row r="147" spans="1:78" x14ac:dyDescent="0.25">
      <c r="A147" s="1">
        <v>44945</v>
      </c>
      <c r="B147" t="s">
        <v>1356</v>
      </c>
      <c r="C147" t="s">
        <v>283</v>
      </c>
      <c r="E147">
        <v>4</v>
      </c>
      <c r="F147" t="s">
        <v>76</v>
      </c>
      <c r="G147">
        <v>39.520000000000003</v>
      </c>
      <c r="H147">
        <v>0</v>
      </c>
      <c r="I147">
        <v>0</v>
      </c>
      <c r="J147">
        <v>4.08</v>
      </c>
      <c r="K147">
        <v>43.6</v>
      </c>
      <c r="L147" t="s">
        <v>77</v>
      </c>
      <c r="P147" t="s">
        <v>284</v>
      </c>
      <c r="Q147" t="s">
        <v>285</v>
      </c>
      <c r="R147" t="s">
        <v>80</v>
      </c>
      <c r="S147" t="s">
        <v>80</v>
      </c>
      <c r="T147" t="s">
        <v>80</v>
      </c>
      <c r="U147" t="s">
        <v>80</v>
      </c>
      <c r="V147" t="s">
        <v>80</v>
      </c>
      <c r="W147" t="s">
        <v>1357</v>
      </c>
      <c r="X147" s="1">
        <v>44946</v>
      </c>
      <c r="Y147">
        <v>43.6</v>
      </c>
      <c r="Z147" t="s">
        <v>82</v>
      </c>
      <c r="AA147" t="str">
        <f t="shared" si="3"/>
        <v>1003</v>
      </c>
      <c r="AB147" t="s">
        <v>1358</v>
      </c>
      <c r="AC147" t="s">
        <v>1359</v>
      </c>
      <c r="AD147" t="s">
        <v>1360</v>
      </c>
      <c r="AE147" t="str">
        <f>"46181507"</f>
        <v>46181507</v>
      </c>
      <c r="AF147" t="s">
        <v>451</v>
      </c>
      <c r="AG147" t="s">
        <v>580</v>
      </c>
      <c r="AH147" t="s">
        <v>1361</v>
      </c>
      <c r="AI147" t="s">
        <v>1362</v>
      </c>
      <c r="AK147" t="s">
        <v>1363</v>
      </c>
      <c r="AL147" t="s">
        <v>1363</v>
      </c>
      <c r="AN147" t="s">
        <v>1364</v>
      </c>
      <c r="AO147" t="s">
        <v>1364</v>
      </c>
      <c r="AP147" t="s">
        <v>92</v>
      </c>
      <c r="AR147">
        <v>16.989999999999998</v>
      </c>
      <c r="AS147">
        <v>9.8800000000000008</v>
      </c>
      <c r="AT147">
        <v>3</v>
      </c>
      <c r="AU147">
        <v>29.64</v>
      </c>
      <c r="AV147">
        <v>0</v>
      </c>
      <c r="AX147">
        <v>3.06</v>
      </c>
      <c r="AY147">
        <v>32.700000000000003</v>
      </c>
      <c r="BA147" t="s">
        <v>93</v>
      </c>
      <c r="BC147" t="s">
        <v>93</v>
      </c>
      <c r="BI147" t="s">
        <v>80</v>
      </c>
      <c r="BM147" t="s">
        <v>94</v>
      </c>
      <c r="BN147" t="s">
        <v>95</v>
      </c>
      <c r="BP147" t="s">
        <v>294</v>
      </c>
      <c r="BR147" t="s">
        <v>1363</v>
      </c>
      <c r="BT147" t="s">
        <v>1365</v>
      </c>
      <c r="BU147" t="s">
        <v>98</v>
      </c>
      <c r="BV147" t="str">
        <f>"528300"</f>
        <v>528300</v>
      </c>
      <c r="BW147">
        <v>879</v>
      </c>
      <c r="BX147" t="s">
        <v>2734</v>
      </c>
      <c r="BY147" t="s">
        <v>2673</v>
      </c>
      <c r="BZ147">
        <v>3</v>
      </c>
    </row>
    <row r="148" spans="1:78" x14ac:dyDescent="0.25">
      <c r="A148" s="1">
        <v>44945</v>
      </c>
      <c r="B148" t="s">
        <v>1356</v>
      </c>
      <c r="C148" t="s">
        <v>283</v>
      </c>
      <c r="E148">
        <v>4</v>
      </c>
      <c r="F148" t="s">
        <v>76</v>
      </c>
      <c r="G148">
        <v>39.520000000000003</v>
      </c>
      <c r="H148">
        <v>0</v>
      </c>
      <c r="I148">
        <v>0</v>
      </c>
      <c r="J148">
        <v>4.08</v>
      </c>
      <c r="K148">
        <v>43.6</v>
      </c>
      <c r="L148" t="s">
        <v>77</v>
      </c>
      <c r="P148" t="s">
        <v>284</v>
      </c>
      <c r="Q148" t="s">
        <v>285</v>
      </c>
      <c r="R148" t="s">
        <v>80</v>
      </c>
      <c r="S148" t="s">
        <v>80</v>
      </c>
      <c r="T148" t="s">
        <v>80</v>
      </c>
      <c r="U148" t="s">
        <v>80</v>
      </c>
      <c r="V148" t="s">
        <v>80</v>
      </c>
      <c r="W148" t="s">
        <v>1357</v>
      </c>
      <c r="X148" s="1">
        <v>44946</v>
      </c>
      <c r="Y148">
        <v>43.6</v>
      </c>
      <c r="Z148" t="s">
        <v>82</v>
      </c>
      <c r="AA148" t="str">
        <f t="shared" si="3"/>
        <v>1003</v>
      </c>
      <c r="AB148" t="s">
        <v>1358</v>
      </c>
      <c r="AC148" t="s">
        <v>1366</v>
      </c>
      <c r="AD148" t="s">
        <v>1360</v>
      </c>
      <c r="AE148" t="str">
        <f>"46181507"</f>
        <v>46181507</v>
      </c>
      <c r="AF148" t="s">
        <v>451</v>
      </c>
      <c r="AG148" t="s">
        <v>580</v>
      </c>
      <c r="AH148" t="s">
        <v>1361</v>
      </c>
      <c r="AI148" t="s">
        <v>1362</v>
      </c>
      <c r="AK148" t="s">
        <v>1363</v>
      </c>
      <c r="AL148" t="s">
        <v>1363</v>
      </c>
      <c r="AN148" t="s">
        <v>1367</v>
      </c>
      <c r="AO148" t="s">
        <v>1368</v>
      </c>
      <c r="AP148" t="s">
        <v>92</v>
      </c>
      <c r="AR148">
        <v>16.989999999999998</v>
      </c>
      <c r="AS148">
        <v>9.8800000000000008</v>
      </c>
      <c r="AT148">
        <v>1</v>
      </c>
      <c r="AU148">
        <v>9.8800000000000008</v>
      </c>
      <c r="AV148">
        <v>0</v>
      </c>
      <c r="AX148">
        <v>1.02</v>
      </c>
      <c r="AY148">
        <v>10.9</v>
      </c>
      <c r="BA148" t="s">
        <v>93</v>
      </c>
      <c r="BC148" t="s">
        <v>93</v>
      </c>
      <c r="BI148" t="s">
        <v>80</v>
      </c>
      <c r="BM148" t="s">
        <v>94</v>
      </c>
      <c r="BN148" t="s">
        <v>95</v>
      </c>
      <c r="BP148" t="s">
        <v>294</v>
      </c>
      <c r="BR148" t="s">
        <v>1363</v>
      </c>
      <c r="BT148" t="s">
        <v>1365</v>
      </c>
      <c r="BU148" t="s">
        <v>98</v>
      </c>
      <c r="BV148" t="str">
        <f>"528300"</f>
        <v>528300</v>
      </c>
      <c r="BW148">
        <v>879</v>
      </c>
      <c r="BX148" t="s">
        <v>2734</v>
      </c>
      <c r="BY148" t="s">
        <v>2673</v>
      </c>
      <c r="BZ148">
        <v>3</v>
      </c>
    </row>
    <row r="149" spans="1:78" x14ac:dyDescent="0.25">
      <c r="A149" s="1">
        <v>44945</v>
      </c>
      <c r="B149" t="s">
        <v>1369</v>
      </c>
      <c r="C149" t="s">
        <v>283</v>
      </c>
      <c r="E149">
        <v>1</v>
      </c>
      <c r="F149" t="s">
        <v>76</v>
      </c>
      <c r="G149">
        <v>16.95</v>
      </c>
      <c r="H149">
        <v>0</v>
      </c>
      <c r="I149">
        <v>0</v>
      </c>
      <c r="J149">
        <v>1.75</v>
      </c>
      <c r="K149">
        <v>18.7</v>
      </c>
      <c r="L149" t="s">
        <v>77</v>
      </c>
      <c r="P149" t="s">
        <v>284</v>
      </c>
      <c r="Q149" t="s">
        <v>285</v>
      </c>
      <c r="R149" t="s">
        <v>80</v>
      </c>
      <c r="S149" t="s">
        <v>80</v>
      </c>
      <c r="T149" t="s">
        <v>80</v>
      </c>
      <c r="U149" t="s">
        <v>80</v>
      </c>
      <c r="V149" t="s">
        <v>80</v>
      </c>
      <c r="W149" t="s">
        <v>1370</v>
      </c>
      <c r="X149" s="1">
        <v>44945</v>
      </c>
      <c r="Y149">
        <v>18.7</v>
      </c>
      <c r="Z149" t="s">
        <v>82</v>
      </c>
      <c r="AA149" t="str">
        <f t="shared" si="3"/>
        <v>1003</v>
      </c>
      <c r="AB149" t="s">
        <v>268</v>
      </c>
      <c r="AC149" t="s">
        <v>1371</v>
      </c>
      <c r="AD149" t="s">
        <v>1372</v>
      </c>
      <c r="AE149" t="str">
        <f>"47131600"</f>
        <v>47131600</v>
      </c>
      <c r="AF149" t="s">
        <v>144</v>
      </c>
      <c r="AG149" t="s">
        <v>145</v>
      </c>
      <c r="AH149" t="s">
        <v>271</v>
      </c>
      <c r="AI149" t="s">
        <v>271</v>
      </c>
      <c r="AK149" t="s">
        <v>1373</v>
      </c>
      <c r="AL149" t="s">
        <v>1374</v>
      </c>
      <c r="AN149" t="s">
        <v>1375</v>
      </c>
      <c r="AO149" t="s">
        <v>1375</v>
      </c>
      <c r="AP149" t="s">
        <v>92</v>
      </c>
      <c r="AR149">
        <v>14.99</v>
      </c>
      <c r="AS149">
        <v>16.95</v>
      </c>
      <c r="AT149">
        <v>1</v>
      </c>
      <c r="AU149">
        <v>16.95</v>
      </c>
      <c r="AV149">
        <v>0</v>
      </c>
      <c r="AX149">
        <v>1.75</v>
      </c>
      <c r="AY149">
        <v>18.7</v>
      </c>
      <c r="BA149" t="s">
        <v>93</v>
      </c>
      <c r="BC149" t="s">
        <v>93</v>
      </c>
      <c r="BD149" t="s">
        <v>128</v>
      </c>
      <c r="BI149" t="s">
        <v>80</v>
      </c>
      <c r="BM149" t="s">
        <v>94</v>
      </c>
      <c r="BN149" t="s">
        <v>95</v>
      </c>
      <c r="BP149" t="s">
        <v>294</v>
      </c>
      <c r="BR149" t="s">
        <v>1376</v>
      </c>
      <c r="BS149" t="s">
        <v>1377</v>
      </c>
      <c r="BT149" t="s">
        <v>1378</v>
      </c>
      <c r="BU149" t="s">
        <v>1379</v>
      </c>
      <c r="BV149" t="str">
        <f>"451150"</f>
        <v>451150</v>
      </c>
      <c r="BW149">
        <v>879</v>
      </c>
      <c r="BX149" t="s">
        <v>2734</v>
      </c>
      <c r="BY149" t="s">
        <v>2673</v>
      </c>
      <c r="BZ149">
        <v>3</v>
      </c>
    </row>
    <row r="150" spans="1:78" x14ac:dyDescent="0.25">
      <c r="A150" s="1">
        <v>44945</v>
      </c>
      <c r="B150" t="s">
        <v>1380</v>
      </c>
      <c r="C150" t="s">
        <v>392</v>
      </c>
      <c r="E150">
        <v>2</v>
      </c>
      <c r="F150" t="s">
        <v>76</v>
      </c>
      <c r="G150">
        <v>18.97</v>
      </c>
      <c r="H150">
        <v>0</v>
      </c>
      <c r="I150">
        <v>0</v>
      </c>
      <c r="J150">
        <v>1.33</v>
      </c>
      <c r="K150">
        <v>20.3</v>
      </c>
      <c r="L150" t="s">
        <v>77</v>
      </c>
      <c r="P150" t="s">
        <v>418</v>
      </c>
      <c r="Q150" t="s">
        <v>419</v>
      </c>
      <c r="R150" t="s">
        <v>80</v>
      </c>
      <c r="S150" t="s">
        <v>80</v>
      </c>
      <c r="T150" t="s">
        <v>80</v>
      </c>
      <c r="U150" t="s">
        <v>80</v>
      </c>
      <c r="V150" t="s">
        <v>80</v>
      </c>
      <c r="W150" t="s">
        <v>1381</v>
      </c>
      <c r="X150" s="1">
        <v>44945</v>
      </c>
      <c r="Y150">
        <v>7.47</v>
      </c>
      <c r="Z150" t="s">
        <v>82</v>
      </c>
      <c r="AA150" t="str">
        <f t="shared" si="3"/>
        <v>1003</v>
      </c>
      <c r="AB150" t="s">
        <v>638</v>
      </c>
      <c r="AC150" t="s">
        <v>1382</v>
      </c>
      <c r="AD150" t="s">
        <v>1383</v>
      </c>
      <c r="AE150" t="str">
        <f>"60121012"</f>
        <v>60121012</v>
      </c>
      <c r="AF150" t="s">
        <v>349</v>
      </c>
      <c r="AG150" t="s">
        <v>472</v>
      </c>
      <c r="AH150" t="s">
        <v>473</v>
      </c>
      <c r="AI150" t="s">
        <v>1384</v>
      </c>
      <c r="AK150" t="s">
        <v>1385</v>
      </c>
      <c r="AL150" t="s">
        <v>1385</v>
      </c>
      <c r="AO150" t="s">
        <v>1386</v>
      </c>
      <c r="AP150" t="s">
        <v>92</v>
      </c>
      <c r="AR150">
        <v>6.98</v>
      </c>
      <c r="AS150">
        <v>6.98</v>
      </c>
      <c r="AT150">
        <v>1</v>
      </c>
      <c r="AU150">
        <v>6.98</v>
      </c>
      <c r="AV150">
        <v>0</v>
      </c>
      <c r="AX150">
        <v>0.49</v>
      </c>
      <c r="AY150">
        <v>7.47</v>
      </c>
      <c r="BA150" t="s">
        <v>93</v>
      </c>
      <c r="BC150" t="s">
        <v>93</v>
      </c>
      <c r="BD150" t="s">
        <v>128</v>
      </c>
      <c r="BI150" t="s">
        <v>80</v>
      </c>
      <c r="BM150" t="s">
        <v>427</v>
      </c>
      <c r="BN150" t="s">
        <v>95</v>
      </c>
      <c r="BP150" t="s">
        <v>428</v>
      </c>
      <c r="BR150" t="s">
        <v>1387</v>
      </c>
      <c r="BT150" t="s">
        <v>587</v>
      </c>
      <c r="BU150" t="s">
        <v>296</v>
      </c>
      <c r="BV150" t="str">
        <f>"518000"</f>
        <v>518000</v>
      </c>
      <c r="BW150">
        <v>894</v>
      </c>
      <c r="BX150" t="s">
        <v>2744</v>
      </c>
      <c r="BY150" t="s">
        <v>2697</v>
      </c>
      <c r="BZ150">
        <v>3</v>
      </c>
    </row>
    <row r="151" spans="1:78" x14ac:dyDescent="0.25">
      <c r="A151" s="1">
        <v>44945</v>
      </c>
      <c r="B151" t="s">
        <v>1380</v>
      </c>
      <c r="C151" t="s">
        <v>392</v>
      </c>
      <c r="E151">
        <v>2</v>
      </c>
      <c r="F151" t="s">
        <v>76</v>
      </c>
      <c r="G151">
        <v>18.97</v>
      </c>
      <c r="H151">
        <v>0</v>
      </c>
      <c r="I151">
        <v>0</v>
      </c>
      <c r="J151">
        <v>1.33</v>
      </c>
      <c r="K151">
        <v>20.3</v>
      </c>
      <c r="L151" t="s">
        <v>77</v>
      </c>
      <c r="P151" t="s">
        <v>418</v>
      </c>
      <c r="Q151" t="s">
        <v>419</v>
      </c>
      <c r="R151" t="s">
        <v>80</v>
      </c>
      <c r="S151" t="s">
        <v>80</v>
      </c>
      <c r="T151" t="s">
        <v>80</v>
      </c>
      <c r="U151" t="s">
        <v>80</v>
      </c>
      <c r="V151" t="s">
        <v>80</v>
      </c>
      <c r="W151" t="s">
        <v>1388</v>
      </c>
      <c r="X151" s="1">
        <v>44946</v>
      </c>
      <c r="Y151">
        <v>12.83</v>
      </c>
      <c r="Z151" t="s">
        <v>82</v>
      </c>
      <c r="AA151" t="str">
        <f t="shared" si="3"/>
        <v>1003</v>
      </c>
      <c r="AB151" t="s">
        <v>287</v>
      </c>
      <c r="AC151" t="s">
        <v>1389</v>
      </c>
      <c r="AD151" t="s">
        <v>1390</v>
      </c>
      <c r="AE151" t="str">
        <f>"53121600"</f>
        <v>53121600</v>
      </c>
      <c r="AF151" t="s">
        <v>1134</v>
      </c>
      <c r="AG151" t="s">
        <v>1391</v>
      </c>
      <c r="AH151" t="s">
        <v>1392</v>
      </c>
      <c r="AI151" t="s">
        <v>1392</v>
      </c>
      <c r="AK151" t="s">
        <v>1393</v>
      </c>
      <c r="AL151" t="s">
        <v>1393</v>
      </c>
      <c r="AO151" t="s">
        <v>1394</v>
      </c>
      <c r="AP151" t="s">
        <v>92</v>
      </c>
      <c r="AR151">
        <v>11.99</v>
      </c>
      <c r="AS151">
        <v>11.99</v>
      </c>
      <c r="AT151">
        <v>1</v>
      </c>
      <c r="AU151">
        <v>11.99</v>
      </c>
      <c r="AV151">
        <v>0</v>
      </c>
      <c r="AX151">
        <v>0.84</v>
      </c>
      <c r="AY151">
        <v>12.83</v>
      </c>
      <c r="BA151" t="s">
        <v>93</v>
      </c>
      <c r="BC151" t="s">
        <v>93</v>
      </c>
      <c r="BI151" t="s">
        <v>80</v>
      </c>
      <c r="BM151" t="s">
        <v>427</v>
      </c>
      <c r="BN151" t="s">
        <v>95</v>
      </c>
      <c r="BP151" t="s">
        <v>428</v>
      </c>
      <c r="BR151" t="s">
        <v>1393</v>
      </c>
      <c r="BT151" t="s">
        <v>1395</v>
      </c>
      <c r="BU151" t="s">
        <v>523</v>
      </c>
      <c r="BV151" t="str">
        <f>"322002"</f>
        <v>322002</v>
      </c>
      <c r="BW151">
        <v>894</v>
      </c>
      <c r="BX151" t="s">
        <v>2744</v>
      </c>
      <c r="BY151" t="s">
        <v>2697</v>
      </c>
      <c r="BZ151">
        <v>3</v>
      </c>
    </row>
    <row r="152" spans="1:78" x14ac:dyDescent="0.25">
      <c r="A152" s="1">
        <v>44945</v>
      </c>
      <c r="B152" t="s">
        <v>1396</v>
      </c>
      <c r="C152" t="s">
        <v>392</v>
      </c>
      <c r="E152">
        <v>4</v>
      </c>
      <c r="F152" t="s">
        <v>76</v>
      </c>
      <c r="G152">
        <v>63.95</v>
      </c>
      <c r="H152">
        <v>0</v>
      </c>
      <c r="I152">
        <v>0</v>
      </c>
      <c r="J152">
        <v>4.4800000000000004</v>
      </c>
      <c r="K152">
        <v>68.430000000000007</v>
      </c>
      <c r="L152" t="s">
        <v>77</v>
      </c>
      <c r="P152" t="s">
        <v>418</v>
      </c>
      <c r="Q152" t="s">
        <v>419</v>
      </c>
      <c r="R152" t="s">
        <v>80</v>
      </c>
      <c r="S152" t="s">
        <v>80</v>
      </c>
      <c r="T152" t="s">
        <v>80</v>
      </c>
      <c r="U152" t="s">
        <v>80</v>
      </c>
      <c r="V152" t="s">
        <v>80</v>
      </c>
      <c r="W152" t="s">
        <v>1397</v>
      </c>
      <c r="X152" s="1">
        <v>44948</v>
      </c>
      <c r="Y152">
        <v>68.430000000000007</v>
      </c>
      <c r="Z152" t="s">
        <v>82</v>
      </c>
      <c r="AA152" t="str">
        <f t="shared" si="3"/>
        <v>1003</v>
      </c>
      <c r="AB152" t="s">
        <v>268</v>
      </c>
      <c r="AC152" t="s">
        <v>1398</v>
      </c>
      <c r="AD152" t="s">
        <v>1399</v>
      </c>
      <c r="AE152" t="str">
        <f>"55121607"</f>
        <v>55121607</v>
      </c>
      <c r="AF152" t="s">
        <v>195</v>
      </c>
      <c r="AG152" t="s">
        <v>196</v>
      </c>
      <c r="AH152" t="s">
        <v>197</v>
      </c>
      <c r="AI152" t="s">
        <v>1400</v>
      </c>
      <c r="AK152" t="s">
        <v>1401</v>
      </c>
      <c r="AL152" t="s">
        <v>1401</v>
      </c>
      <c r="AO152" t="s">
        <v>1402</v>
      </c>
      <c r="AP152" t="s">
        <v>92</v>
      </c>
      <c r="AR152">
        <v>10.99</v>
      </c>
      <c r="AS152">
        <v>10.98</v>
      </c>
      <c r="AT152">
        <v>1</v>
      </c>
      <c r="AU152">
        <v>10.98</v>
      </c>
      <c r="AV152">
        <v>0</v>
      </c>
      <c r="AX152">
        <v>0.77</v>
      </c>
      <c r="AY152">
        <v>11.75</v>
      </c>
      <c r="BA152" t="s">
        <v>93</v>
      </c>
      <c r="BC152" t="s">
        <v>93</v>
      </c>
      <c r="BI152" t="s">
        <v>80</v>
      </c>
      <c r="BM152" t="s">
        <v>427</v>
      </c>
      <c r="BN152" t="s">
        <v>95</v>
      </c>
      <c r="BP152" t="s">
        <v>428</v>
      </c>
      <c r="BR152" t="s">
        <v>1403</v>
      </c>
      <c r="BT152" t="s">
        <v>587</v>
      </c>
      <c r="BU152" t="s">
        <v>296</v>
      </c>
      <c r="BV152" t="str">
        <f>"518000"</f>
        <v>518000</v>
      </c>
      <c r="BW152">
        <v>894</v>
      </c>
      <c r="BX152" t="s">
        <v>2744</v>
      </c>
      <c r="BY152" t="s">
        <v>2697</v>
      </c>
      <c r="BZ152">
        <v>3</v>
      </c>
    </row>
    <row r="153" spans="1:78" x14ac:dyDescent="0.25">
      <c r="A153" s="1">
        <v>44945</v>
      </c>
      <c r="B153" t="s">
        <v>1396</v>
      </c>
      <c r="C153" t="s">
        <v>392</v>
      </c>
      <c r="E153">
        <v>4</v>
      </c>
      <c r="F153" t="s">
        <v>76</v>
      </c>
      <c r="G153">
        <v>63.95</v>
      </c>
      <c r="H153">
        <v>0</v>
      </c>
      <c r="I153">
        <v>0</v>
      </c>
      <c r="J153">
        <v>4.4800000000000004</v>
      </c>
      <c r="K153">
        <v>68.430000000000007</v>
      </c>
      <c r="L153" t="s">
        <v>77</v>
      </c>
      <c r="P153" t="s">
        <v>418</v>
      </c>
      <c r="Q153" t="s">
        <v>419</v>
      </c>
      <c r="R153" t="s">
        <v>80</v>
      </c>
      <c r="S153" t="s">
        <v>80</v>
      </c>
      <c r="T153" t="s">
        <v>80</v>
      </c>
      <c r="U153" t="s">
        <v>80</v>
      </c>
      <c r="V153" t="s">
        <v>80</v>
      </c>
      <c r="W153" t="s">
        <v>1397</v>
      </c>
      <c r="X153" s="1">
        <v>44948</v>
      </c>
      <c r="Y153">
        <v>68.430000000000007</v>
      </c>
      <c r="Z153" t="s">
        <v>82</v>
      </c>
      <c r="AA153" t="str">
        <f t="shared" si="3"/>
        <v>1003</v>
      </c>
      <c r="AB153" t="s">
        <v>287</v>
      </c>
      <c r="AC153" t="s">
        <v>1404</v>
      </c>
      <c r="AD153" t="s">
        <v>1405</v>
      </c>
      <c r="AE153" t="str">
        <f>"55121700"</f>
        <v>55121700</v>
      </c>
      <c r="AF153" t="s">
        <v>195</v>
      </c>
      <c r="AG153" t="s">
        <v>196</v>
      </c>
      <c r="AH153" t="s">
        <v>290</v>
      </c>
      <c r="AI153" t="s">
        <v>290</v>
      </c>
      <c r="AK153" t="s">
        <v>1406</v>
      </c>
      <c r="AL153" t="s">
        <v>1406</v>
      </c>
      <c r="AO153" t="str">
        <f>"006"</f>
        <v>006</v>
      </c>
      <c r="AP153" t="s">
        <v>92</v>
      </c>
      <c r="AR153">
        <v>14.99</v>
      </c>
      <c r="AS153">
        <v>14.99</v>
      </c>
      <c r="AT153">
        <v>1</v>
      </c>
      <c r="AU153">
        <v>14.99</v>
      </c>
      <c r="AV153">
        <v>0</v>
      </c>
      <c r="AX153">
        <v>1.05</v>
      </c>
      <c r="AY153">
        <v>16.04</v>
      </c>
      <c r="BA153" t="s">
        <v>93</v>
      </c>
      <c r="BC153" t="s">
        <v>93</v>
      </c>
      <c r="BI153" t="s">
        <v>80</v>
      </c>
      <c r="BM153" t="s">
        <v>427</v>
      </c>
      <c r="BN153" t="s">
        <v>95</v>
      </c>
      <c r="BP153" t="s">
        <v>428</v>
      </c>
      <c r="BR153" t="s">
        <v>1407</v>
      </c>
      <c r="BT153" t="s">
        <v>1408</v>
      </c>
      <c r="BU153" t="s">
        <v>1409</v>
      </c>
      <c r="BV153" t="str">
        <f>"362000"</f>
        <v>362000</v>
      </c>
      <c r="BW153">
        <v>894</v>
      </c>
      <c r="BX153" t="s">
        <v>2744</v>
      </c>
      <c r="BY153" t="s">
        <v>2697</v>
      </c>
      <c r="BZ153">
        <v>3</v>
      </c>
    </row>
    <row r="154" spans="1:78" x14ac:dyDescent="0.25">
      <c r="A154" s="1">
        <v>44945</v>
      </c>
      <c r="B154" t="s">
        <v>1396</v>
      </c>
      <c r="C154" t="s">
        <v>392</v>
      </c>
      <c r="E154">
        <v>4</v>
      </c>
      <c r="F154" t="s">
        <v>76</v>
      </c>
      <c r="G154">
        <v>63.95</v>
      </c>
      <c r="H154">
        <v>0</v>
      </c>
      <c r="I154">
        <v>0</v>
      </c>
      <c r="J154">
        <v>4.4800000000000004</v>
      </c>
      <c r="K154">
        <v>68.430000000000007</v>
      </c>
      <c r="L154" t="s">
        <v>77</v>
      </c>
      <c r="P154" t="s">
        <v>418</v>
      </c>
      <c r="Q154" t="s">
        <v>419</v>
      </c>
      <c r="R154" t="s">
        <v>80</v>
      </c>
      <c r="S154" t="s">
        <v>80</v>
      </c>
      <c r="T154" t="s">
        <v>80</v>
      </c>
      <c r="U154" t="s">
        <v>80</v>
      </c>
      <c r="V154" t="s">
        <v>80</v>
      </c>
      <c r="W154" t="s">
        <v>1397</v>
      </c>
      <c r="X154" s="1">
        <v>44948</v>
      </c>
      <c r="Y154">
        <v>68.430000000000007</v>
      </c>
      <c r="Z154" t="s">
        <v>82</v>
      </c>
      <c r="AA154" t="str">
        <f t="shared" si="3"/>
        <v>1003</v>
      </c>
      <c r="AB154" t="s">
        <v>268</v>
      </c>
      <c r="AC154" t="s">
        <v>1410</v>
      </c>
      <c r="AD154" t="s">
        <v>1411</v>
      </c>
      <c r="AE154" t="str">
        <f>"56141500"</f>
        <v>56141500</v>
      </c>
      <c r="AF154" t="s">
        <v>159</v>
      </c>
      <c r="AG154" t="s">
        <v>1412</v>
      </c>
      <c r="AH154" t="s">
        <v>1413</v>
      </c>
      <c r="AI154" t="s">
        <v>1413</v>
      </c>
      <c r="AK154" t="s">
        <v>1414</v>
      </c>
      <c r="AL154" t="s">
        <v>1414</v>
      </c>
      <c r="AN154" t="str">
        <f>"784923789424"</f>
        <v>784923789424</v>
      </c>
      <c r="AO154" t="str">
        <f>"784923789424"</f>
        <v>784923789424</v>
      </c>
      <c r="AP154" t="s">
        <v>92</v>
      </c>
      <c r="AR154">
        <v>39.99</v>
      </c>
      <c r="AS154">
        <v>24.99</v>
      </c>
      <c r="AT154">
        <v>1</v>
      </c>
      <c r="AU154">
        <v>24.99</v>
      </c>
      <c r="AV154">
        <v>0</v>
      </c>
      <c r="AX154">
        <v>1.75</v>
      </c>
      <c r="AY154">
        <v>26.74</v>
      </c>
      <c r="BA154" t="s">
        <v>93</v>
      </c>
      <c r="BC154" t="s">
        <v>93</v>
      </c>
      <c r="BD154" t="s">
        <v>128</v>
      </c>
      <c r="BE154">
        <v>15</v>
      </c>
      <c r="BF154" s="2">
        <v>0.37509999999999999</v>
      </c>
      <c r="BI154" t="s">
        <v>80</v>
      </c>
      <c r="BM154" t="s">
        <v>427</v>
      </c>
      <c r="BN154" t="s">
        <v>95</v>
      </c>
      <c r="BP154" t="s">
        <v>428</v>
      </c>
      <c r="BR154" t="s">
        <v>1415</v>
      </c>
      <c r="BT154" t="s">
        <v>1416</v>
      </c>
      <c r="BU154" t="s">
        <v>1417</v>
      </c>
      <c r="BV154" t="str">
        <f>"463700"</f>
        <v>463700</v>
      </c>
      <c r="BW154">
        <v>894</v>
      </c>
      <c r="BX154" t="s">
        <v>2744</v>
      </c>
      <c r="BY154" t="s">
        <v>2697</v>
      </c>
      <c r="BZ154">
        <v>3</v>
      </c>
    </row>
    <row r="155" spans="1:78" x14ac:dyDescent="0.25">
      <c r="A155" s="1">
        <v>44945</v>
      </c>
      <c r="B155" t="s">
        <v>1396</v>
      </c>
      <c r="C155" t="s">
        <v>392</v>
      </c>
      <c r="E155">
        <v>4</v>
      </c>
      <c r="F155" t="s">
        <v>76</v>
      </c>
      <c r="G155">
        <v>63.95</v>
      </c>
      <c r="H155">
        <v>0</v>
      </c>
      <c r="I155">
        <v>0</v>
      </c>
      <c r="J155">
        <v>4.4800000000000004</v>
      </c>
      <c r="K155">
        <v>68.430000000000007</v>
      </c>
      <c r="L155" t="s">
        <v>77</v>
      </c>
      <c r="P155" t="s">
        <v>418</v>
      </c>
      <c r="Q155" t="s">
        <v>419</v>
      </c>
      <c r="R155" t="s">
        <v>80</v>
      </c>
      <c r="S155" t="s">
        <v>80</v>
      </c>
      <c r="T155" t="s">
        <v>80</v>
      </c>
      <c r="U155" t="s">
        <v>80</v>
      </c>
      <c r="V155" t="s">
        <v>80</v>
      </c>
      <c r="W155" t="s">
        <v>1397</v>
      </c>
      <c r="X155" s="1">
        <v>44948</v>
      </c>
      <c r="Y155">
        <v>68.430000000000007</v>
      </c>
      <c r="Z155" t="s">
        <v>82</v>
      </c>
      <c r="AA155" t="str">
        <f t="shared" si="3"/>
        <v>1003</v>
      </c>
      <c r="AB155" t="s">
        <v>638</v>
      </c>
      <c r="AC155" t="s">
        <v>1418</v>
      </c>
      <c r="AD155" t="s">
        <v>1419</v>
      </c>
      <c r="AE155" t="str">
        <f>"55121706"</f>
        <v>55121706</v>
      </c>
      <c r="AF155" t="s">
        <v>195</v>
      </c>
      <c r="AG155" t="s">
        <v>196</v>
      </c>
      <c r="AH155" t="s">
        <v>290</v>
      </c>
      <c r="AI155" t="s">
        <v>291</v>
      </c>
      <c r="AK155" t="s">
        <v>1420</v>
      </c>
      <c r="AL155" t="s">
        <v>1420</v>
      </c>
      <c r="AP155" t="s">
        <v>92</v>
      </c>
      <c r="AR155">
        <v>19.989999999999998</v>
      </c>
      <c r="AS155">
        <v>12.99</v>
      </c>
      <c r="AT155">
        <v>1</v>
      </c>
      <c r="AU155">
        <v>12.99</v>
      </c>
      <c r="AV155">
        <v>0</v>
      </c>
      <c r="AX155">
        <v>0.91</v>
      </c>
      <c r="AY155">
        <v>13.9</v>
      </c>
      <c r="BA155" t="s">
        <v>93</v>
      </c>
      <c r="BC155" t="s">
        <v>93</v>
      </c>
      <c r="BI155" t="s">
        <v>80</v>
      </c>
      <c r="BM155" t="s">
        <v>427</v>
      </c>
      <c r="BN155" t="s">
        <v>95</v>
      </c>
      <c r="BP155" t="s">
        <v>428</v>
      </c>
      <c r="BR155" t="s">
        <v>1420</v>
      </c>
      <c r="BT155" t="s">
        <v>203</v>
      </c>
      <c r="BU155" t="s">
        <v>204</v>
      </c>
      <c r="BV155" t="str">
        <f>"518114"</f>
        <v>518114</v>
      </c>
      <c r="BW155">
        <v>894</v>
      </c>
      <c r="BX155" t="s">
        <v>2744</v>
      </c>
      <c r="BY155" t="s">
        <v>2697</v>
      </c>
      <c r="BZ155">
        <v>3</v>
      </c>
    </row>
    <row r="156" spans="1:78" x14ac:dyDescent="0.25">
      <c r="A156" s="1">
        <v>44945</v>
      </c>
      <c r="B156" t="s">
        <v>1421</v>
      </c>
      <c r="C156" t="s">
        <v>392</v>
      </c>
      <c r="E156">
        <v>1</v>
      </c>
      <c r="F156" t="s">
        <v>76</v>
      </c>
      <c r="G156">
        <v>11.99</v>
      </c>
      <c r="H156">
        <v>0</v>
      </c>
      <c r="I156">
        <v>0</v>
      </c>
      <c r="J156">
        <v>0.84</v>
      </c>
      <c r="K156">
        <v>12.83</v>
      </c>
      <c r="L156" t="s">
        <v>77</v>
      </c>
      <c r="P156" t="s">
        <v>418</v>
      </c>
      <c r="Q156" t="s">
        <v>419</v>
      </c>
      <c r="R156" t="s">
        <v>80</v>
      </c>
      <c r="S156" t="s">
        <v>80</v>
      </c>
      <c r="T156" t="s">
        <v>80</v>
      </c>
      <c r="U156" t="s">
        <v>80</v>
      </c>
      <c r="V156" t="s">
        <v>80</v>
      </c>
      <c r="W156" t="s">
        <v>1422</v>
      </c>
      <c r="X156" s="1">
        <v>44947</v>
      </c>
      <c r="Y156">
        <v>12.83</v>
      </c>
      <c r="Z156" t="s">
        <v>82</v>
      </c>
      <c r="AA156" t="str">
        <f t="shared" si="3"/>
        <v>1003</v>
      </c>
      <c r="AB156" t="s">
        <v>638</v>
      </c>
      <c r="AC156" t="s">
        <v>1423</v>
      </c>
      <c r="AD156" t="s">
        <v>1424</v>
      </c>
      <c r="AE156" t="str">
        <f>"55121706"</f>
        <v>55121706</v>
      </c>
      <c r="AF156" t="s">
        <v>195</v>
      </c>
      <c r="AG156" t="s">
        <v>196</v>
      </c>
      <c r="AH156" t="s">
        <v>290</v>
      </c>
      <c r="AI156" t="s">
        <v>291</v>
      </c>
      <c r="AK156" t="s">
        <v>1425</v>
      </c>
      <c r="AL156" t="s">
        <v>1425</v>
      </c>
      <c r="AO156" t="s">
        <v>1426</v>
      </c>
      <c r="AP156" t="s">
        <v>92</v>
      </c>
      <c r="AR156">
        <v>11.99</v>
      </c>
      <c r="AS156">
        <v>11.99</v>
      </c>
      <c r="AT156">
        <v>1</v>
      </c>
      <c r="AU156">
        <v>11.99</v>
      </c>
      <c r="AV156">
        <v>0</v>
      </c>
      <c r="AX156">
        <v>0.84</v>
      </c>
      <c r="AY156">
        <v>12.83</v>
      </c>
      <c r="BA156" t="s">
        <v>93</v>
      </c>
      <c r="BC156" t="s">
        <v>93</v>
      </c>
      <c r="BI156" t="s">
        <v>80</v>
      </c>
      <c r="BM156" t="s">
        <v>427</v>
      </c>
      <c r="BN156" t="s">
        <v>95</v>
      </c>
      <c r="BP156" t="s">
        <v>428</v>
      </c>
      <c r="BR156" t="s">
        <v>1427</v>
      </c>
      <c r="BT156" t="s">
        <v>483</v>
      </c>
      <c r="BU156" t="s">
        <v>484</v>
      </c>
      <c r="BV156" t="str">
        <f>"230000"</f>
        <v>230000</v>
      </c>
      <c r="BW156">
        <v>894</v>
      </c>
      <c r="BX156" t="s">
        <v>2744</v>
      </c>
      <c r="BY156" t="s">
        <v>2697</v>
      </c>
      <c r="BZ156">
        <v>3</v>
      </c>
    </row>
    <row r="157" spans="1:78" x14ac:dyDescent="0.25">
      <c r="A157" s="1">
        <v>44945</v>
      </c>
      <c r="B157" t="s">
        <v>1428</v>
      </c>
      <c r="C157" t="s">
        <v>392</v>
      </c>
      <c r="E157">
        <v>2</v>
      </c>
      <c r="F157" t="s">
        <v>76</v>
      </c>
      <c r="G157">
        <v>38.880000000000003</v>
      </c>
      <c r="H157">
        <v>0</v>
      </c>
      <c r="I157">
        <v>0</v>
      </c>
      <c r="J157">
        <v>2.72</v>
      </c>
      <c r="K157">
        <v>41.6</v>
      </c>
      <c r="L157" t="s">
        <v>77</v>
      </c>
      <c r="P157" t="s">
        <v>418</v>
      </c>
      <c r="Q157" t="s">
        <v>419</v>
      </c>
      <c r="R157" t="s">
        <v>80</v>
      </c>
      <c r="S157" t="s">
        <v>80</v>
      </c>
      <c r="T157" t="s">
        <v>80</v>
      </c>
      <c r="U157" t="s">
        <v>80</v>
      </c>
      <c r="V157" t="s">
        <v>80</v>
      </c>
      <c r="W157" t="s">
        <v>1429</v>
      </c>
      <c r="X157" s="1">
        <v>44951</v>
      </c>
      <c r="Y157">
        <v>20.32</v>
      </c>
      <c r="Z157" t="s">
        <v>82</v>
      </c>
      <c r="AA157" t="str">
        <f t="shared" si="3"/>
        <v>1003</v>
      </c>
      <c r="AB157" t="s">
        <v>346</v>
      </c>
      <c r="AC157" t="s">
        <v>1430</v>
      </c>
      <c r="AD157" t="s">
        <v>1431</v>
      </c>
      <c r="AE157" t="str">
        <f>"44000000"</f>
        <v>44000000</v>
      </c>
      <c r="AF157" t="s">
        <v>108</v>
      </c>
      <c r="AG157" t="s">
        <v>108</v>
      </c>
      <c r="AH157" t="s">
        <v>108</v>
      </c>
      <c r="AI157" t="s">
        <v>108</v>
      </c>
      <c r="AK157" t="s">
        <v>1432</v>
      </c>
      <c r="AL157" t="s">
        <v>1432</v>
      </c>
      <c r="AO157" t="s">
        <v>1433</v>
      </c>
      <c r="AP157" t="s">
        <v>92</v>
      </c>
      <c r="AR157">
        <v>13.99</v>
      </c>
      <c r="AS157">
        <v>18.989999999999998</v>
      </c>
      <c r="AT157">
        <v>1</v>
      </c>
      <c r="AU157">
        <v>18.989999999999998</v>
      </c>
      <c r="AV157">
        <v>0</v>
      </c>
      <c r="AX157">
        <v>1.33</v>
      </c>
      <c r="AY157">
        <v>20.32</v>
      </c>
      <c r="BA157" t="s">
        <v>93</v>
      </c>
      <c r="BC157" t="s">
        <v>93</v>
      </c>
      <c r="BI157" t="s">
        <v>80</v>
      </c>
      <c r="BM157" t="s">
        <v>427</v>
      </c>
      <c r="BN157" t="s">
        <v>95</v>
      </c>
      <c r="BP157" t="s">
        <v>428</v>
      </c>
      <c r="BR157" t="s">
        <v>1434</v>
      </c>
      <c r="BT157" t="s">
        <v>483</v>
      </c>
      <c r="BU157" t="s">
        <v>484</v>
      </c>
      <c r="BV157" t="str">
        <f>"230000"</f>
        <v>230000</v>
      </c>
      <c r="BW157">
        <v>894</v>
      </c>
      <c r="BX157" t="s">
        <v>2744</v>
      </c>
      <c r="BY157" t="s">
        <v>2697</v>
      </c>
      <c r="BZ157">
        <v>3</v>
      </c>
    </row>
    <row r="158" spans="1:78" x14ac:dyDescent="0.25">
      <c r="A158" s="1">
        <v>44945</v>
      </c>
      <c r="B158" t="s">
        <v>1428</v>
      </c>
      <c r="C158" t="s">
        <v>392</v>
      </c>
      <c r="E158">
        <v>2</v>
      </c>
      <c r="F158" t="s">
        <v>76</v>
      </c>
      <c r="G158">
        <v>38.880000000000003</v>
      </c>
      <c r="H158">
        <v>0</v>
      </c>
      <c r="I158">
        <v>0</v>
      </c>
      <c r="J158">
        <v>2.72</v>
      </c>
      <c r="K158">
        <v>41.6</v>
      </c>
      <c r="L158" t="s">
        <v>77</v>
      </c>
      <c r="P158" t="s">
        <v>418</v>
      </c>
      <c r="Q158" t="s">
        <v>419</v>
      </c>
      <c r="R158" t="s">
        <v>80</v>
      </c>
      <c r="S158" t="s">
        <v>80</v>
      </c>
      <c r="T158" t="s">
        <v>80</v>
      </c>
      <c r="U158" t="s">
        <v>80</v>
      </c>
      <c r="V158" t="s">
        <v>80</v>
      </c>
      <c r="W158" t="s">
        <v>1435</v>
      </c>
      <c r="X158" s="1">
        <v>44947</v>
      </c>
      <c r="Y158">
        <v>21.28</v>
      </c>
      <c r="Z158" t="s">
        <v>82</v>
      </c>
      <c r="AA158" t="str">
        <f t="shared" si="3"/>
        <v>1003</v>
      </c>
      <c r="AB158" t="s">
        <v>268</v>
      </c>
      <c r="AC158" t="s">
        <v>1436</v>
      </c>
      <c r="AD158" t="s">
        <v>1437</v>
      </c>
      <c r="AE158" t="str">
        <f>"52121604"</f>
        <v>52121604</v>
      </c>
      <c r="AF158" t="s">
        <v>684</v>
      </c>
      <c r="AG158" t="s">
        <v>892</v>
      </c>
      <c r="AH158" t="s">
        <v>893</v>
      </c>
      <c r="AI158" t="s">
        <v>894</v>
      </c>
      <c r="AK158" t="s">
        <v>1438</v>
      </c>
      <c r="AL158" t="s">
        <v>1438</v>
      </c>
      <c r="AP158" t="s">
        <v>92</v>
      </c>
      <c r="AR158">
        <v>19.89</v>
      </c>
      <c r="AS158">
        <v>19.89</v>
      </c>
      <c r="AT158">
        <v>1</v>
      </c>
      <c r="AU158">
        <v>19.89</v>
      </c>
      <c r="AV158">
        <v>0</v>
      </c>
      <c r="AX158">
        <v>1.39</v>
      </c>
      <c r="AY158">
        <v>21.28</v>
      </c>
      <c r="BA158" t="s">
        <v>93</v>
      </c>
      <c r="BC158" t="s">
        <v>93</v>
      </c>
      <c r="BI158" t="s">
        <v>80</v>
      </c>
      <c r="BM158" t="s">
        <v>427</v>
      </c>
      <c r="BN158" t="s">
        <v>95</v>
      </c>
      <c r="BP158" t="s">
        <v>428</v>
      </c>
      <c r="BR158" t="s">
        <v>1439</v>
      </c>
      <c r="BT158" t="s">
        <v>1333</v>
      </c>
      <c r="BU158" t="s">
        <v>361</v>
      </c>
      <c r="BV158" t="str">
        <f>"523170"</f>
        <v>523170</v>
      </c>
      <c r="BW158">
        <v>894</v>
      </c>
      <c r="BX158" t="s">
        <v>2744</v>
      </c>
      <c r="BY158" t="s">
        <v>2697</v>
      </c>
      <c r="BZ158">
        <v>3</v>
      </c>
    </row>
    <row r="159" spans="1:78" x14ac:dyDescent="0.25">
      <c r="A159" s="1">
        <v>44945</v>
      </c>
      <c r="B159" t="s">
        <v>1440</v>
      </c>
      <c r="C159" t="s">
        <v>392</v>
      </c>
      <c r="E159">
        <v>1</v>
      </c>
      <c r="F159" t="s">
        <v>76</v>
      </c>
      <c r="G159">
        <v>21.07</v>
      </c>
      <c r="H159">
        <v>0</v>
      </c>
      <c r="I159">
        <v>0</v>
      </c>
      <c r="J159">
        <v>1.47</v>
      </c>
      <c r="K159">
        <v>22.54</v>
      </c>
      <c r="L159" t="s">
        <v>77</v>
      </c>
      <c r="P159" t="s">
        <v>418</v>
      </c>
      <c r="Q159" t="s">
        <v>419</v>
      </c>
      <c r="R159" t="s">
        <v>80</v>
      </c>
      <c r="S159" t="s">
        <v>80</v>
      </c>
      <c r="T159" t="s">
        <v>80</v>
      </c>
      <c r="U159" t="s">
        <v>80</v>
      </c>
      <c r="V159" t="s">
        <v>80</v>
      </c>
      <c r="W159" t="s">
        <v>1441</v>
      </c>
      <c r="X159" s="1">
        <v>44945</v>
      </c>
      <c r="Y159">
        <v>22.54</v>
      </c>
      <c r="Z159" t="s">
        <v>82</v>
      </c>
      <c r="AA159" t="str">
        <f t="shared" si="3"/>
        <v>1003</v>
      </c>
      <c r="AB159" t="s">
        <v>346</v>
      </c>
      <c r="AC159" t="s">
        <v>1442</v>
      </c>
      <c r="AD159" t="s">
        <v>1443</v>
      </c>
      <c r="AE159" t="str">
        <f>"44000000"</f>
        <v>44000000</v>
      </c>
      <c r="AF159" t="s">
        <v>108</v>
      </c>
      <c r="AG159" t="s">
        <v>108</v>
      </c>
      <c r="AH159" t="s">
        <v>108</v>
      </c>
      <c r="AI159" t="s">
        <v>108</v>
      </c>
      <c r="AJ159" t="s">
        <v>1444</v>
      </c>
      <c r="AK159" t="s">
        <v>1445</v>
      </c>
      <c r="AL159" t="s">
        <v>1446</v>
      </c>
      <c r="AN159" t="str">
        <f>"13934897"</f>
        <v>13934897</v>
      </c>
      <c r="AO159" t="str">
        <f>"13934897"</f>
        <v>13934897</v>
      </c>
      <c r="AP159" t="s">
        <v>92</v>
      </c>
      <c r="AR159">
        <v>24.99</v>
      </c>
      <c r="AS159">
        <v>21.07</v>
      </c>
      <c r="AT159">
        <v>1</v>
      </c>
      <c r="AU159">
        <v>21.07</v>
      </c>
      <c r="AV159">
        <v>0</v>
      </c>
      <c r="AX159">
        <v>1.47</v>
      </c>
      <c r="AY159">
        <v>22.54</v>
      </c>
      <c r="BA159" t="s">
        <v>93</v>
      </c>
      <c r="BC159" t="s">
        <v>93</v>
      </c>
      <c r="BD159" t="s">
        <v>128</v>
      </c>
      <c r="BE159">
        <v>3.92</v>
      </c>
      <c r="BF159" s="2">
        <v>0.15690000000000001</v>
      </c>
      <c r="BI159" t="s">
        <v>80</v>
      </c>
      <c r="BM159" t="s">
        <v>427</v>
      </c>
      <c r="BN159" t="s">
        <v>95</v>
      </c>
      <c r="BP159" t="s">
        <v>428</v>
      </c>
      <c r="BR159" t="s">
        <v>1447</v>
      </c>
      <c r="BT159" t="s">
        <v>1448</v>
      </c>
      <c r="BU159" t="s">
        <v>1449</v>
      </c>
      <c r="BV159" t="str">
        <f>"68127"</f>
        <v>68127</v>
      </c>
      <c r="BW159">
        <v>894</v>
      </c>
      <c r="BX159" t="s">
        <v>2744</v>
      </c>
      <c r="BY159" t="s">
        <v>2697</v>
      </c>
      <c r="BZ159">
        <v>3</v>
      </c>
    </row>
    <row r="160" spans="1:78" x14ac:dyDescent="0.25">
      <c r="A160" s="1">
        <v>44945</v>
      </c>
      <c r="B160" t="s">
        <v>1450</v>
      </c>
      <c r="C160" t="s">
        <v>1451</v>
      </c>
      <c r="E160">
        <v>2</v>
      </c>
      <c r="F160" t="s">
        <v>76</v>
      </c>
      <c r="G160">
        <v>86.98</v>
      </c>
      <c r="H160">
        <v>0</v>
      </c>
      <c r="I160">
        <v>0</v>
      </c>
      <c r="J160">
        <v>5.22</v>
      </c>
      <c r="K160">
        <v>92.2</v>
      </c>
      <c r="L160" t="s">
        <v>77</v>
      </c>
      <c r="P160" t="s">
        <v>852</v>
      </c>
      <c r="Q160" t="s">
        <v>853</v>
      </c>
      <c r="R160" t="s">
        <v>80</v>
      </c>
      <c r="S160" t="s">
        <v>80</v>
      </c>
      <c r="T160" t="s">
        <v>80</v>
      </c>
      <c r="U160" t="s">
        <v>80</v>
      </c>
      <c r="V160" t="s">
        <v>80</v>
      </c>
      <c r="W160" t="s">
        <v>1452</v>
      </c>
      <c r="X160" s="1">
        <v>44945</v>
      </c>
      <c r="Y160">
        <v>52.99</v>
      </c>
      <c r="Z160" t="s">
        <v>82</v>
      </c>
      <c r="AA160" t="str">
        <f t="shared" si="3"/>
        <v>1003</v>
      </c>
      <c r="AB160" t="s">
        <v>119</v>
      </c>
      <c r="AC160" t="s">
        <v>1123</v>
      </c>
      <c r="AD160" t="s">
        <v>1124</v>
      </c>
      <c r="AE160" t="str">
        <f>"44111515"</f>
        <v>44111515</v>
      </c>
      <c r="AF160" t="s">
        <v>108</v>
      </c>
      <c r="AG160" t="s">
        <v>122</v>
      </c>
      <c r="AH160" t="s">
        <v>123</v>
      </c>
      <c r="AI160" t="s">
        <v>1125</v>
      </c>
      <c r="AJ160" t="s">
        <v>1126</v>
      </c>
      <c r="AK160" t="s">
        <v>1127</v>
      </c>
      <c r="AL160" t="s">
        <v>154</v>
      </c>
      <c r="AN160" t="str">
        <f>"0071302"</f>
        <v>0071302</v>
      </c>
      <c r="AO160" t="str">
        <f>"0071302"</f>
        <v>0071302</v>
      </c>
      <c r="AP160" t="s">
        <v>92</v>
      </c>
      <c r="AR160">
        <v>49.99</v>
      </c>
      <c r="AS160">
        <v>49.99</v>
      </c>
      <c r="AT160">
        <v>1</v>
      </c>
      <c r="AU160">
        <v>49.99</v>
      </c>
      <c r="AV160">
        <v>0</v>
      </c>
      <c r="AX160">
        <v>3</v>
      </c>
      <c r="AY160">
        <v>52.99</v>
      </c>
      <c r="BA160" t="s">
        <v>93</v>
      </c>
      <c r="BC160" t="s">
        <v>93</v>
      </c>
      <c r="BD160" t="s">
        <v>128</v>
      </c>
      <c r="BI160" t="s">
        <v>80</v>
      </c>
      <c r="BM160" t="s">
        <v>372</v>
      </c>
      <c r="BN160" t="s">
        <v>373</v>
      </c>
      <c r="BP160" t="s">
        <v>532</v>
      </c>
      <c r="BR160" t="s">
        <v>130</v>
      </c>
      <c r="BT160" t="s">
        <v>131</v>
      </c>
      <c r="BU160" t="s">
        <v>132</v>
      </c>
      <c r="BV160" t="str">
        <f>"98109"</f>
        <v>98109</v>
      </c>
      <c r="BW160">
        <v>825</v>
      </c>
      <c r="BX160" t="s">
        <v>2747</v>
      </c>
      <c r="BY160" t="s">
        <v>2649</v>
      </c>
      <c r="BZ160">
        <v>3</v>
      </c>
    </row>
    <row r="161" spans="1:78" x14ac:dyDescent="0.25">
      <c r="A161" s="1">
        <v>44945</v>
      </c>
      <c r="B161" t="s">
        <v>1450</v>
      </c>
      <c r="C161" t="s">
        <v>1451</v>
      </c>
      <c r="E161">
        <v>2</v>
      </c>
      <c r="F161" t="s">
        <v>76</v>
      </c>
      <c r="G161">
        <v>86.98</v>
      </c>
      <c r="H161">
        <v>0</v>
      </c>
      <c r="I161">
        <v>0</v>
      </c>
      <c r="J161">
        <v>5.22</v>
      </c>
      <c r="K161">
        <v>92.2</v>
      </c>
      <c r="L161" t="s">
        <v>77</v>
      </c>
      <c r="P161" t="s">
        <v>852</v>
      </c>
      <c r="Q161" t="s">
        <v>853</v>
      </c>
      <c r="R161" t="s">
        <v>80</v>
      </c>
      <c r="S161" t="s">
        <v>80</v>
      </c>
      <c r="T161" t="s">
        <v>80</v>
      </c>
      <c r="U161" t="s">
        <v>80</v>
      </c>
      <c r="V161" t="s">
        <v>80</v>
      </c>
      <c r="W161" t="s">
        <v>1453</v>
      </c>
      <c r="X161" s="1">
        <v>44950</v>
      </c>
      <c r="Y161">
        <v>39.21</v>
      </c>
      <c r="Z161" t="s">
        <v>82</v>
      </c>
      <c r="AA161" t="str">
        <f t="shared" si="3"/>
        <v>1003</v>
      </c>
      <c r="AB161" t="s">
        <v>119</v>
      </c>
      <c r="AC161" t="s">
        <v>1454</v>
      </c>
      <c r="AD161" t="s">
        <v>1455</v>
      </c>
      <c r="AE161" t="str">
        <f>"31201500"</f>
        <v>31201500</v>
      </c>
      <c r="AF161" t="s">
        <v>398</v>
      </c>
      <c r="AG161" t="s">
        <v>799</v>
      </c>
      <c r="AH161" t="s">
        <v>800</v>
      </c>
      <c r="AI161" t="s">
        <v>800</v>
      </c>
      <c r="AK161" t="s">
        <v>1456</v>
      </c>
      <c r="AL161" t="s">
        <v>1457</v>
      </c>
      <c r="AO161" t="s">
        <v>1458</v>
      </c>
      <c r="AP161" t="s">
        <v>92</v>
      </c>
      <c r="AR161">
        <v>36.99</v>
      </c>
      <c r="AS161">
        <v>36.99</v>
      </c>
      <c r="AT161">
        <v>1</v>
      </c>
      <c r="AU161">
        <v>36.99</v>
      </c>
      <c r="AV161">
        <v>0</v>
      </c>
      <c r="AX161">
        <v>2.2200000000000002</v>
      </c>
      <c r="AY161">
        <v>39.21</v>
      </c>
      <c r="BA161" t="s">
        <v>93</v>
      </c>
      <c r="BC161" t="s">
        <v>93</v>
      </c>
      <c r="BI161" t="s">
        <v>80</v>
      </c>
      <c r="BM161" t="s">
        <v>372</v>
      </c>
      <c r="BN161" t="s">
        <v>373</v>
      </c>
      <c r="BP161" t="s">
        <v>532</v>
      </c>
      <c r="BR161" t="s">
        <v>1459</v>
      </c>
      <c r="BT161" t="s">
        <v>1460</v>
      </c>
      <c r="BU161" t="s">
        <v>1461</v>
      </c>
      <c r="BV161" t="str">
        <f>"33178"</f>
        <v>33178</v>
      </c>
      <c r="BW161">
        <v>825</v>
      </c>
      <c r="BX161" t="s">
        <v>2747</v>
      </c>
      <c r="BY161" t="s">
        <v>2649</v>
      </c>
      <c r="BZ161">
        <v>3</v>
      </c>
    </row>
    <row r="162" spans="1:78" x14ac:dyDescent="0.25">
      <c r="A162" s="1">
        <v>44945</v>
      </c>
      <c r="B162" t="s">
        <v>1462</v>
      </c>
      <c r="C162" t="s">
        <v>189</v>
      </c>
      <c r="E162">
        <v>2</v>
      </c>
      <c r="F162" t="s">
        <v>76</v>
      </c>
      <c r="G162">
        <v>97.98</v>
      </c>
      <c r="H162">
        <v>0</v>
      </c>
      <c r="I162">
        <v>0</v>
      </c>
      <c r="J162">
        <v>8.08</v>
      </c>
      <c r="K162">
        <v>106.06</v>
      </c>
      <c r="L162" t="s">
        <v>77</v>
      </c>
      <c r="P162" t="s">
        <v>307</v>
      </c>
      <c r="Q162" t="s">
        <v>308</v>
      </c>
      <c r="R162" t="s">
        <v>80</v>
      </c>
      <c r="S162" t="s">
        <v>80</v>
      </c>
      <c r="T162" t="s">
        <v>80</v>
      </c>
      <c r="U162" t="s">
        <v>80</v>
      </c>
      <c r="V162" t="s">
        <v>80</v>
      </c>
      <c r="W162" t="s">
        <v>1463</v>
      </c>
      <c r="X162" s="1">
        <v>44946</v>
      </c>
      <c r="Y162">
        <v>106.06</v>
      </c>
      <c r="Z162" t="s">
        <v>82</v>
      </c>
      <c r="AA162" t="str">
        <f t="shared" si="3"/>
        <v>1003</v>
      </c>
      <c r="AB162" t="s">
        <v>1464</v>
      </c>
      <c r="AC162" t="s">
        <v>1465</v>
      </c>
      <c r="AD162" t="s">
        <v>1466</v>
      </c>
      <c r="AE162" t="str">
        <f>"45121500"</f>
        <v>45121500</v>
      </c>
      <c r="AF162" t="s">
        <v>1467</v>
      </c>
      <c r="AG162" t="s">
        <v>1468</v>
      </c>
      <c r="AH162" t="s">
        <v>1469</v>
      </c>
      <c r="AI162" t="s">
        <v>1469</v>
      </c>
      <c r="AK162" t="s">
        <v>1470</v>
      </c>
      <c r="AL162" t="s">
        <v>1470</v>
      </c>
      <c r="AP162" t="s">
        <v>92</v>
      </c>
      <c r="AR162">
        <v>79.989999999999995</v>
      </c>
      <c r="AS162">
        <v>48.99</v>
      </c>
      <c r="AT162">
        <v>2</v>
      </c>
      <c r="AU162">
        <v>97.98</v>
      </c>
      <c r="AV162">
        <v>0</v>
      </c>
      <c r="AX162">
        <v>8.08</v>
      </c>
      <c r="AY162">
        <v>106.06</v>
      </c>
      <c r="BA162" t="s">
        <v>93</v>
      </c>
      <c r="BC162" t="s">
        <v>93</v>
      </c>
      <c r="BI162" t="s">
        <v>80</v>
      </c>
      <c r="BM162" t="s">
        <v>94</v>
      </c>
      <c r="BN162" t="s">
        <v>95</v>
      </c>
      <c r="BP162" t="s">
        <v>314</v>
      </c>
      <c r="BR162" t="s">
        <v>1471</v>
      </c>
      <c r="BT162" t="s">
        <v>275</v>
      </c>
      <c r="BU162" t="s">
        <v>98</v>
      </c>
      <c r="BV162" t="str">
        <f>"518109"</f>
        <v>518109</v>
      </c>
      <c r="BW162">
        <v>868</v>
      </c>
      <c r="BX162" t="s">
        <v>2738</v>
      </c>
      <c r="BY162" t="s">
        <v>2665</v>
      </c>
      <c r="BZ162">
        <v>3</v>
      </c>
    </row>
    <row r="163" spans="1:78" x14ac:dyDescent="0.25">
      <c r="A163" s="1">
        <v>44944</v>
      </c>
      <c r="B163" t="s">
        <v>1472</v>
      </c>
      <c r="C163" t="s">
        <v>283</v>
      </c>
      <c r="E163">
        <v>8</v>
      </c>
      <c r="F163" t="s">
        <v>76</v>
      </c>
      <c r="G163">
        <v>95.84</v>
      </c>
      <c r="H163">
        <v>0</v>
      </c>
      <c r="I163">
        <v>0</v>
      </c>
      <c r="J163">
        <v>9.68</v>
      </c>
      <c r="K163">
        <v>105.52</v>
      </c>
      <c r="L163" t="s">
        <v>77</v>
      </c>
      <c r="P163" t="s">
        <v>284</v>
      </c>
      <c r="Q163" t="s">
        <v>285</v>
      </c>
      <c r="R163" t="s">
        <v>80</v>
      </c>
      <c r="S163" t="s">
        <v>80</v>
      </c>
      <c r="T163" t="s">
        <v>80</v>
      </c>
      <c r="U163" t="s">
        <v>80</v>
      </c>
      <c r="V163" t="s">
        <v>80</v>
      </c>
      <c r="W163" t="s">
        <v>1473</v>
      </c>
      <c r="X163" s="1">
        <v>44944</v>
      </c>
      <c r="Y163">
        <v>105.52</v>
      </c>
      <c r="Z163" t="s">
        <v>82</v>
      </c>
      <c r="AA163" t="str">
        <f t="shared" si="3"/>
        <v>1003</v>
      </c>
      <c r="AB163" t="s">
        <v>133</v>
      </c>
      <c r="AC163" t="s">
        <v>1474</v>
      </c>
      <c r="AD163" t="s">
        <v>1475</v>
      </c>
      <c r="AE163" t="str">
        <f>"46181507"</f>
        <v>46181507</v>
      </c>
      <c r="AF163" t="s">
        <v>451</v>
      </c>
      <c r="AG163" t="s">
        <v>580</v>
      </c>
      <c r="AH163" t="s">
        <v>1361</v>
      </c>
      <c r="AI163" t="s">
        <v>1362</v>
      </c>
      <c r="AK163" t="s">
        <v>1476</v>
      </c>
      <c r="AL163" t="s">
        <v>1476</v>
      </c>
      <c r="AN163" t="s">
        <v>1477</v>
      </c>
      <c r="AO163" t="s">
        <v>1477</v>
      </c>
      <c r="AP163" t="s">
        <v>92</v>
      </c>
      <c r="AR163">
        <v>11.98</v>
      </c>
      <c r="AS163">
        <v>11.98</v>
      </c>
      <c r="AT163">
        <v>8</v>
      </c>
      <c r="AU163">
        <v>95.84</v>
      </c>
      <c r="AV163">
        <v>0</v>
      </c>
      <c r="AX163">
        <v>9.68</v>
      </c>
      <c r="AY163">
        <v>105.52</v>
      </c>
      <c r="BA163" t="s">
        <v>93</v>
      </c>
      <c r="BC163" t="s">
        <v>93</v>
      </c>
      <c r="BD163" t="s">
        <v>128</v>
      </c>
      <c r="BI163" t="s">
        <v>80</v>
      </c>
      <c r="BM163" t="s">
        <v>94</v>
      </c>
      <c r="BN163" t="s">
        <v>95</v>
      </c>
      <c r="BP163" t="s">
        <v>299</v>
      </c>
      <c r="BR163" t="s">
        <v>1476</v>
      </c>
      <c r="BW163">
        <v>877</v>
      </c>
      <c r="BX163" t="s">
        <v>2735</v>
      </c>
      <c r="BY163" t="s">
        <v>2669</v>
      </c>
      <c r="BZ163">
        <v>3</v>
      </c>
    </row>
    <row r="164" spans="1:78" x14ac:dyDescent="0.25">
      <c r="A164" s="1">
        <v>44944</v>
      </c>
      <c r="B164" t="s">
        <v>1478</v>
      </c>
      <c r="C164" t="s">
        <v>283</v>
      </c>
      <c r="E164">
        <v>10</v>
      </c>
      <c r="F164" t="s">
        <v>76</v>
      </c>
      <c r="G164">
        <v>131.80000000000001</v>
      </c>
      <c r="H164">
        <v>0</v>
      </c>
      <c r="I164">
        <v>0</v>
      </c>
      <c r="J164">
        <v>13.3</v>
      </c>
      <c r="K164">
        <v>145.1</v>
      </c>
      <c r="L164" t="s">
        <v>77</v>
      </c>
      <c r="P164" t="s">
        <v>284</v>
      </c>
      <c r="Q164" t="s">
        <v>285</v>
      </c>
      <c r="R164" t="s">
        <v>80</v>
      </c>
      <c r="S164" t="s">
        <v>80</v>
      </c>
      <c r="T164" t="s">
        <v>80</v>
      </c>
      <c r="U164" t="s">
        <v>80</v>
      </c>
      <c r="V164" t="s">
        <v>80</v>
      </c>
      <c r="W164" t="s">
        <v>1479</v>
      </c>
      <c r="X164" s="1">
        <v>44945</v>
      </c>
      <c r="Y164">
        <v>145.1</v>
      </c>
      <c r="Z164" t="s">
        <v>82</v>
      </c>
      <c r="AA164" t="str">
        <f t="shared" si="3"/>
        <v>1003</v>
      </c>
      <c r="AB164" t="s">
        <v>133</v>
      </c>
      <c r="AC164" t="s">
        <v>1480</v>
      </c>
      <c r="AD164" t="s">
        <v>1481</v>
      </c>
      <c r="AE164" t="str">
        <f>"46181507"</f>
        <v>46181507</v>
      </c>
      <c r="AF164" t="s">
        <v>451</v>
      </c>
      <c r="AG164" t="s">
        <v>580</v>
      </c>
      <c r="AH164" t="s">
        <v>1361</v>
      </c>
      <c r="AI164" t="s">
        <v>1362</v>
      </c>
      <c r="AK164" t="s">
        <v>1476</v>
      </c>
      <c r="AL164" t="s">
        <v>1476</v>
      </c>
      <c r="AN164" t="s">
        <v>1482</v>
      </c>
      <c r="AO164" t="s">
        <v>1482</v>
      </c>
      <c r="AP164" t="s">
        <v>92</v>
      </c>
      <c r="AR164">
        <v>12.98</v>
      </c>
      <c r="AS164">
        <v>12.98</v>
      </c>
      <c r="AT164">
        <v>8</v>
      </c>
      <c r="AU164">
        <v>103.84</v>
      </c>
      <c r="AV164">
        <v>0</v>
      </c>
      <c r="AX164">
        <v>10.48</v>
      </c>
      <c r="AY164">
        <v>114.32</v>
      </c>
      <c r="BA164" t="s">
        <v>93</v>
      </c>
      <c r="BC164" t="s">
        <v>93</v>
      </c>
      <c r="BD164" t="s">
        <v>128</v>
      </c>
      <c r="BI164" t="s">
        <v>80</v>
      </c>
      <c r="BM164" t="s">
        <v>94</v>
      </c>
      <c r="BN164" t="s">
        <v>95</v>
      </c>
      <c r="BP164" t="s">
        <v>299</v>
      </c>
      <c r="BR164" t="s">
        <v>1476</v>
      </c>
      <c r="BW164">
        <v>877</v>
      </c>
      <c r="BX164" t="s">
        <v>2735</v>
      </c>
      <c r="BY164" t="s">
        <v>2669</v>
      </c>
      <c r="BZ164">
        <v>3</v>
      </c>
    </row>
    <row r="165" spans="1:78" x14ac:dyDescent="0.25">
      <c r="A165" s="1">
        <v>44944</v>
      </c>
      <c r="B165" t="s">
        <v>1478</v>
      </c>
      <c r="C165" t="s">
        <v>283</v>
      </c>
      <c r="E165">
        <v>10</v>
      </c>
      <c r="F165" t="s">
        <v>76</v>
      </c>
      <c r="G165">
        <v>131.80000000000001</v>
      </c>
      <c r="H165">
        <v>0</v>
      </c>
      <c r="I165">
        <v>0</v>
      </c>
      <c r="J165">
        <v>13.3</v>
      </c>
      <c r="K165">
        <v>145.1</v>
      </c>
      <c r="L165" t="s">
        <v>77</v>
      </c>
      <c r="P165" t="s">
        <v>284</v>
      </c>
      <c r="Q165" t="s">
        <v>285</v>
      </c>
      <c r="R165" t="s">
        <v>80</v>
      </c>
      <c r="S165" t="s">
        <v>80</v>
      </c>
      <c r="T165" t="s">
        <v>80</v>
      </c>
      <c r="U165" t="s">
        <v>80</v>
      </c>
      <c r="V165" t="s">
        <v>80</v>
      </c>
      <c r="W165" t="s">
        <v>1479</v>
      </c>
      <c r="X165" s="1">
        <v>44945</v>
      </c>
      <c r="Y165">
        <v>145.1</v>
      </c>
      <c r="Z165" t="s">
        <v>82</v>
      </c>
      <c r="AA165" t="str">
        <f t="shared" si="3"/>
        <v>1003</v>
      </c>
      <c r="AB165" t="s">
        <v>133</v>
      </c>
      <c r="AC165" t="s">
        <v>1483</v>
      </c>
      <c r="AD165" t="s">
        <v>1484</v>
      </c>
      <c r="AE165" t="str">
        <f>"46181507"</f>
        <v>46181507</v>
      </c>
      <c r="AF165" t="s">
        <v>451</v>
      </c>
      <c r="AG165" t="s">
        <v>580</v>
      </c>
      <c r="AH165" t="s">
        <v>1361</v>
      </c>
      <c r="AI165" t="s">
        <v>1362</v>
      </c>
      <c r="AK165" t="s">
        <v>1476</v>
      </c>
      <c r="AL165" t="s">
        <v>1476</v>
      </c>
      <c r="AN165" t="s">
        <v>1485</v>
      </c>
      <c r="AO165" t="s">
        <v>1485</v>
      </c>
      <c r="AP165" t="s">
        <v>92</v>
      </c>
      <c r="AR165">
        <v>13.98</v>
      </c>
      <c r="AS165">
        <v>13.98</v>
      </c>
      <c r="AT165">
        <v>2</v>
      </c>
      <c r="AU165">
        <v>27.96</v>
      </c>
      <c r="AV165">
        <v>0</v>
      </c>
      <c r="AX165">
        <v>2.82</v>
      </c>
      <c r="AY165">
        <v>30.78</v>
      </c>
      <c r="BA165" t="s">
        <v>93</v>
      </c>
      <c r="BC165" t="s">
        <v>93</v>
      </c>
      <c r="BD165" t="s">
        <v>128</v>
      </c>
      <c r="BI165" t="s">
        <v>80</v>
      </c>
      <c r="BM165" t="s">
        <v>94</v>
      </c>
      <c r="BN165" t="s">
        <v>95</v>
      </c>
      <c r="BP165" t="s">
        <v>299</v>
      </c>
      <c r="BR165" t="s">
        <v>1476</v>
      </c>
      <c r="BW165">
        <v>877</v>
      </c>
      <c r="BX165" t="s">
        <v>2735</v>
      </c>
      <c r="BY165" t="s">
        <v>2669</v>
      </c>
      <c r="BZ165">
        <v>3</v>
      </c>
    </row>
    <row r="166" spans="1:78" x14ac:dyDescent="0.25">
      <c r="A166" s="1">
        <v>44944</v>
      </c>
      <c r="B166" t="s">
        <v>1486</v>
      </c>
      <c r="C166" t="s">
        <v>283</v>
      </c>
      <c r="E166">
        <v>5</v>
      </c>
      <c r="F166" t="s">
        <v>76</v>
      </c>
      <c r="G166">
        <v>99.95</v>
      </c>
      <c r="H166">
        <v>0</v>
      </c>
      <c r="I166">
        <v>0</v>
      </c>
      <c r="J166">
        <v>10.3</v>
      </c>
      <c r="K166">
        <v>110.25</v>
      </c>
      <c r="L166" t="s">
        <v>77</v>
      </c>
      <c r="P166" t="s">
        <v>284</v>
      </c>
      <c r="Q166" t="s">
        <v>285</v>
      </c>
      <c r="R166" t="s">
        <v>80</v>
      </c>
      <c r="S166" t="s">
        <v>80</v>
      </c>
      <c r="T166" t="s">
        <v>80</v>
      </c>
      <c r="U166" t="s">
        <v>80</v>
      </c>
      <c r="V166" t="s">
        <v>80</v>
      </c>
      <c r="W166" t="s">
        <v>1487</v>
      </c>
      <c r="X166" s="1">
        <v>44945</v>
      </c>
      <c r="Y166">
        <v>110.25</v>
      </c>
      <c r="Z166" t="s">
        <v>82</v>
      </c>
      <c r="AA166" t="str">
        <f t="shared" si="3"/>
        <v>1003</v>
      </c>
      <c r="AB166" t="s">
        <v>638</v>
      </c>
      <c r="AC166" t="s">
        <v>1488</v>
      </c>
      <c r="AD166" t="s">
        <v>1489</v>
      </c>
      <c r="AE166" t="str">
        <f>"47131900"</f>
        <v>47131900</v>
      </c>
      <c r="AF166" t="s">
        <v>144</v>
      </c>
      <c r="AG166" t="s">
        <v>145</v>
      </c>
      <c r="AH166" t="s">
        <v>1490</v>
      </c>
      <c r="AI166" t="s">
        <v>1490</v>
      </c>
      <c r="AK166" t="s">
        <v>1491</v>
      </c>
      <c r="AL166" t="s">
        <v>1492</v>
      </c>
      <c r="AO166" t="s">
        <v>1493</v>
      </c>
      <c r="AP166" t="s">
        <v>92</v>
      </c>
      <c r="AR166">
        <v>23.99</v>
      </c>
      <c r="AS166">
        <v>19.989999999999998</v>
      </c>
      <c r="AT166">
        <v>5</v>
      </c>
      <c r="AU166">
        <v>99.95</v>
      </c>
      <c r="AV166">
        <v>0</v>
      </c>
      <c r="AX166">
        <v>10.3</v>
      </c>
      <c r="AY166">
        <v>110.25</v>
      </c>
      <c r="BA166" t="s">
        <v>93</v>
      </c>
      <c r="BC166" t="s">
        <v>93</v>
      </c>
      <c r="BI166" t="s">
        <v>80</v>
      </c>
      <c r="BM166" t="s">
        <v>94</v>
      </c>
      <c r="BN166" t="s">
        <v>95</v>
      </c>
      <c r="BP166" t="s">
        <v>294</v>
      </c>
      <c r="BR166" t="s">
        <v>1494</v>
      </c>
      <c r="BT166" t="s">
        <v>1495</v>
      </c>
      <c r="BU166" t="s">
        <v>1496</v>
      </c>
      <c r="BW166">
        <v>879</v>
      </c>
      <c r="BX166" t="s">
        <v>2734</v>
      </c>
      <c r="BY166" t="s">
        <v>2673</v>
      </c>
      <c r="BZ166">
        <v>3</v>
      </c>
    </row>
    <row r="167" spans="1:78" x14ac:dyDescent="0.25">
      <c r="A167" s="1">
        <v>44944</v>
      </c>
      <c r="B167" t="s">
        <v>1497</v>
      </c>
      <c r="C167" t="s">
        <v>100</v>
      </c>
      <c r="D167" t="s">
        <v>1498</v>
      </c>
      <c r="E167">
        <v>12</v>
      </c>
      <c r="F167" t="s">
        <v>76</v>
      </c>
      <c r="G167">
        <v>640.91999999999996</v>
      </c>
      <c r="H167">
        <v>0</v>
      </c>
      <c r="I167">
        <v>0</v>
      </c>
      <c r="J167">
        <v>54.48</v>
      </c>
      <c r="K167">
        <v>695.4</v>
      </c>
      <c r="L167" t="s">
        <v>77</v>
      </c>
      <c r="M167" t="s">
        <v>102</v>
      </c>
      <c r="P167" t="s">
        <v>102</v>
      </c>
      <c r="Q167" t="s">
        <v>103</v>
      </c>
      <c r="R167" t="s">
        <v>80</v>
      </c>
      <c r="S167" t="s">
        <v>80</v>
      </c>
      <c r="T167" t="s">
        <v>80</v>
      </c>
      <c r="U167" t="s">
        <v>80</v>
      </c>
      <c r="V167" t="s">
        <v>80</v>
      </c>
      <c r="W167" t="s">
        <v>1499</v>
      </c>
      <c r="X167" s="1">
        <v>44944</v>
      </c>
      <c r="Y167">
        <v>695.4</v>
      </c>
      <c r="Z167" t="s">
        <v>82</v>
      </c>
      <c r="AA167" t="str">
        <f t="shared" si="3"/>
        <v>1003</v>
      </c>
      <c r="AB167" t="s">
        <v>141</v>
      </c>
      <c r="AC167" t="s">
        <v>1500</v>
      </c>
      <c r="AD167" t="s">
        <v>1501</v>
      </c>
      <c r="AE167" t="str">
        <f>"14111700"</f>
        <v>14111700</v>
      </c>
      <c r="AF167" t="s">
        <v>213</v>
      </c>
      <c r="AG167" t="s">
        <v>214</v>
      </c>
      <c r="AH167" t="s">
        <v>719</v>
      </c>
      <c r="AI167" t="s">
        <v>719</v>
      </c>
      <c r="AJ167" t="s">
        <v>1502</v>
      </c>
      <c r="AK167" t="s">
        <v>1503</v>
      </c>
      <c r="AL167" t="s">
        <v>1503</v>
      </c>
      <c r="AN167" t="s">
        <v>1504</v>
      </c>
      <c r="AO167" t="s">
        <v>1504</v>
      </c>
      <c r="AP167" t="s">
        <v>92</v>
      </c>
      <c r="AR167">
        <v>59.13</v>
      </c>
      <c r="AS167">
        <v>53.41</v>
      </c>
      <c r="AT167">
        <v>12</v>
      </c>
      <c r="AU167">
        <v>640.91999999999996</v>
      </c>
      <c r="AV167">
        <v>0</v>
      </c>
      <c r="AX167">
        <v>54.48</v>
      </c>
      <c r="AY167">
        <v>695.4</v>
      </c>
      <c r="BA167" t="s">
        <v>93</v>
      </c>
      <c r="BC167" t="s">
        <v>93</v>
      </c>
      <c r="BI167" t="s">
        <v>80</v>
      </c>
      <c r="BM167" t="s">
        <v>94</v>
      </c>
      <c r="BN167" t="s">
        <v>95</v>
      </c>
      <c r="BP167" t="s">
        <v>455</v>
      </c>
      <c r="BR167" t="s">
        <v>338</v>
      </c>
      <c r="BT167" t="s">
        <v>131</v>
      </c>
      <c r="BU167" t="s">
        <v>339</v>
      </c>
      <c r="BV167" t="str">
        <f>"98109"</f>
        <v>98109</v>
      </c>
      <c r="BW167">
        <v>807</v>
      </c>
      <c r="BX167" t="s">
        <v>2746</v>
      </c>
      <c r="BY167" t="s">
        <v>2620</v>
      </c>
      <c r="BZ167">
        <v>3</v>
      </c>
    </row>
    <row r="168" spans="1:78" x14ac:dyDescent="0.25">
      <c r="A168" s="1">
        <v>44944</v>
      </c>
      <c r="B168" t="s">
        <v>1505</v>
      </c>
      <c r="C168" t="s">
        <v>189</v>
      </c>
      <c r="E168">
        <v>1</v>
      </c>
      <c r="F168" t="s">
        <v>76</v>
      </c>
      <c r="G168">
        <v>14.99</v>
      </c>
      <c r="H168">
        <v>0</v>
      </c>
      <c r="I168">
        <v>0</v>
      </c>
      <c r="J168">
        <v>1.24</v>
      </c>
      <c r="K168">
        <v>16.23</v>
      </c>
      <c r="L168" t="s">
        <v>77</v>
      </c>
      <c r="P168" t="s">
        <v>307</v>
      </c>
      <c r="Q168" t="s">
        <v>308</v>
      </c>
      <c r="R168" t="s">
        <v>80</v>
      </c>
      <c r="S168" t="s">
        <v>80</v>
      </c>
      <c r="T168" t="s">
        <v>80</v>
      </c>
      <c r="U168" t="s">
        <v>80</v>
      </c>
      <c r="V168" t="s">
        <v>80</v>
      </c>
      <c r="W168" t="s">
        <v>1506</v>
      </c>
      <c r="X168" s="1">
        <v>44944</v>
      </c>
      <c r="Y168">
        <v>16.23</v>
      </c>
      <c r="Z168" t="s">
        <v>82</v>
      </c>
      <c r="AA168" t="str">
        <f t="shared" si="3"/>
        <v>1003</v>
      </c>
      <c r="AB168" t="s">
        <v>141</v>
      </c>
      <c r="AC168" t="s">
        <v>1507</v>
      </c>
      <c r="AD168" t="s">
        <v>1508</v>
      </c>
      <c r="AE168" t="str">
        <f>"43211619"</f>
        <v>43211619</v>
      </c>
      <c r="AF168" t="s">
        <v>86</v>
      </c>
      <c r="AG168" t="s">
        <v>1151</v>
      </c>
      <c r="AH168" t="s">
        <v>1509</v>
      </c>
      <c r="AI168" t="s">
        <v>1510</v>
      </c>
      <c r="AK168" t="s">
        <v>1511</v>
      </c>
      <c r="AL168" t="s">
        <v>1511</v>
      </c>
      <c r="AN168" t="s">
        <v>1512</v>
      </c>
      <c r="AO168" t="s">
        <v>1512</v>
      </c>
      <c r="AP168" t="s">
        <v>92</v>
      </c>
      <c r="AR168">
        <v>14.99</v>
      </c>
      <c r="AS168">
        <v>14.99</v>
      </c>
      <c r="AT168">
        <v>1</v>
      </c>
      <c r="AU168">
        <v>14.99</v>
      </c>
      <c r="AV168">
        <v>0</v>
      </c>
      <c r="AX168">
        <v>1.24</v>
      </c>
      <c r="AY168">
        <v>16.23</v>
      </c>
      <c r="BA168" t="s">
        <v>93</v>
      </c>
      <c r="BC168" t="s">
        <v>93</v>
      </c>
      <c r="BI168" t="s">
        <v>80</v>
      </c>
      <c r="BM168" t="s">
        <v>94</v>
      </c>
      <c r="BN168" t="s">
        <v>95</v>
      </c>
      <c r="BP168" t="s">
        <v>314</v>
      </c>
      <c r="BR168" t="s">
        <v>1511</v>
      </c>
      <c r="BT168" t="s">
        <v>1513</v>
      </c>
      <c r="BU168" t="s">
        <v>1514</v>
      </c>
      <c r="BV168" t="str">
        <f>"518000"</f>
        <v>518000</v>
      </c>
      <c r="BW168">
        <v>868</v>
      </c>
      <c r="BX168" t="s">
        <v>2738</v>
      </c>
      <c r="BY168" t="s">
        <v>2665</v>
      </c>
      <c r="BZ168">
        <v>3</v>
      </c>
    </row>
    <row r="169" spans="1:78" x14ac:dyDescent="0.25">
      <c r="A169" s="1">
        <v>44944</v>
      </c>
      <c r="B169" t="s">
        <v>1515</v>
      </c>
      <c r="C169" t="s">
        <v>100</v>
      </c>
      <c r="D169" t="s">
        <v>1498</v>
      </c>
      <c r="E169">
        <v>3</v>
      </c>
      <c r="F169" t="s">
        <v>76</v>
      </c>
      <c r="G169">
        <v>682.47</v>
      </c>
      <c r="H169">
        <v>0</v>
      </c>
      <c r="I169">
        <v>0</v>
      </c>
      <c r="J169">
        <v>58.02</v>
      </c>
      <c r="K169">
        <v>740.49</v>
      </c>
      <c r="L169" t="s">
        <v>77</v>
      </c>
      <c r="M169" t="s">
        <v>102</v>
      </c>
      <c r="P169" t="s">
        <v>102</v>
      </c>
      <c r="Q169" t="s">
        <v>103</v>
      </c>
      <c r="R169" t="s">
        <v>80</v>
      </c>
      <c r="S169" t="s">
        <v>80</v>
      </c>
      <c r="T169" t="s">
        <v>80</v>
      </c>
      <c r="U169" t="s">
        <v>80</v>
      </c>
      <c r="V169" t="s">
        <v>80</v>
      </c>
      <c r="W169" t="s">
        <v>1516</v>
      </c>
      <c r="X169" s="1">
        <v>44945</v>
      </c>
      <c r="Y169">
        <v>740.49</v>
      </c>
      <c r="Z169" t="s">
        <v>82</v>
      </c>
      <c r="AA169" t="str">
        <f t="shared" si="3"/>
        <v>1003</v>
      </c>
      <c r="AB169" t="s">
        <v>141</v>
      </c>
      <c r="AC169" t="s">
        <v>1517</v>
      </c>
      <c r="AD169" t="s">
        <v>1518</v>
      </c>
      <c r="AE169" t="str">
        <f>"52150000"</f>
        <v>52150000</v>
      </c>
      <c r="AF169" t="s">
        <v>684</v>
      </c>
      <c r="AG169" t="s">
        <v>883</v>
      </c>
      <c r="AH169" t="s">
        <v>883</v>
      </c>
      <c r="AI169" t="s">
        <v>883</v>
      </c>
      <c r="AK169" t="s">
        <v>1503</v>
      </c>
      <c r="AL169" t="s">
        <v>1503</v>
      </c>
      <c r="AN169" t="s">
        <v>1504</v>
      </c>
      <c r="AO169" t="s">
        <v>1504</v>
      </c>
      <c r="AP169" t="s">
        <v>92</v>
      </c>
      <c r="AR169">
        <v>227.49</v>
      </c>
      <c r="AS169">
        <v>227.49</v>
      </c>
      <c r="AT169">
        <v>3</v>
      </c>
      <c r="AU169">
        <v>682.47</v>
      </c>
      <c r="AV169">
        <v>0</v>
      </c>
      <c r="AX169">
        <v>58.02</v>
      </c>
      <c r="AY169">
        <v>740.49</v>
      </c>
      <c r="BA169" t="s">
        <v>93</v>
      </c>
      <c r="BC169" t="s">
        <v>93</v>
      </c>
      <c r="BI169" t="s">
        <v>80</v>
      </c>
      <c r="BM169" t="s">
        <v>94</v>
      </c>
      <c r="BN169" t="s">
        <v>95</v>
      </c>
      <c r="BP169" t="s">
        <v>455</v>
      </c>
      <c r="BR169" t="s">
        <v>1519</v>
      </c>
      <c r="BS169" t="s">
        <v>538</v>
      </c>
      <c r="BT169" t="s">
        <v>1520</v>
      </c>
      <c r="BU169" t="s">
        <v>512</v>
      </c>
      <c r="BV169" t="str">
        <f>"19114"</f>
        <v>19114</v>
      </c>
      <c r="BW169">
        <v>807</v>
      </c>
      <c r="BX169" t="s">
        <v>2746</v>
      </c>
      <c r="BY169" t="s">
        <v>2620</v>
      </c>
      <c r="BZ169">
        <v>3</v>
      </c>
    </row>
    <row r="170" spans="1:78" x14ac:dyDescent="0.25">
      <c r="A170" s="1">
        <v>44944</v>
      </c>
      <c r="B170" t="s">
        <v>1521</v>
      </c>
      <c r="C170" t="s">
        <v>392</v>
      </c>
      <c r="E170">
        <v>4</v>
      </c>
      <c r="F170" t="s">
        <v>76</v>
      </c>
      <c r="G170">
        <v>85.04</v>
      </c>
      <c r="H170">
        <v>0</v>
      </c>
      <c r="I170">
        <v>0</v>
      </c>
      <c r="J170">
        <v>5.96</v>
      </c>
      <c r="K170">
        <v>91</v>
      </c>
      <c r="L170" t="s">
        <v>77</v>
      </c>
      <c r="P170" t="s">
        <v>418</v>
      </c>
      <c r="Q170" t="s">
        <v>419</v>
      </c>
      <c r="R170" t="s">
        <v>80</v>
      </c>
      <c r="S170" t="s">
        <v>80</v>
      </c>
      <c r="T170" t="s">
        <v>80</v>
      </c>
      <c r="U170" t="s">
        <v>80</v>
      </c>
      <c r="V170" t="s">
        <v>80</v>
      </c>
      <c r="W170" t="s">
        <v>1522</v>
      </c>
      <c r="X170" s="1">
        <v>44945</v>
      </c>
      <c r="Y170">
        <v>91</v>
      </c>
      <c r="Z170" t="s">
        <v>82</v>
      </c>
      <c r="AA170" t="str">
        <f t="shared" si="3"/>
        <v>1003</v>
      </c>
      <c r="AB170" t="s">
        <v>141</v>
      </c>
      <c r="AC170" t="s">
        <v>1523</v>
      </c>
      <c r="AD170" t="s">
        <v>1524</v>
      </c>
      <c r="AE170" t="str">
        <f>"47131600"</f>
        <v>47131600</v>
      </c>
      <c r="AF170" t="s">
        <v>144</v>
      </c>
      <c r="AG170" t="s">
        <v>145</v>
      </c>
      <c r="AH170" t="s">
        <v>271</v>
      </c>
      <c r="AI170" t="s">
        <v>271</v>
      </c>
      <c r="AJ170" t="s">
        <v>1525</v>
      </c>
      <c r="AK170" t="s">
        <v>1526</v>
      </c>
      <c r="AL170" t="s">
        <v>1526</v>
      </c>
      <c r="AN170" t="s">
        <v>1527</v>
      </c>
      <c r="AO170" t="s">
        <v>1527</v>
      </c>
      <c r="AP170" t="s">
        <v>92</v>
      </c>
      <c r="AR170">
        <v>74.58</v>
      </c>
      <c r="AS170">
        <v>21.26</v>
      </c>
      <c r="AT170">
        <v>4</v>
      </c>
      <c r="AU170">
        <v>85.04</v>
      </c>
      <c r="AV170">
        <v>0</v>
      </c>
      <c r="AX170">
        <v>5.96</v>
      </c>
      <c r="AY170">
        <v>91</v>
      </c>
      <c r="BA170" t="s">
        <v>93</v>
      </c>
      <c r="BC170" t="s">
        <v>93</v>
      </c>
      <c r="BI170" t="s">
        <v>80</v>
      </c>
      <c r="BM170" t="s">
        <v>94</v>
      </c>
      <c r="BN170" t="s">
        <v>95</v>
      </c>
      <c r="BP170" t="s">
        <v>428</v>
      </c>
      <c r="BR170" t="s">
        <v>1528</v>
      </c>
      <c r="BS170" t="s">
        <v>538</v>
      </c>
      <c r="BT170" t="s">
        <v>1529</v>
      </c>
      <c r="BU170" t="s">
        <v>1530</v>
      </c>
      <c r="BV170" t="str">
        <f>"10006"</f>
        <v>10006</v>
      </c>
      <c r="BW170">
        <v>894</v>
      </c>
      <c r="BX170" t="s">
        <v>2744</v>
      </c>
      <c r="BY170" t="s">
        <v>2697</v>
      </c>
      <c r="BZ170">
        <v>3</v>
      </c>
    </row>
    <row r="171" spans="1:78" x14ac:dyDescent="0.25">
      <c r="A171" s="1">
        <v>44944</v>
      </c>
      <c r="B171" t="s">
        <v>1531</v>
      </c>
      <c r="C171" t="s">
        <v>283</v>
      </c>
      <c r="E171">
        <v>1</v>
      </c>
      <c r="F171" t="s">
        <v>76</v>
      </c>
      <c r="G171">
        <v>25.73</v>
      </c>
      <c r="H171">
        <v>0</v>
      </c>
      <c r="I171">
        <v>0</v>
      </c>
      <c r="J171">
        <v>2.57</v>
      </c>
      <c r="K171">
        <v>28.3</v>
      </c>
      <c r="L171" t="s">
        <v>77</v>
      </c>
      <c r="P171" t="s">
        <v>284</v>
      </c>
      <c r="Q171" t="s">
        <v>285</v>
      </c>
      <c r="R171" t="s">
        <v>80</v>
      </c>
      <c r="S171" t="s">
        <v>80</v>
      </c>
      <c r="T171" t="s">
        <v>80</v>
      </c>
      <c r="U171" t="s">
        <v>80</v>
      </c>
      <c r="V171" t="s">
        <v>80</v>
      </c>
      <c r="W171" t="s">
        <v>1532</v>
      </c>
      <c r="X171" s="1">
        <v>44944</v>
      </c>
      <c r="Y171">
        <v>28.3</v>
      </c>
      <c r="Z171" t="s">
        <v>82</v>
      </c>
      <c r="AA171" t="str">
        <f t="shared" si="3"/>
        <v>1003</v>
      </c>
      <c r="AB171" t="s">
        <v>119</v>
      </c>
      <c r="AC171" t="s">
        <v>1533</v>
      </c>
      <c r="AD171" t="s">
        <v>1534</v>
      </c>
      <c r="AE171" t="str">
        <f>"44122000"</f>
        <v>44122000</v>
      </c>
      <c r="AF171" t="s">
        <v>108</v>
      </c>
      <c r="AG171" t="s">
        <v>556</v>
      </c>
      <c r="AH171" t="s">
        <v>771</v>
      </c>
      <c r="AI171" t="s">
        <v>771</v>
      </c>
      <c r="AK171" t="s">
        <v>1535</v>
      </c>
      <c r="AL171" t="s">
        <v>1535</v>
      </c>
      <c r="AN171" t="s">
        <v>1536</v>
      </c>
      <c r="AO171" t="s">
        <v>1536</v>
      </c>
      <c r="AP171" t="s">
        <v>92</v>
      </c>
      <c r="AR171">
        <v>29.99</v>
      </c>
      <c r="AS171">
        <v>25.73</v>
      </c>
      <c r="AT171">
        <v>1</v>
      </c>
      <c r="AU171">
        <v>25.73</v>
      </c>
      <c r="AV171">
        <v>0</v>
      </c>
      <c r="AX171">
        <v>2.57</v>
      </c>
      <c r="AY171">
        <v>28.3</v>
      </c>
      <c r="BA171" t="s">
        <v>93</v>
      </c>
      <c r="BC171" t="s">
        <v>93</v>
      </c>
      <c r="BI171" t="s">
        <v>80</v>
      </c>
      <c r="BM171" t="s">
        <v>94</v>
      </c>
      <c r="BN171" t="s">
        <v>95</v>
      </c>
      <c r="BP171" t="s">
        <v>302</v>
      </c>
      <c r="BR171" t="s">
        <v>1535</v>
      </c>
      <c r="BS171" t="s">
        <v>250</v>
      </c>
      <c r="BW171">
        <v>902</v>
      </c>
      <c r="BX171" t="s">
        <v>2736</v>
      </c>
      <c r="BY171" t="s">
        <v>2707</v>
      </c>
      <c r="BZ171">
        <v>3</v>
      </c>
    </row>
    <row r="172" spans="1:78" x14ac:dyDescent="0.25">
      <c r="A172" s="1">
        <v>44943</v>
      </c>
      <c r="B172" t="s">
        <v>1537</v>
      </c>
      <c r="C172" t="s">
        <v>283</v>
      </c>
      <c r="E172">
        <v>1</v>
      </c>
      <c r="F172" t="s">
        <v>76</v>
      </c>
      <c r="G172">
        <v>41.25</v>
      </c>
      <c r="H172">
        <v>0</v>
      </c>
      <c r="I172">
        <v>0</v>
      </c>
      <c r="J172">
        <v>4.13</v>
      </c>
      <c r="K172">
        <v>45.38</v>
      </c>
      <c r="L172" t="s">
        <v>77</v>
      </c>
      <c r="P172" t="s">
        <v>284</v>
      </c>
      <c r="Q172" t="s">
        <v>285</v>
      </c>
      <c r="R172" t="s">
        <v>80</v>
      </c>
      <c r="S172" t="s">
        <v>80</v>
      </c>
      <c r="T172" t="s">
        <v>80</v>
      </c>
      <c r="U172" t="s">
        <v>80</v>
      </c>
      <c r="V172" t="s">
        <v>80</v>
      </c>
      <c r="W172" t="s">
        <v>1538</v>
      </c>
      <c r="X172" s="1">
        <v>44946</v>
      </c>
      <c r="Y172">
        <v>45.38</v>
      </c>
      <c r="Z172" t="s">
        <v>82</v>
      </c>
      <c r="AA172" t="str">
        <f t="shared" si="3"/>
        <v>1003</v>
      </c>
      <c r="AB172" t="s">
        <v>105</v>
      </c>
      <c r="AC172" t="s">
        <v>1539</v>
      </c>
      <c r="AD172" t="s">
        <v>1540</v>
      </c>
      <c r="AE172" t="str">
        <f>"52161500"</f>
        <v>52161500</v>
      </c>
      <c r="AF172" t="s">
        <v>684</v>
      </c>
      <c r="AG172" t="s">
        <v>1541</v>
      </c>
      <c r="AH172" t="s">
        <v>1542</v>
      </c>
      <c r="AI172" t="s">
        <v>1542</v>
      </c>
      <c r="AJ172" t="s">
        <v>1543</v>
      </c>
      <c r="AK172" t="s">
        <v>1544</v>
      </c>
      <c r="AL172" t="s">
        <v>1545</v>
      </c>
      <c r="AN172" t="s">
        <v>1546</v>
      </c>
      <c r="AO172" t="s">
        <v>1546</v>
      </c>
      <c r="AP172" t="s">
        <v>92</v>
      </c>
      <c r="AR172">
        <v>68.989999999999995</v>
      </c>
      <c r="AS172">
        <v>41.25</v>
      </c>
      <c r="AT172">
        <v>1</v>
      </c>
      <c r="AU172">
        <v>41.25</v>
      </c>
      <c r="AV172">
        <v>0</v>
      </c>
      <c r="AX172">
        <v>4.13</v>
      </c>
      <c r="AY172">
        <v>45.38</v>
      </c>
      <c r="BA172" t="s">
        <v>93</v>
      </c>
      <c r="BC172" t="s">
        <v>93</v>
      </c>
      <c r="BI172" t="s">
        <v>80</v>
      </c>
      <c r="BM172" t="s">
        <v>94</v>
      </c>
      <c r="BN172" t="s">
        <v>95</v>
      </c>
      <c r="BP172" t="s">
        <v>302</v>
      </c>
      <c r="BR172" t="s">
        <v>338</v>
      </c>
      <c r="BT172" t="s">
        <v>131</v>
      </c>
      <c r="BU172" t="s">
        <v>339</v>
      </c>
      <c r="BV172" t="str">
        <f>"98109"</f>
        <v>98109</v>
      </c>
      <c r="BW172">
        <v>902</v>
      </c>
      <c r="BX172" t="s">
        <v>2736</v>
      </c>
      <c r="BY172" t="s">
        <v>2707</v>
      </c>
      <c r="BZ172">
        <v>3</v>
      </c>
    </row>
    <row r="173" spans="1:78" x14ac:dyDescent="0.25">
      <c r="A173" s="1">
        <v>44943</v>
      </c>
      <c r="B173" t="s">
        <v>1547</v>
      </c>
      <c r="C173" t="s">
        <v>851</v>
      </c>
      <c r="E173">
        <v>1</v>
      </c>
      <c r="F173" t="s">
        <v>76</v>
      </c>
      <c r="G173">
        <v>139</v>
      </c>
      <c r="H173">
        <v>0</v>
      </c>
      <c r="I173">
        <v>0</v>
      </c>
      <c r="J173">
        <v>10.77</v>
      </c>
      <c r="K173">
        <v>149.77000000000001</v>
      </c>
      <c r="L173" t="s">
        <v>77</v>
      </c>
      <c r="P173" t="s">
        <v>852</v>
      </c>
      <c r="Q173" t="s">
        <v>853</v>
      </c>
      <c r="R173" t="s">
        <v>80</v>
      </c>
      <c r="S173" t="s">
        <v>80</v>
      </c>
      <c r="T173" t="s">
        <v>80</v>
      </c>
      <c r="U173" t="s">
        <v>80</v>
      </c>
      <c r="V173" t="s">
        <v>80</v>
      </c>
      <c r="W173" t="s">
        <v>1548</v>
      </c>
      <c r="X173" s="1">
        <v>44943</v>
      </c>
      <c r="Y173">
        <v>149.77000000000001</v>
      </c>
      <c r="Z173" t="s">
        <v>82</v>
      </c>
      <c r="AA173" t="str">
        <f t="shared" si="3"/>
        <v>1003</v>
      </c>
      <c r="AB173" t="s">
        <v>119</v>
      </c>
      <c r="AC173" t="s">
        <v>1549</v>
      </c>
      <c r="AD173" t="s">
        <v>1550</v>
      </c>
      <c r="AE173" t="str">
        <f>"44103103"</f>
        <v>44103103</v>
      </c>
      <c r="AF173" t="s">
        <v>108</v>
      </c>
      <c r="AG173" t="s">
        <v>109</v>
      </c>
      <c r="AH173" t="s">
        <v>992</v>
      </c>
      <c r="AI173" t="s">
        <v>993</v>
      </c>
      <c r="AJ173" t="s">
        <v>1551</v>
      </c>
      <c r="AK173" t="s">
        <v>1552</v>
      </c>
      <c r="AL173" t="s">
        <v>1553</v>
      </c>
      <c r="AN173" t="s">
        <v>1554</v>
      </c>
      <c r="AO173" t="s">
        <v>1554</v>
      </c>
      <c r="AP173" t="s">
        <v>92</v>
      </c>
      <c r="AR173">
        <v>236</v>
      </c>
      <c r="AS173">
        <v>139</v>
      </c>
      <c r="AT173">
        <v>1</v>
      </c>
      <c r="AU173">
        <v>139</v>
      </c>
      <c r="AV173">
        <v>0</v>
      </c>
      <c r="AX173">
        <v>10.77</v>
      </c>
      <c r="AY173">
        <v>149.77000000000001</v>
      </c>
      <c r="BA173" t="s">
        <v>93</v>
      </c>
      <c r="BC173" t="s">
        <v>93</v>
      </c>
      <c r="BI173" t="s">
        <v>80</v>
      </c>
      <c r="BM173" t="s">
        <v>372</v>
      </c>
      <c r="BN173" t="s">
        <v>373</v>
      </c>
      <c r="BP173" t="s">
        <v>266</v>
      </c>
      <c r="BR173" t="s">
        <v>1555</v>
      </c>
      <c r="BS173" t="s">
        <v>538</v>
      </c>
      <c r="BW173">
        <v>848</v>
      </c>
      <c r="BX173" t="s">
        <v>2733</v>
      </c>
      <c r="BY173" t="s">
        <v>2661</v>
      </c>
      <c r="BZ173">
        <v>3</v>
      </c>
    </row>
    <row r="174" spans="1:78" x14ac:dyDescent="0.25">
      <c r="A174" s="1">
        <v>44943</v>
      </c>
      <c r="B174" t="s">
        <v>1556</v>
      </c>
      <c r="C174" t="s">
        <v>392</v>
      </c>
      <c r="E174">
        <v>2</v>
      </c>
      <c r="F174" t="s">
        <v>76</v>
      </c>
      <c r="G174">
        <v>47.8</v>
      </c>
      <c r="H174">
        <v>0</v>
      </c>
      <c r="I174">
        <v>0</v>
      </c>
      <c r="J174">
        <v>3.34</v>
      </c>
      <c r="K174">
        <v>51.14</v>
      </c>
      <c r="L174" t="s">
        <v>77</v>
      </c>
      <c r="P174" t="s">
        <v>393</v>
      </c>
      <c r="Q174" t="s">
        <v>394</v>
      </c>
      <c r="R174" t="s">
        <v>80</v>
      </c>
      <c r="S174" t="s">
        <v>80</v>
      </c>
      <c r="T174" t="s">
        <v>80</v>
      </c>
      <c r="U174" t="s">
        <v>80</v>
      </c>
      <c r="V174" t="s">
        <v>80</v>
      </c>
      <c r="W174" t="s">
        <v>1557</v>
      </c>
      <c r="X174" s="1">
        <v>44944</v>
      </c>
      <c r="Y174">
        <v>51.14</v>
      </c>
      <c r="Z174" t="s">
        <v>82</v>
      </c>
      <c r="AA174" t="str">
        <f t="shared" si="3"/>
        <v>1003</v>
      </c>
      <c r="AB174" t="s">
        <v>133</v>
      </c>
      <c r="AC174" t="s">
        <v>1558</v>
      </c>
      <c r="AD174" t="s">
        <v>1559</v>
      </c>
      <c r="AE174" t="str">
        <f>"46181507"</f>
        <v>46181507</v>
      </c>
      <c r="AF174" t="s">
        <v>451</v>
      </c>
      <c r="AG174" t="s">
        <v>580</v>
      </c>
      <c r="AH174" t="s">
        <v>1361</v>
      </c>
      <c r="AI174" t="s">
        <v>1362</v>
      </c>
      <c r="AK174" t="s">
        <v>1560</v>
      </c>
      <c r="AN174" t="s">
        <v>1561</v>
      </c>
      <c r="AO174" t="s">
        <v>1561</v>
      </c>
      <c r="AP174" t="s">
        <v>92</v>
      </c>
      <c r="AR174">
        <v>28.98</v>
      </c>
      <c r="AS174">
        <v>23.9</v>
      </c>
      <c r="AT174">
        <v>2</v>
      </c>
      <c r="AU174">
        <v>47.8</v>
      </c>
      <c r="AV174">
        <v>0</v>
      </c>
      <c r="AX174">
        <v>3.34</v>
      </c>
      <c r="AY174">
        <v>51.14</v>
      </c>
      <c r="BA174" t="s">
        <v>93</v>
      </c>
      <c r="BC174" t="s">
        <v>93</v>
      </c>
      <c r="BD174" t="s">
        <v>128</v>
      </c>
      <c r="BE174">
        <v>5.08</v>
      </c>
      <c r="BF174" s="2">
        <v>0.17530000000000001</v>
      </c>
      <c r="BI174" t="s">
        <v>80</v>
      </c>
      <c r="BM174" t="s">
        <v>94</v>
      </c>
      <c r="BN174" t="s">
        <v>95</v>
      </c>
      <c r="BP174" t="s">
        <v>405</v>
      </c>
      <c r="BR174" t="s">
        <v>1560</v>
      </c>
      <c r="BS174" t="s">
        <v>237</v>
      </c>
      <c r="BT174" t="s">
        <v>1562</v>
      </c>
      <c r="BU174" t="s">
        <v>165</v>
      </c>
      <c r="BV174" t="str">
        <f>"91311"</f>
        <v>91311</v>
      </c>
      <c r="BW174">
        <v>893</v>
      </c>
      <c r="BX174" t="s">
        <v>2742</v>
      </c>
      <c r="BY174" t="s">
        <v>2695</v>
      </c>
      <c r="BZ174">
        <v>3</v>
      </c>
    </row>
    <row r="175" spans="1:78" x14ac:dyDescent="0.25">
      <c r="A175" s="1">
        <v>44943</v>
      </c>
      <c r="B175" t="s">
        <v>1563</v>
      </c>
      <c r="C175" t="s">
        <v>1160</v>
      </c>
      <c r="E175">
        <v>1</v>
      </c>
      <c r="F175" t="s">
        <v>76</v>
      </c>
      <c r="G175">
        <v>32.99</v>
      </c>
      <c r="H175">
        <v>0</v>
      </c>
      <c r="I175">
        <v>0</v>
      </c>
      <c r="J175">
        <v>2.31</v>
      </c>
      <c r="K175">
        <v>35.299999999999997</v>
      </c>
      <c r="L175" t="s">
        <v>77</v>
      </c>
      <c r="P175" t="s">
        <v>1161</v>
      </c>
      <c r="Q175" t="s">
        <v>1162</v>
      </c>
      <c r="R175" t="s">
        <v>80</v>
      </c>
      <c r="S175" t="s">
        <v>80</v>
      </c>
      <c r="T175" t="s">
        <v>80</v>
      </c>
      <c r="U175" t="s">
        <v>80</v>
      </c>
      <c r="V175" t="s">
        <v>80</v>
      </c>
      <c r="W175" t="s">
        <v>1564</v>
      </c>
      <c r="X175" s="1">
        <v>44943</v>
      </c>
      <c r="Y175">
        <v>35.299999999999997</v>
      </c>
      <c r="Z175" t="s">
        <v>82</v>
      </c>
      <c r="AA175" t="str">
        <f t="shared" si="3"/>
        <v>1003</v>
      </c>
      <c r="AB175" t="s">
        <v>133</v>
      </c>
      <c r="AC175" t="s">
        <v>1565</v>
      </c>
      <c r="AD175" t="s">
        <v>1566</v>
      </c>
      <c r="AE175" t="str">
        <f>"39121703"</f>
        <v>39121703</v>
      </c>
      <c r="AF175" t="s">
        <v>181</v>
      </c>
      <c r="AG175" t="s">
        <v>182</v>
      </c>
      <c r="AH175" t="s">
        <v>806</v>
      </c>
      <c r="AI175" t="s">
        <v>807</v>
      </c>
      <c r="AK175" t="s">
        <v>1567</v>
      </c>
      <c r="AL175" t="s">
        <v>1567</v>
      </c>
      <c r="AN175" t="s">
        <v>1568</v>
      </c>
      <c r="AP175" t="s">
        <v>92</v>
      </c>
      <c r="AR175">
        <v>32.99</v>
      </c>
      <c r="AS175">
        <v>32.99</v>
      </c>
      <c r="AT175">
        <v>1</v>
      </c>
      <c r="AU175">
        <v>32.99</v>
      </c>
      <c r="AV175">
        <v>0</v>
      </c>
      <c r="AX175">
        <v>2.31</v>
      </c>
      <c r="AY175">
        <v>35.299999999999997</v>
      </c>
      <c r="BA175" t="s">
        <v>93</v>
      </c>
      <c r="BC175" t="s">
        <v>93</v>
      </c>
      <c r="BI175" t="s">
        <v>80</v>
      </c>
      <c r="BM175" t="s">
        <v>372</v>
      </c>
      <c r="BN175" t="s">
        <v>1168</v>
      </c>
      <c r="BP175" t="s">
        <v>1169</v>
      </c>
      <c r="BR175" t="s">
        <v>1569</v>
      </c>
      <c r="BT175" t="s">
        <v>275</v>
      </c>
      <c r="BU175" t="s">
        <v>98</v>
      </c>
      <c r="BV175" t="str">
        <f>"518133"</f>
        <v>518133</v>
      </c>
      <c r="BW175">
        <v>810</v>
      </c>
      <c r="BX175" t="s">
        <v>2752</v>
      </c>
      <c r="BY175" t="s">
        <v>2624</v>
      </c>
      <c r="BZ175">
        <v>3</v>
      </c>
    </row>
    <row r="176" spans="1:78" x14ac:dyDescent="0.25">
      <c r="A176" s="1">
        <v>44943</v>
      </c>
      <c r="B176" t="s">
        <v>1570</v>
      </c>
      <c r="C176" t="s">
        <v>283</v>
      </c>
      <c r="E176">
        <v>1</v>
      </c>
      <c r="F176" t="s">
        <v>76</v>
      </c>
      <c r="G176">
        <v>22.59</v>
      </c>
      <c r="H176">
        <v>0</v>
      </c>
      <c r="I176">
        <v>0</v>
      </c>
      <c r="J176">
        <v>2.2599999999999998</v>
      </c>
      <c r="K176">
        <v>24.85</v>
      </c>
      <c r="L176" t="s">
        <v>77</v>
      </c>
      <c r="P176" t="s">
        <v>284</v>
      </c>
      <c r="Q176" t="s">
        <v>285</v>
      </c>
      <c r="R176" t="s">
        <v>80</v>
      </c>
      <c r="S176" t="s">
        <v>80</v>
      </c>
      <c r="T176" t="s">
        <v>80</v>
      </c>
      <c r="U176" t="s">
        <v>80</v>
      </c>
      <c r="V176" t="s">
        <v>80</v>
      </c>
      <c r="W176" t="s">
        <v>1571</v>
      </c>
      <c r="X176" s="1">
        <v>44948</v>
      </c>
      <c r="Y176">
        <v>24.85</v>
      </c>
      <c r="Z176" t="s">
        <v>82</v>
      </c>
      <c r="AA176" t="str">
        <f t="shared" si="3"/>
        <v>1003</v>
      </c>
      <c r="AB176" t="s">
        <v>168</v>
      </c>
      <c r="AC176" t="s">
        <v>1572</v>
      </c>
      <c r="AD176" t="s">
        <v>1573</v>
      </c>
      <c r="AE176" t="str">
        <f>"53131600"</f>
        <v>53131600</v>
      </c>
      <c r="AF176" t="s">
        <v>1134</v>
      </c>
      <c r="AG176" t="s">
        <v>1135</v>
      </c>
      <c r="AH176" t="s">
        <v>1136</v>
      </c>
      <c r="AI176" t="s">
        <v>1136</v>
      </c>
      <c r="AK176" t="s">
        <v>1574</v>
      </c>
      <c r="AL176" t="s">
        <v>1574</v>
      </c>
      <c r="AP176" t="s">
        <v>92</v>
      </c>
      <c r="AR176">
        <v>22.59</v>
      </c>
      <c r="AS176">
        <v>22.59</v>
      </c>
      <c r="AT176">
        <v>1</v>
      </c>
      <c r="AU176">
        <v>22.59</v>
      </c>
      <c r="AV176">
        <v>0</v>
      </c>
      <c r="AX176">
        <v>2.2599999999999998</v>
      </c>
      <c r="AY176">
        <v>24.85</v>
      </c>
      <c r="BA176" t="s">
        <v>93</v>
      </c>
      <c r="BC176" t="s">
        <v>93</v>
      </c>
      <c r="BI176" t="s">
        <v>80</v>
      </c>
      <c r="BM176" t="s">
        <v>94</v>
      </c>
      <c r="BN176" t="s">
        <v>95</v>
      </c>
      <c r="BP176" t="s">
        <v>305</v>
      </c>
      <c r="BR176" t="s">
        <v>1574</v>
      </c>
      <c r="BT176" t="s">
        <v>275</v>
      </c>
      <c r="BU176" t="s">
        <v>98</v>
      </c>
      <c r="BV176" t="str">
        <f>"518100"</f>
        <v>518100</v>
      </c>
      <c r="BW176">
        <v>880</v>
      </c>
      <c r="BX176" t="s">
        <v>2737</v>
      </c>
      <c r="BY176" t="s">
        <v>2675</v>
      </c>
      <c r="BZ176">
        <v>3</v>
      </c>
    </row>
    <row r="177" spans="1:78" x14ac:dyDescent="0.25">
      <c r="A177" s="1">
        <v>44943</v>
      </c>
      <c r="B177" t="s">
        <v>1575</v>
      </c>
      <c r="C177" t="s">
        <v>283</v>
      </c>
      <c r="E177">
        <v>2</v>
      </c>
      <c r="F177" t="s">
        <v>76</v>
      </c>
      <c r="G177">
        <v>34.9</v>
      </c>
      <c r="H177">
        <v>0</v>
      </c>
      <c r="I177">
        <v>0</v>
      </c>
      <c r="J177">
        <v>3.5</v>
      </c>
      <c r="K177">
        <v>38.4</v>
      </c>
      <c r="L177" t="s">
        <v>77</v>
      </c>
      <c r="P177" t="s">
        <v>284</v>
      </c>
      <c r="Q177" t="s">
        <v>285</v>
      </c>
      <c r="R177" t="s">
        <v>80</v>
      </c>
      <c r="S177" t="s">
        <v>80</v>
      </c>
      <c r="T177" t="s">
        <v>80</v>
      </c>
      <c r="U177" t="s">
        <v>80</v>
      </c>
      <c r="V177" t="s">
        <v>80</v>
      </c>
      <c r="W177" t="s">
        <v>1576</v>
      </c>
      <c r="X177" s="1">
        <v>44943</v>
      </c>
      <c r="Y177">
        <v>38.4</v>
      </c>
      <c r="Z177" t="s">
        <v>82</v>
      </c>
      <c r="AA177" t="str">
        <f t="shared" si="3"/>
        <v>1003</v>
      </c>
      <c r="AB177" t="s">
        <v>168</v>
      </c>
      <c r="AC177" t="s">
        <v>1577</v>
      </c>
      <c r="AD177" t="s">
        <v>1578</v>
      </c>
      <c r="AE177" t="str">
        <f>"47131600"</f>
        <v>47131600</v>
      </c>
      <c r="AF177" t="s">
        <v>144</v>
      </c>
      <c r="AG177" t="s">
        <v>145</v>
      </c>
      <c r="AH177" t="s">
        <v>271</v>
      </c>
      <c r="AI177" t="s">
        <v>271</v>
      </c>
      <c r="AK177" t="s">
        <v>1579</v>
      </c>
      <c r="AL177" t="s">
        <v>1579</v>
      </c>
      <c r="AP177" t="s">
        <v>92</v>
      </c>
      <c r="AR177">
        <v>24.99</v>
      </c>
      <c r="AS177">
        <v>17.45</v>
      </c>
      <c r="AT177">
        <v>2</v>
      </c>
      <c r="AU177">
        <v>34.9</v>
      </c>
      <c r="AV177">
        <v>0</v>
      </c>
      <c r="AX177">
        <v>3.5</v>
      </c>
      <c r="AY177">
        <v>38.4</v>
      </c>
      <c r="BA177" t="s">
        <v>93</v>
      </c>
      <c r="BC177" t="s">
        <v>93</v>
      </c>
      <c r="BD177" t="s">
        <v>128</v>
      </c>
      <c r="BE177">
        <v>7.54</v>
      </c>
      <c r="BF177" s="2">
        <v>0.30170000000000002</v>
      </c>
      <c r="BI177" t="s">
        <v>80</v>
      </c>
      <c r="BM177" t="s">
        <v>94</v>
      </c>
      <c r="BN177" t="s">
        <v>95</v>
      </c>
      <c r="BP177" t="s">
        <v>305</v>
      </c>
      <c r="BR177" t="s">
        <v>1580</v>
      </c>
      <c r="BW177">
        <v>880</v>
      </c>
      <c r="BX177" t="s">
        <v>2737</v>
      </c>
      <c r="BY177" t="s">
        <v>2675</v>
      </c>
      <c r="BZ177">
        <v>3</v>
      </c>
    </row>
    <row r="178" spans="1:78" x14ac:dyDescent="0.25">
      <c r="A178" s="1">
        <v>44943</v>
      </c>
      <c r="B178" t="s">
        <v>1581</v>
      </c>
      <c r="C178" t="s">
        <v>392</v>
      </c>
      <c r="E178">
        <v>1</v>
      </c>
      <c r="F178" t="s">
        <v>76</v>
      </c>
      <c r="G178">
        <v>24.99</v>
      </c>
      <c r="H178">
        <v>0</v>
      </c>
      <c r="I178">
        <v>0</v>
      </c>
      <c r="J178">
        <v>1.75</v>
      </c>
      <c r="K178">
        <v>26.74</v>
      </c>
      <c r="L178" t="s">
        <v>77</v>
      </c>
      <c r="P178" t="s">
        <v>1006</v>
      </c>
      <c r="Q178" t="s">
        <v>1007</v>
      </c>
      <c r="R178" t="s">
        <v>80</v>
      </c>
      <c r="S178" t="s">
        <v>80</v>
      </c>
      <c r="T178" t="s">
        <v>80</v>
      </c>
      <c r="U178" t="s">
        <v>80</v>
      </c>
      <c r="V178" t="s">
        <v>80</v>
      </c>
      <c r="W178" t="s">
        <v>1582</v>
      </c>
      <c r="X178" s="1">
        <v>44943</v>
      </c>
      <c r="Y178">
        <v>26.74</v>
      </c>
      <c r="Z178" t="s">
        <v>82</v>
      </c>
      <c r="AA178" t="str">
        <f t="shared" si="3"/>
        <v>1003</v>
      </c>
      <c r="AB178" t="s">
        <v>168</v>
      </c>
      <c r="AC178" t="s">
        <v>1583</v>
      </c>
      <c r="AD178" t="s">
        <v>1584</v>
      </c>
      <c r="AE178" t="str">
        <f>"47131800"</f>
        <v>47131800</v>
      </c>
      <c r="AF178" t="s">
        <v>144</v>
      </c>
      <c r="AG178" t="s">
        <v>145</v>
      </c>
      <c r="AH178" t="s">
        <v>261</v>
      </c>
      <c r="AI178" t="s">
        <v>261</v>
      </c>
      <c r="AJ178" t="s">
        <v>1585</v>
      </c>
      <c r="AK178" t="s">
        <v>1586</v>
      </c>
      <c r="AL178" t="s">
        <v>1586</v>
      </c>
      <c r="AN178" t="s">
        <v>1587</v>
      </c>
      <c r="AO178" t="s">
        <v>1587</v>
      </c>
      <c r="AP178" t="s">
        <v>92</v>
      </c>
      <c r="AR178">
        <v>24.99</v>
      </c>
      <c r="AS178">
        <v>24.99</v>
      </c>
      <c r="AT178">
        <v>1</v>
      </c>
      <c r="AU178">
        <v>24.99</v>
      </c>
      <c r="AV178">
        <v>0</v>
      </c>
      <c r="AX178">
        <v>1.75</v>
      </c>
      <c r="AY178">
        <v>26.74</v>
      </c>
      <c r="BA178" t="s">
        <v>93</v>
      </c>
      <c r="BC178" t="s">
        <v>93</v>
      </c>
      <c r="BD178" t="s">
        <v>128</v>
      </c>
      <c r="BI178" t="s">
        <v>80</v>
      </c>
      <c r="BM178" t="s">
        <v>94</v>
      </c>
      <c r="BN178" t="s">
        <v>95</v>
      </c>
      <c r="BP178" t="s">
        <v>1014</v>
      </c>
      <c r="BR178" t="s">
        <v>130</v>
      </c>
      <c r="BT178" t="s">
        <v>131</v>
      </c>
      <c r="BU178" t="s">
        <v>132</v>
      </c>
      <c r="BV178" t="str">
        <f>"98109"</f>
        <v>98109</v>
      </c>
      <c r="BW178">
        <v>804</v>
      </c>
      <c r="BX178" t="s">
        <v>2751</v>
      </c>
      <c r="BY178" t="s">
        <v>2614</v>
      </c>
      <c r="BZ178">
        <v>3</v>
      </c>
    </row>
    <row r="179" spans="1:78" x14ac:dyDescent="0.25">
      <c r="A179" s="1">
        <v>44943</v>
      </c>
      <c r="B179" t="s">
        <v>1588</v>
      </c>
      <c r="C179" t="s">
        <v>283</v>
      </c>
      <c r="E179">
        <v>1</v>
      </c>
      <c r="F179" t="s">
        <v>76</v>
      </c>
      <c r="G179">
        <v>9.89</v>
      </c>
      <c r="H179">
        <v>0</v>
      </c>
      <c r="I179">
        <v>0</v>
      </c>
      <c r="J179">
        <v>0.99</v>
      </c>
      <c r="K179">
        <v>10.88</v>
      </c>
      <c r="L179" t="s">
        <v>77</v>
      </c>
      <c r="P179" t="s">
        <v>284</v>
      </c>
      <c r="Q179" t="s">
        <v>285</v>
      </c>
      <c r="R179" t="s">
        <v>80</v>
      </c>
      <c r="S179" t="s">
        <v>80</v>
      </c>
      <c r="T179" t="s">
        <v>80</v>
      </c>
      <c r="U179" t="s">
        <v>80</v>
      </c>
      <c r="V179" t="s">
        <v>80</v>
      </c>
      <c r="W179" t="s">
        <v>1589</v>
      </c>
      <c r="X179" s="1">
        <v>44944</v>
      </c>
      <c r="Y179">
        <v>10.88</v>
      </c>
      <c r="Z179" t="s">
        <v>82</v>
      </c>
      <c r="AA179" t="str">
        <f t="shared" si="3"/>
        <v>1003</v>
      </c>
      <c r="AB179" t="s">
        <v>119</v>
      </c>
      <c r="AC179" t="s">
        <v>1590</v>
      </c>
      <c r="AD179" t="s">
        <v>1591</v>
      </c>
      <c r="AE179" t="str">
        <f>"44111518"</f>
        <v>44111518</v>
      </c>
      <c r="AF179" t="s">
        <v>108</v>
      </c>
      <c r="AG179" t="s">
        <v>122</v>
      </c>
      <c r="AH179" t="s">
        <v>123</v>
      </c>
      <c r="AI179" t="s">
        <v>1592</v>
      </c>
      <c r="AK179" t="s">
        <v>1593</v>
      </c>
      <c r="AL179" t="s">
        <v>1593</v>
      </c>
      <c r="AN179" t="s">
        <v>1594</v>
      </c>
      <c r="AO179" t="s">
        <v>1595</v>
      </c>
      <c r="AP179" t="s">
        <v>92</v>
      </c>
      <c r="AR179">
        <v>12.99</v>
      </c>
      <c r="AS179">
        <v>9.89</v>
      </c>
      <c r="AT179">
        <v>1</v>
      </c>
      <c r="AU179">
        <v>9.89</v>
      </c>
      <c r="AV179">
        <v>0</v>
      </c>
      <c r="AX179">
        <v>0.99</v>
      </c>
      <c r="AY179">
        <v>10.88</v>
      </c>
      <c r="BA179" t="s">
        <v>93</v>
      </c>
      <c r="BC179" t="s">
        <v>93</v>
      </c>
      <c r="BI179" t="s">
        <v>80</v>
      </c>
      <c r="BM179" t="s">
        <v>94</v>
      </c>
      <c r="BN179" t="s">
        <v>95</v>
      </c>
      <c r="BP179" t="s">
        <v>305</v>
      </c>
      <c r="BR179" t="s">
        <v>1596</v>
      </c>
      <c r="BT179" t="s">
        <v>275</v>
      </c>
      <c r="BU179" t="s">
        <v>98</v>
      </c>
      <c r="BV179" t="str">
        <f>"518000"</f>
        <v>518000</v>
      </c>
      <c r="BW179">
        <v>880</v>
      </c>
      <c r="BX179" t="s">
        <v>2737</v>
      </c>
      <c r="BY179" t="s">
        <v>2675</v>
      </c>
      <c r="BZ179">
        <v>3</v>
      </c>
    </row>
    <row r="180" spans="1:78" x14ac:dyDescent="0.25">
      <c r="A180" s="1">
        <v>44943</v>
      </c>
      <c r="B180" t="s">
        <v>1597</v>
      </c>
      <c r="C180" t="s">
        <v>1451</v>
      </c>
      <c r="E180">
        <v>9</v>
      </c>
      <c r="F180" t="s">
        <v>76</v>
      </c>
      <c r="G180">
        <v>292.08</v>
      </c>
      <c r="H180">
        <v>0</v>
      </c>
      <c r="I180">
        <v>0</v>
      </c>
      <c r="J180">
        <v>17.54</v>
      </c>
      <c r="K180">
        <v>309.62</v>
      </c>
      <c r="L180" t="s">
        <v>77</v>
      </c>
      <c r="M180" t="s">
        <v>224</v>
      </c>
      <c r="P180" t="s">
        <v>852</v>
      </c>
      <c r="Q180" t="s">
        <v>853</v>
      </c>
      <c r="R180" t="s">
        <v>80</v>
      </c>
      <c r="S180" t="s">
        <v>80</v>
      </c>
      <c r="T180" t="s">
        <v>80</v>
      </c>
      <c r="U180" t="s">
        <v>80</v>
      </c>
      <c r="V180" t="s">
        <v>80</v>
      </c>
      <c r="W180" t="s">
        <v>1598</v>
      </c>
      <c r="X180" s="1">
        <v>44945</v>
      </c>
      <c r="Y180">
        <v>309.62</v>
      </c>
      <c r="Z180" t="s">
        <v>82</v>
      </c>
      <c r="AA180" t="str">
        <f t="shared" si="3"/>
        <v>1003</v>
      </c>
      <c r="AB180" t="s">
        <v>119</v>
      </c>
      <c r="AC180" t="s">
        <v>1599</v>
      </c>
      <c r="AD180" t="s">
        <v>1600</v>
      </c>
      <c r="AE180" t="str">
        <f>"14111500"</f>
        <v>14111500</v>
      </c>
      <c r="AF180" t="s">
        <v>213</v>
      </c>
      <c r="AG180" t="s">
        <v>214</v>
      </c>
      <c r="AH180" t="s">
        <v>215</v>
      </c>
      <c r="AI180" t="s">
        <v>215</v>
      </c>
      <c r="AK180" t="s">
        <v>1601</v>
      </c>
      <c r="AL180" t="s">
        <v>1602</v>
      </c>
      <c r="AO180" t="str">
        <f>"51944"</f>
        <v>51944</v>
      </c>
      <c r="AP180" t="s">
        <v>92</v>
      </c>
      <c r="AR180">
        <v>34.299999999999997</v>
      </c>
      <c r="AS180">
        <v>34.299999999999997</v>
      </c>
      <c r="AT180">
        <v>1</v>
      </c>
      <c r="AU180">
        <v>34.299999999999997</v>
      </c>
      <c r="AV180">
        <v>0</v>
      </c>
      <c r="AX180">
        <v>2.06</v>
      </c>
      <c r="AY180">
        <v>36.36</v>
      </c>
      <c r="BA180" t="s">
        <v>93</v>
      </c>
      <c r="BC180" t="s">
        <v>93</v>
      </c>
      <c r="BI180" t="s">
        <v>80</v>
      </c>
      <c r="BM180" t="s">
        <v>372</v>
      </c>
      <c r="BN180" t="s">
        <v>373</v>
      </c>
      <c r="BP180" t="s">
        <v>532</v>
      </c>
      <c r="BR180" t="s">
        <v>1603</v>
      </c>
      <c r="BS180" t="s">
        <v>250</v>
      </c>
      <c r="BT180" t="s">
        <v>1604</v>
      </c>
      <c r="BU180" t="s">
        <v>1605</v>
      </c>
      <c r="BV180" t="str">
        <f>"54956"</f>
        <v>54956</v>
      </c>
      <c r="BW180">
        <v>825</v>
      </c>
      <c r="BX180" t="s">
        <v>2747</v>
      </c>
      <c r="BY180" t="s">
        <v>2649</v>
      </c>
      <c r="BZ180">
        <v>3</v>
      </c>
    </row>
    <row r="181" spans="1:78" x14ac:dyDescent="0.25">
      <c r="A181" s="1">
        <v>44943</v>
      </c>
      <c r="B181" t="s">
        <v>1597</v>
      </c>
      <c r="C181" t="s">
        <v>1451</v>
      </c>
      <c r="E181">
        <v>9</v>
      </c>
      <c r="F181" t="s">
        <v>76</v>
      </c>
      <c r="G181">
        <v>292.08</v>
      </c>
      <c r="H181">
        <v>0</v>
      </c>
      <c r="I181">
        <v>0</v>
      </c>
      <c r="J181">
        <v>17.54</v>
      </c>
      <c r="K181">
        <v>309.62</v>
      </c>
      <c r="L181" t="s">
        <v>77</v>
      </c>
      <c r="M181" t="s">
        <v>224</v>
      </c>
      <c r="P181" t="s">
        <v>852</v>
      </c>
      <c r="Q181" t="s">
        <v>853</v>
      </c>
      <c r="R181" t="s">
        <v>80</v>
      </c>
      <c r="S181" t="s">
        <v>80</v>
      </c>
      <c r="T181" t="s">
        <v>80</v>
      </c>
      <c r="U181" t="s">
        <v>80</v>
      </c>
      <c r="V181" t="s">
        <v>80</v>
      </c>
      <c r="W181" t="s">
        <v>1598</v>
      </c>
      <c r="X181" s="1">
        <v>44945</v>
      </c>
      <c r="Y181">
        <v>309.62</v>
      </c>
      <c r="Z181" t="s">
        <v>82</v>
      </c>
      <c r="AA181" t="str">
        <f t="shared" si="3"/>
        <v>1003</v>
      </c>
      <c r="AB181" t="s">
        <v>119</v>
      </c>
      <c r="AC181" t="s">
        <v>1606</v>
      </c>
      <c r="AD181" t="s">
        <v>1607</v>
      </c>
      <c r="AE181" t="str">
        <f>"44122012"</f>
        <v>44122012</v>
      </c>
      <c r="AF181" t="s">
        <v>108</v>
      </c>
      <c r="AG181" t="s">
        <v>556</v>
      </c>
      <c r="AH181" t="s">
        <v>771</v>
      </c>
      <c r="AI181" t="s">
        <v>772</v>
      </c>
      <c r="AK181" t="s">
        <v>1608</v>
      </c>
      <c r="AL181" t="s">
        <v>1609</v>
      </c>
      <c r="AN181" t="str">
        <f>"8541587224"</f>
        <v>8541587224</v>
      </c>
      <c r="AO181" t="s">
        <v>1610</v>
      </c>
      <c r="AP181" t="s">
        <v>92</v>
      </c>
      <c r="AR181">
        <v>34.950000000000003</v>
      </c>
      <c r="AS181">
        <v>24.95</v>
      </c>
      <c r="AT181">
        <v>1</v>
      </c>
      <c r="AU181">
        <v>24.95</v>
      </c>
      <c r="AV181">
        <v>0</v>
      </c>
      <c r="AX181">
        <v>1.5</v>
      </c>
      <c r="AY181">
        <v>26.45</v>
      </c>
      <c r="BA181" t="s">
        <v>93</v>
      </c>
      <c r="BC181" t="s">
        <v>93</v>
      </c>
      <c r="BI181" t="s">
        <v>80</v>
      </c>
      <c r="BM181" t="s">
        <v>372</v>
      </c>
      <c r="BN181" t="s">
        <v>373</v>
      </c>
      <c r="BP181" t="s">
        <v>532</v>
      </c>
      <c r="BR181" t="s">
        <v>1609</v>
      </c>
      <c r="BS181" t="s">
        <v>113</v>
      </c>
      <c r="BT181" t="s">
        <v>1611</v>
      </c>
      <c r="BU181" t="s">
        <v>1612</v>
      </c>
      <c r="BV181" t="str">
        <f>"34950"</f>
        <v>34950</v>
      </c>
      <c r="BW181">
        <v>825</v>
      </c>
      <c r="BX181" t="s">
        <v>2747</v>
      </c>
      <c r="BY181" t="s">
        <v>2649</v>
      </c>
      <c r="BZ181">
        <v>3</v>
      </c>
    </row>
    <row r="182" spans="1:78" x14ac:dyDescent="0.25">
      <c r="A182" s="1">
        <v>44943</v>
      </c>
      <c r="B182" t="s">
        <v>1597</v>
      </c>
      <c r="C182" t="s">
        <v>1451</v>
      </c>
      <c r="E182">
        <v>9</v>
      </c>
      <c r="F182" t="s">
        <v>76</v>
      </c>
      <c r="G182">
        <v>292.08</v>
      </c>
      <c r="H182">
        <v>0</v>
      </c>
      <c r="I182">
        <v>0</v>
      </c>
      <c r="J182">
        <v>17.54</v>
      </c>
      <c r="K182">
        <v>309.62</v>
      </c>
      <c r="L182" t="s">
        <v>77</v>
      </c>
      <c r="M182" t="s">
        <v>224</v>
      </c>
      <c r="P182" t="s">
        <v>852</v>
      </c>
      <c r="Q182" t="s">
        <v>853</v>
      </c>
      <c r="R182" t="s">
        <v>80</v>
      </c>
      <c r="S182" t="s">
        <v>80</v>
      </c>
      <c r="T182" t="s">
        <v>80</v>
      </c>
      <c r="U182" t="s">
        <v>80</v>
      </c>
      <c r="V182" t="s">
        <v>80</v>
      </c>
      <c r="W182" t="s">
        <v>1598</v>
      </c>
      <c r="X182" s="1">
        <v>44945</v>
      </c>
      <c r="Y182">
        <v>309.62</v>
      </c>
      <c r="Z182" t="s">
        <v>82</v>
      </c>
      <c r="AA182" t="str">
        <f t="shared" si="3"/>
        <v>1003</v>
      </c>
      <c r="AB182" t="s">
        <v>119</v>
      </c>
      <c r="AC182" t="s">
        <v>1613</v>
      </c>
      <c r="AD182" t="s">
        <v>1614</v>
      </c>
      <c r="AE182" t="str">
        <f>"44122012"</f>
        <v>44122012</v>
      </c>
      <c r="AF182" t="s">
        <v>108</v>
      </c>
      <c r="AG182" t="s">
        <v>556</v>
      </c>
      <c r="AH182" t="s">
        <v>771</v>
      </c>
      <c r="AI182" t="s">
        <v>772</v>
      </c>
      <c r="AK182" t="s">
        <v>1615</v>
      </c>
      <c r="AL182" t="s">
        <v>1615</v>
      </c>
      <c r="AO182" t="s">
        <v>1616</v>
      </c>
      <c r="AP182" t="s">
        <v>92</v>
      </c>
      <c r="AR182">
        <v>34.99</v>
      </c>
      <c r="AS182">
        <v>34.99</v>
      </c>
      <c r="AT182">
        <v>1</v>
      </c>
      <c r="AU182">
        <v>34.99</v>
      </c>
      <c r="AV182">
        <v>0</v>
      </c>
      <c r="AX182">
        <v>2.1</v>
      </c>
      <c r="AY182">
        <v>37.090000000000003</v>
      </c>
      <c r="BA182" t="s">
        <v>93</v>
      </c>
      <c r="BC182" t="s">
        <v>93</v>
      </c>
      <c r="BI182" t="s">
        <v>80</v>
      </c>
      <c r="BM182" t="s">
        <v>372</v>
      </c>
      <c r="BN182" t="s">
        <v>373</v>
      </c>
      <c r="BP182" t="s">
        <v>532</v>
      </c>
      <c r="BR182" t="s">
        <v>1617</v>
      </c>
      <c r="BT182" t="s">
        <v>1618</v>
      </c>
      <c r="BU182" t="s">
        <v>1619</v>
      </c>
      <c r="BV182" t="str">
        <f>"221200"</f>
        <v>221200</v>
      </c>
      <c r="BW182">
        <v>825</v>
      </c>
      <c r="BX182" t="s">
        <v>2747</v>
      </c>
      <c r="BY182" t="s">
        <v>2649</v>
      </c>
      <c r="BZ182">
        <v>3</v>
      </c>
    </row>
    <row r="183" spans="1:78" x14ac:dyDescent="0.25">
      <c r="A183" s="1">
        <v>44943</v>
      </c>
      <c r="B183" t="s">
        <v>1597</v>
      </c>
      <c r="C183" t="s">
        <v>1451</v>
      </c>
      <c r="E183">
        <v>9</v>
      </c>
      <c r="F183" t="s">
        <v>76</v>
      </c>
      <c r="G183">
        <v>292.08</v>
      </c>
      <c r="H183">
        <v>0</v>
      </c>
      <c r="I183">
        <v>0</v>
      </c>
      <c r="J183">
        <v>17.54</v>
      </c>
      <c r="K183">
        <v>309.62</v>
      </c>
      <c r="L183" t="s">
        <v>77</v>
      </c>
      <c r="M183" t="s">
        <v>224</v>
      </c>
      <c r="P183" t="s">
        <v>852</v>
      </c>
      <c r="Q183" t="s">
        <v>853</v>
      </c>
      <c r="R183" t="s">
        <v>80</v>
      </c>
      <c r="S183" t="s">
        <v>80</v>
      </c>
      <c r="T183" t="s">
        <v>80</v>
      </c>
      <c r="U183" t="s">
        <v>80</v>
      </c>
      <c r="V183" t="s">
        <v>80</v>
      </c>
      <c r="W183" t="s">
        <v>1598</v>
      </c>
      <c r="X183" s="1">
        <v>44945</v>
      </c>
      <c r="Y183">
        <v>309.62</v>
      </c>
      <c r="Z183" t="s">
        <v>82</v>
      </c>
      <c r="AA183" t="str">
        <f t="shared" si="3"/>
        <v>1003</v>
      </c>
      <c r="AB183" t="s">
        <v>119</v>
      </c>
      <c r="AC183" t="s">
        <v>1620</v>
      </c>
      <c r="AD183" t="s">
        <v>1621</v>
      </c>
      <c r="AE183" t="str">
        <f>"55121600"</f>
        <v>55121600</v>
      </c>
      <c r="AF183" t="s">
        <v>195</v>
      </c>
      <c r="AG183" t="s">
        <v>196</v>
      </c>
      <c r="AH183" t="s">
        <v>197</v>
      </c>
      <c r="AI183" t="s">
        <v>197</v>
      </c>
      <c r="AK183" t="s">
        <v>1622</v>
      </c>
      <c r="AL183" t="s">
        <v>1622</v>
      </c>
      <c r="AO183" t="s">
        <v>1622</v>
      </c>
      <c r="AP183" t="s">
        <v>92</v>
      </c>
      <c r="AR183">
        <v>68.989999999999995</v>
      </c>
      <c r="AS183">
        <v>67.989999999999995</v>
      </c>
      <c r="AT183">
        <v>1</v>
      </c>
      <c r="AU183">
        <v>67.989999999999995</v>
      </c>
      <c r="AV183">
        <v>0</v>
      </c>
      <c r="AX183">
        <v>4.08</v>
      </c>
      <c r="AY183">
        <v>72.069999999999993</v>
      </c>
      <c r="BA183" t="s">
        <v>93</v>
      </c>
      <c r="BC183" t="s">
        <v>93</v>
      </c>
      <c r="BD183" t="s">
        <v>128</v>
      </c>
      <c r="BE183">
        <v>1</v>
      </c>
      <c r="BF183" s="2">
        <v>1.4500000000000001E-2</v>
      </c>
      <c r="BI183" t="s">
        <v>80</v>
      </c>
      <c r="BM183" t="s">
        <v>372</v>
      </c>
      <c r="BN183" t="s">
        <v>373</v>
      </c>
      <c r="BP183" t="s">
        <v>532</v>
      </c>
      <c r="BR183" t="s">
        <v>1623</v>
      </c>
      <c r="BT183" t="s">
        <v>1333</v>
      </c>
      <c r="BU183" t="s">
        <v>98</v>
      </c>
      <c r="BV183" t="str">
        <f>"523749"</f>
        <v>523749</v>
      </c>
      <c r="BW183">
        <v>825</v>
      </c>
      <c r="BX183" t="s">
        <v>2747</v>
      </c>
      <c r="BY183" t="s">
        <v>2649</v>
      </c>
      <c r="BZ183">
        <v>3</v>
      </c>
    </row>
    <row r="184" spans="1:78" x14ac:dyDescent="0.25">
      <c r="A184" s="1">
        <v>44943</v>
      </c>
      <c r="B184" t="s">
        <v>1597</v>
      </c>
      <c r="C184" t="s">
        <v>1451</v>
      </c>
      <c r="E184">
        <v>9</v>
      </c>
      <c r="F184" t="s">
        <v>76</v>
      </c>
      <c r="G184">
        <v>292.08</v>
      </c>
      <c r="H184">
        <v>0</v>
      </c>
      <c r="I184">
        <v>0</v>
      </c>
      <c r="J184">
        <v>17.54</v>
      </c>
      <c r="K184">
        <v>309.62</v>
      </c>
      <c r="L184" t="s">
        <v>77</v>
      </c>
      <c r="M184" t="s">
        <v>224</v>
      </c>
      <c r="P184" t="s">
        <v>852</v>
      </c>
      <c r="Q184" t="s">
        <v>853</v>
      </c>
      <c r="R184" t="s">
        <v>80</v>
      </c>
      <c r="S184" t="s">
        <v>80</v>
      </c>
      <c r="T184" t="s">
        <v>80</v>
      </c>
      <c r="U184" t="s">
        <v>80</v>
      </c>
      <c r="V184" t="s">
        <v>80</v>
      </c>
      <c r="W184" t="s">
        <v>1598</v>
      </c>
      <c r="X184" s="1">
        <v>44945</v>
      </c>
      <c r="Y184">
        <v>309.62</v>
      </c>
      <c r="Z184" t="s">
        <v>82</v>
      </c>
      <c r="AA184" t="str">
        <f t="shared" si="3"/>
        <v>1003</v>
      </c>
      <c r="AB184" t="s">
        <v>367</v>
      </c>
      <c r="AC184" t="s">
        <v>1624</v>
      </c>
      <c r="AD184" t="s">
        <v>1625</v>
      </c>
      <c r="AE184" t="str">
        <f>"43191600"</f>
        <v>43191600</v>
      </c>
      <c r="AF184" t="s">
        <v>86</v>
      </c>
      <c r="AG184" t="s">
        <v>136</v>
      </c>
      <c r="AH184" t="s">
        <v>137</v>
      </c>
      <c r="AI184" t="s">
        <v>137</v>
      </c>
      <c r="AK184" t="s">
        <v>1626</v>
      </c>
      <c r="AL184" t="s">
        <v>1626</v>
      </c>
      <c r="AP184" t="s">
        <v>92</v>
      </c>
      <c r="AR184">
        <v>25.97</v>
      </c>
      <c r="AS184">
        <v>25.97</v>
      </c>
      <c r="AT184">
        <v>5</v>
      </c>
      <c r="AU184">
        <v>129.85</v>
      </c>
      <c r="AV184">
        <v>0</v>
      </c>
      <c r="AX184">
        <v>7.8</v>
      </c>
      <c r="AY184">
        <v>137.65</v>
      </c>
      <c r="BA184" t="s">
        <v>93</v>
      </c>
      <c r="BC184" t="s">
        <v>93</v>
      </c>
      <c r="BI184" t="s">
        <v>80</v>
      </c>
      <c r="BM184" t="s">
        <v>372</v>
      </c>
      <c r="BN184" t="s">
        <v>373</v>
      </c>
      <c r="BP184" t="s">
        <v>532</v>
      </c>
      <c r="BR184" t="s">
        <v>1627</v>
      </c>
      <c r="BW184">
        <v>825</v>
      </c>
      <c r="BX184" t="s">
        <v>2747</v>
      </c>
      <c r="BY184" t="s">
        <v>2649</v>
      </c>
      <c r="BZ184">
        <v>3</v>
      </c>
    </row>
    <row r="185" spans="1:78" x14ac:dyDescent="0.25">
      <c r="A185" s="1">
        <v>44943</v>
      </c>
      <c r="B185" t="s">
        <v>1628</v>
      </c>
      <c r="C185" t="s">
        <v>392</v>
      </c>
      <c r="E185">
        <v>2</v>
      </c>
      <c r="F185" t="s">
        <v>76</v>
      </c>
      <c r="G185">
        <v>58.74</v>
      </c>
      <c r="H185">
        <v>0</v>
      </c>
      <c r="I185">
        <v>0</v>
      </c>
      <c r="J185">
        <v>1.76</v>
      </c>
      <c r="K185">
        <v>60.5</v>
      </c>
      <c r="L185" t="s">
        <v>77</v>
      </c>
      <c r="P185" t="s">
        <v>418</v>
      </c>
      <c r="Q185" t="s">
        <v>419</v>
      </c>
      <c r="R185" t="s">
        <v>80</v>
      </c>
      <c r="S185" t="s">
        <v>80</v>
      </c>
      <c r="T185" t="s">
        <v>80</v>
      </c>
      <c r="U185" t="s">
        <v>80</v>
      </c>
      <c r="V185" t="s">
        <v>80</v>
      </c>
      <c r="W185" t="s">
        <v>1629</v>
      </c>
      <c r="X185" s="1">
        <v>44944</v>
      </c>
      <c r="Y185">
        <v>60.5</v>
      </c>
      <c r="Z185" t="s">
        <v>82</v>
      </c>
      <c r="AA185" t="str">
        <f t="shared" si="3"/>
        <v>1003</v>
      </c>
      <c r="AB185" t="s">
        <v>320</v>
      </c>
      <c r="AC185" t="s">
        <v>1630</v>
      </c>
      <c r="AD185" t="s">
        <v>1631</v>
      </c>
      <c r="AE185" t="str">
        <f>"50201706"</f>
        <v>50201706</v>
      </c>
      <c r="AF185" t="s">
        <v>323</v>
      </c>
      <c r="AG185" t="s">
        <v>332</v>
      </c>
      <c r="AH185" t="s">
        <v>333</v>
      </c>
      <c r="AI185" t="s">
        <v>334</v>
      </c>
      <c r="AJ185" t="s">
        <v>1632</v>
      </c>
      <c r="AK185" t="s">
        <v>1633</v>
      </c>
      <c r="AL185" t="s">
        <v>1634</v>
      </c>
      <c r="AN185" t="str">
        <f>"5000202614"</f>
        <v>5000202614</v>
      </c>
      <c r="AO185" t="s">
        <v>1635</v>
      </c>
      <c r="AP185" t="s">
        <v>92</v>
      </c>
      <c r="AR185">
        <v>49.99</v>
      </c>
      <c r="AS185">
        <v>43.12</v>
      </c>
      <c r="AT185">
        <v>1</v>
      </c>
      <c r="AU185">
        <v>43.12</v>
      </c>
      <c r="AV185">
        <v>0</v>
      </c>
      <c r="AX185">
        <v>1.29</v>
      </c>
      <c r="AY185">
        <v>44.41</v>
      </c>
      <c r="BA185" t="s">
        <v>93</v>
      </c>
      <c r="BC185" t="s">
        <v>93</v>
      </c>
      <c r="BI185" t="s">
        <v>80</v>
      </c>
      <c r="BM185" t="s">
        <v>427</v>
      </c>
      <c r="BN185" t="s">
        <v>95</v>
      </c>
      <c r="BP185" t="s">
        <v>428</v>
      </c>
      <c r="BR185" t="s">
        <v>338</v>
      </c>
      <c r="BT185" t="s">
        <v>131</v>
      </c>
      <c r="BU185" t="s">
        <v>339</v>
      </c>
      <c r="BV185" t="str">
        <f>"98109"</f>
        <v>98109</v>
      </c>
      <c r="BW185">
        <v>894</v>
      </c>
      <c r="BX185" t="s">
        <v>2744</v>
      </c>
      <c r="BY185" t="s">
        <v>2697</v>
      </c>
      <c r="BZ185">
        <v>3</v>
      </c>
    </row>
    <row r="186" spans="1:78" x14ac:dyDescent="0.25">
      <c r="A186" s="1">
        <v>44943</v>
      </c>
      <c r="B186" t="s">
        <v>1628</v>
      </c>
      <c r="C186" t="s">
        <v>392</v>
      </c>
      <c r="E186">
        <v>2</v>
      </c>
      <c r="F186" t="s">
        <v>76</v>
      </c>
      <c r="G186">
        <v>58.74</v>
      </c>
      <c r="H186">
        <v>0</v>
      </c>
      <c r="I186">
        <v>0</v>
      </c>
      <c r="J186">
        <v>1.76</v>
      </c>
      <c r="K186">
        <v>60.5</v>
      </c>
      <c r="L186" t="s">
        <v>77</v>
      </c>
      <c r="P186" t="s">
        <v>418</v>
      </c>
      <c r="Q186" t="s">
        <v>419</v>
      </c>
      <c r="R186" t="s">
        <v>80</v>
      </c>
      <c r="S186" t="s">
        <v>80</v>
      </c>
      <c r="T186" t="s">
        <v>80</v>
      </c>
      <c r="U186" t="s">
        <v>80</v>
      </c>
      <c r="V186" t="s">
        <v>80</v>
      </c>
      <c r="W186" t="s">
        <v>1629</v>
      </c>
      <c r="X186" s="1">
        <v>44944</v>
      </c>
      <c r="Y186">
        <v>60.5</v>
      </c>
      <c r="Z186" t="s">
        <v>82</v>
      </c>
      <c r="AA186" t="str">
        <f t="shared" si="3"/>
        <v>1003</v>
      </c>
      <c r="AB186" t="s">
        <v>320</v>
      </c>
      <c r="AC186" t="s">
        <v>321</v>
      </c>
      <c r="AD186" t="s">
        <v>322</v>
      </c>
      <c r="AE186" t="str">
        <f>"50161500"</f>
        <v>50161500</v>
      </c>
      <c r="AF186" t="s">
        <v>323</v>
      </c>
      <c r="AG186" t="s">
        <v>324</v>
      </c>
      <c r="AH186" t="s">
        <v>325</v>
      </c>
      <c r="AI186" t="s">
        <v>325</v>
      </c>
      <c r="AJ186" t="s">
        <v>326</v>
      </c>
      <c r="AK186" t="s">
        <v>327</v>
      </c>
      <c r="AL186" t="s">
        <v>328</v>
      </c>
      <c r="AN186" t="str">
        <f>"94100"</f>
        <v>94100</v>
      </c>
      <c r="AO186" t="s">
        <v>329</v>
      </c>
      <c r="AP186" t="s">
        <v>92</v>
      </c>
      <c r="AR186">
        <v>15.62</v>
      </c>
      <c r="AS186">
        <v>15.62</v>
      </c>
      <c r="AT186">
        <v>1</v>
      </c>
      <c r="AU186">
        <v>15.62</v>
      </c>
      <c r="AV186">
        <v>0</v>
      </c>
      <c r="AX186">
        <v>0.47</v>
      </c>
      <c r="AY186">
        <v>16.09</v>
      </c>
      <c r="BA186" t="s">
        <v>93</v>
      </c>
      <c r="BC186" t="s">
        <v>93</v>
      </c>
      <c r="BI186" t="s">
        <v>80</v>
      </c>
      <c r="BM186" t="s">
        <v>427</v>
      </c>
      <c r="BN186" t="s">
        <v>95</v>
      </c>
      <c r="BP186" t="s">
        <v>428</v>
      </c>
      <c r="BR186" t="s">
        <v>338</v>
      </c>
      <c r="BT186" t="s">
        <v>131</v>
      </c>
      <c r="BU186" t="s">
        <v>339</v>
      </c>
      <c r="BV186" t="str">
        <f>"98109"</f>
        <v>98109</v>
      </c>
      <c r="BW186">
        <v>894</v>
      </c>
      <c r="BX186" t="s">
        <v>2744</v>
      </c>
      <c r="BY186" t="s">
        <v>2697</v>
      </c>
      <c r="BZ186">
        <v>3</v>
      </c>
    </row>
    <row r="187" spans="1:78" x14ac:dyDescent="0.25">
      <c r="A187" s="1">
        <v>44943</v>
      </c>
      <c r="B187" t="s">
        <v>1636</v>
      </c>
      <c r="C187" t="s">
        <v>392</v>
      </c>
      <c r="E187">
        <v>1</v>
      </c>
      <c r="F187" t="s">
        <v>76</v>
      </c>
      <c r="G187">
        <v>44.06</v>
      </c>
      <c r="H187">
        <v>0</v>
      </c>
      <c r="I187">
        <v>0</v>
      </c>
      <c r="J187">
        <v>1.32</v>
      </c>
      <c r="K187">
        <v>45.38</v>
      </c>
      <c r="L187" t="s">
        <v>77</v>
      </c>
      <c r="P187" t="s">
        <v>418</v>
      </c>
      <c r="Q187" t="s">
        <v>419</v>
      </c>
      <c r="R187" t="s">
        <v>80</v>
      </c>
      <c r="S187" t="s">
        <v>80</v>
      </c>
      <c r="T187" t="s">
        <v>80</v>
      </c>
      <c r="U187" t="s">
        <v>80</v>
      </c>
      <c r="V187" t="s">
        <v>80</v>
      </c>
      <c r="W187" t="s">
        <v>1637</v>
      </c>
      <c r="X187" s="1">
        <v>44944</v>
      </c>
      <c r="Y187">
        <v>45.38</v>
      </c>
      <c r="Z187" t="s">
        <v>82</v>
      </c>
      <c r="AA187" t="str">
        <f t="shared" si="3"/>
        <v>1003</v>
      </c>
      <c r="AB187" t="s">
        <v>320</v>
      </c>
      <c r="AC187" t="s">
        <v>1638</v>
      </c>
      <c r="AD187" t="s">
        <v>1639</v>
      </c>
      <c r="AE187" t="str">
        <f>"50201700"</f>
        <v>50201700</v>
      </c>
      <c r="AF187" t="s">
        <v>323</v>
      </c>
      <c r="AG187" t="s">
        <v>332</v>
      </c>
      <c r="AH187" t="s">
        <v>333</v>
      </c>
      <c r="AI187" t="s">
        <v>333</v>
      </c>
      <c r="AJ187" t="s">
        <v>1640</v>
      </c>
      <c r="AK187" t="s">
        <v>1641</v>
      </c>
      <c r="AL187" t="s">
        <v>1642</v>
      </c>
      <c r="AN187" t="str">
        <f>"11000443"</f>
        <v>11000443</v>
      </c>
      <c r="AO187" t="str">
        <f>"11000443"</f>
        <v>11000443</v>
      </c>
      <c r="AP187" t="s">
        <v>92</v>
      </c>
      <c r="AR187">
        <v>44.06</v>
      </c>
      <c r="AS187">
        <v>44.06</v>
      </c>
      <c r="AT187">
        <v>1</v>
      </c>
      <c r="AU187">
        <v>44.06</v>
      </c>
      <c r="AV187">
        <v>0</v>
      </c>
      <c r="AX187">
        <v>1.32</v>
      </c>
      <c r="AY187">
        <v>45.38</v>
      </c>
      <c r="BA187" t="s">
        <v>93</v>
      </c>
      <c r="BC187" t="s">
        <v>93</v>
      </c>
      <c r="BI187" t="s">
        <v>80</v>
      </c>
      <c r="BM187" t="s">
        <v>427</v>
      </c>
      <c r="BN187" t="s">
        <v>95</v>
      </c>
      <c r="BP187" t="s">
        <v>428</v>
      </c>
      <c r="BR187" t="s">
        <v>130</v>
      </c>
      <c r="BT187" t="s">
        <v>131</v>
      </c>
      <c r="BU187" t="s">
        <v>132</v>
      </c>
      <c r="BV187" t="str">
        <f>"98109"</f>
        <v>98109</v>
      </c>
      <c r="BW187">
        <v>894</v>
      </c>
      <c r="BX187" t="s">
        <v>2744</v>
      </c>
      <c r="BY187" t="s">
        <v>2697</v>
      </c>
      <c r="BZ187">
        <v>3</v>
      </c>
    </row>
    <row r="188" spans="1:78" x14ac:dyDescent="0.25">
      <c r="A188" s="1">
        <v>44943</v>
      </c>
      <c r="B188" t="s">
        <v>1643</v>
      </c>
      <c r="C188" t="s">
        <v>283</v>
      </c>
      <c r="E188">
        <v>1</v>
      </c>
      <c r="F188" t="s">
        <v>76</v>
      </c>
      <c r="G188">
        <v>92.13</v>
      </c>
      <c r="H188">
        <v>0</v>
      </c>
      <c r="I188">
        <v>0</v>
      </c>
      <c r="J188">
        <v>9.2100000000000009</v>
      </c>
      <c r="K188">
        <v>101.34</v>
      </c>
      <c r="L188" t="s">
        <v>77</v>
      </c>
      <c r="P188" t="s">
        <v>284</v>
      </c>
      <c r="Q188" t="s">
        <v>285</v>
      </c>
      <c r="R188" t="s">
        <v>80</v>
      </c>
      <c r="S188" t="s">
        <v>80</v>
      </c>
      <c r="T188" t="s">
        <v>80</v>
      </c>
      <c r="U188" t="s">
        <v>80</v>
      </c>
      <c r="V188" t="s">
        <v>80</v>
      </c>
      <c r="W188" t="s">
        <v>1644</v>
      </c>
      <c r="X188" s="1">
        <v>44945</v>
      </c>
      <c r="Y188">
        <v>101.34</v>
      </c>
      <c r="Z188" t="s">
        <v>82</v>
      </c>
      <c r="AA188" t="str">
        <f t="shared" si="3"/>
        <v>1003</v>
      </c>
      <c r="AB188" t="s">
        <v>653</v>
      </c>
      <c r="AC188" t="s">
        <v>1645</v>
      </c>
      <c r="AD188" t="s">
        <v>1646</v>
      </c>
      <c r="AE188" t="str">
        <f>"56101500"</f>
        <v>56101500</v>
      </c>
      <c r="AF188" t="s">
        <v>159</v>
      </c>
      <c r="AG188" t="s">
        <v>160</v>
      </c>
      <c r="AH188" t="s">
        <v>653</v>
      </c>
      <c r="AI188" t="s">
        <v>653</v>
      </c>
      <c r="AJ188" t="s">
        <v>1647</v>
      </c>
      <c r="AK188" t="s">
        <v>1648</v>
      </c>
      <c r="AL188" t="s">
        <v>1649</v>
      </c>
      <c r="AN188" t="s">
        <v>1650</v>
      </c>
      <c r="AO188" t="s">
        <v>1650</v>
      </c>
      <c r="AP188" t="s">
        <v>92</v>
      </c>
      <c r="AR188">
        <v>129</v>
      </c>
      <c r="AS188">
        <v>92.13</v>
      </c>
      <c r="AT188">
        <v>1</v>
      </c>
      <c r="AU188">
        <v>92.13</v>
      </c>
      <c r="AV188">
        <v>0</v>
      </c>
      <c r="AX188">
        <v>9.2100000000000009</v>
      </c>
      <c r="AY188">
        <v>101.34</v>
      </c>
      <c r="BA188" t="s">
        <v>93</v>
      </c>
      <c r="BC188" t="s">
        <v>93</v>
      </c>
      <c r="BI188" t="s">
        <v>80</v>
      </c>
      <c r="BM188" t="s">
        <v>94</v>
      </c>
      <c r="BN188" t="s">
        <v>95</v>
      </c>
      <c r="BP188" t="s">
        <v>305</v>
      </c>
      <c r="BR188" t="s">
        <v>338</v>
      </c>
      <c r="BT188" t="s">
        <v>131</v>
      </c>
      <c r="BU188" t="s">
        <v>339</v>
      </c>
      <c r="BV188" t="str">
        <f>"98109"</f>
        <v>98109</v>
      </c>
      <c r="BW188">
        <v>880</v>
      </c>
      <c r="BX188" t="s">
        <v>2737</v>
      </c>
      <c r="BY188" t="s">
        <v>2675</v>
      </c>
      <c r="BZ188">
        <v>3</v>
      </c>
    </row>
    <row r="189" spans="1:78" x14ac:dyDescent="0.25">
      <c r="A189" s="1">
        <v>44943</v>
      </c>
      <c r="B189" t="s">
        <v>1651</v>
      </c>
      <c r="C189" t="s">
        <v>189</v>
      </c>
      <c r="E189">
        <v>5</v>
      </c>
      <c r="F189" t="s">
        <v>76</v>
      </c>
      <c r="G189">
        <v>84.95</v>
      </c>
      <c r="H189">
        <v>0</v>
      </c>
      <c r="I189">
        <v>0</v>
      </c>
      <c r="J189">
        <v>7</v>
      </c>
      <c r="K189">
        <v>91.95</v>
      </c>
      <c r="L189" t="s">
        <v>77</v>
      </c>
      <c r="P189" t="s">
        <v>307</v>
      </c>
      <c r="Q189" t="s">
        <v>308</v>
      </c>
      <c r="R189" t="s">
        <v>80</v>
      </c>
      <c r="S189" t="s">
        <v>80</v>
      </c>
      <c r="T189" t="s">
        <v>80</v>
      </c>
      <c r="U189" t="s">
        <v>80</v>
      </c>
      <c r="V189" t="s">
        <v>80</v>
      </c>
      <c r="W189" t="s">
        <v>1652</v>
      </c>
      <c r="X189" s="1">
        <v>44943</v>
      </c>
      <c r="Y189">
        <v>91.95</v>
      </c>
      <c r="Z189" t="s">
        <v>82</v>
      </c>
      <c r="AA189" t="str">
        <f t="shared" si="3"/>
        <v>1003</v>
      </c>
      <c r="AB189" t="s">
        <v>133</v>
      </c>
      <c r="AC189" t="s">
        <v>1653</v>
      </c>
      <c r="AD189" t="s">
        <v>1654</v>
      </c>
      <c r="AE189" t="str">
        <f>"27110000"</f>
        <v>27110000</v>
      </c>
      <c r="AF189" t="s">
        <v>504</v>
      </c>
      <c r="AG189" t="s">
        <v>505</v>
      </c>
      <c r="AH189" t="s">
        <v>505</v>
      </c>
      <c r="AI189" t="s">
        <v>505</v>
      </c>
      <c r="AK189" t="s">
        <v>1655</v>
      </c>
      <c r="AL189" t="s">
        <v>1655</v>
      </c>
      <c r="AO189" t="str">
        <f>"24"</f>
        <v>24</v>
      </c>
      <c r="AP189" t="s">
        <v>92</v>
      </c>
      <c r="AR189">
        <v>24.99</v>
      </c>
      <c r="AS189">
        <v>16.989999999999998</v>
      </c>
      <c r="AT189">
        <v>5</v>
      </c>
      <c r="AU189">
        <v>84.95</v>
      </c>
      <c r="AV189">
        <v>0</v>
      </c>
      <c r="AX189">
        <v>7</v>
      </c>
      <c r="AY189">
        <v>91.95</v>
      </c>
      <c r="BA189" t="s">
        <v>93</v>
      </c>
      <c r="BC189" t="s">
        <v>93</v>
      </c>
      <c r="BI189" t="s">
        <v>80</v>
      </c>
      <c r="BM189" t="s">
        <v>94</v>
      </c>
      <c r="BN189" t="s">
        <v>95</v>
      </c>
      <c r="BP189" t="s">
        <v>314</v>
      </c>
      <c r="BR189" t="s">
        <v>1655</v>
      </c>
      <c r="BT189" t="s">
        <v>1656</v>
      </c>
      <c r="BU189" t="s">
        <v>1656</v>
      </c>
      <c r="BV189" t="str">
        <f>"200000"</f>
        <v>200000</v>
      </c>
      <c r="BW189">
        <v>868</v>
      </c>
      <c r="BX189" t="s">
        <v>2738</v>
      </c>
      <c r="BY189" t="s">
        <v>2665</v>
      </c>
      <c r="BZ189">
        <v>3</v>
      </c>
    </row>
    <row r="190" spans="1:78" x14ac:dyDescent="0.25">
      <c r="A190" s="1">
        <v>44943</v>
      </c>
      <c r="B190" t="s">
        <v>1657</v>
      </c>
      <c r="C190" t="s">
        <v>189</v>
      </c>
      <c r="E190">
        <v>2</v>
      </c>
      <c r="F190" t="s">
        <v>76</v>
      </c>
      <c r="G190">
        <v>105.24</v>
      </c>
      <c r="H190">
        <v>0</v>
      </c>
      <c r="I190">
        <v>0</v>
      </c>
      <c r="J190">
        <v>8.68</v>
      </c>
      <c r="K190">
        <v>113.92</v>
      </c>
      <c r="L190" t="s">
        <v>77</v>
      </c>
      <c r="P190" t="s">
        <v>190</v>
      </c>
      <c r="Q190" t="s">
        <v>191</v>
      </c>
      <c r="R190" t="s">
        <v>80</v>
      </c>
      <c r="S190" t="s">
        <v>80</v>
      </c>
      <c r="T190" t="s">
        <v>80</v>
      </c>
      <c r="U190" t="s">
        <v>80</v>
      </c>
      <c r="V190" t="s">
        <v>80</v>
      </c>
      <c r="W190" t="s">
        <v>1658</v>
      </c>
      <c r="X190" s="1">
        <v>44944</v>
      </c>
      <c r="Y190">
        <v>113.92</v>
      </c>
      <c r="Z190" t="s">
        <v>82</v>
      </c>
      <c r="AA190" t="str">
        <f t="shared" si="3"/>
        <v>1003</v>
      </c>
      <c r="AB190" t="s">
        <v>105</v>
      </c>
      <c r="AC190" t="s">
        <v>1659</v>
      </c>
      <c r="AD190" t="s">
        <v>1660</v>
      </c>
      <c r="AE190" t="str">
        <f>"44103103"</f>
        <v>44103103</v>
      </c>
      <c r="AF190" t="s">
        <v>108</v>
      </c>
      <c r="AG190" t="s">
        <v>109</v>
      </c>
      <c r="AH190" t="s">
        <v>992</v>
      </c>
      <c r="AI190" t="s">
        <v>993</v>
      </c>
      <c r="AK190" t="s">
        <v>1661</v>
      </c>
      <c r="AL190" t="s">
        <v>1661</v>
      </c>
      <c r="AN190" t="s">
        <v>1662</v>
      </c>
      <c r="AO190" t="s">
        <v>1663</v>
      </c>
      <c r="AP190" t="s">
        <v>92</v>
      </c>
      <c r="AR190">
        <v>64.989999999999995</v>
      </c>
      <c r="AS190">
        <v>52.62</v>
      </c>
      <c r="AT190">
        <v>2</v>
      </c>
      <c r="AU190">
        <v>105.24</v>
      </c>
      <c r="AV190">
        <v>0</v>
      </c>
      <c r="AX190">
        <v>8.68</v>
      </c>
      <c r="AY190">
        <v>113.92</v>
      </c>
      <c r="BA190" t="s">
        <v>93</v>
      </c>
      <c r="BC190" t="s">
        <v>93</v>
      </c>
      <c r="BI190" t="s">
        <v>80</v>
      </c>
      <c r="BM190" t="s">
        <v>94</v>
      </c>
      <c r="BN190" t="s">
        <v>95</v>
      </c>
      <c r="BP190" t="s">
        <v>201</v>
      </c>
      <c r="BR190" t="s">
        <v>1664</v>
      </c>
      <c r="BT190" t="s">
        <v>1665</v>
      </c>
      <c r="BU190" t="s">
        <v>1530</v>
      </c>
      <c r="BV190" t="str">
        <f>"10952"</f>
        <v>10952</v>
      </c>
      <c r="BW190">
        <v>901</v>
      </c>
      <c r="BX190" t="s">
        <v>2730</v>
      </c>
      <c r="BY190" t="s">
        <v>2705</v>
      </c>
      <c r="BZ190">
        <v>3</v>
      </c>
    </row>
    <row r="191" spans="1:78" x14ac:dyDescent="0.25">
      <c r="A191" s="1">
        <v>44943</v>
      </c>
      <c r="B191" t="s">
        <v>1666</v>
      </c>
      <c r="C191" t="s">
        <v>189</v>
      </c>
      <c r="E191">
        <v>2</v>
      </c>
      <c r="F191" t="s">
        <v>76</v>
      </c>
      <c r="G191">
        <v>136</v>
      </c>
      <c r="H191">
        <v>55.74</v>
      </c>
      <c r="I191">
        <v>0</v>
      </c>
      <c r="J191">
        <v>15.82</v>
      </c>
      <c r="K191">
        <v>207.56</v>
      </c>
      <c r="L191" t="s">
        <v>77</v>
      </c>
      <c r="P191" t="s">
        <v>190</v>
      </c>
      <c r="Q191" t="s">
        <v>191</v>
      </c>
      <c r="R191" t="s">
        <v>80</v>
      </c>
      <c r="S191" t="s">
        <v>80</v>
      </c>
      <c r="T191" t="s">
        <v>80</v>
      </c>
      <c r="U191" t="s">
        <v>80</v>
      </c>
      <c r="V191" t="s">
        <v>80</v>
      </c>
      <c r="W191" t="s">
        <v>1667</v>
      </c>
      <c r="X191" s="1">
        <v>44943</v>
      </c>
      <c r="Y191">
        <v>207.56</v>
      </c>
      <c r="Z191" t="s">
        <v>82</v>
      </c>
      <c r="AA191" t="str">
        <f t="shared" si="3"/>
        <v>1003</v>
      </c>
      <c r="AB191" t="s">
        <v>119</v>
      </c>
      <c r="AC191" t="s">
        <v>1668</v>
      </c>
      <c r="AD191" t="s">
        <v>1669</v>
      </c>
      <c r="AE191" t="str">
        <f>"44103103"</f>
        <v>44103103</v>
      </c>
      <c r="AF191" t="s">
        <v>108</v>
      </c>
      <c r="AG191" t="s">
        <v>109</v>
      </c>
      <c r="AH191" t="s">
        <v>992</v>
      </c>
      <c r="AI191" t="s">
        <v>993</v>
      </c>
      <c r="AK191" t="s">
        <v>995</v>
      </c>
      <c r="AL191" t="s">
        <v>1670</v>
      </c>
      <c r="AN191" t="s">
        <v>1671</v>
      </c>
      <c r="AO191" t="s">
        <v>1671</v>
      </c>
      <c r="AP191" t="s">
        <v>92</v>
      </c>
      <c r="AR191">
        <v>68</v>
      </c>
      <c r="AS191">
        <v>68</v>
      </c>
      <c r="AT191">
        <v>2</v>
      </c>
      <c r="AU191">
        <v>136</v>
      </c>
      <c r="AV191">
        <v>55.74</v>
      </c>
      <c r="AX191">
        <v>15.82</v>
      </c>
      <c r="AY191">
        <v>207.56</v>
      </c>
      <c r="BA191" t="s">
        <v>93</v>
      </c>
      <c r="BC191" t="s">
        <v>93</v>
      </c>
      <c r="BI191" t="s">
        <v>80</v>
      </c>
      <c r="BM191" t="s">
        <v>94</v>
      </c>
      <c r="BN191" t="s">
        <v>95</v>
      </c>
      <c r="BP191" t="s">
        <v>201</v>
      </c>
      <c r="BR191" t="s">
        <v>1672</v>
      </c>
      <c r="BT191" t="s">
        <v>1673</v>
      </c>
      <c r="BU191" t="s">
        <v>1674</v>
      </c>
      <c r="BV191" t="str">
        <f>"40380"</f>
        <v>40380</v>
      </c>
      <c r="BW191">
        <v>901</v>
      </c>
      <c r="BX191" t="s">
        <v>2730</v>
      </c>
      <c r="BY191" t="s">
        <v>2705</v>
      </c>
      <c r="BZ191">
        <v>3</v>
      </c>
    </row>
    <row r="192" spans="1:78" x14ac:dyDescent="0.25">
      <c r="A192" s="1">
        <v>44943</v>
      </c>
      <c r="B192" t="s">
        <v>1675</v>
      </c>
      <c r="C192" t="s">
        <v>392</v>
      </c>
      <c r="E192">
        <v>1</v>
      </c>
      <c r="F192" t="s">
        <v>76</v>
      </c>
      <c r="G192">
        <v>9.99</v>
      </c>
      <c r="H192">
        <v>0</v>
      </c>
      <c r="I192">
        <v>0</v>
      </c>
      <c r="J192">
        <v>0.7</v>
      </c>
      <c r="K192">
        <v>10.69</v>
      </c>
      <c r="L192" t="s">
        <v>77</v>
      </c>
      <c r="P192" t="s">
        <v>1006</v>
      </c>
      <c r="Q192" t="s">
        <v>1007</v>
      </c>
      <c r="R192" t="s">
        <v>80</v>
      </c>
      <c r="S192" t="s">
        <v>80</v>
      </c>
      <c r="T192" t="s">
        <v>80</v>
      </c>
      <c r="U192" t="s">
        <v>80</v>
      </c>
      <c r="V192" t="s">
        <v>80</v>
      </c>
      <c r="W192" t="s">
        <v>1676</v>
      </c>
      <c r="X192" s="1">
        <v>44943</v>
      </c>
      <c r="Y192">
        <v>10.69</v>
      </c>
      <c r="Z192" t="s">
        <v>82</v>
      </c>
      <c r="AA192" t="str">
        <f t="shared" si="3"/>
        <v>1003</v>
      </c>
      <c r="AB192" t="s">
        <v>1464</v>
      </c>
      <c r="AC192" t="s">
        <v>1677</v>
      </c>
      <c r="AD192" t="s">
        <v>1678</v>
      </c>
      <c r="AE192" t="str">
        <f>"60121606"</f>
        <v>60121606</v>
      </c>
      <c r="AF192" t="s">
        <v>349</v>
      </c>
      <c r="AG192" t="s">
        <v>472</v>
      </c>
      <c r="AH192" t="s">
        <v>1679</v>
      </c>
      <c r="AI192" t="s">
        <v>1680</v>
      </c>
      <c r="AK192" t="s">
        <v>1681</v>
      </c>
      <c r="AL192" t="s">
        <v>1681</v>
      </c>
      <c r="AO192" t="s">
        <v>1682</v>
      </c>
      <c r="AP192" t="s">
        <v>92</v>
      </c>
      <c r="AR192">
        <v>9.99</v>
      </c>
      <c r="AS192">
        <v>9.99</v>
      </c>
      <c r="AT192">
        <v>1</v>
      </c>
      <c r="AU192">
        <v>9.99</v>
      </c>
      <c r="AV192">
        <v>0</v>
      </c>
      <c r="AX192">
        <v>0.7</v>
      </c>
      <c r="AY192">
        <v>10.69</v>
      </c>
      <c r="BA192" t="s">
        <v>93</v>
      </c>
      <c r="BC192" t="s">
        <v>93</v>
      </c>
      <c r="BI192" t="s">
        <v>80</v>
      </c>
      <c r="BM192" t="s">
        <v>94</v>
      </c>
      <c r="BN192" t="s">
        <v>95</v>
      </c>
      <c r="BP192" t="s">
        <v>1014</v>
      </c>
      <c r="BR192" t="s">
        <v>1683</v>
      </c>
      <c r="BT192" t="s">
        <v>1684</v>
      </c>
      <c r="BU192" t="s">
        <v>1685</v>
      </c>
      <c r="BV192" t="str">
        <f>"710086"</f>
        <v>710086</v>
      </c>
      <c r="BW192">
        <v>804</v>
      </c>
      <c r="BX192" t="s">
        <v>2751</v>
      </c>
      <c r="BY192" t="s">
        <v>2614</v>
      </c>
      <c r="BZ192">
        <v>3</v>
      </c>
    </row>
    <row r="193" spans="1:78" x14ac:dyDescent="0.25">
      <c r="A193" s="1">
        <v>44943</v>
      </c>
      <c r="B193" t="s">
        <v>1686</v>
      </c>
      <c r="C193" t="s">
        <v>392</v>
      </c>
      <c r="E193">
        <v>5</v>
      </c>
      <c r="F193" t="s">
        <v>76</v>
      </c>
      <c r="G193">
        <v>69.91</v>
      </c>
      <c r="H193">
        <v>0</v>
      </c>
      <c r="I193">
        <v>0</v>
      </c>
      <c r="J193">
        <v>4.9000000000000004</v>
      </c>
      <c r="K193">
        <v>74.81</v>
      </c>
      <c r="L193" t="s">
        <v>77</v>
      </c>
      <c r="P193" t="s">
        <v>1006</v>
      </c>
      <c r="Q193" t="s">
        <v>1007</v>
      </c>
      <c r="R193" t="s">
        <v>80</v>
      </c>
      <c r="S193" t="s">
        <v>80</v>
      </c>
      <c r="T193" t="s">
        <v>80</v>
      </c>
      <c r="U193" t="s">
        <v>80</v>
      </c>
      <c r="V193" t="s">
        <v>80</v>
      </c>
      <c r="W193" t="s">
        <v>1687</v>
      </c>
      <c r="X193" s="1">
        <v>44943</v>
      </c>
      <c r="Y193">
        <v>74.81</v>
      </c>
      <c r="Z193" t="s">
        <v>82</v>
      </c>
      <c r="AA193" t="str">
        <f t="shared" si="3"/>
        <v>1003</v>
      </c>
      <c r="AB193" t="s">
        <v>287</v>
      </c>
      <c r="AC193" t="s">
        <v>1688</v>
      </c>
      <c r="AD193" t="s">
        <v>1689</v>
      </c>
      <c r="AE193" t="str">
        <f>"55121700"</f>
        <v>55121700</v>
      </c>
      <c r="AF193" t="s">
        <v>195</v>
      </c>
      <c r="AG193" t="s">
        <v>196</v>
      </c>
      <c r="AH193" t="s">
        <v>290</v>
      </c>
      <c r="AI193" t="s">
        <v>290</v>
      </c>
      <c r="AK193" t="s">
        <v>1690</v>
      </c>
      <c r="AO193" t="s">
        <v>1691</v>
      </c>
      <c r="AP193" t="s">
        <v>92</v>
      </c>
      <c r="AR193">
        <v>18.989999999999998</v>
      </c>
      <c r="AS193">
        <v>16.989999999999998</v>
      </c>
      <c r="AT193">
        <v>1</v>
      </c>
      <c r="AU193">
        <v>16.989999999999998</v>
      </c>
      <c r="AV193">
        <v>0</v>
      </c>
      <c r="AX193">
        <v>1.19</v>
      </c>
      <c r="AY193">
        <v>18.18</v>
      </c>
      <c r="BA193" t="s">
        <v>93</v>
      </c>
      <c r="BC193" t="s">
        <v>93</v>
      </c>
      <c r="BI193" t="s">
        <v>80</v>
      </c>
      <c r="BM193" t="s">
        <v>94</v>
      </c>
      <c r="BN193" t="s">
        <v>95</v>
      </c>
      <c r="BP193" t="s">
        <v>1014</v>
      </c>
      <c r="BR193" t="s">
        <v>1692</v>
      </c>
      <c r="BT193" t="s">
        <v>1693</v>
      </c>
      <c r="BU193" t="s">
        <v>1694</v>
      </c>
      <c r="BV193" t="str">
        <f>"362000"</f>
        <v>362000</v>
      </c>
      <c r="BW193">
        <v>804</v>
      </c>
      <c r="BX193" t="s">
        <v>2751</v>
      </c>
      <c r="BY193" t="s">
        <v>2614</v>
      </c>
      <c r="BZ193">
        <v>3</v>
      </c>
    </row>
    <row r="194" spans="1:78" x14ac:dyDescent="0.25">
      <c r="A194" s="1">
        <v>44943</v>
      </c>
      <c r="B194" t="s">
        <v>1686</v>
      </c>
      <c r="C194" t="s">
        <v>392</v>
      </c>
      <c r="E194">
        <v>5</v>
      </c>
      <c r="F194" t="s">
        <v>76</v>
      </c>
      <c r="G194">
        <v>69.91</v>
      </c>
      <c r="H194">
        <v>0</v>
      </c>
      <c r="I194">
        <v>0</v>
      </c>
      <c r="J194">
        <v>4.9000000000000004</v>
      </c>
      <c r="K194">
        <v>74.81</v>
      </c>
      <c r="L194" t="s">
        <v>77</v>
      </c>
      <c r="P194" t="s">
        <v>1006</v>
      </c>
      <c r="Q194" t="s">
        <v>1007</v>
      </c>
      <c r="R194" t="s">
        <v>80</v>
      </c>
      <c r="S194" t="s">
        <v>80</v>
      </c>
      <c r="T194" t="s">
        <v>80</v>
      </c>
      <c r="U194" t="s">
        <v>80</v>
      </c>
      <c r="V194" t="s">
        <v>80</v>
      </c>
      <c r="W194" t="s">
        <v>1687</v>
      </c>
      <c r="X194" s="1">
        <v>44943</v>
      </c>
      <c r="Y194">
        <v>74.81</v>
      </c>
      <c r="Z194" t="s">
        <v>82</v>
      </c>
      <c r="AA194" t="str">
        <f t="shared" si="3"/>
        <v>1003</v>
      </c>
      <c r="AB194" t="s">
        <v>638</v>
      </c>
      <c r="AC194" t="s">
        <v>1695</v>
      </c>
      <c r="AD194" t="s">
        <v>1696</v>
      </c>
      <c r="AE194" t="str">
        <f>"60121606"</f>
        <v>60121606</v>
      </c>
      <c r="AF194" t="s">
        <v>349</v>
      </c>
      <c r="AG194" t="s">
        <v>472</v>
      </c>
      <c r="AH194" t="s">
        <v>1679</v>
      </c>
      <c r="AI194" t="s">
        <v>1680</v>
      </c>
      <c r="AK194" t="s">
        <v>1697</v>
      </c>
      <c r="AL194" t="s">
        <v>1697</v>
      </c>
      <c r="AP194" t="s">
        <v>92</v>
      </c>
      <c r="AR194">
        <v>10.99</v>
      </c>
      <c r="AS194">
        <v>10.99</v>
      </c>
      <c r="AT194">
        <v>1</v>
      </c>
      <c r="AU194">
        <v>10.99</v>
      </c>
      <c r="AV194">
        <v>0</v>
      </c>
      <c r="AX194">
        <v>0.77</v>
      </c>
      <c r="AY194">
        <v>11.76</v>
      </c>
      <c r="BA194" t="s">
        <v>93</v>
      </c>
      <c r="BC194" t="s">
        <v>93</v>
      </c>
      <c r="BI194" t="s">
        <v>80</v>
      </c>
      <c r="BM194" t="s">
        <v>94</v>
      </c>
      <c r="BN194" t="s">
        <v>95</v>
      </c>
      <c r="BP194" t="s">
        <v>1014</v>
      </c>
      <c r="BR194" t="s">
        <v>1698</v>
      </c>
      <c r="BT194" t="s">
        <v>1699</v>
      </c>
      <c r="BU194" t="s">
        <v>1700</v>
      </c>
      <c r="BV194" t="str">
        <f>"230002"</f>
        <v>230002</v>
      </c>
      <c r="BW194">
        <v>804</v>
      </c>
      <c r="BX194" t="s">
        <v>2751</v>
      </c>
      <c r="BY194" t="s">
        <v>2614</v>
      </c>
      <c r="BZ194">
        <v>3</v>
      </c>
    </row>
    <row r="195" spans="1:78" x14ac:dyDescent="0.25">
      <c r="A195" s="1">
        <v>44943</v>
      </c>
      <c r="B195" t="s">
        <v>1686</v>
      </c>
      <c r="C195" t="s">
        <v>392</v>
      </c>
      <c r="E195">
        <v>5</v>
      </c>
      <c r="F195" t="s">
        <v>76</v>
      </c>
      <c r="G195">
        <v>69.91</v>
      </c>
      <c r="H195">
        <v>0</v>
      </c>
      <c r="I195">
        <v>0</v>
      </c>
      <c r="J195">
        <v>4.9000000000000004</v>
      </c>
      <c r="K195">
        <v>74.81</v>
      </c>
      <c r="L195" t="s">
        <v>77</v>
      </c>
      <c r="P195" t="s">
        <v>1006</v>
      </c>
      <c r="Q195" t="s">
        <v>1007</v>
      </c>
      <c r="R195" t="s">
        <v>80</v>
      </c>
      <c r="S195" t="s">
        <v>80</v>
      </c>
      <c r="T195" t="s">
        <v>80</v>
      </c>
      <c r="U195" t="s">
        <v>80</v>
      </c>
      <c r="V195" t="s">
        <v>80</v>
      </c>
      <c r="W195" t="s">
        <v>1687</v>
      </c>
      <c r="X195" s="1">
        <v>44943</v>
      </c>
      <c r="Y195">
        <v>74.81</v>
      </c>
      <c r="Z195" t="s">
        <v>82</v>
      </c>
      <c r="AA195" t="str">
        <f t="shared" si="3"/>
        <v>1003</v>
      </c>
      <c r="AB195" t="s">
        <v>346</v>
      </c>
      <c r="AC195" t="s">
        <v>1701</v>
      </c>
      <c r="AD195" t="s">
        <v>1702</v>
      </c>
      <c r="AE195" t="str">
        <f>"60000000"</f>
        <v>60000000</v>
      </c>
      <c r="AF195" t="s">
        <v>349</v>
      </c>
      <c r="AG195" t="s">
        <v>349</v>
      </c>
      <c r="AH195" t="s">
        <v>349</v>
      </c>
      <c r="AI195" t="s">
        <v>349</v>
      </c>
      <c r="AK195" t="s">
        <v>1690</v>
      </c>
      <c r="AL195" t="s">
        <v>1690</v>
      </c>
      <c r="AO195" t="s">
        <v>1703</v>
      </c>
      <c r="AP195" t="s">
        <v>92</v>
      </c>
      <c r="AR195">
        <v>18.989999999999998</v>
      </c>
      <c r="AS195">
        <v>10.99</v>
      </c>
      <c r="AT195">
        <v>1</v>
      </c>
      <c r="AU195">
        <v>10.99</v>
      </c>
      <c r="AV195">
        <v>0</v>
      </c>
      <c r="AX195">
        <v>0.77</v>
      </c>
      <c r="AY195">
        <v>11.76</v>
      </c>
      <c r="BA195" t="s">
        <v>93</v>
      </c>
      <c r="BC195" t="s">
        <v>93</v>
      </c>
      <c r="BI195" t="s">
        <v>80</v>
      </c>
      <c r="BM195" t="s">
        <v>94</v>
      </c>
      <c r="BN195" t="s">
        <v>95</v>
      </c>
      <c r="BP195" t="s">
        <v>1014</v>
      </c>
      <c r="BR195" t="s">
        <v>1692</v>
      </c>
      <c r="BT195" t="s">
        <v>1693</v>
      </c>
      <c r="BU195" t="s">
        <v>1694</v>
      </c>
      <c r="BV195" t="str">
        <f>"362000"</f>
        <v>362000</v>
      </c>
      <c r="BW195">
        <v>804</v>
      </c>
      <c r="BX195" t="s">
        <v>2751</v>
      </c>
      <c r="BY195" t="s">
        <v>2614</v>
      </c>
      <c r="BZ195">
        <v>3</v>
      </c>
    </row>
    <row r="196" spans="1:78" x14ac:dyDescent="0.25">
      <c r="A196" s="1">
        <v>44943</v>
      </c>
      <c r="B196" t="s">
        <v>1686</v>
      </c>
      <c r="C196" t="s">
        <v>392</v>
      </c>
      <c r="E196">
        <v>5</v>
      </c>
      <c r="F196" t="s">
        <v>76</v>
      </c>
      <c r="G196">
        <v>69.91</v>
      </c>
      <c r="H196">
        <v>0</v>
      </c>
      <c r="I196">
        <v>0</v>
      </c>
      <c r="J196">
        <v>4.9000000000000004</v>
      </c>
      <c r="K196">
        <v>74.81</v>
      </c>
      <c r="L196" t="s">
        <v>77</v>
      </c>
      <c r="P196" t="s">
        <v>1006</v>
      </c>
      <c r="Q196" t="s">
        <v>1007</v>
      </c>
      <c r="R196" t="s">
        <v>80</v>
      </c>
      <c r="S196" t="s">
        <v>80</v>
      </c>
      <c r="T196" t="s">
        <v>80</v>
      </c>
      <c r="U196" t="s">
        <v>80</v>
      </c>
      <c r="V196" t="s">
        <v>80</v>
      </c>
      <c r="W196" t="s">
        <v>1687</v>
      </c>
      <c r="X196" s="1">
        <v>44943</v>
      </c>
      <c r="Y196">
        <v>74.81</v>
      </c>
      <c r="Z196" t="s">
        <v>82</v>
      </c>
      <c r="AA196" t="str">
        <f t="shared" si="3"/>
        <v>1003</v>
      </c>
      <c r="AB196" t="s">
        <v>268</v>
      </c>
      <c r="AC196" t="s">
        <v>1704</v>
      </c>
      <c r="AD196" t="s">
        <v>1705</v>
      </c>
      <c r="AE196" t="str">
        <f>"52121604"</f>
        <v>52121604</v>
      </c>
      <c r="AF196" t="s">
        <v>684</v>
      </c>
      <c r="AG196" t="s">
        <v>892</v>
      </c>
      <c r="AH196" t="s">
        <v>893</v>
      </c>
      <c r="AI196" t="s">
        <v>894</v>
      </c>
      <c r="AK196" t="s">
        <v>1706</v>
      </c>
      <c r="AL196" t="s">
        <v>1707</v>
      </c>
      <c r="AP196" t="s">
        <v>92</v>
      </c>
      <c r="AR196">
        <v>20.99</v>
      </c>
      <c r="AS196">
        <v>20.95</v>
      </c>
      <c r="AT196">
        <v>1</v>
      </c>
      <c r="AU196">
        <v>20.95</v>
      </c>
      <c r="AV196">
        <v>0</v>
      </c>
      <c r="AX196">
        <v>1.47</v>
      </c>
      <c r="AY196">
        <v>22.42</v>
      </c>
      <c r="BA196" t="s">
        <v>93</v>
      </c>
      <c r="BC196" t="s">
        <v>93</v>
      </c>
      <c r="BI196" t="s">
        <v>80</v>
      </c>
      <c r="BM196" t="s">
        <v>94</v>
      </c>
      <c r="BN196" t="s">
        <v>95</v>
      </c>
      <c r="BP196" t="s">
        <v>1014</v>
      </c>
      <c r="BR196" t="s">
        <v>1707</v>
      </c>
      <c r="BS196" t="s">
        <v>237</v>
      </c>
      <c r="BT196" t="s">
        <v>1708</v>
      </c>
      <c r="BU196" t="s">
        <v>1530</v>
      </c>
      <c r="BV196" t="str">
        <f>"11211"</f>
        <v>11211</v>
      </c>
      <c r="BW196">
        <v>804</v>
      </c>
      <c r="BX196" t="s">
        <v>2751</v>
      </c>
      <c r="BY196" t="s">
        <v>2614</v>
      </c>
      <c r="BZ196">
        <v>3</v>
      </c>
    </row>
    <row r="197" spans="1:78" x14ac:dyDescent="0.25">
      <c r="A197" s="1">
        <v>44943</v>
      </c>
      <c r="B197" t="s">
        <v>1686</v>
      </c>
      <c r="C197" t="s">
        <v>392</v>
      </c>
      <c r="E197">
        <v>5</v>
      </c>
      <c r="F197" t="s">
        <v>76</v>
      </c>
      <c r="G197">
        <v>69.91</v>
      </c>
      <c r="H197">
        <v>0</v>
      </c>
      <c r="I197">
        <v>0</v>
      </c>
      <c r="J197">
        <v>4.9000000000000004</v>
      </c>
      <c r="K197">
        <v>74.81</v>
      </c>
      <c r="L197" t="s">
        <v>77</v>
      </c>
      <c r="P197" t="s">
        <v>1006</v>
      </c>
      <c r="Q197" t="s">
        <v>1007</v>
      </c>
      <c r="R197" t="s">
        <v>80</v>
      </c>
      <c r="S197" t="s">
        <v>80</v>
      </c>
      <c r="T197" t="s">
        <v>80</v>
      </c>
      <c r="U197" t="s">
        <v>80</v>
      </c>
      <c r="V197" t="s">
        <v>80</v>
      </c>
      <c r="W197" t="s">
        <v>1687</v>
      </c>
      <c r="X197" s="1">
        <v>44943</v>
      </c>
      <c r="Y197">
        <v>74.81</v>
      </c>
      <c r="Z197" t="s">
        <v>82</v>
      </c>
      <c r="AA197" t="str">
        <f t="shared" si="3"/>
        <v>1003</v>
      </c>
      <c r="AB197" t="s">
        <v>119</v>
      </c>
      <c r="AC197" t="s">
        <v>1709</v>
      </c>
      <c r="AD197" t="s">
        <v>1710</v>
      </c>
      <c r="AE197" t="str">
        <f>"60101700"</f>
        <v>60101700</v>
      </c>
      <c r="AF197" t="s">
        <v>349</v>
      </c>
      <c r="AG197" t="s">
        <v>1711</v>
      </c>
      <c r="AH197" t="s">
        <v>1712</v>
      </c>
      <c r="AI197" t="s">
        <v>1712</v>
      </c>
      <c r="AJ197" t="s">
        <v>1713</v>
      </c>
      <c r="AK197" t="s">
        <v>1714</v>
      </c>
      <c r="AL197" t="s">
        <v>1715</v>
      </c>
      <c r="AN197" t="s">
        <v>1716</v>
      </c>
      <c r="AO197" t="s">
        <v>1716</v>
      </c>
      <c r="AP197" t="s">
        <v>92</v>
      </c>
      <c r="AR197">
        <v>9.99</v>
      </c>
      <c r="AS197">
        <v>9.99</v>
      </c>
      <c r="AT197">
        <v>1</v>
      </c>
      <c r="AU197">
        <v>9.99</v>
      </c>
      <c r="AV197">
        <v>0</v>
      </c>
      <c r="AX197">
        <v>0.7</v>
      </c>
      <c r="AY197">
        <v>10.69</v>
      </c>
      <c r="BA197" t="s">
        <v>93</v>
      </c>
      <c r="BC197" t="s">
        <v>93</v>
      </c>
      <c r="BD197" t="s">
        <v>128</v>
      </c>
      <c r="BI197" t="s">
        <v>80</v>
      </c>
      <c r="BM197" t="s">
        <v>94</v>
      </c>
      <c r="BN197" t="s">
        <v>95</v>
      </c>
      <c r="BP197" t="s">
        <v>1014</v>
      </c>
      <c r="BR197" t="s">
        <v>130</v>
      </c>
      <c r="BT197" t="s">
        <v>131</v>
      </c>
      <c r="BU197" t="s">
        <v>132</v>
      </c>
      <c r="BV197" t="str">
        <f>"98109"</f>
        <v>98109</v>
      </c>
      <c r="BW197">
        <v>804</v>
      </c>
      <c r="BX197" t="s">
        <v>2751</v>
      </c>
      <c r="BY197" t="s">
        <v>2614</v>
      </c>
      <c r="BZ197">
        <v>3</v>
      </c>
    </row>
    <row r="198" spans="1:78" x14ac:dyDescent="0.25">
      <c r="A198" s="1">
        <v>44943</v>
      </c>
      <c r="B198" t="s">
        <v>1717</v>
      </c>
      <c r="C198" t="s">
        <v>392</v>
      </c>
      <c r="E198">
        <v>1</v>
      </c>
      <c r="F198" t="s">
        <v>76</v>
      </c>
      <c r="G198">
        <v>14.49</v>
      </c>
      <c r="H198">
        <v>0</v>
      </c>
      <c r="I198">
        <v>0</v>
      </c>
      <c r="J198">
        <v>1.01</v>
      </c>
      <c r="K198">
        <v>15.5</v>
      </c>
      <c r="L198" t="s">
        <v>77</v>
      </c>
      <c r="P198" t="s">
        <v>1006</v>
      </c>
      <c r="Q198" t="s">
        <v>1007</v>
      </c>
      <c r="R198" t="s">
        <v>80</v>
      </c>
      <c r="S198" t="s">
        <v>80</v>
      </c>
      <c r="T198" t="s">
        <v>80</v>
      </c>
      <c r="U198" t="s">
        <v>80</v>
      </c>
      <c r="V198" t="s">
        <v>80</v>
      </c>
      <c r="W198" t="s">
        <v>1718</v>
      </c>
      <c r="X198" s="1">
        <v>44944</v>
      </c>
      <c r="Y198">
        <v>15.5</v>
      </c>
      <c r="Z198" t="s">
        <v>82</v>
      </c>
      <c r="AA198" t="str">
        <f t="shared" si="3"/>
        <v>1003</v>
      </c>
      <c r="AB198" t="s">
        <v>133</v>
      </c>
      <c r="AC198" t="s">
        <v>1719</v>
      </c>
      <c r="AD198" t="s">
        <v>1720</v>
      </c>
      <c r="AE198" t="str">
        <f>"52151644"</f>
        <v>52151644</v>
      </c>
      <c r="AF198" t="s">
        <v>684</v>
      </c>
      <c r="AG198" t="s">
        <v>883</v>
      </c>
      <c r="AH198" t="s">
        <v>1721</v>
      </c>
      <c r="AI198" t="s">
        <v>1722</v>
      </c>
      <c r="AK198" t="s">
        <v>1723</v>
      </c>
      <c r="AL198" t="s">
        <v>1724</v>
      </c>
      <c r="AO198" t="s">
        <v>1725</v>
      </c>
      <c r="AP198" t="s">
        <v>92</v>
      </c>
      <c r="AR198">
        <v>17.989999999999998</v>
      </c>
      <c r="AS198">
        <v>14.49</v>
      </c>
      <c r="AT198">
        <v>1</v>
      </c>
      <c r="AU198">
        <v>14.49</v>
      </c>
      <c r="AV198">
        <v>0</v>
      </c>
      <c r="AX198">
        <v>1.01</v>
      </c>
      <c r="AY198">
        <v>15.5</v>
      </c>
      <c r="BA198" t="s">
        <v>93</v>
      </c>
      <c r="BC198" t="s">
        <v>93</v>
      </c>
      <c r="BI198" t="s">
        <v>80</v>
      </c>
      <c r="BM198" t="s">
        <v>94</v>
      </c>
      <c r="BN198" t="s">
        <v>95</v>
      </c>
      <c r="BP198" t="s">
        <v>1014</v>
      </c>
      <c r="BR198" t="s">
        <v>1726</v>
      </c>
      <c r="BT198" t="s">
        <v>97</v>
      </c>
      <c r="BU198" t="s">
        <v>361</v>
      </c>
      <c r="BV198" t="str">
        <f>"518000"</f>
        <v>518000</v>
      </c>
      <c r="BW198">
        <v>804</v>
      </c>
      <c r="BX198" t="s">
        <v>2751</v>
      </c>
      <c r="BY198" t="s">
        <v>2614</v>
      </c>
      <c r="BZ198">
        <v>3</v>
      </c>
    </row>
    <row r="199" spans="1:78" x14ac:dyDescent="0.25">
      <c r="A199" s="1">
        <v>44942</v>
      </c>
      <c r="B199" t="s">
        <v>1727</v>
      </c>
      <c r="C199" t="s">
        <v>283</v>
      </c>
      <c r="E199">
        <v>1</v>
      </c>
      <c r="F199" t="s">
        <v>76</v>
      </c>
      <c r="G199">
        <v>19.309999999999999</v>
      </c>
      <c r="H199">
        <v>0</v>
      </c>
      <c r="I199">
        <v>0</v>
      </c>
      <c r="J199">
        <v>1.95</v>
      </c>
      <c r="K199">
        <v>21.26</v>
      </c>
      <c r="L199" t="s">
        <v>77</v>
      </c>
      <c r="P199" t="s">
        <v>284</v>
      </c>
      <c r="Q199" t="s">
        <v>285</v>
      </c>
      <c r="R199" t="s">
        <v>80</v>
      </c>
      <c r="S199" t="s">
        <v>80</v>
      </c>
      <c r="T199" t="s">
        <v>80</v>
      </c>
      <c r="U199" t="s">
        <v>80</v>
      </c>
      <c r="V199" t="s">
        <v>80</v>
      </c>
      <c r="W199" t="s">
        <v>1728</v>
      </c>
      <c r="X199" s="1">
        <v>44943</v>
      </c>
      <c r="Y199">
        <v>21.26</v>
      </c>
      <c r="Z199" t="s">
        <v>82</v>
      </c>
      <c r="AA199" t="str">
        <f t="shared" si="3"/>
        <v>1003</v>
      </c>
      <c r="AB199" t="s">
        <v>141</v>
      </c>
      <c r="AC199" t="s">
        <v>1729</v>
      </c>
      <c r="AD199" t="s">
        <v>1730</v>
      </c>
      <c r="AE199" t="str">
        <f>"47131800"</f>
        <v>47131800</v>
      </c>
      <c r="AF199" t="s">
        <v>144</v>
      </c>
      <c r="AG199" t="s">
        <v>145</v>
      </c>
      <c r="AH199" t="s">
        <v>261</v>
      </c>
      <c r="AI199" t="s">
        <v>261</v>
      </c>
      <c r="AJ199" t="s">
        <v>731</v>
      </c>
      <c r="AK199" t="s">
        <v>732</v>
      </c>
      <c r="AL199" t="s">
        <v>1731</v>
      </c>
      <c r="AN199" t="str">
        <f>"1920002522"</f>
        <v>1920002522</v>
      </c>
      <c r="AO199" t="str">
        <f>"1920002522"</f>
        <v>1920002522</v>
      </c>
      <c r="AP199" t="s">
        <v>92</v>
      </c>
      <c r="AR199">
        <v>19.11</v>
      </c>
      <c r="AS199">
        <v>19.309999999999999</v>
      </c>
      <c r="AT199">
        <v>1</v>
      </c>
      <c r="AU199">
        <v>19.309999999999999</v>
      </c>
      <c r="AV199">
        <v>0</v>
      </c>
      <c r="AX199">
        <v>1.95</v>
      </c>
      <c r="AY199">
        <v>21.26</v>
      </c>
      <c r="BA199" t="s">
        <v>93</v>
      </c>
      <c r="BC199" t="s">
        <v>93</v>
      </c>
      <c r="BI199" t="s">
        <v>80</v>
      </c>
      <c r="BM199" t="s">
        <v>94</v>
      </c>
      <c r="BN199" t="s">
        <v>95</v>
      </c>
      <c r="BP199" t="s">
        <v>299</v>
      </c>
      <c r="BR199" t="s">
        <v>338</v>
      </c>
      <c r="BT199" t="s">
        <v>131</v>
      </c>
      <c r="BU199" t="s">
        <v>339</v>
      </c>
      <c r="BV199" t="str">
        <f>"98109"</f>
        <v>98109</v>
      </c>
      <c r="BW199">
        <v>877</v>
      </c>
      <c r="BX199" t="s">
        <v>2735</v>
      </c>
      <c r="BY199" t="s">
        <v>2669</v>
      </c>
      <c r="BZ199">
        <v>3</v>
      </c>
    </row>
    <row r="200" spans="1:78" x14ac:dyDescent="0.25">
      <c r="A200" s="1">
        <v>44942</v>
      </c>
      <c r="B200" t="s">
        <v>1732</v>
      </c>
      <c r="C200" t="s">
        <v>100</v>
      </c>
      <c r="D200" t="s">
        <v>1733</v>
      </c>
      <c r="E200">
        <v>2</v>
      </c>
      <c r="F200" t="s">
        <v>76</v>
      </c>
      <c r="G200">
        <v>65.94</v>
      </c>
      <c r="H200">
        <v>0</v>
      </c>
      <c r="I200">
        <v>0</v>
      </c>
      <c r="J200">
        <v>5.12</v>
      </c>
      <c r="K200">
        <v>71.06</v>
      </c>
      <c r="L200" t="s">
        <v>77</v>
      </c>
      <c r="P200" t="s">
        <v>102</v>
      </c>
      <c r="Q200" t="s">
        <v>103</v>
      </c>
      <c r="R200" t="s">
        <v>80</v>
      </c>
      <c r="S200" t="s">
        <v>80</v>
      </c>
      <c r="T200" t="s">
        <v>80</v>
      </c>
      <c r="U200" t="s">
        <v>80</v>
      </c>
      <c r="V200" t="s">
        <v>80</v>
      </c>
      <c r="W200" t="s">
        <v>1734</v>
      </c>
      <c r="X200" s="1">
        <v>44943</v>
      </c>
      <c r="Y200">
        <v>71.06</v>
      </c>
      <c r="Z200" t="s">
        <v>82</v>
      </c>
      <c r="AA200" t="str">
        <f t="shared" si="3"/>
        <v>1003</v>
      </c>
      <c r="AB200" t="s">
        <v>141</v>
      </c>
      <c r="AC200" t="s">
        <v>1735</v>
      </c>
      <c r="AD200" t="s">
        <v>1736</v>
      </c>
      <c r="AE200" t="str">
        <f>"14111703"</f>
        <v>14111703</v>
      </c>
      <c r="AF200" t="s">
        <v>213</v>
      </c>
      <c r="AG200" t="s">
        <v>214</v>
      </c>
      <c r="AH200" t="s">
        <v>719</v>
      </c>
      <c r="AI200" t="s">
        <v>1737</v>
      </c>
      <c r="AJ200" t="s">
        <v>1738</v>
      </c>
      <c r="AK200" t="s">
        <v>1739</v>
      </c>
      <c r="AL200" t="s">
        <v>1740</v>
      </c>
      <c r="AN200" t="s">
        <v>1741</v>
      </c>
      <c r="AO200" t="s">
        <v>1742</v>
      </c>
      <c r="AP200" t="s">
        <v>92</v>
      </c>
      <c r="AR200">
        <v>41.99</v>
      </c>
      <c r="AS200">
        <v>32.97</v>
      </c>
      <c r="AT200">
        <v>2</v>
      </c>
      <c r="AU200">
        <v>65.94</v>
      </c>
      <c r="AV200">
        <v>0</v>
      </c>
      <c r="AX200">
        <v>5.12</v>
      </c>
      <c r="AY200">
        <v>71.06</v>
      </c>
      <c r="BA200" t="s">
        <v>93</v>
      </c>
      <c r="BC200" t="s">
        <v>93</v>
      </c>
      <c r="BI200" t="s">
        <v>80</v>
      </c>
      <c r="BM200" t="s">
        <v>94</v>
      </c>
      <c r="BN200" t="s">
        <v>95</v>
      </c>
      <c r="BP200" t="s">
        <v>413</v>
      </c>
      <c r="BR200" t="s">
        <v>338</v>
      </c>
      <c r="BT200" t="s">
        <v>131</v>
      </c>
      <c r="BU200" t="s">
        <v>339</v>
      </c>
      <c r="BV200" t="str">
        <f>"98109"</f>
        <v>98109</v>
      </c>
      <c r="BW200">
        <v>882</v>
      </c>
      <c r="BX200" t="s">
        <v>2743</v>
      </c>
      <c r="BY200" t="s">
        <v>2679</v>
      </c>
      <c r="BZ200">
        <v>3</v>
      </c>
    </row>
    <row r="201" spans="1:78" x14ac:dyDescent="0.25">
      <c r="A201" s="1">
        <v>44942</v>
      </c>
      <c r="B201" t="s">
        <v>1743</v>
      </c>
      <c r="C201" t="s">
        <v>100</v>
      </c>
      <c r="D201" t="s">
        <v>1733</v>
      </c>
      <c r="E201">
        <v>2</v>
      </c>
      <c r="F201" t="s">
        <v>76</v>
      </c>
      <c r="G201">
        <v>13.96</v>
      </c>
      <c r="H201">
        <v>0</v>
      </c>
      <c r="I201">
        <v>0</v>
      </c>
      <c r="J201">
        <v>1.08</v>
      </c>
      <c r="K201">
        <v>15.04</v>
      </c>
      <c r="L201" t="s">
        <v>77</v>
      </c>
      <c r="P201" t="s">
        <v>102</v>
      </c>
      <c r="Q201" t="s">
        <v>103</v>
      </c>
      <c r="R201" t="s">
        <v>80</v>
      </c>
      <c r="S201" t="s">
        <v>80</v>
      </c>
      <c r="T201" t="s">
        <v>80</v>
      </c>
      <c r="U201" t="s">
        <v>80</v>
      </c>
      <c r="V201" t="s">
        <v>80</v>
      </c>
      <c r="W201" t="s">
        <v>1744</v>
      </c>
      <c r="X201" s="1">
        <v>44943</v>
      </c>
      <c r="Y201">
        <v>15.04</v>
      </c>
      <c r="Z201" t="s">
        <v>82</v>
      </c>
      <c r="AA201" t="str">
        <f t="shared" si="3"/>
        <v>1003</v>
      </c>
      <c r="AB201" t="s">
        <v>119</v>
      </c>
      <c r="AC201" t="s">
        <v>1745</v>
      </c>
      <c r="AD201" t="s">
        <v>1746</v>
      </c>
      <c r="AE201" t="str">
        <f>"44121700"</f>
        <v>44121700</v>
      </c>
      <c r="AF201" t="s">
        <v>108</v>
      </c>
      <c r="AG201" t="s">
        <v>556</v>
      </c>
      <c r="AH201" t="s">
        <v>590</v>
      </c>
      <c r="AI201" t="s">
        <v>590</v>
      </c>
      <c r="AK201" t="s">
        <v>1747</v>
      </c>
      <c r="AL201" t="s">
        <v>1748</v>
      </c>
      <c r="AO201" t="s">
        <v>1749</v>
      </c>
      <c r="AP201" t="s">
        <v>92</v>
      </c>
      <c r="AR201">
        <v>9.99</v>
      </c>
      <c r="AS201">
        <v>6.98</v>
      </c>
      <c r="AT201">
        <v>2</v>
      </c>
      <c r="AU201">
        <v>13.96</v>
      </c>
      <c r="AV201">
        <v>0</v>
      </c>
      <c r="AX201">
        <v>1.08</v>
      </c>
      <c r="AY201">
        <v>15.04</v>
      </c>
      <c r="BA201" t="s">
        <v>93</v>
      </c>
      <c r="BC201" t="s">
        <v>93</v>
      </c>
      <c r="BI201" t="s">
        <v>80</v>
      </c>
      <c r="BM201" t="s">
        <v>94</v>
      </c>
      <c r="BN201" t="s">
        <v>95</v>
      </c>
      <c r="BP201" t="s">
        <v>413</v>
      </c>
      <c r="BR201" t="s">
        <v>1747</v>
      </c>
      <c r="BS201" t="s">
        <v>1750</v>
      </c>
      <c r="BT201" t="s">
        <v>1751</v>
      </c>
      <c r="BU201" t="s">
        <v>1752</v>
      </c>
      <c r="BV201" t="str">
        <f>"70508"</f>
        <v>70508</v>
      </c>
      <c r="BW201">
        <v>882</v>
      </c>
      <c r="BX201" t="s">
        <v>2743</v>
      </c>
      <c r="BY201" t="s">
        <v>2679</v>
      </c>
      <c r="BZ201">
        <v>3</v>
      </c>
    </row>
    <row r="202" spans="1:78" x14ac:dyDescent="0.25">
      <c r="A202" s="1">
        <v>44942</v>
      </c>
      <c r="B202" t="s">
        <v>1753</v>
      </c>
      <c r="C202" t="s">
        <v>100</v>
      </c>
      <c r="D202" t="s">
        <v>1754</v>
      </c>
      <c r="E202">
        <v>1</v>
      </c>
      <c r="F202" t="s">
        <v>76</v>
      </c>
      <c r="G202">
        <v>1359</v>
      </c>
      <c r="H202">
        <v>0</v>
      </c>
      <c r="I202">
        <v>0</v>
      </c>
      <c r="J202">
        <v>105.32</v>
      </c>
      <c r="K202">
        <v>1464.32</v>
      </c>
      <c r="L202" t="s">
        <v>207</v>
      </c>
      <c r="M202" t="s">
        <v>224</v>
      </c>
      <c r="P202" t="s">
        <v>224</v>
      </c>
      <c r="Q202" t="s">
        <v>434</v>
      </c>
      <c r="R202" t="s">
        <v>80</v>
      </c>
      <c r="S202" t="s">
        <v>80</v>
      </c>
      <c r="T202" t="s">
        <v>80</v>
      </c>
      <c r="U202" t="s">
        <v>80</v>
      </c>
      <c r="V202" t="s">
        <v>80</v>
      </c>
      <c r="W202" t="s">
        <v>1755</v>
      </c>
      <c r="X202" s="1">
        <v>44943</v>
      </c>
      <c r="Y202">
        <v>1464.32</v>
      </c>
      <c r="Z202" t="s">
        <v>82</v>
      </c>
      <c r="AA202" t="str">
        <f t="shared" si="3"/>
        <v>1003</v>
      </c>
      <c r="AB202" t="s">
        <v>119</v>
      </c>
      <c r="AC202" t="s">
        <v>924</v>
      </c>
      <c r="AD202" t="s">
        <v>925</v>
      </c>
      <c r="AE202" t="str">
        <f>"14111507"</f>
        <v>14111507</v>
      </c>
      <c r="AF202" t="s">
        <v>213</v>
      </c>
      <c r="AG202" t="s">
        <v>214</v>
      </c>
      <c r="AH202" t="s">
        <v>215</v>
      </c>
      <c r="AI202" t="s">
        <v>216</v>
      </c>
      <c r="AJ202" t="s">
        <v>926</v>
      </c>
      <c r="AK202" t="s">
        <v>927</v>
      </c>
      <c r="AL202" t="s">
        <v>928</v>
      </c>
      <c r="AN202" t="s">
        <v>929</v>
      </c>
      <c r="AO202" t="s">
        <v>929</v>
      </c>
      <c r="AP202" t="s">
        <v>92</v>
      </c>
      <c r="AR202">
        <v>1359</v>
      </c>
      <c r="AS202">
        <v>1359</v>
      </c>
      <c r="AT202">
        <v>1</v>
      </c>
      <c r="AU202">
        <v>1359</v>
      </c>
      <c r="AV202">
        <v>0</v>
      </c>
      <c r="AX202">
        <v>105.32</v>
      </c>
      <c r="AY202">
        <v>1464.32</v>
      </c>
      <c r="BA202" t="s">
        <v>93</v>
      </c>
      <c r="BC202" t="s">
        <v>93</v>
      </c>
      <c r="BI202" t="s">
        <v>80</v>
      </c>
      <c r="BM202" t="s">
        <v>94</v>
      </c>
      <c r="BN202" t="s">
        <v>95</v>
      </c>
      <c r="BP202" t="s">
        <v>221</v>
      </c>
      <c r="BR202" t="s">
        <v>338</v>
      </c>
      <c r="BT202" t="s">
        <v>131</v>
      </c>
      <c r="BU202" t="s">
        <v>339</v>
      </c>
      <c r="BV202" t="str">
        <f>"98109"</f>
        <v>98109</v>
      </c>
      <c r="BW202">
        <v>889</v>
      </c>
      <c r="BX202" t="s">
        <v>2731</v>
      </c>
      <c r="BY202" t="s">
        <v>2687</v>
      </c>
      <c r="BZ202">
        <v>3</v>
      </c>
    </row>
    <row r="203" spans="1:78" x14ac:dyDescent="0.25">
      <c r="A203" s="1">
        <v>44942</v>
      </c>
      <c r="B203" t="s">
        <v>1756</v>
      </c>
      <c r="C203" t="s">
        <v>283</v>
      </c>
      <c r="E203">
        <v>9</v>
      </c>
      <c r="F203" t="s">
        <v>76</v>
      </c>
      <c r="G203">
        <v>113.82</v>
      </c>
      <c r="H203">
        <v>0</v>
      </c>
      <c r="I203">
        <v>0</v>
      </c>
      <c r="J203">
        <v>11.73</v>
      </c>
      <c r="K203">
        <v>125.55</v>
      </c>
      <c r="L203" t="s">
        <v>77</v>
      </c>
      <c r="P203" t="s">
        <v>284</v>
      </c>
      <c r="Q203" t="s">
        <v>285</v>
      </c>
      <c r="R203" t="s">
        <v>80</v>
      </c>
      <c r="S203" t="s">
        <v>80</v>
      </c>
      <c r="T203" t="s">
        <v>80</v>
      </c>
      <c r="U203" t="s">
        <v>80</v>
      </c>
      <c r="V203" t="s">
        <v>80</v>
      </c>
      <c r="W203" t="s">
        <v>1757</v>
      </c>
      <c r="X203" s="1">
        <v>44943</v>
      </c>
      <c r="Y203">
        <v>85.92</v>
      </c>
      <c r="Z203" t="s">
        <v>82</v>
      </c>
      <c r="AA203" t="str">
        <f t="shared" si="3"/>
        <v>1003</v>
      </c>
      <c r="AB203" t="s">
        <v>133</v>
      </c>
      <c r="AC203" t="s">
        <v>1480</v>
      </c>
      <c r="AD203" t="s">
        <v>1481</v>
      </c>
      <c r="AE203" t="str">
        <f>"46181507"</f>
        <v>46181507</v>
      </c>
      <c r="AF203" t="s">
        <v>451</v>
      </c>
      <c r="AG203" t="s">
        <v>580</v>
      </c>
      <c r="AH203" t="s">
        <v>1361</v>
      </c>
      <c r="AI203" t="s">
        <v>1362</v>
      </c>
      <c r="AK203" t="s">
        <v>1476</v>
      </c>
      <c r="AL203" t="s">
        <v>1476</v>
      </c>
      <c r="AN203" t="s">
        <v>1482</v>
      </c>
      <c r="AO203" t="s">
        <v>1482</v>
      </c>
      <c r="AP203" t="s">
        <v>92</v>
      </c>
      <c r="AR203">
        <v>12.98</v>
      </c>
      <c r="AS203">
        <v>12.98</v>
      </c>
      <c r="AT203">
        <v>3</v>
      </c>
      <c r="AU203">
        <v>38.94</v>
      </c>
      <c r="AV203">
        <v>0</v>
      </c>
      <c r="AX203">
        <v>4.0199999999999996</v>
      </c>
      <c r="AY203">
        <v>42.96</v>
      </c>
      <c r="BA203" t="s">
        <v>93</v>
      </c>
      <c r="BC203" t="s">
        <v>93</v>
      </c>
      <c r="BD203" t="s">
        <v>128</v>
      </c>
      <c r="BI203" t="s">
        <v>80</v>
      </c>
      <c r="BM203" t="s">
        <v>94</v>
      </c>
      <c r="BN203" t="s">
        <v>95</v>
      </c>
      <c r="BP203" t="s">
        <v>294</v>
      </c>
      <c r="BR203" t="s">
        <v>1476</v>
      </c>
      <c r="BW203">
        <v>879</v>
      </c>
      <c r="BX203" t="s">
        <v>2734</v>
      </c>
      <c r="BY203" t="s">
        <v>2673</v>
      </c>
      <c r="BZ203">
        <v>3</v>
      </c>
    </row>
    <row r="204" spans="1:78" x14ac:dyDescent="0.25">
      <c r="A204" s="1">
        <v>44942</v>
      </c>
      <c r="B204" t="s">
        <v>1756</v>
      </c>
      <c r="C204" t="s">
        <v>283</v>
      </c>
      <c r="E204">
        <v>9</v>
      </c>
      <c r="F204" t="s">
        <v>76</v>
      </c>
      <c r="G204">
        <v>113.82</v>
      </c>
      <c r="H204">
        <v>0</v>
      </c>
      <c r="I204">
        <v>0</v>
      </c>
      <c r="J204">
        <v>11.73</v>
      </c>
      <c r="K204">
        <v>125.55</v>
      </c>
      <c r="L204" t="s">
        <v>77</v>
      </c>
      <c r="P204" t="s">
        <v>284</v>
      </c>
      <c r="Q204" t="s">
        <v>285</v>
      </c>
      <c r="R204" t="s">
        <v>80</v>
      </c>
      <c r="S204" t="s">
        <v>80</v>
      </c>
      <c r="T204" t="s">
        <v>80</v>
      </c>
      <c r="U204" t="s">
        <v>80</v>
      </c>
      <c r="V204" t="s">
        <v>80</v>
      </c>
      <c r="W204" t="s">
        <v>1757</v>
      </c>
      <c r="X204" s="1">
        <v>44943</v>
      </c>
      <c r="Y204">
        <v>85.92</v>
      </c>
      <c r="Z204" t="s">
        <v>82</v>
      </c>
      <c r="AA204" t="str">
        <f t="shared" si="3"/>
        <v>1003</v>
      </c>
      <c r="AB204" t="s">
        <v>133</v>
      </c>
      <c r="AC204" t="s">
        <v>1758</v>
      </c>
      <c r="AD204" t="s">
        <v>1759</v>
      </c>
      <c r="AE204" t="str">
        <f>"46181507"</f>
        <v>46181507</v>
      </c>
      <c r="AF204" t="s">
        <v>451</v>
      </c>
      <c r="AG204" t="s">
        <v>580</v>
      </c>
      <c r="AH204" t="s">
        <v>1361</v>
      </c>
      <c r="AI204" t="s">
        <v>1362</v>
      </c>
      <c r="AK204" t="s">
        <v>1476</v>
      </c>
      <c r="AL204" t="s">
        <v>1476</v>
      </c>
      <c r="AN204" t="s">
        <v>1760</v>
      </c>
      <c r="AO204" t="s">
        <v>1760</v>
      </c>
      <c r="AP204" t="s">
        <v>92</v>
      </c>
      <c r="AR204">
        <v>12.98</v>
      </c>
      <c r="AS204">
        <v>12.98</v>
      </c>
      <c r="AT204">
        <v>3</v>
      </c>
      <c r="AU204">
        <v>38.94</v>
      </c>
      <c r="AV204">
        <v>0</v>
      </c>
      <c r="AX204">
        <v>4.0199999999999996</v>
      </c>
      <c r="AY204">
        <v>42.96</v>
      </c>
      <c r="BA204" t="s">
        <v>93</v>
      </c>
      <c r="BC204" t="s">
        <v>93</v>
      </c>
      <c r="BD204" t="s">
        <v>128</v>
      </c>
      <c r="BI204" t="s">
        <v>80</v>
      </c>
      <c r="BM204" t="s">
        <v>94</v>
      </c>
      <c r="BN204" t="s">
        <v>95</v>
      </c>
      <c r="BP204" t="s">
        <v>294</v>
      </c>
      <c r="BR204" t="s">
        <v>1476</v>
      </c>
      <c r="BW204">
        <v>879</v>
      </c>
      <c r="BX204" t="s">
        <v>2734</v>
      </c>
      <c r="BY204" t="s">
        <v>2673</v>
      </c>
      <c r="BZ204">
        <v>3</v>
      </c>
    </row>
    <row r="205" spans="1:78" x14ac:dyDescent="0.25">
      <c r="A205" s="1">
        <v>44942</v>
      </c>
      <c r="B205" t="s">
        <v>1756</v>
      </c>
      <c r="C205" t="s">
        <v>283</v>
      </c>
      <c r="E205">
        <v>9</v>
      </c>
      <c r="F205" t="s">
        <v>76</v>
      </c>
      <c r="G205">
        <v>113.82</v>
      </c>
      <c r="H205">
        <v>0</v>
      </c>
      <c r="I205">
        <v>0</v>
      </c>
      <c r="J205">
        <v>11.73</v>
      </c>
      <c r="K205">
        <v>125.55</v>
      </c>
      <c r="L205" t="s">
        <v>77</v>
      </c>
      <c r="P205" t="s">
        <v>284</v>
      </c>
      <c r="Q205" t="s">
        <v>285</v>
      </c>
      <c r="R205" t="s">
        <v>80</v>
      </c>
      <c r="S205" t="s">
        <v>80</v>
      </c>
      <c r="T205" t="s">
        <v>80</v>
      </c>
      <c r="U205" t="s">
        <v>80</v>
      </c>
      <c r="V205" t="s">
        <v>80</v>
      </c>
      <c r="W205" t="s">
        <v>1761</v>
      </c>
      <c r="X205" s="1">
        <v>44943</v>
      </c>
      <c r="Y205">
        <v>39.630000000000003</v>
      </c>
      <c r="Z205" t="s">
        <v>82</v>
      </c>
      <c r="AA205" t="str">
        <f t="shared" si="3"/>
        <v>1003</v>
      </c>
      <c r="AB205" t="s">
        <v>133</v>
      </c>
      <c r="AC205" t="s">
        <v>1474</v>
      </c>
      <c r="AD205" t="s">
        <v>1475</v>
      </c>
      <c r="AE205" t="str">
        <f>"46181507"</f>
        <v>46181507</v>
      </c>
      <c r="AF205" t="s">
        <v>451</v>
      </c>
      <c r="AG205" t="s">
        <v>580</v>
      </c>
      <c r="AH205" t="s">
        <v>1361</v>
      </c>
      <c r="AI205" t="s">
        <v>1362</v>
      </c>
      <c r="AK205" t="s">
        <v>1476</v>
      </c>
      <c r="AL205" t="s">
        <v>1476</v>
      </c>
      <c r="AN205" t="s">
        <v>1477</v>
      </c>
      <c r="AO205" t="s">
        <v>1477</v>
      </c>
      <c r="AP205" t="s">
        <v>92</v>
      </c>
      <c r="AR205">
        <v>11.98</v>
      </c>
      <c r="AS205">
        <v>11.98</v>
      </c>
      <c r="AT205">
        <v>3</v>
      </c>
      <c r="AU205">
        <v>35.94</v>
      </c>
      <c r="AV205">
        <v>0</v>
      </c>
      <c r="AX205">
        <v>3.69</v>
      </c>
      <c r="AY205">
        <v>39.630000000000003</v>
      </c>
      <c r="BA205" t="s">
        <v>93</v>
      </c>
      <c r="BC205" t="s">
        <v>93</v>
      </c>
      <c r="BD205" t="s">
        <v>128</v>
      </c>
      <c r="BI205" t="s">
        <v>80</v>
      </c>
      <c r="BM205" t="s">
        <v>94</v>
      </c>
      <c r="BN205" t="s">
        <v>95</v>
      </c>
      <c r="BP205" t="s">
        <v>294</v>
      </c>
      <c r="BR205" t="s">
        <v>1476</v>
      </c>
      <c r="BW205">
        <v>879</v>
      </c>
      <c r="BX205" t="s">
        <v>2734</v>
      </c>
      <c r="BY205" t="s">
        <v>2673</v>
      </c>
      <c r="BZ205">
        <v>3</v>
      </c>
    </row>
    <row r="206" spans="1:78" x14ac:dyDescent="0.25">
      <c r="A206" s="1">
        <v>44942</v>
      </c>
      <c r="B206" t="s">
        <v>1762</v>
      </c>
      <c r="C206" t="s">
        <v>283</v>
      </c>
      <c r="E206">
        <v>2</v>
      </c>
      <c r="F206" t="s">
        <v>76</v>
      </c>
      <c r="G206">
        <v>17.98</v>
      </c>
      <c r="H206">
        <v>0</v>
      </c>
      <c r="I206">
        <v>0</v>
      </c>
      <c r="J206">
        <v>1.8</v>
      </c>
      <c r="K206">
        <v>19.78</v>
      </c>
      <c r="L206" t="s">
        <v>77</v>
      </c>
      <c r="P206" t="s">
        <v>284</v>
      </c>
      <c r="Q206" t="s">
        <v>285</v>
      </c>
      <c r="R206" t="s">
        <v>80</v>
      </c>
      <c r="S206" t="s">
        <v>80</v>
      </c>
      <c r="T206" t="s">
        <v>80</v>
      </c>
      <c r="U206" t="s">
        <v>80</v>
      </c>
      <c r="V206" t="s">
        <v>80</v>
      </c>
      <c r="W206" t="s">
        <v>1763</v>
      </c>
      <c r="X206" s="1">
        <v>44943</v>
      </c>
      <c r="Y206">
        <v>19.78</v>
      </c>
      <c r="Z206" t="s">
        <v>82</v>
      </c>
      <c r="AA206" t="str">
        <f t="shared" si="3"/>
        <v>1003</v>
      </c>
      <c r="AB206" t="s">
        <v>141</v>
      </c>
      <c r="AC206" t="s">
        <v>1764</v>
      </c>
      <c r="AD206" t="s">
        <v>1765</v>
      </c>
      <c r="AE206" t="str">
        <f>"42132200"</f>
        <v>42132200</v>
      </c>
      <c r="AF206" t="s">
        <v>243</v>
      </c>
      <c r="AG206" t="s">
        <v>244</v>
      </c>
      <c r="AH206" t="s">
        <v>245</v>
      </c>
      <c r="AI206" t="s">
        <v>245</v>
      </c>
      <c r="AK206" t="s">
        <v>247</v>
      </c>
      <c r="AL206" t="s">
        <v>1766</v>
      </c>
      <c r="AO206" t="str">
        <f>"50806"</f>
        <v>50806</v>
      </c>
      <c r="AP206" t="s">
        <v>92</v>
      </c>
      <c r="AR206">
        <v>9.99</v>
      </c>
      <c r="AS206">
        <v>8.99</v>
      </c>
      <c r="AT206">
        <v>2</v>
      </c>
      <c r="AU206">
        <v>17.98</v>
      </c>
      <c r="AV206">
        <v>0</v>
      </c>
      <c r="AX206">
        <v>1.8</v>
      </c>
      <c r="AY206">
        <v>19.78</v>
      </c>
      <c r="BA206" t="s">
        <v>93</v>
      </c>
      <c r="BC206" t="s">
        <v>93</v>
      </c>
      <c r="BI206" t="s">
        <v>80</v>
      </c>
      <c r="BM206" t="s">
        <v>94</v>
      </c>
      <c r="BN206" t="s">
        <v>95</v>
      </c>
      <c r="BP206" t="s">
        <v>305</v>
      </c>
      <c r="BR206" t="s">
        <v>249</v>
      </c>
      <c r="BS206" t="s">
        <v>250</v>
      </c>
      <c r="BT206" t="s">
        <v>251</v>
      </c>
      <c r="BU206" t="s">
        <v>252</v>
      </c>
      <c r="BV206" t="str">
        <f>"08527"</f>
        <v>08527</v>
      </c>
      <c r="BW206">
        <v>880</v>
      </c>
      <c r="BX206" t="s">
        <v>2737</v>
      </c>
      <c r="BY206" t="s">
        <v>2675</v>
      </c>
      <c r="BZ206">
        <v>3</v>
      </c>
    </row>
    <row r="207" spans="1:78" x14ac:dyDescent="0.25">
      <c r="A207" s="1">
        <v>44942</v>
      </c>
      <c r="B207" t="s">
        <v>1767</v>
      </c>
      <c r="C207" t="s">
        <v>283</v>
      </c>
      <c r="E207">
        <v>5</v>
      </c>
      <c r="F207" t="s">
        <v>76</v>
      </c>
      <c r="G207">
        <v>152.69999999999999</v>
      </c>
      <c r="H207">
        <v>0</v>
      </c>
      <c r="I207">
        <v>0</v>
      </c>
      <c r="J207">
        <v>15.27</v>
      </c>
      <c r="K207">
        <v>167.97</v>
      </c>
      <c r="L207" t="s">
        <v>77</v>
      </c>
      <c r="P207" t="s">
        <v>284</v>
      </c>
      <c r="Q207" t="s">
        <v>285</v>
      </c>
      <c r="R207" t="s">
        <v>80</v>
      </c>
      <c r="S207" t="s">
        <v>80</v>
      </c>
      <c r="T207" t="s">
        <v>80</v>
      </c>
      <c r="U207" t="s">
        <v>80</v>
      </c>
      <c r="V207" t="s">
        <v>80</v>
      </c>
      <c r="W207" t="s">
        <v>1768</v>
      </c>
      <c r="X207" s="1">
        <v>44944</v>
      </c>
      <c r="Y207">
        <v>167.97</v>
      </c>
      <c r="Z207" t="s">
        <v>82</v>
      </c>
      <c r="AA207" t="str">
        <f t="shared" si="3"/>
        <v>1003</v>
      </c>
      <c r="AB207" t="s">
        <v>119</v>
      </c>
      <c r="AC207" t="s">
        <v>757</v>
      </c>
      <c r="AD207" t="s">
        <v>758</v>
      </c>
      <c r="AE207" t="str">
        <f>"44121704"</f>
        <v>44121704</v>
      </c>
      <c r="AF207" t="s">
        <v>108</v>
      </c>
      <c r="AG207" t="s">
        <v>556</v>
      </c>
      <c r="AH207" t="s">
        <v>590</v>
      </c>
      <c r="AI207" t="s">
        <v>759</v>
      </c>
      <c r="AJ207" t="s">
        <v>760</v>
      </c>
      <c r="AK207" t="s">
        <v>761</v>
      </c>
      <c r="AL207" t="s">
        <v>761</v>
      </c>
      <c r="AN207" t="s">
        <v>762</v>
      </c>
      <c r="AO207" t="s">
        <v>762</v>
      </c>
      <c r="AP207" t="s">
        <v>92</v>
      </c>
      <c r="AR207">
        <v>19.989999999999998</v>
      </c>
      <c r="AS207">
        <v>13.5</v>
      </c>
      <c r="AT207">
        <v>1</v>
      </c>
      <c r="AU207">
        <v>13.5</v>
      </c>
      <c r="AV207">
        <v>0</v>
      </c>
      <c r="AX207">
        <v>1.35</v>
      </c>
      <c r="AY207">
        <v>14.85</v>
      </c>
      <c r="BA207" t="s">
        <v>93</v>
      </c>
      <c r="BC207" t="s">
        <v>93</v>
      </c>
      <c r="BD207" t="s">
        <v>128</v>
      </c>
      <c r="BE207">
        <v>6.49</v>
      </c>
      <c r="BF207" s="2">
        <v>0.32469999999999999</v>
      </c>
      <c r="BI207" t="s">
        <v>80</v>
      </c>
      <c r="BM207" t="s">
        <v>94</v>
      </c>
      <c r="BN207" t="s">
        <v>95</v>
      </c>
      <c r="BP207" t="s">
        <v>305</v>
      </c>
      <c r="BR207" t="s">
        <v>130</v>
      </c>
      <c r="BT207" t="s">
        <v>131</v>
      </c>
      <c r="BU207" t="s">
        <v>132</v>
      </c>
      <c r="BV207" t="str">
        <f>"98109"</f>
        <v>98109</v>
      </c>
      <c r="BW207">
        <v>880</v>
      </c>
      <c r="BX207" t="s">
        <v>2737</v>
      </c>
      <c r="BY207" t="s">
        <v>2675</v>
      </c>
      <c r="BZ207">
        <v>3</v>
      </c>
    </row>
    <row r="208" spans="1:78" x14ac:dyDescent="0.25">
      <c r="A208" s="1">
        <v>44942</v>
      </c>
      <c r="B208" t="s">
        <v>1767</v>
      </c>
      <c r="C208" t="s">
        <v>283</v>
      </c>
      <c r="E208">
        <v>5</v>
      </c>
      <c r="F208" t="s">
        <v>76</v>
      </c>
      <c r="G208">
        <v>152.69999999999999</v>
      </c>
      <c r="H208">
        <v>0</v>
      </c>
      <c r="I208">
        <v>0</v>
      </c>
      <c r="J208">
        <v>15.27</v>
      </c>
      <c r="K208">
        <v>167.97</v>
      </c>
      <c r="L208" t="s">
        <v>77</v>
      </c>
      <c r="P208" t="s">
        <v>284</v>
      </c>
      <c r="Q208" t="s">
        <v>285</v>
      </c>
      <c r="R208" t="s">
        <v>80</v>
      </c>
      <c r="S208" t="s">
        <v>80</v>
      </c>
      <c r="T208" t="s">
        <v>80</v>
      </c>
      <c r="U208" t="s">
        <v>80</v>
      </c>
      <c r="V208" t="s">
        <v>80</v>
      </c>
      <c r="W208" t="s">
        <v>1768</v>
      </c>
      <c r="X208" s="1">
        <v>44944</v>
      </c>
      <c r="Y208">
        <v>167.97</v>
      </c>
      <c r="Z208" t="s">
        <v>82</v>
      </c>
      <c r="AA208" t="str">
        <f t="shared" si="3"/>
        <v>1003</v>
      </c>
      <c r="AB208" t="s">
        <v>133</v>
      </c>
      <c r="AC208" t="s">
        <v>1769</v>
      </c>
      <c r="AD208" t="s">
        <v>1770</v>
      </c>
      <c r="AE208" t="str">
        <f>"31201512"</f>
        <v>31201512</v>
      </c>
      <c r="AF208" t="s">
        <v>398</v>
      </c>
      <c r="AG208" t="s">
        <v>799</v>
      </c>
      <c r="AH208" t="s">
        <v>800</v>
      </c>
      <c r="AI208" t="s">
        <v>1771</v>
      </c>
      <c r="AJ208" t="s">
        <v>1772</v>
      </c>
      <c r="AK208" t="s">
        <v>1773</v>
      </c>
      <c r="AL208" t="s">
        <v>1773</v>
      </c>
      <c r="AN208" t="str">
        <f>"32953"</f>
        <v>32953</v>
      </c>
      <c r="AO208" t="str">
        <f>"32953"</f>
        <v>32953</v>
      </c>
      <c r="AP208" t="s">
        <v>92</v>
      </c>
      <c r="AR208">
        <v>14.03</v>
      </c>
      <c r="AS208">
        <v>14.03</v>
      </c>
      <c r="AT208">
        <v>1</v>
      </c>
      <c r="AU208">
        <v>14.03</v>
      </c>
      <c r="AV208">
        <v>0</v>
      </c>
      <c r="AX208">
        <v>1.4</v>
      </c>
      <c r="AY208">
        <v>15.43</v>
      </c>
      <c r="BA208" t="s">
        <v>93</v>
      </c>
      <c r="BC208" t="s">
        <v>93</v>
      </c>
      <c r="BD208" t="s">
        <v>128</v>
      </c>
      <c r="BI208" t="s">
        <v>80</v>
      </c>
      <c r="BM208" t="s">
        <v>94</v>
      </c>
      <c r="BN208" t="s">
        <v>95</v>
      </c>
      <c r="BP208" t="s">
        <v>305</v>
      </c>
      <c r="BR208" t="s">
        <v>1774</v>
      </c>
      <c r="BS208" t="s">
        <v>250</v>
      </c>
      <c r="BW208">
        <v>880</v>
      </c>
      <c r="BX208" t="s">
        <v>2737</v>
      </c>
      <c r="BY208" t="s">
        <v>2675</v>
      </c>
      <c r="BZ208">
        <v>3</v>
      </c>
    </row>
    <row r="209" spans="1:78" x14ac:dyDescent="0.25">
      <c r="A209" s="1">
        <v>44942</v>
      </c>
      <c r="B209" t="s">
        <v>1767</v>
      </c>
      <c r="C209" t="s">
        <v>283</v>
      </c>
      <c r="E209">
        <v>5</v>
      </c>
      <c r="F209" t="s">
        <v>76</v>
      </c>
      <c r="G209">
        <v>152.69999999999999</v>
      </c>
      <c r="H209">
        <v>0</v>
      </c>
      <c r="I209">
        <v>0</v>
      </c>
      <c r="J209">
        <v>15.27</v>
      </c>
      <c r="K209">
        <v>167.97</v>
      </c>
      <c r="L209" t="s">
        <v>77</v>
      </c>
      <c r="P209" t="s">
        <v>284</v>
      </c>
      <c r="Q209" t="s">
        <v>285</v>
      </c>
      <c r="R209" t="s">
        <v>80</v>
      </c>
      <c r="S209" t="s">
        <v>80</v>
      </c>
      <c r="T209" t="s">
        <v>80</v>
      </c>
      <c r="U209" t="s">
        <v>80</v>
      </c>
      <c r="V209" t="s">
        <v>80</v>
      </c>
      <c r="W209" t="s">
        <v>1768</v>
      </c>
      <c r="X209" s="1">
        <v>44944</v>
      </c>
      <c r="Y209">
        <v>167.97</v>
      </c>
      <c r="Z209" t="s">
        <v>82</v>
      </c>
      <c r="AA209" t="str">
        <f t="shared" si="3"/>
        <v>1003</v>
      </c>
      <c r="AB209" t="s">
        <v>133</v>
      </c>
      <c r="AC209" t="s">
        <v>1775</v>
      </c>
      <c r="AD209" t="s">
        <v>1776</v>
      </c>
      <c r="AE209" t="str">
        <f>"47121701"</f>
        <v>47121701</v>
      </c>
      <c r="AF209" t="s">
        <v>144</v>
      </c>
      <c r="AG209" t="s">
        <v>617</v>
      </c>
      <c r="AH209" t="s">
        <v>1777</v>
      </c>
      <c r="AI209" t="s">
        <v>1778</v>
      </c>
      <c r="AK209" t="s">
        <v>1779</v>
      </c>
      <c r="AP209" t="s">
        <v>92</v>
      </c>
      <c r="AR209">
        <v>81.12</v>
      </c>
      <c r="AS209">
        <v>57.99</v>
      </c>
      <c r="AT209">
        <v>2</v>
      </c>
      <c r="AU209">
        <v>115.98</v>
      </c>
      <c r="AV209">
        <v>0</v>
      </c>
      <c r="AX209">
        <v>11.6</v>
      </c>
      <c r="AY209">
        <v>127.58</v>
      </c>
      <c r="BA209" t="s">
        <v>93</v>
      </c>
      <c r="BC209" t="s">
        <v>93</v>
      </c>
      <c r="BI209" t="s">
        <v>80</v>
      </c>
      <c r="BM209" t="s">
        <v>94</v>
      </c>
      <c r="BN209" t="s">
        <v>95</v>
      </c>
      <c r="BP209" t="s">
        <v>305</v>
      </c>
      <c r="BR209" t="s">
        <v>1779</v>
      </c>
      <c r="BS209" t="s">
        <v>1780</v>
      </c>
      <c r="BT209" t="s">
        <v>1781</v>
      </c>
      <c r="BU209" t="s">
        <v>115</v>
      </c>
      <c r="BV209" t="str">
        <f>"90071"</f>
        <v>90071</v>
      </c>
      <c r="BW209">
        <v>880</v>
      </c>
      <c r="BX209" t="s">
        <v>2737</v>
      </c>
      <c r="BY209" t="s">
        <v>2675</v>
      </c>
      <c r="BZ209">
        <v>3</v>
      </c>
    </row>
    <row r="210" spans="1:78" x14ac:dyDescent="0.25">
      <c r="A210" s="1">
        <v>44942</v>
      </c>
      <c r="B210" t="s">
        <v>1767</v>
      </c>
      <c r="C210" t="s">
        <v>283</v>
      </c>
      <c r="E210">
        <v>5</v>
      </c>
      <c r="F210" t="s">
        <v>76</v>
      </c>
      <c r="G210">
        <v>152.69999999999999</v>
      </c>
      <c r="H210">
        <v>0</v>
      </c>
      <c r="I210">
        <v>0</v>
      </c>
      <c r="J210">
        <v>15.27</v>
      </c>
      <c r="K210">
        <v>167.97</v>
      </c>
      <c r="L210" t="s">
        <v>77</v>
      </c>
      <c r="P210" t="s">
        <v>284</v>
      </c>
      <c r="Q210" t="s">
        <v>285</v>
      </c>
      <c r="R210" t="s">
        <v>80</v>
      </c>
      <c r="S210" t="s">
        <v>80</v>
      </c>
      <c r="T210" t="s">
        <v>80</v>
      </c>
      <c r="U210" t="s">
        <v>80</v>
      </c>
      <c r="V210" t="s">
        <v>80</v>
      </c>
      <c r="W210" t="s">
        <v>1768</v>
      </c>
      <c r="X210" s="1">
        <v>44944</v>
      </c>
      <c r="Y210">
        <v>167.97</v>
      </c>
      <c r="Z210" t="s">
        <v>82</v>
      </c>
      <c r="AA210" t="str">
        <f t="shared" ref="AA210:AA232" si="4">"1003"</f>
        <v>1003</v>
      </c>
      <c r="AB210" t="s">
        <v>119</v>
      </c>
      <c r="AC210" t="s">
        <v>1119</v>
      </c>
      <c r="AD210" t="s">
        <v>1120</v>
      </c>
      <c r="AE210" t="str">
        <f>"44122000"</f>
        <v>44122000</v>
      </c>
      <c r="AF210" t="s">
        <v>108</v>
      </c>
      <c r="AG210" t="s">
        <v>556</v>
      </c>
      <c r="AH210" t="s">
        <v>771</v>
      </c>
      <c r="AI210" t="s">
        <v>771</v>
      </c>
      <c r="AJ210" t="s">
        <v>175</v>
      </c>
      <c r="AK210" t="s">
        <v>176</v>
      </c>
      <c r="AL210" t="s">
        <v>1121</v>
      </c>
      <c r="AN210" t="s">
        <v>1122</v>
      </c>
      <c r="AO210" t="s">
        <v>1122</v>
      </c>
      <c r="AP210" t="s">
        <v>92</v>
      </c>
      <c r="AR210">
        <v>10.99</v>
      </c>
      <c r="AS210">
        <v>9.19</v>
      </c>
      <c r="AT210">
        <v>1</v>
      </c>
      <c r="AU210">
        <v>9.19</v>
      </c>
      <c r="AV210">
        <v>0</v>
      </c>
      <c r="AX210">
        <v>0.92</v>
      </c>
      <c r="AY210">
        <v>10.11</v>
      </c>
      <c r="BA210" t="s">
        <v>93</v>
      </c>
      <c r="BC210" t="s">
        <v>93</v>
      </c>
      <c r="BI210" t="s">
        <v>80</v>
      </c>
      <c r="BM210" t="s">
        <v>94</v>
      </c>
      <c r="BN210" t="s">
        <v>95</v>
      </c>
      <c r="BP210" t="s">
        <v>305</v>
      </c>
      <c r="BR210" t="s">
        <v>338</v>
      </c>
      <c r="BT210" t="s">
        <v>131</v>
      </c>
      <c r="BU210" t="s">
        <v>339</v>
      </c>
      <c r="BV210" t="str">
        <f>"98109"</f>
        <v>98109</v>
      </c>
      <c r="BW210">
        <v>880</v>
      </c>
      <c r="BX210" t="s">
        <v>2737</v>
      </c>
      <c r="BY210" t="s">
        <v>2675</v>
      </c>
      <c r="BZ210">
        <v>3</v>
      </c>
    </row>
    <row r="211" spans="1:78" x14ac:dyDescent="0.25">
      <c r="A211" s="1">
        <v>44942</v>
      </c>
      <c r="B211" t="s">
        <v>1782</v>
      </c>
      <c r="C211" t="s">
        <v>851</v>
      </c>
      <c r="E211">
        <v>30</v>
      </c>
      <c r="F211" t="s">
        <v>76</v>
      </c>
      <c r="G211">
        <v>779.1</v>
      </c>
      <c r="H211">
        <v>0</v>
      </c>
      <c r="I211">
        <v>0</v>
      </c>
      <c r="J211">
        <v>60.3</v>
      </c>
      <c r="K211">
        <v>839.4</v>
      </c>
      <c r="L211" t="s">
        <v>77</v>
      </c>
      <c r="M211" t="s">
        <v>224</v>
      </c>
      <c r="P211" t="s">
        <v>852</v>
      </c>
      <c r="Q211" t="s">
        <v>853</v>
      </c>
      <c r="R211" t="s">
        <v>80</v>
      </c>
      <c r="S211" t="s">
        <v>80</v>
      </c>
      <c r="T211" t="s">
        <v>80</v>
      </c>
      <c r="U211" t="s">
        <v>80</v>
      </c>
      <c r="V211" t="s">
        <v>80</v>
      </c>
      <c r="W211" t="s">
        <v>1783</v>
      </c>
      <c r="X211" s="1">
        <v>44943</v>
      </c>
      <c r="Y211">
        <v>839.4</v>
      </c>
      <c r="Z211" t="s">
        <v>82</v>
      </c>
      <c r="AA211" t="str">
        <f t="shared" si="4"/>
        <v>1003</v>
      </c>
      <c r="AB211" t="s">
        <v>367</v>
      </c>
      <c r="AC211" t="s">
        <v>1624</v>
      </c>
      <c r="AD211" t="s">
        <v>1625</v>
      </c>
      <c r="AE211" t="str">
        <f>"43191600"</f>
        <v>43191600</v>
      </c>
      <c r="AF211" t="s">
        <v>86</v>
      </c>
      <c r="AG211" t="s">
        <v>136</v>
      </c>
      <c r="AH211" t="s">
        <v>137</v>
      </c>
      <c r="AI211" t="s">
        <v>137</v>
      </c>
      <c r="AK211" t="s">
        <v>1626</v>
      </c>
      <c r="AL211" t="s">
        <v>1626</v>
      </c>
      <c r="AP211" t="s">
        <v>92</v>
      </c>
      <c r="AR211">
        <v>25.97</v>
      </c>
      <c r="AS211">
        <v>25.97</v>
      </c>
      <c r="AT211">
        <v>30</v>
      </c>
      <c r="AU211">
        <v>779.1</v>
      </c>
      <c r="AV211">
        <v>0</v>
      </c>
      <c r="AX211">
        <v>60.3</v>
      </c>
      <c r="AY211">
        <v>839.4</v>
      </c>
      <c r="BA211" t="s">
        <v>93</v>
      </c>
      <c r="BC211" t="s">
        <v>93</v>
      </c>
      <c r="BI211" t="s">
        <v>80</v>
      </c>
      <c r="BM211" t="s">
        <v>372</v>
      </c>
      <c r="BN211" t="s">
        <v>373</v>
      </c>
      <c r="BP211" t="s">
        <v>266</v>
      </c>
      <c r="BR211" t="s">
        <v>1627</v>
      </c>
      <c r="BW211">
        <v>848</v>
      </c>
      <c r="BX211" t="s">
        <v>2733</v>
      </c>
      <c r="BY211" t="s">
        <v>2661</v>
      </c>
      <c r="BZ211">
        <v>3</v>
      </c>
    </row>
    <row r="212" spans="1:78" x14ac:dyDescent="0.25">
      <c r="A212" s="1">
        <v>44942</v>
      </c>
      <c r="B212" t="s">
        <v>1784</v>
      </c>
      <c r="C212" t="s">
        <v>223</v>
      </c>
      <c r="E212">
        <v>24</v>
      </c>
      <c r="F212" t="s">
        <v>76</v>
      </c>
      <c r="G212">
        <v>285.36</v>
      </c>
      <c r="H212">
        <v>0</v>
      </c>
      <c r="I212">
        <v>0</v>
      </c>
      <c r="J212">
        <v>18.96</v>
      </c>
      <c r="K212">
        <v>304.32</v>
      </c>
      <c r="L212" t="s">
        <v>77</v>
      </c>
      <c r="M212" t="s">
        <v>224</v>
      </c>
      <c r="P212" t="s">
        <v>225</v>
      </c>
      <c r="Q212" t="s">
        <v>226</v>
      </c>
      <c r="R212" t="s">
        <v>80</v>
      </c>
      <c r="S212" t="s">
        <v>80</v>
      </c>
      <c r="T212" t="s">
        <v>80</v>
      </c>
      <c r="U212" t="s">
        <v>80</v>
      </c>
      <c r="V212" t="s">
        <v>80</v>
      </c>
      <c r="W212" t="s">
        <v>1785</v>
      </c>
      <c r="X212" s="1">
        <v>44943</v>
      </c>
      <c r="Y212">
        <v>304.32</v>
      </c>
      <c r="Z212" t="s">
        <v>82</v>
      </c>
      <c r="AA212" t="str">
        <f t="shared" si="4"/>
        <v>1003</v>
      </c>
      <c r="AB212" t="s">
        <v>1786</v>
      </c>
      <c r="AC212" t="s">
        <v>1787</v>
      </c>
      <c r="AD212" t="s">
        <v>1788</v>
      </c>
      <c r="AE212" t="str">
        <f>"53131627"</f>
        <v>53131627</v>
      </c>
      <c r="AF212" t="s">
        <v>1134</v>
      </c>
      <c r="AG212" t="s">
        <v>1135</v>
      </c>
      <c r="AH212" t="s">
        <v>1136</v>
      </c>
      <c r="AI212" t="s">
        <v>1789</v>
      </c>
      <c r="AJ212" t="s">
        <v>1790</v>
      </c>
      <c r="AK212" t="s">
        <v>1791</v>
      </c>
      <c r="AL212" t="s">
        <v>1791</v>
      </c>
      <c r="AN212" t="s">
        <v>1792</v>
      </c>
      <c r="AO212" t="s">
        <v>1793</v>
      </c>
      <c r="AP212" t="s">
        <v>92</v>
      </c>
      <c r="AR212">
        <v>5.81</v>
      </c>
      <c r="AS212">
        <v>11.89</v>
      </c>
      <c r="AT212">
        <v>24</v>
      </c>
      <c r="AU212">
        <v>285.36</v>
      </c>
      <c r="AV212">
        <v>0</v>
      </c>
      <c r="AX212">
        <v>18.96</v>
      </c>
      <c r="AY212">
        <v>304.32</v>
      </c>
      <c r="BA212" t="s">
        <v>93</v>
      </c>
      <c r="BC212" t="s">
        <v>93</v>
      </c>
      <c r="BI212" t="s">
        <v>80</v>
      </c>
      <c r="BM212" t="s">
        <v>94</v>
      </c>
      <c r="BN212" t="s">
        <v>95</v>
      </c>
      <c r="BP212" t="s">
        <v>235</v>
      </c>
      <c r="BR212" t="s">
        <v>1794</v>
      </c>
      <c r="BS212" t="s">
        <v>250</v>
      </c>
      <c r="BT212" t="s">
        <v>1795</v>
      </c>
      <c r="BU212" t="s">
        <v>1796</v>
      </c>
      <c r="BV212" t="str">
        <f>"37086"</f>
        <v>37086</v>
      </c>
      <c r="BW212">
        <v>909</v>
      </c>
      <c r="BX212" t="s">
        <v>2732</v>
      </c>
      <c r="BY212" t="s">
        <v>2719</v>
      </c>
      <c r="BZ212">
        <v>3</v>
      </c>
    </row>
    <row r="213" spans="1:78" x14ac:dyDescent="0.25">
      <c r="A213" s="1">
        <v>44942</v>
      </c>
      <c r="B213" t="s">
        <v>1797</v>
      </c>
      <c r="C213" t="s">
        <v>223</v>
      </c>
      <c r="E213">
        <v>2</v>
      </c>
      <c r="F213" t="s">
        <v>76</v>
      </c>
      <c r="G213">
        <v>99.98</v>
      </c>
      <c r="H213">
        <v>0</v>
      </c>
      <c r="I213">
        <v>0</v>
      </c>
      <c r="J213">
        <v>6.62</v>
      </c>
      <c r="K213">
        <v>106.6</v>
      </c>
      <c r="L213" t="s">
        <v>77</v>
      </c>
      <c r="M213" t="s">
        <v>224</v>
      </c>
      <c r="P213" t="s">
        <v>225</v>
      </c>
      <c r="Q213" t="s">
        <v>226</v>
      </c>
      <c r="R213" t="s">
        <v>80</v>
      </c>
      <c r="S213" t="s">
        <v>80</v>
      </c>
      <c r="T213" t="s">
        <v>80</v>
      </c>
      <c r="U213" t="s">
        <v>80</v>
      </c>
      <c r="V213" t="s">
        <v>80</v>
      </c>
      <c r="W213" t="s">
        <v>1798</v>
      </c>
      <c r="X213" s="1">
        <v>44943</v>
      </c>
      <c r="Y213">
        <v>106.6</v>
      </c>
      <c r="Z213" t="s">
        <v>82</v>
      </c>
      <c r="AA213" t="str">
        <f t="shared" si="4"/>
        <v>1003</v>
      </c>
      <c r="AB213" t="s">
        <v>141</v>
      </c>
      <c r="AC213" t="s">
        <v>1799</v>
      </c>
      <c r="AD213" t="s">
        <v>1800</v>
      </c>
      <c r="AE213" t="str">
        <f>"47131700"</f>
        <v>47131700</v>
      </c>
      <c r="AF213" t="s">
        <v>144</v>
      </c>
      <c r="AG213" t="s">
        <v>145</v>
      </c>
      <c r="AH213" t="s">
        <v>1057</v>
      </c>
      <c r="AI213" t="s">
        <v>1057</v>
      </c>
      <c r="AJ213" t="s">
        <v>1801</v>
      </c>
      <c r="AK213" t="s">
        <v>1802</v>
      </c>
      <c r="AL213" t="s">
        <v>1802</v>
      </c>
      <c r="AN213" t="s">
        <v>1803</v>
      </c>
      <c r="AO213" t="s">
        <v>1803</v>
      </c>
      <c r="AP213" t="s">
        <v>92</v>
      </c>
      <c r="AR213">
        <v>7.55</v>
      </c>
      <c r="AS213">
        <v>49.99</v>
      </c>
      <c r="AT213">
        <v>2</v>
      </c>
      <c r="AU213">
        <v>99.98</v>
      </c>
      <c r="AV213">
        <v>0</v>
      </c>
      <c r="AX213">
        <v>6.62</v>
      </c>
      <c r="AY213">
        <v>106.6</v>
      </c>
      <c r="BA213" t="s">
        <v>93</v>
      </c>
      <c r="BC213" t="s">
        <v>93</v>
      </c>
      <c r="BI213" t="s">
        <v>80</v>
      </c>
      <c r="BM213" t="s">
        <v>94</v>
      </c>
      <c r="BN213" t="s">
        <v>95</v>
      </c>
      <c r="BP213" t="s">
        <v>235</v>
      </c>
      <c r="BR213" t="s">
        <v>1804</v>
      </c>
      <c r="BT213" t="s">
        <v>1805</v>
      </c>
      <c r="BU213" t="s">
        <v>458</v>
      </c>
      <c r="BV213" t="str">
        <f>"32117"</f>
        <v>32117</v>
      </c>
      <c r="BW213">
        <v>909</v>
      </c>
      <c r="BX213" t="s">
        <v>2732</v>
      </c>
      <c r="BY213" t="s">
        <v>2719</v>
      </c>
      <c r="BZ213">
        <v>3</v>
      </c>
    </row>
    <row r="214" spans="1:78" x14ac:dyDescent="0.25">
      <c r="A214" s="1">
        <v>44942</v>
      </c>
      <c r="B214" t="s">
        <v>1806</v>
      </c>
      <c r="C214" t="s">
        <v>223</v>
      </c>
      <c r="E214">
        <v>2</v>
      </c>
      <c r="F214" t="s">
        <v>76</v>
      </c>
      <c r="G214">
        <v>39.18</v>
      </c>
      <c r="H214">
        <v>0</v>
      </c>
      <c r="I214">
        <v>0</v>
      </c>
      <c r="J214">
        <v>2.6</v>
      </c>
      <c r="K214">
        <v>41.78</v>
      </c>
      <c r="L214" t="s">
        <v>77</v>
      </c>
      <c r="M214" t="s">
        <v>224</v>
      </c>
      <c r="P214" t="s">
        <v>225</v>
      </c>
      <c r="Q214" t="s">
        <v>226</v>
      </c>
      <c r="R214" t="s">
        <v>80</v>
      </c>
      <c r="S214" t="s">
        <v>80</v>
      </c>
      <c r="T214" t="s">
        <v>80</v>
      </c>
      <c r="U214" t="s">
        <v>80</v>
      </c>
      <c r="V214" t="s">
        <v>80</v>
      </c>
      <c r="W214" t="s">
        <v>1807</v>
      </c>
      <c r="X214" s="1">
        <v>44946</v>
      </c>
      <c r="Y214">
        <v>41.78</v>
      </c>
      <c r="Z214" t="s">
        <v>82</v>
      </c>
      <c r="AA214" t="str">
        <f t="shared" si="4"/>
        <v>1003</v>
      </c>
      <c r="AB214" t="s">
        <v>1808</v>
      </c>
      <c r="AC214" t="s">
        <v>1809</v>
      </c>
      <c r="AD214" t="s">
        <v>1810</v>
      </c>
      <c r="AE214" t="str">
        <f>"53131627"</f>
        <v>53131627</v>
      </c>
      <c r="AF214" t="s">
        <v>1134</v>
      </c>
      <c r="AG214" t="s">
        <v>1135</v>
      </c>
      <c r="AH214" t="s">
        <v>1136</v>
      </c>
      <c r="AI214" t="s">
        <v>1789</v>
      </c>
      <c r="AJ214" t="s">
        <v>1811</v>
      </c>
      <c r="AK214" t="s">
        <v>1812</v>
      </c>
      <c r="AL214" t="s">
        <v>1813</v>
      </c>
      <c r="AN214" t="s">
        <v>1814</v>
      </c>
      <c r="AO214" t="str">
        <f>"88047"</f>
        <v>88047</v>
      </c>
      <c r="AP214" t="s">
        <v>92</v>
      </c>
      <c r="AR214">
        <v>19.59</v>
      </c>
      <c r="AS214">
        <v>19.59</v>
      </c>
      <c r="AT214">
        <v>2</v>
      </c>
      <c r="AU214">
        <v>39.18</v>
      </c>
      <c r="AV214">
        <v>0</v>
      </c>
      <c r="AX214">
        <v>2.6</v>
      </c>
      <c r="AY214">
        <v>41.78</v>
      </c>
      <c r="BA214" t="s">
        <v>93</v>
      </c>
      <c r="BC214" t="s">
        <v>93</v>
      </c>
      <c r="BI214" t="s">
        <v>80</v>
      </c>
      <c r="BM214" t="s">
        <v>94</v>
      </c>
      <c r="BN214" t="s">
        <v>95</v>
      </c>
      <c r="BP214" t="s">
        <v>235</v>
      </c>
      <c r="BR214" t="s">
        <v>338</v>
      </c>
      <c r="BT214" t="s">
        <v>131</v>
      </c>
      <c r="BU214" t="s">
        <v>339</v>
      </c>
      <c r="BV214" t="str">
        <f>"98109"</f>
        <v>98109</v>
      </c>
      <c r="BW214">
        <v>909</v>
      </c>
      <c r="BX214" t="s">
        <v>2732</v>
      </c>
      <c r="BY214" t="s">
        <v>2719</v>
      </c>
      <c r="BZ214">
        <v>3</v>
      </c>
    </row>
    <row r="215" spans="1:78" x14ac:dyDescent="0.25">
      <c r="A215" s="1">
        <v>44942</v>
      </c>
      <c r="B215" t="s">
        <v>1815</v>
      </c>
      <c r="C215" t="s">
        <v>341</v>
      </c>
      <c r="D215" t="s">
        <v>1816</v>
      </c>
      <c r="E215">
        <v>3</v>
      </c>
      <c r="F215" t="s">
        <v>76</v>
      </c>
      <c r="G215">
        <v>22.28</v>
      </c>
      <c r="H215">
        <v>0</v>
      </c>
      <c r="I215">
        <v>0</v>
      </c>
      <c r="J215">
        <v>2.11</v>
      </c>
      <c r="K215">
        <v>24.39</v>
      </c>
      <c r="L215" t="s">
        <v>77</v>
      </c>
      <c r="P215" t="s">
        <v>543</v>
      </c>
      <c r="Q215" t="s">
        <v>544</v>
      </c>
      <c r="R215" t="s">
        <v>80</v>
      </c>
      <c r="S215" t="s">
        <v>80</v>
      </c>
      <c r="T215" t="s">
        <v>80</v>
      </c>
      <c r="U215" t="s">
        <v>80</v>
      </c>
      <c r="V215" t="s">
        <v>80</v>
      </c>
      <c r="W215" t="s">
        <v>1817</v>
      </c>
      <c r="X215" s="1">
        <v>44943</v>
      </c>
      <c r="Y215">
        <v>6.37</v>
      </c>
      <c r="Z215" t="s">
        <v>82</v>
      </c>
      <c r="AA215" t="str">
        <f t="shared" si="4"/>
        <v>1003</v>
      </c>
      <c r="AB215" t="s">
        <v>119</v>
      </c>
      <c r="AC215" t="s">
        <v>1818</v>
      </c>
      <c r="AD215" t="s">
        <v>1819</v>
      </c>
      <c r="AE215" t="str">
        <f>"55121600"</f>
        <v>55121600</v>
      </c>
      <c r="AF215" t="s">
        <v>195</v>
      </c>
      <c r="AG215" t="s">
        <v>196</v>
      </c>
      <c r="AH215" t="s">
        <v>197</v>
      </c>
      <c r="AI215" t="s">
        <v>197</v>
      </c>
      <c r="AJ215" t="s">
        <v>1820</v>
      </c>
      <c r="AK215" t="s">
        <v>1821</v>
      </c>
      <c r="AL215" t="s">
        <v>1822</v>
      </c>
      <c r="AN215" t="str">
        <f>"8593"</f>
        <v>8593</v>
      </c>
      <c r="AO215" t="str">
        <f>"8593"</f>
        <v>8593</v>
      </c>
      <c r="AP215" t="s">
        <v>92</v>
      </c>
      <c r="AR215">
        <v>8.39</v>
      </c>
      <c r="AS215">
        <v>5.82</v>
      </c>
      <c r="AT215">
        <v>1</v>
      </c>
      <c r="AU215">
        <v>5.82</v>
      </c>
      <c r="AV215">
        <v>0</v>
      </c>
      <c r="AX215">
        <v>0.55000000000000004</v>
      </c>
      <c r="AY215">
        <v>6.37</v>
      </c>
      <c r="BA215" t="s">
        <v>93</v>
      </c>
      <c r="BC215" t="s">
        <v>93</v>
      </c>
      <c r="BI215" t="s">
        <v>80</v>
      </c>
      <c r="BM215" t="s">
        <v>550</v>
      </c>
      <c r="BN215" t="s">
        <v>95</v>
      </c>
      <c r="BP215" t="s">
        <v>387</v>
      </c>
      <c r="BR215" t="s">
        <v>338</v>
      </c>
      <c r="BT215" t="s">
        <v>131</v>
      </c>
      <c r="BU215" t="s">
        <v>339</v>
      </c>
      <c r="BV215" t="str">
        <f>"98109"</f>
        <v>98109</v>
      </c>
      <c r="BW215">
        <v>1</v>
      </c>
      <c r="BX215" t="s">
        <v>2741</v>
      </c>
      <c r="BY215" t="s">
        <v>2573</v>
      </c>
      <c r="BZ215">
        <v>3</v>
      </c>
    </row>
    <row r="216" spans="1:78" x14ac:dyDescent="0.25">
      <c r="A216" s="1">
        <v>44942</v>
      </c>
      <c r="B216" t="s">
        <v>1815</v>
      </c>
      <c r="C216" t="s">
        <v>341</v>
      </c>
      <c r="D216" t="s">
        <v>1816</v>
      </c>
      <c r="E216">
        <v>3</v>
      </c>
      <c r="F216" t="s">
        <v>76</v>
      </c>
      <c r="G216">
        <v>22.28</v>
      </c>
      <c r="H216">
        <v>0</v>
      </c>
      <c r="I216">
        <v>0</v>
      </c>
      <c r="J216">
        <v>2.11</v>
      </c>
      <c r="K216">
        <v>24.39</v>
      </c>
      <c r="L216" t="s">
        <v>77</v>
      </c>
      <c r="P216" t="s">
        <v>543</v>
      </c>
      <c r="Q216" t="s">
        <v>544</v>
      </c>
      <c r="R216" t="s">
        <v>80</v>
      </c>
      <c r="S216" t="s">
        <v>80</v>
      </c>
      <c r="T216" t="s">
        <v>80</v>
      </c>
      <c r="U216" t="s">
        <v>80</v>
      </c>
      <c r="V216" t="s">
        <v>80</v>
      </c>
      <c r="W216" t="s">
        <v>1823</v>
      </c>
      <c r="X216" s="1">
        <v>44944</v>
      </c>
      <c r="Y216">
        <v>9.01</v>
      </c>
      <c r="Z216" t="s">
        <v>82</v>
      </c>
      <c r="AA216" t="str">
        <f t="shared" si="4"/>
        <v>1003</v>
      </c>
      <c r="AB216" t="s">
        <v>119</v>
      </c>
      <c r="AC216" t="s">
        <v>1824</v>
      </c>
      <c r="AD216" t="s">
        <v>1825</v>
      </c>
      <c r="AE216" t="str">
        <f>"44122105"</f>
        <v>44122105</v>
      </c>
      <c r="AF216" t="s">
        <v>108</v>
      </c>
      <c r="AG216" t="s">
        <v>556</v>
      </c>
      <c r="AH216" t="s">
        <v>934</v>
      </c>
      <c r="AI216" t="s">
        <v>935</v>
      </c>
      <c r="AJ216" t="s">
        <v>1826</v>
      </c>
      <c r="AK216" t="s">
        <v>1773</v>
      </c>
      <c r="AL216" t="s">
        <v>1827</v>
      </c>
      <c r="AN216" t="s">
        <v>1828</v>
      </c>
      <c r="AO216" t="s">
        <v>1828</v>
      </c>
      <c r="AP216" t="s">
        <v>92</v>
      </c>
      <c r="AR216">
        <v>24.6</v>
      </c>
      <c r="AS216">
        <v>8.23</v>
      </c>
      <c r="AT216">
        <v>1</v>
      </c>
      <c r="AU216">
        <v>8.23</v>
      </c>
      <c r="AV216">
        <v>0</v>
      </c>
      <c r="AX216">
        <v>0.78</v>
      </c>
      <c r="AY216">
        <v>9.01</v>
      </c>
      <c r="BA216" t="s">
        <v>93</v>
      </c>
      <c r="BC216" t="s">
        <v>93</v>
      </c>
      <c r="BI216" t="s">
        <v>80</v>
      </c>
      <c r="BM216" t="s">
        <v>550</v>
      </c>
      <c r="BN216" t="s">
        <v>95</v>
      </c>
      <c r="BP216" t="s">
        <v>387</v>
      </c>
      <c r="BR216" t="s">
        <v>1829</v>
      </c>
      <c r="BT216" t="s">
        <v>1830</v>
      </c>
      <c r="BU216" t="s">
        <v>1831</v>
      </c>
      <c r="BV216" t="str">
        <f>"77032"</f>
        <v>77032</v>
      </c>
      <c r="BW216">
        <v>1</v>
      </c>
      <c r="BX216" t="s">
        <v>2741</v>
      </c>
      <c r="BY216" t="s">
        <v>2573</v>
      </c>
      <c r="BZ216">
        <v>3</v>
      </c>
    </row>
    <row r="217" spans="1:78" x14ac:dyDescent="0.25">
      <c r="A217" s="1">
        <v>44942</v>
      </c>
      <c r="B217" t="s">
        <v>1815</v>
      </c>
      <c r="C217" t="s">
        <v>341</v>
      </c>
      <c r="D217" t="s">
        <v>1816</v>
      </c>
      <c r="E217">
        <v>3</v>
      </c>
      <c r="F217" t="s">
        <v>76</v>
      </c>
      <c r="G217">
        <v>22.28</v>
      </c>
      <c r="H217">
        <v>0</v>
      </c>
      <c r="I217">
        <v>0</v>
      </c>
      <c r="J217">
        <v>2.11</v>
      </c>
      <c r="K217">
        <v>24.39</v>
      </c>
      <c r="L217" t="s">
        <v>77</v>
      </c>
      <c r="P217" t="s">
        <v>543</v>
      </c>
      <c r="Q217" t="s">
        <v>544</v>
      </c>
      <c r="R217" t="s">
        <v>80</v>
      </c>
      <c r="S217" t="s">
        <v>80</v>
      </c>
      <c r="T217" t="s">
        <v>80</v>
      </c>
      <c r="U217" t="s">
        <v>80</v>
      </c>
      <c r="V217" t="s">
        <v>80</v>
      </c>
      <c r="W217" t="s">
        <v>1832</v>
      </c>
      <c r="X217" s="1">
        <v>44945</v>
      </c>
      <c r="Y217">
        <v>9.01</v>
      </c>
      <c r="Z217" t="s">
        <v>82</v>
      </c>
      <c r="AA217" t="str">
        <f t="shared" si="4"/>
        <v>1003</v>
      </c>
      <c r="AB217" t="s">
        <v>119</v>
      </c>
      <c r="AC217" t="s">
        <v>1824</v>
      </c>
      <c r="AD217" t="s">
        <v>1825</v>
      </c>
      <c r="AE217" t="str">
        <f>"44122105"</f>
        <v>44122105</v>
      </c>
      <c r="AF217" t="s">
        <v>108</v>
      </c>
      <c r="AG217" t="s">
        <v>556</v>
      </c>
      <c r="AH217" t="s">
        <v>934</v>
      </c>
      <c r="AI217" t="s">
        <v>935</v>
      </c>
      <c r="AJ217" t="s">
        <v>1826</v>
      </c>
      <c r="AK217" t="s">
        <v>1773</v>
      </c>
      <c r="AL217" t="s">
        <v>1827</v>
      </c>
      <c r="AN217" t="s">
        <v>1828</v>
      </c>
      <c r="AO217" t="s">
        <v>1828</v>
      </c>
      <c r="AP217" t="s">
        <v>92</v>
      </c>
      <c r="AR217">
        <v>24.6</v>
      </c>
      <c r="AS217">
        <v>8.23</v>
      </c>
      <c r="AT217">
        <v>1</v>
      </c>
      <c r="AU217">
        <v>8.23</v>
      </c>
      <c r="AV217">
        <v>0</v>
      </c>
      <c r="AX217">
        <v>0.78</v>
      </c>
      <c r="AY217">
        <v>9.01</v>
      </c>
      <c r="BA217" t="s">
        <v>93</v>
      </c>
      <c r="BC217" t="s">
        <v>93</v>
      </c>
      <c r="BI217" t="s">
        <v>80</v>
      </c>
      <c r="BM217" t="s">
        <v>550</v>
      </c>
      <c r="BN217" t="s">
        <v>95</v>
      </c>
      <c r="BP217" t="s">
        <v>387</v>
      </c>
      <c r="BR217" t="s">
        <v>1829</v>
      </c>
      <c r="BT217" t="s">
        <v>1830</v>
      </c>
      <c r="BU217" t="s">
        <v>1831</v>
      </c>
      <c r="BV217" t="str">
        <f>"77032"</f>
        <v>77032</v>
      </c>
      <c r="BW217">
        <v>1</v>
      </c>
      <c r="BX217" t="s">
        <v>2741</v>
      </c>
      <c r="BY217" t="s">
        <v>2573</v>
      </c>
      <c r="BZ217">
        <v>3</v>
      </c>
    </row>
    <row r="218" spans="1:78" x14ac:dyDescent="0.25">
      <c r="A218" s="1">
        <v>44942</v>
      </c>
      <c r="B218" t="s">
        <v>1833</v>
      </c>
      <c r="C218" t="s">
        <v>662</v>
      </c>
      <c r="E218">
        <v>10</v>
      </c>
      <c r="F218" t="s">
        <v>76</v>
      </c>
      <c r="G218">
        <v>189.69</v>
      </c>
      <c r="H218">
        <v>0</v>
      </c>
      <c r="I218">
        <v>0</v>
      </c>
      <c r="J218">
        <v>19.510000000000002</v>
      </c>
      <c r="K218">
        <v>209.2</v>
      </c>
      <c r="L218" t="s">
        <v>77</v>
      </c>
      <c r="M218" t="s">
        <v>224</v>
      </c>
      <c r="P218" t="s">
        <v>663</v>
      </c>
      <c r="Q218" t="s">
        <v>664</v>
      </c>
      <c r="R218" t="s">
        <v>80</v>
      </c>
      <c r="S218" t="s">
        <v>80</v>
      </c>
      <c r="T218" t="s">
        <v>80</v>
      </c>
      <c r="U218" t="s">
        <v>80</v>
      </c>
      <c r="V218" t="s">
        <v>80</v>
      </c>
      <c r="W218" t="s">
        <v>1834</v>
      </c>
      <c r="X218" s="1">
        <v>44943</v>
      </c>
      <c r="Y218">
        <v>209.2</v>
      </c>
      <c r="Z218" t="s">
        <v>82</v>
      </c>
      <c r="AA218" t="str">
        <f t="shared" si="4"/>
        <v>1003</v>
      </c>
      <c r="AB218" t="s">
        <v>367</v>
      </c>
      <c r="AC218" t="s">
        <v>368</v>
      </c>
      <c r="AD218" t="s">
        <v>369</v>
      </c>
      <c r="AE218" t="str">
        <f>"43191601"</f>
        <v>43191601</v>
      </c>
      <c r="AF218" t="s">
        <v>86</v>
      </c>
      <c r="AG218" t="s">
        <v>136</v>
      </c>
      <c r="AH218" t="s">
        <v>137</v>
      </c>
      <c r="AI218" t="s">
        <v>138</v>
      </c>
      <c r="AJ218" t="s">
        <v>370</v>
      </c>
      <c r="AK218" t="s">
        <v>371</v>
      </c>
      <c r="AL218" t="s">
        <v>371</v>
      </c>
      <c r="AP218" t="s">
        <v>92</v>
      </c>
      <c r="AR218">
        <v>27.95</v>
      </c>
      <c r="AS218">
        <v>22.95</v>
      </c>
      <c r="AT218">
        <v>5</v>
      </c>
      <c r="AU218">
        <v>114.75</v>
      </c>
      <c r="AV218">
        <v>0</v>
      </c>
      <c r="AX218">
        <v>11.8</v>
      </c>
      <c r="AY218">
        <v>126.55</v>
      </c>
      <c r="BA218" t="s">
        <v>93</v>
      </c>
      <c r="BC218" t="s">
        <v>93</v>
      </c>
      <c r="BD218" t="s">
        <v>128</v>
      </c>
      <c r="BE218">
        <v>5</v>
      </c>
      <c r="BF218" s="2">
        <v>0.1789</v>
      </c>
      <c r="BI218" t="s">
        <v>80</v>
      </c>
      <c r="BM218" t="s">
        <v>372</v>
      </c>
      <c r="BN218" t="s">
        <v>373</v>
      </c>
      <c r="BP218" t="s">
        <v>294</v>
      </c>
      <c r="BR218" t="s">
        <v>375</v>
      </c>
      <c r="BT218" t="s">
        <v>376</v>
      </c>
      <c r="BU218" t="s">
        <v>377</v>
      </c>
      <c r="BV218" t="str">
        <f>"518000"</f>
        <v>518000</v>
      </c>
      <c r="BW218">
        <v>879</v>
      </c>
      <c r="BX218" t="s">
        <v>2734</v>
      </c>
      <c r="BY218" t="s">
        <v>2673</v>
      </c>
      <c r="BZ218">
        <v>3</v>
      </c>
    </row>
    <row r="219" spans="1:78" x14ac:dyDescent="0.25">
      <c r="A219" s="1">
        <v>44942</v>
      </c>
      <c r="B219" t="s">
        <v>1833</v>
      </c>
      <c r="C219" t="s">
        <v>662</v>
      </c>
      <c r="E219">
        <v>10</v>
      </c>
      <c r="F219" t="s">
        <v>76</v>
      </c>
      <c r="G219">
        <v>189.69</v>
      </c>
      <c r="H219">
        <v>0</v>
      </c>
      <c r="I219">
        <v>0</v>
      </c>
      <c r="J219">
        <v>19.510000000000002</v>
      </c>
      <c r="K219">
        <v>209.2</v>
      </c>
      <c r="L219" t="s">
        <v>77</v>
      </c>
      <c r="M219" t="s">
        <v>224</v>
      </c>
      <c r="P219" t="s">
        <v>663</v>
      </c>
      <c r="Q219" t="s">
        <v>664</v>
      </c>
      <c r="R219" t="s">
        <v>80</v>
      </c>
      <c r="S219" t="s">
        <v>80</v>
      </c>
      <c r="T219" t="s">
        <v>80</v>
      </c>
      <c r="U219" t="s">
        <v>80</v>
      </c>
      <c r="V219" t="s">
        <v>80</v>
      </c>
      <c r="W219" t="s">
        <v>1834</v>
      </c>
      <c r="X219" s="1">
        <v>44943</v>
      </c>
      <c r="Y219">
        <v>209.2</v>
      </c>
      <c r="Z219" t="s">
        <v>82</v>
      </c>
      <c r="AA219" t="str">
        <f t="shared" si="4"/>
        <v>1003</v>
      </c>
      <c r="AB219" t="s">
        <v>268</v>
      </c>
      <c r="AC219" t="s">
        <v>1835</v>
      </c>
      <c r="AD219" t="s">
        <v>1836</v>
      </c>
      <c r="AE219" t="str">
        <f>"47130000"</f>
        <v>47130000</v>
      </c>
      <c r="AF219" t="s">
        <v>144</v>
      </c>
      <c r="AG219" t="s">
        <v>145</v>
      </c>
      <c r="AH219" t="s">
        <v>145</v>
      </c>
      <c r="AI219" t="s">
        <v>145</v>
      </c>
      <c r="AK219" t="s">
        <v>641</v>
      </c>
      <c r="AL219" t="s">
        <v>641</v>
      </c>
      <c r="AP219" t="s">
        <v>92</v>
      </c>
      <c r="AR219">
        <v>35.99</v>
      </c>
      <c r="AS219">
        <v>20.97</v>
      </c>
      <c r="AT219">
        <v>2</v>
      </c>
      <c r="AU219">
        <v>41.94</v>
      </c>
      <c r="AV219">
        <v>0</v>
      </c>
      <c r="AX219">
        <v>4.32</v>
      </c>
      <c r="AY219">
        <v>46.26</v>
      </c>
      <c r="BA219" t="s">
        <v>93</v>
      </c>
      <c r="BC219" t="s">
        <v>93</v>
      </c>
      <c r="BI219" t="s">
        <v>80</v>
      </c>
      <c r="BM219" t="s">
        <v>372</v>
      </c>
      <c r="BN219" t="s">
        <v>373</v>
      </c>
      <c r="BP219" t="s">
        <v>294</v>
      </c>
      <c r="BR219" t="s">
        <v>644</v>
      </c>
      <c r="BT219" t="s">
        <v>645</v>
      </c>
      <c r="BU219" t="s">
        <v>646</v>
      </c>
      <c r="BV219" t="str">
        <f>"432000"</f>
        <v>432000</v>
      </c>
      <c r="BW219">
        <v>879</v>
      </c>
      <c r="BX219" t="s">
        <v>2734</v>
      </c>
      <c r="BY219" t="s">
        <v>2673</v>
      </c>
      <c r="BZ219">
        <v>3</v>
      </c>
    </row>
    <row r="220" spans="1:78" x14ac:dyDescent="0.25">
      <c r="A220" s="1">
        <v>44942</v>
      </c>
      <c r="B220" t="s">
        <v>1833</v>
      </c>
      <c r="C220" t="s">
        <v>662</v>
      </c>
      <c r="E220">
        <v>10</v>
      </c>
      <c r="F220" t="s">
        <v>76</v>
      </c>
      <c r="G220">
        <v>189.69</v>
      </c>
      <c r="H220">
        <v>0</v>
      </c>
      <c r="I220">
        <v>0</v>
      </c>
      <c r="J220">
        <v>19.510000000000002</v>
      </c>
      <c r="K220">
        <v>209.2</v>
      </c>
      <c r="L220" t="s">
        <v>77</v>
      </c>
      <c r="M220" t="s">
        <v>224</v>
      </c>
      <c r="P220" t="s">
        <v>663</v>
      </c>
      <c r="Q220" t="s">
        <v>664</v>
      </c>
      <c r="R220" t="s">
        <v>80</v>
      </c>
      <c r="S220" t="s">
        <v>80</v>
      </c>
      <c r="T220" t="s">
        <v>80</v>
      </c>
      <c r="U220" t="s">
        <v>80</v>
      </c>
      <c r="V220" t="s">
        <v>80</v>
      </c>
      <c r="W220" t="s">
        <v>1834</v>
      </c>
      <c r="X220" s="1">
        <v>44943</v>
      </c>
      <c r="Y220">
        <v>209.2</v>
      </c>
      <c r="Z220" t="s">
        <v>82</v>
      </c>
      <c r="AA220" t="str">
        <f t="shared" si="4"/>
        <v>1003</v>
      </c>
      <c r="AB220" t="s">
        <v>141</v>
      </c>
      <c r="AC220" t="s">
        <v>1837</v>
      </c>
      <c r="AD220" t="s">
        <v>1838</v>
      </c>
      <c r="AE220" t="str">
        <f>"47130000"</f>
        <v>47130000</v>
      </c>
      <c r="AF220" t="s">
        <v>144</v>
      </c>
      <c r="AG220" t="s">
        <v>145</v>
      </c>
      <c r="AH220" t="s">
        <v>145</v>
      </c>
      <c r="AI220" t="s">
        <v>145</v>
      </c>
      <c r="AJ220" t="s">
        <v>1839</v>
      </c>
      <c r="AK220" t="s">
        <v>1840</v>
      </c>
      <c r="AL220" t="s">
        <v>1840</v>
      </c>
      <c r="AN220" t="s">
        <v>1841</v>
      </c>
      <c r="AO220" t="str">
        <f>"58143"</f>
        <v>58143</v>
      </c>
      <c r="AP220" t="s">
        <v>92</v>
      </c>
      <c r="AR220">
        <v>11.38</v>
      </c>
      <c r="AS220">
        <v>11</v>
      </c>
      <c r="AT220">
        <v>3</v>
      </c>
      <c r="AU220">
        <v>33</v>
      </c>
      <c r="AV220">
        <v>0</v>
      </c>
      <c r="AX220">
        <v>3.39</v>
      </c>
      <c r="AY220">
        <v>36.39</v>
      </c>
      <c r="BA220" t="s">
        <v>93</v>
      </c>
      <c r="BC220" t="s">
        <v>93</v>
      </c>
      <c r="BI220" t="s">
        <v>80</v>
      </c>
      <c r="BM220" t="s">
        <v>372</v>
      </c>
      <c r="BN220" t="s">
        <v>373</v>
      </c>
      <c r="BP220" t="s">
        <v>294</v>
      </c>
      <c r="BR220" t="s">
        <v>338</v>
      </c>
      <c r="BT220" t="s">
        <v>131</v>
      </c>
      <c r="BU220" t="s">
        <v>339</v>
      </c>
      <c r="BV220" t="str">
        <f>"98109"</f>
        <v>98109</v>
      </c>
      <c r="BW220">
        <v>879</v>
      </c>
      <c r="BX220" t="s">
        <v>2734</v>
      </c>
      <c r="BY220" t="s">
        <v>2673</v>
      </c>
      <c r="BZ220">
        <v>3</v>
      </c>
    </row>
    <row r="221" spans="1:78" x14ac:dyDescent="0.25">
      <c r="A221" s="1">
        <v>44942</v>
      </c>
      <c r="B221" t="s">
        <v>1842</v>
      </c>
      <c r="C221" t="s">
        <v>392</v>
      </c>
      <c r="E221">
        <v>3</v>
      </c>
      <c r="F221" t="s">
        <v>76</v>
      </c>
      <c r="G221">
        <v>74.97</v>
      </c>
      <c r="H221">
        <v>0</v>
      </c>
      <c r="I221">
        <v>0</v>
      </c>
      <c r="J221">
        <v>5.25</v>
      </c>
      <c r="K221">
        <v>80.22</v>
      </c>
      <c r="L221" t="s">
        <v>77</v>
      </c>
      <c r="P221" t="s">
        <v>393</v>
      </c>
      <c r="Q221" t="s">
        <v>394</v>
      </c>
      <c r="R221" t="s">
        <v>80</v>
      </c>
      <c r="S221" t="s">
        <v>80</v>
      </c>
      <c r="T221" t="s">
        <v>80</v>
      </c>
      <c r="U221" t="s">
        <v>80</v>
      </c>
      <c r="V221" t="s">
        <v>80</v>
      </c>
      <c r="W221" t="s">
        <v>1843</v>
      </c>
      <c r="X221" s="1">
        <v>44942</v>
      </c>
      <c r="Y221">
        <v>80.22</v>
      </c>
      <c r="Z221" t="s">
        <v>82</v>
      </c>
      <c r="AA221" t="str">
        <f t="shared" si="4"/>
        <v>1003</v>
      </c>
      <c r="AB221" t="s">
        <v>133</v>
      </c>
      <c r="AC221" t="s">
        <v>1844</v>
      </c>
      <c r="AD221" t="s">
        <v>1845</v>
      </c>
      <c r="AE221" t="str">
        <f>"14111703"</f>
        <v>14111703</v>
      </c>
      <c r="AF221" t="s">
        <v>213</v>
      </c>
      <c r="AG221" t="s">
        <v>214</v>
      </c>
      <c r="AH221" t="s">
        <v>719</v>
      </c>
      <c r="AI221" t="s">
        <v>1737</v>
      </c>
      <c r="AJ221" t="s">
        <v>1846</v>
      </c>
      <c r="AK221" t="s">
        <v>1847</v>
      </c>
      <c r="AL221" t="s">
        <v>1847</v>
      </c>
      <c r="AN221" t="str">
        <f>"2212014"</f>
        <v>2212014</v>
      </c>
      <c r="AO221" t="str">
        <f>"2212014"</f>
        <v>2212014</v>
      </c>
      <c r="AP221" t="s">
        <v>92</v>
      </c>
      <c r="AR221">
        <v>24.99</v>
      </c>
      <c r="AS221">
        <v>24.99</v>
      </c>
      <c r="AT221">
        <v>3</v>
      </c>
      <c r="AU221">
        <v>74.97</v>
      </c>
      <c r="AV221">
        <v>0</v>
      </c>
      <c r="AX221">
        <v>5.25</v>
      </c>
      <c r="AY221">
        <v>80.22</v>
      </c>
      <c r="BA221" t="s">
        <v>93</v>
      </c>
      <c r="BC221" t="s">
        <v>93</v>
      </c>
      <c r="BI221" t="s">
        <v>80</v>
      </c>
      <c r="BM221" t="s">
        <v>94</v>
      </c>
      <c r="BN221" t="s">
        <v>95</v>
      </c>
      <c r="BP221" t="s">
        <v>405</v>
      </c>
      <c r="BR221" t="s">
        <v>130</v>
      </c>
      <c r="BT221" t="s">
        <v>131</v>
      </c>
      <c r="BU221" t="s">
        <v>132</v>
      </c>
      <c r="BV221" t="str">
        <f>"98109"</f>
        <v>98109</v>
      </c>
      <c r="BW221">
        <v>893</v>
      </c>
      <c r="BX221" t="s">
        <v>2742</v>
      </c>
      <c r="BY221" t="s">
        <v>2695</v>
      </c>
      <c r="BZ221">
        <v>3</v>
      </c>
    </row>
    <row r="222" spans="1:78" x14ac:dyDescent="0.25">
      <c r="A222" s="1">
        <v>44940</v>
      </c>
      <c r="B222" t="s">
        <v>1848</v>
      </c>
      <c r="C222" t="s">
        <v>189</v>
      </c>
      <c r="E222">
        <v>1</v>
      </c>
      <c r="F222" t="s">
        <v>76</v>
      </c>
      <c r="G222">
        <v>36.99</v>
      </c>
      <c r="H222">
        <v>0</v>
      </c>
      <c r="I222">
        <v>0</v>
      </c>
      <c r="J222">
        <v>3.05</v>
      </c>
      <c r="K222">
        <v>40.04</v>
      </c>
      <c r="L222" t="s">
        <v>77</v>
      </c>
      <c r="P222" t="s">
        <v>307</v>
      </c>
      <c r="Q222" t="s">
        <v>308</v>
      </c>
      <c r="R222" t="s">
        <v>80</v>
      </c>
      <c r="S222" t="s">
        <v>80</v>
      </c>
      <c r="T222" t="s">
        <v>80</v>
      </c>
      <c r="U222" t="s">
        <v>80</v>
      </c>
      <c r="V222" t="s">
        <v>80</v>
      </c>
      <c r="W222" t="s">
        <v>1849</v>
      </c>
      <c r="X222" s="1">
        <v>44942</v>
      </c>
      <c r="Y222">
        <v>40.04</v>
      </c>
      <c r="Z222" t="s">
        <v>82</v>
      </c>
      <c r="AA222" t="str">
        <f t="shared" si="4"/>
        <v>1003</v>
      </c>
      <c r="AB222" t="s">
        <v>133</v>
      </c>
      <c r="AC222" t="s">
        <v>1850</v>
      </c>
      <c r="AD222" t="s">
        <v>1851</v>
      </c>
      <c r="AE222" t="str">
        <f>"39121400"</f>
        <v>39121400</v>
      </c>
      <c r="AF222" t="s">
        <v>181</v>
      </c>
      <c r="AG222" t="s">
        <v>182</v>
      </c>
      <c r="AH222" t="s">
        <v>230</v>
      </c>
      <c r="AI222" t="s">
        <v>230</v>
      </c>
      <c r="AK222" t="s">
        <v>1852</v>
      </c>
      <c r="AL222" t="s">
        <v>1853</v>
      </c>
      <c r="AN222" t="s">
        <v>1854</v>
      </c>
      <c r="AO222" t="s">
        <v>1855</v>
      </c>
      <c r="AP222" t="s">
        <v>92</v>
      </c>
      <c r="AR222">
        <v>39.99</v>
      </c>
      <c r="AS222">
        <v>36.99</v>
      </c>
      <c r="AT222">
        <v>1</v>
      </c>
      <c r="AU222">
        <v>36.99</v>
      </c>
      <c r="AV222">
        <v>0</v>
      </c>
      <c r="AX222">
        <v>3.05</v>
      </c>
      <c r="AY222">
        <v>40.04</v>
      </c>
      <c r="BA222" t="s">
        <v>93</v>
      </c>
      <c r="BC222" t="s">
        <v>93</v>
      </c>
      <c r="BD222" t="s">
        <v>128</v>
      </c>
      <c r="BE222">
        <v>3</v>
      </c>
      <c r="BF222" s="2">
        <v>7.4999999999999997E-2</v>
      </c>
      <c r="BI222" t="s">
        <v>80</v>
      </c>
      <c r="BM222" t="s">
        <v>94</v>
      </c>
      <c r="BN222" t="s">
        <v>95</v>
      </c>
      <c r="BP222" t="s">
        <v>314</v>
      </c>
      <c r="BR222" t="s">
        <v>1856</v>
      </c>
      <c r="BT222" t="s">
        <v>1857</v>
      </c>
      <c r="BU222" t="s">
        <v>1858</v>
      </c>
      <c r="BV222" t="str">
        <f>"325600"</f>
        <v>325600</v>
      </c>
      <c r="BW222">
        <v>868</v>
      </c>
      <c r="BX222" t="s">
        <v>2738</v>
      </c>
      <c r="BY222" t="s">
        <v>2665</v>
      </c>
      <c r="BZ222">
        <v>2</v>
      </c>
    </row>
    <row r="223" spans="1:78" x14ac:dyDescent="0.25">
      <c r="A223" s="1">
        <v>44939</v>
      </c>
      <c r="B223" t="s">
        <v>1859</v>
      </c>
      <c r="C223" t="s">
        <v>100</v>
      </c>
      <c r="D223" t="s">
        <v>1860</v>
      </c>
      <c r="E223">
        <v>8</v>
      </c>
      <c r="F223" t="s">
        <v>76</v>
      </c>
      <c r="G223">
        <v>475.76</v>
      </c>
      <c r="H223">
        <v>0</v>
      </c>
      <c r="I223">
        <v>0</v>
      </c>
      <c r="J223">
        <v>36.880000000000003</v>
      </c>
      <c r="K223">
        <v>512.64</v>
      </c>
      <c r="L223" t="s">
        <v>77</v>
      </c>
      <c r="M223" t="s">
        <v>102</v>
      </c>
      <c r="P223" t="s">
        <v>102</v>
      </c>
      <c r="Q223" t="s">
        <v>103</v>
      </c>
      <c r="R223" t="s">
        <v>80</v>
      </c>
      <c r="S223" t="s">
        <v>80</v>
      </c>
      <c r="T223" t="s">
        <v>80</v>
      </c>
      <c r="U223" t="s">
        <v>80</v>
      </c>
      <c r="V223" t="s">
        <v>80</v>
      </c>
      <c r="W223" t="s">
        <v>1861</v>
      </c>
      <c r="X223" s="1">
        <v>44940</v>
      </c>
      <c r="Y223">
        <v>512.64</v>
      </c>
      <c r="Z223" t="s">
        <v>82</v>
      </c>
      <c r="AA223" t="str">
        <f t="shared" si="4"/>
        <v>1003</v>
      </c>
      <c r="AB223" t="s">
        <v>1358</v>
      </c>
      <c r="AC223" t="s">
        <v>1862</v>
      </c>
      <c r="AD223" t="s">
        <v>1863</v>
      </c>
      <c r="AE223" t="str">
        <f>"42132200"</f>
        <v>42132200</v>
      </c>
      <c r="AF223" t="s">
        <v>243</v>
      </c>
      <c r="AG223" t="s">
        <v>244</v>
      </c>
      <c r="AH223" t="s">
        <v>245</v>
      </c>
      <c r="AI223" t="s">
        <v>245</v>
      </c>
      <c r="AK223" t="s">
        <v>1864</v>
      </c>
      <c r="AL223" t="s">
        <v>1865</v>
      </c>
      <c r="AN223" t="s">
        <v>1866</v>
      </c>
      <c r="AO223" t="s">
        <v>1866</v>
      </c>
      <c r="AP223" t="s">
        <v>92</v>
      </c>
      <c r="AR223">
        <v>99.99</v>
      </c>
      <c r="AS223">
        <v>59.47</v>
      </c>
      <c r="AT223">
        <v>8</v>
      </c>
      <c r="AU223">
        <v>475.76</v>
      </c>
      <c r="AV223">
        <v>0</v>
      </c>
      <c r="AX223">
        <v>36.880000000000003</v>
      </c>
      <c r="AY223">
        <v>512.64</v>
      </c>
      <c r="BA223" t="s">
        <v>93</v>
      </c>
      <c r="BC223" t="s">
        <v>93</v>
      </c>
      <c r="BI223" t="s">
        <v>80</v>
      </c>
      <c r="BM223" t="s">
        <v>94</v>
      </c>
      <c r="BN223" t="s">
        <v>95</v>
      </c>
      <c r="BP223" t="s">
        <v>221</v>
      </c>
      <c r="BR223" t="s">
        <v>1867</v>
      </c>
      <c r="BS223" t="s">
        <v>237</v>
      </c>
      <c r="BT223" t="s">
        <v>1868</v>
      </c>
      <c r="BU223" t="s">
        <v>115</v>
      </c>
      <c r="BV223" t="str">
        <f>"91702"</f>
        <v>91702</v>
      </c>
      <c r="BW223">
        <v>889</v>
      </c>
      <c r="BX223" t="s">
        <v>2731</v>
      </c>
      <c r="BY223" t="s">
        <v>2687</v>
      </c>
      <c r="BZ223">
        <v>2</v>
      </c>
    </row>
    <row r="224" spans="1:78" x14ac:dyDescent="0.25">
      <c r="A224" s="1">
        <v>44939</v>
      </c>
      <c r="B224" t="s">
        <v>1869</v>
      </c>
      <c r="C224" t="s">
        <v>100</v>
      </c>
      <c r="D224" t="s">
        <v>1860</v>
      </c>
      <c r="E224">
        <v>7</v>
      </c>
      <c r="F224" t="s">
        <v>76</v>
      </c>
      <c r="G224">
        <v>125.44</v>
      </c>
      <c r="H224">
        <v>0</v>
      </c>
      <c r="I224">
        <v>0</v>
      </c>
      <c r="J224">
        <v>9.73</v>
      </c>
      <c r="K224">
        <v>135.16999999999999</v>
      </c>
      <c r="L224" t="s">
        <v>77</v>
      </c>
      <c r="M224" t="s">
        <v>102</v>
      </c>
      <c r="P224" t="s">
        <v>102</v>
      </c>
      <c r="Q224" t="s">
        <v>103</v>
      </c>
      <c r="R224" t="s">
        <v>80</v>
      </c>
      <c r="S224" t="s">
        <v>80</v>
      </c>
      <c r="T224" t="s">
        <v>80</v>
      </c>
      <c r="U224" t="s">
        <v>80</v>
      </c>
      <c r="V224" t="s">
        <v>80</v>
      </c>
      <c r="W224" t="s">
        <v>1870</v>
      </c>
      <c r="X224" s="1">
        <v>44940</v>
      </c>
      <c r="Y224">
        <v>135.16999999999999</v>
      </c>
      <c r="Z224" t="s">
        <v>82</v>
      </c>
      <c r="AA224" t="str">
        <f t="shared" si="4"/>
        <v>1003</v>
      </c>
      <c r="AB224" t="s">
        <v>168</v>
      </c>
      <c r="AC224" t="s">
        <v>727</v>
      </c>
      <c r="AD224" t="s">
        <v>728</v>
      </c>
      <c r="AE224" t="str">
        <f>"47131502"</f>
        <v>47131502</v>
      </c>
      <c r="AF224" t="s">
        <v>144</v>
      </c>
      <c r="AG224" t="s">
        <v>145</v>
      </c>
      <c r="AH224" t="s">
        <v>729</v>
      </c>
      <c r="AI224" t="s">
        <v>730</v>
      </c>
      <c r="AJ224" t="s">
        <v>731</v>
      </c>
      <c r="AK224" t="s">
        <v>732</v>
      </c>
      <c r="AL224" t="s">
        <v>733</v>
      </c>
      <c r="AP224" t="s">
        <v>92</v>
      </c>
      <c r="AR224">
        <v>26.99</v>
      </c>
      <c r="AS224">
        <v>17.920000000000002</v>
      </c>
      <c r="AT224">
        <v>7</v>
      </c>
      <c r="AU224">
        <v>125.44</v>
      </c>
      <c r="AV224">
        <v>0</v>
      </c>
      <c r="AX224">
        <v>9.73</v>
      </c>
      <c r="AY224">
        <v>135.16999999999999</v>
      </c>
      <c r="BA224" t="s">
        <v>93</v>
      </c>
      <c r="BC224" t="s">
        <v>93</v>
      </c>
      <c r="BI224" t="s">
        <v>80</v>
      </c>
      <c r="BM224" t="s">
        <v>94</v>
      </c>
      <c r="BN224" t="s">
        <v>95</v>
      </c>
      <c r="BP224" t="s">
        <v>221</v>
      </c>
      <c r="BR224" t="s">
        <v>1871</v>
      </c>
      <c r="BW224">
        <v>889</v>
      </c>
      <c r="BX224" t="s">
        <v>2731</v>
      </c>
      <c r="BY224" t="s">
        <v>2687</v>
      </c>
      <c r="BZ224">
        <v>2</v>
      </c>
    </row>
    <row r="225" spans="1:78" x14ac:dyDescent="0.25">
      <c r="A225" s="1">
        <v>44939</v>
      </c>
      <c r="B225" t="s">
        <v>1872</v>
      </c>
      <c r="C225" t="s">
        <v>100</v>
      </c>
      <c r="D225" t="s">
        <v>1860</v>
      </c>
      <c r="E225">
        <v>50</v>
      </c>
      <c r="F225" t="s">
        <v>76</v>
      </c>
      <c r="G225">
        <v>549</v>
      </c>
      <c r="H225">
        <v>0</v>
      </c>
      <c r="I225">
        <v>0</v>
      </c>
      <c r="J225">
        <v>42.5</v>
      </c>
      <c r="K225">
        <v>591.5</v>
      </c>
      <c r="L225" t="s">
        <v>77</v>
      </c>
      <c r="M225" t="s">
        <v>102</v>
      </c>
      <c r="P225" t="s">
        <v>102</v>
      </c>
      <c r="Q225" t="s">
        <v>103</v>
      </c>
      <c r="R225" t="s">
        <v>80</v>
      </c>
      <c r="S225" t="s">
        <v>80</v>
      </c>
      <c r="T225" t="s">
        <v>80</v>
      </c>
      <c r="U225" t="s">
        <v>80</v>
      </c>
      <c r="V225" t="s">
        <v>80</v>
      </c>
      <c r="W225" t="s">
        <v>1873</v>
      </c>
      <c r="X225" s="1">
        <v>44956</v>
      </c>
      <c r="Y225">
        <v>591.5</v>
      </c>
      <c r="Z225" t="s">
        <v>82</v>
      </c>
      <c r="AA225" t="str">
        <f t="shared" si="4"/>
        <v>1003</v>
      </c>
      <c r="AB225" t="s">
        <v>141</v>
      </c>
      <c r="AC225" t="s">
        <v>1874</v>
      </c>
      <c r="AD225" t="s">
        <v>1875</v>
      </c>
      <c r="AE225" t="str">
        <f>"47131800"</f>
        <v>47131800</v>
      </c>
      <c r="AF225" t="s">
        <v>144</v>
      </c>
      <c r="AG225" t="s">
        <v>145</v>
      </c>
      <c r="AH225" t="s">
        <v>261</v>
      </c>
      <c r="AI225" t="s">
        <v>261</v>
      </c>
      <c r="AJ225" t="s">
        <v>1876</v>
      </c>
      <c r="AK225" t="s">
        <v>1242</v>
      </c>
      <c r="AL225" t="s">
        <v>1242</v>
      </c>
      <c r="AM225" t="s">
        <v>1877</v>
      </c>
      <c r="AN225" t="s">
        <v>1878</v>
      </c>
      <c r="AO225" t="s">
        <v>1878</v>
      </c>
      <c r="AP225" t="s">
        <v>92</v>
      </c>
      <c r="AR225">
        <v>25.99</v>
      </c>
      <c r="AS225">
        <v>10.98</v>
      </c>
      <c r="AT225">
        <v>50</v>
      </c>
      <c r="AU225">
        <v>549</v>
      </c>
      <c r="AV225">
        <v>0</v>
      </c>
      <c r="AX225">
        <v>42.5</v>
      </c>
      <c r="AY225">
        <v>591.5</v>
      </c>
      <c r="BA225" t="s">
        <v>93</v>
      </c>
      <c r="BC225" t="s">
        <v>93</v>
      </c>
      <c r="BI225" t="s">
        <v>80</v>
      </c>
      <c r="BM225" t="s">
        <v>94</v>
      </c>
      <c r="BN225" t="s">
        <v>95</v>
      </c>
      <c r="BP225" t="s">
        <v>221</v>
      </c>
      <c r="BR225" t="s">
        <v>130</v>
      </c>
      <c r="BT225" t="s">
        <v>131</v>
      </c>
      <c r="BU225" t="s">
        <v>132</v>
      </c>
      <c r="BV225" t="str">
        <f>"98109"</f>
        <v>98109</v>
      </c>
      <c r="BW225">
        <v>889</v>
      </c>
      <c r="BX225" t="s">
        <v>2731</v>
      </c>
      <c r="BY225" t="s">
        <v>2687</v>
      </c>
      <c r="BZ225">
        <v>2</v>
      </c>
    </row>
    <row r="226" spans="1:78" x14ac:dyDescent="0.25">
      <c r="A226" s="1">
        <v>44939</v>
      </c>
      <c r="B226" t="s">
        <v>1879</v>
      </c>
      <c r="C226" t="s">
        <v>100</v>
      </c>
      <c r="D226" t="s">
        <v>1880</v>
      </c>
      <c r="E226">
        <v>9</v>
      </c>
      <c r="F226" t="s">
        <v>76</v>
      </c>
      <c r="G226">
        <v>224.91</v>
      </c>
      <c r="H226">
        <v>0</v>
      </c>
      <c r="I226">
        <v>0</v>
      </c>
      <c r="J226">
        <v>18.54</v>
      </c>
      <c r="K226">
        <v>243.45</v>
      </c>
      <c r="L226" t="s">
        <v>77</v>
      </c>
      <c r="M226" t="s">
        <v>208</v>
      </c>
      <c r="P226" t="s">
        <v>208</v>
      </c>
      <c r="Q226" t="s">
        <v>209</v>
      </c>
      <c r="R226" t="s">
        <v>80</v>
      </c>
      <c r="S226" t="s">
        <v>80</v>
      </c>
      <c r="T226" t="s">
        <v>80</v>
      </c>
      <c r="U226" t="s">
        <v>80</v>
      </c>
      <c r="V226" t="s">
        <v>80</v>
      </c>
      <c r="W226" t="s">
        <v>1881</v>
      </c>
      <c r="X226" s="1">
        <v>44941</v>
      </c>
      <c r="Y226">
        <v>243.45</v>
      </c>
      <c r="Z226" t="s">
        <v>82</v>
      </c>
      <c r="AA226" t="str">
        <f t="shared" si="4"/>
        <v>1003</v>
      </c>
      <c r="AB226" t="s">
        <v>119</v>
      </c>
      <c r="AC226" t="s">
        <v>1882</v>
      </c>
      <c r="AD226" t="s">
        <v>1883</v>
      </c>
      <c r="AE226" t="str">
        <f>"55121600"</f>
        <v>55121600</v>
      </c>
      <c r="AF226" t="s">
        <v>195</v>
      </c>
      <c r="AG226" t="s">
        <v>196</v>
      </c>
      <c r="AH226" t="s">
        <v>197</v>
      </c>
      <c r="AI226" t="s">
        <v>197</v>
      </c>
      <c r="AK226" t="s">
        <v>1884</v>
      </c>
      <c r="AL226" t="s">
        <v>1885</v>
      </c>
      <c r="AO226" t="s">
        <v>1886</v>
      </c>
      <c r="AP226" t="s">
        <v>92</v>
      </c>
      <c r="AR226">
        <v>29.99</v>
      </c>
      <c r="AS226">
        <v>24.99</v>
      </c>
      <c r="AT226">
        <v>9</v>
      </c>
      <c r="AU226">
        <v>224.91</v>
      </c>
      <c r="AV226">
        <v>0</v>
      </c>
      <c r="AX226">
        <v>18.54</v>
      </c>
      <c r="AY226">
        <v>243.45</v>
      </c>
      <c r="BA226" t="s">
        <v>93</v>
      </c>
      <c r="BC226" t="s">
        <v>93</v>
      </c>
      <c r="BI226" t="s">
        <v>80</v>
      </c>
      <c r="BM226" t="s">
        <v>94</v>
      </c>
      <c r="BN226" t="s">
        <v>95</v>
      </c>
      <c r="BP226" t="s">
        <v>314</v>
      </c>
      <c r="BR226" t="s">
        <v>1885</v>
      </c>
      <c r="BT226" t="s">
        <v>1887</v>
      </c>
      <c r="BU226" t="s">
        <v>1888</v>
      </c>
      <c r="BV226" t="str">
        <f>"310000"</f>
        <v>310000</v>
      </c>
      <c r="BW226">
        <v>868</v>
      </c>
      <c r="BX226" t="s">
        <v>2738</v>
      </c>
      <c r="BY226" t="s">
        <v>2665</v>
      </c>
      <c r="BZ226">
        <v>2</v>
      </c>
    </row>
    <row r="227" spans="1:78" x14ac:dyDescent="0.25">
      <c r="A227" s="1">
        <v>44939</v>
      </c>
      <c r="B227" t="s">
        <v>1889</v>
      </c>
      <c r="C227" t="s">
        <v>283</v>
      </c>
      <c r="E227">
        <v>6</v>
      </c>
      <c r="F227" t="s">
        <v>76</v>
      </c>
      <c r="G227">
        <v>77.16</v>
      </c>
      <c r="H227">
        <v>0</v>
      </c>
      <c r="I227">
        <v>0</v>
      </c>
      <c r="J227">
        <v>7.74</v>
      </c>
      <c r="K227">
        <v>84.9</v>
      </c>
      <c r="L227" t="s">
        <v>77</v>
      </c>
      <c r="P227" t="s">
        <v>284</v>
      </c>
      <c r="Q227" t="s">
        <v>285</v>
      </c>
      <c r="R227" t="s">
        <v>80</v>
      </c>
      <c r="S227" t="s">
        <v>80</v>
      </c>
      <c r="T227" t="s">
        <v>80</v>
      </c>
      <c r="U227" t="s">
        <v>80</v>
      </c>
      <c r="V227" t="s">
        <v>80</v>
      </c>
      <c r="W227" t="s">
        <v>1890</v>
      </c>
      <c r="X227" s="1">
        <v>44942</v>
      </c>
      <c r="Y227">
        <v>84.9</v>
      </c>
      <c r="Z227" t="s">
        <v>82</v>
      </c>
      <c r="AA227" t="str">
        <f t="shared" si="4"/>
        <v>1003</v>
      </c>
      <c r="AB227" t="s">
        <v>119</v>
      </c>
      <c r="AC227" t="s">
        <v>1891</v>
      </c>
      <c r="AD227" t="s">
        <v>1892</v>
      </c>
      <c r="AE227" t="str">
        <f>"44121621"</f>
        <v>44121621</v>
      </c>
      <c r="AF227" t="s">
        <v>108</v>
      </c>
      <c r="AG227" t="s">
        <v>556</v>
      </c>
      <c r="AH227" t="s">
        <v>983</v>
      </c>
      <c r="AI227" t="s">
        <v>1893</v>
      </c>
      <c r="AK227" t="s">
        <v>1894</v>
      </c>
      <c r="AL227" t="s">
        <v>1894</v>
      </c>
      <c r="AO227" t="s">
        <v>1895</v>
      </c>
      <c r="AP227" t="s">
        <v>92</v>
      </c>
      <c r="AR227">
        <v>15.99</v>
      </c>
      <c r="AS227">
        <v>12.86</v>
      </c>
      <c r="AT227">
        <v>6</v>
      </c>
      <c r="AU227">
        <v>77.16</v>
      </c>
      <c r="AV227">
        <v>0</v>
      </c>
      <c r="AX227">
        <v>7.74</v>
      </c>
      <c r="AY227">
        <v>84.9</v>
      </c>
      <c r="BA227" t="s">
        <v>93</v>
      </c>
      <c r="BC227" t="s">
        <v>93</v>
      </c>
      <c r="BI227" t="s">
        <v>80</v>
      </c>
      <c r="BM227" t="s">
        <v>94</v>
      </c>
      <c r="BN227" t="s">
        <v>95</v>
      </c>
      <c r="BP227" t="s">
        <v>302</v>
      </c>
      <c r="BR227" t="s">
        <v>1896</v>
      </c>
      <c r="BW227">
        <v>902</v>
      </c>
      <c r="BX227" t="s">
        <v>2736</v>
      </c>
      <c r="BY227" t="s">
        <v>2707</v>
      </c>
      <c r="BZ227">
        <v>2</v>
      </c>
    </row>
    <row r="228" spans="1:78" x14ac:dyDescent="0.25">
      <c r="A228" s="1">
        <v>44939</v>
      </c>
      <c r="B228" t="s">
        <v>1897</v>
      </c>
      <c r="C228" t="s">
        <v>254</v>
      </c>
      <c r="D228" t="s">
        <v>1898</v>
      </c>
      <c r="E228">
        <v>1</v>
      </c>
      <c r="F228" t="s">
        <v>76</v>
      </c>
      <c r="G228">
        <v>13.99</v>
      </c>
      <c r="H228">
        <v>0</v>
      </c>
      <c r="I228">
        <v>0</v>
      </c>
      <c r="J228">
        <v>1.19</v>
      </c>
      <c r="K228">
        <v>15.18</v>
      </c>
      <c r="L228" t="s">
        <v>77</v>
      </c>
      <c r="P228" t="s">
        <v>446</v>
      </c>
      <c r="Q228" t="s">
        <v>447</v>
      </c>
      <c r="R228" t="s">
        <v>80</v>
      </c>
      <c r="S228" t="s">
        <v>80</v>
      </c>
      <c r="T228" t="s">
        <v>80</v>
      </c>
      <c r="U228" t="s">
        <v>80</v>
      </c>
      <c r="V228" t="s">
        <v>80</v>
      </c>
      <c r="W228" t="s">
        <v>1899</v>
      </c>
      <c r="X228" s="1">
        <v>44941</v>
      </c>
      <c r="Y228">
        <v>15.18</v>
      </c>
      <c r="Z228" t="s">
        <v>82</v>
      </c>
      <c r="AA228" t="str">
        <f t="shared" si="4"/>
        <v>1003</v>
      </c>
      <c r="AB228" t="s">
        <v>133</v>
      </c>
      <c r="AC228" t="s">
        <v>1900</v>
      </c>
      <c r="AD228" t="s">
        <v>1901</v>
      </c>
      <c r="AE228" t="str">
        <f>"47121701"</f>
        <v>47121701</v>
      </c>
      <c r="AF228" t="s">
        <v>144</v>
      </c>
      <c r="AG228" t="s">
        <v>617</v>
      </c>
      <c r="AH228" t="s">
        <v>1777</v>
      </c>
      <c r="AI228" t="s">
        <v>1778</v>
      </c>
      <c r="AK228" t="s">
        <v>1779</v>
      </c>
      <c r="AL228" t="s">
        <v>1902</v>
      </c>
      <c r="AP228" t="s">
        <v>92</v>
      </c>
      <c r="AR228">
        <v>27.43</v>
      </c>
      <c r="AS228">
        <v>13.99</v>
      </c>
      <c r="AT228">
        <v>1</v>
      </c>
      <c r="AU228">
        <v>13.99</v>
      </c>
      <c r="AV228">
        <v>0</v>
      </c>
      <c r="AX228">
        <v>1.19</v>
      </c>
      <c r="AY228">
        <v>15.18</v>
      </c>
      <c r="BA228" t="s">
        <v>93</v>
      </c>
      <c r="BC228" t="s">
        <v>93</v>
      </c>
      <c r="BI228" t="s">
        <v>80</v>
      </c>
      <c r="BM228" t="s">
        <v>94</v>
      </c>
      <c r="BN228" t="s">
        <v>95</v>
      </c>
      <c r="BP228" t="s">
        <v>455</v>
      </c>
      <c r="BR228" t="s">
        <v>1779</v>
      </c>
      <c r="BS228" t="s">
        <v>1780</v>
      </c>
      <c r="BT228" t="s">
        <v>1781</v>
      </c>
      <c r="BU228" t="s">
        <v>115</v>
      </c>
      <c r="BV228" t="str">
        <f>"90071"</f>
        <v>90071</v>
      </c>
      <c r="BW228">
        <v>807</v>
      </c>
      <c r="BX228" t="s">
        <v>2746</v>
      </c>
      <c r="BY228" t="s">
        <v>2620</v>
      </c>
      <c r="BZ228">
        <v>2</v>
      </c>
    </row>
    <row r="229" spans="1:78" x14ac:dyDescent="0.25">
      <c r="A229" s="1">
        <v>44939</v>
      </c>
      <c r="B229" t="s">
        <v>1903</v>
      </c>
      <c r="C229" t="s">
        <v>392</v>
      </c>
      <c r="E229">
        <v>1</v>
      </c>
      <c r="F229" t="s">
        <v>76</v>
      </c>
      <c r="G229">
        <v>9.99</v>
      </c>
      <c r="H229">
        <v>0</v>
      </c>
      <c r="I229">
        <v>0</v>
      </c>
      <c r="J229">
        <v>0.7</v>
      </c>
      <c r="K229">
        <v>10.69</v>
      </c>
      <c r="L229" t="s">
        <v>77</v>
      </c>
      <c r="P229" t="s">
        <v>393</v>
      </c>
      <c r="Q229" t="s">
        <v>394</v>
      </c>
      <c r="R229" t="s">
        <v>80</v>
      </c>
      <c r="S229" t="s">
        <v>80</v>
      </c>
      <c r="T229" t="s">
        <v>80</v>
      </c>
      <c r="U229" t="s">
        <v>80</v>
      </c>
      <c r="V229" t="s">
        <v>80</v>
      </c>
      <c r="W229" t="s">
        <v>1904</v>
      </c>
      <c r="X229" s="1">
        <v>44942</v>
      </c>
      <c r="Y229">
        <v>10.69</v>
      </c>
      <c r="Z229" t="s">
        <v>82</v>
      </c>
      <c r="AA229" t="str">
        <f t="shared" si="4"/>
        <v>1003</v>
      </c>
      <c r="AB229" t="s">
        <v>133</v>
      </c>
      <c r="AC229" t="s">
        <v>1905</v>
      </c>
      <c r="AD229" t="s">
        <v>1906</v>
      </c>
      <c r="AE229" t="str">
        <f>"46181507"</f>
        <v>46181507</v>
      </c>
      <c r="AF229" t="s">
        <v>451</v>
      </c>
      <c r="AG229" t="s">
        <v>580</v>
      </c>
      <c r="AH229" t="s">
        <v>1361</v>
      </c>
      <c r="AI229" t="s">
        <v>1362</v>
      </c>
      <c r="AK229" t="s">
        <v>1907</v>
      </c>
      <c r="AL229" t="s">
        <v>1908</v>
      </c>
      <c r="AO229" t="s">
        <v>1909</v>
      </c>
      <c r="AP229" t="s">
        <v>92</v>
      </c>
      <c r="AR229">
        <v>27.99</v>
      </c>
      <c r="AS229">
        <v>9.99</v>
      </c>
      <c r="AT229">
        <v>1</v>
      </c>
      <c r="AU229">
        <v>9.99</v>
      </c>
      <c r="AV229">
        <v>0</v>
      </c>
      <c r="AX229">
        <v>0.7</v>
      </c>
      <c r="AY229">
        <v>10.69</v>
      </c>
      <c r="BA229" t="s">
        <v>93</v>
      </c>
      <c r="BC229" t="s">
        <v>93</v>
      </c>
      <c r="BI229" t="s">
        <v>80</v>
      </c>
      <c r="BM229" t="s">
        <v>94</v>
      </c>
      <c r="BN229" t="s">
        <v>95</v>
      </c>
      <c r="BP229" t="s">
        <v>405</v>
      </c>
      <c r="BR229" t="s">
        <v>1910</v>
      </c>
      <c r="BT229" t="s">
        <v>1911</v>
      </c>
      <c r="BU229" t="s">
        <v>1912</v>
      </c>
      <c r="BV229" t="str">
        <f>"412008"</f>
        <v>412008</v>
      </c>
      <c r="BW229">
        <v>893</v>
      </c>
      <c r="BX229" t="s">
        <v>2742</v>
      </c>
      <c r="BY229" t="s">
        <v>2695</v>
      </c>
      <c r="BZ229">
        <v>2</v>
      </c>
    </row>
    <row r="230" spans="1:78" x14ac:dyDescent="0.25">
      <c r="A230" s="1">
        <v>44939</v>
      </c>
      <c r="B230" t="s">
        <v>1913</v>
      </c>
      <c r="C230" t="s">
        <v>392</v>
      </c>
      <c r="E230">
        <v>1</v>
      </c>
      <c r="F230" t="s">
        <v>76</v>
      </c>
      <c r="G230">
        <v>7.79</v>
      </c>
      <c r="H230">
        <v>0</v>
      </c>
      <c r="I230">
        <v>0</v>
      </c>
      <c r="J230">
        <v>0.23</v>
      </c>
      <c r="K230">
        <v>8.02</v>
      </c>
      <c r="L230" t="s">
        <v>77</v>
      </c>
      <c r="P230" t="s">
        <v>393</v>
      </c>
      <c r="Q230" t="s">
        <v>394</v>
      </c>
      <c r="R230" t="s">
        <v>80</v>
      </c>
      <c r="S230" t="s">
        <v>80</v>
      </c>
      <c r="T230" t="s">
        <v>80</v>
      </c>
      <c r="U230" t="s">
        <v>80</v>
      </c>
      <c r="V230" t="s">
        <v>80</v>
      </c>
      <c r="W230" t="s">
        <v>1914</v>
      </c>
      <c r="X230" s="1">
        <v>44942</v>
      </c>
      <c r="Y230">
        <v>8.02</v>
      </c>
      <c r="Z230" t="s">
        <v>82</v>
      </c>
      <c r="AA230" t="str">
        <f t="shared" si="4"/>
        <v>1003</v>
      </c>
      <c r="AB230" t="s">
        <v>320</v>
      </c>
      <c r="AC230" t="s">
        <v>1915</v>
      </c>
      <c r="AD230" t="s">
        <v>1916</v>
      </c>
      <c r="AE230" t="str">
        <f>"50161800"</f>
        <v>50161800</v>
      </c>
      <c r="AF230" t="s">
        <v>323</v>
      </c>
      <c r="AG230" t="s">
        <v>324</v>
      </c>
      <c r="AH230" t="s">
        <v>1917</v>
      </c>
      <c r="AI230" t="s">
        <v>1917</v>
      </c>
      <c r="AJ230" t="s">
        <v>1918</v>
      </c>
      <c r="AK230" t="s">
        <v>1919</v>
      </c>
      <c r="AL230" t="s">
        <v>1920</v>
      </c>
      <c r="AN230" t="str">
        <f>"10040000347870"</f>
        <v>10040000347870</v>
      </c>
      <c r="AO230" t="s">
        <v>1921</v>
      </c>
      <c r="AP230" t="s">
        <v>92</v>
      </c>
      <c r="AR230">
        <v>7.79</v>
      </c>
      <c r="AS230">
        <v>7.79</v>
      </c>
      <c r="AT230">
        <v>1</v>
      </c>
      <c r="AU230">
        <v>7.79</v>
      </c>
      <c r="AV230">
        <v>0</v>
      </c>
      <c r="AX230">
        <v>0.23</v>
      </c>
      <c r="AY230">
        <v>8.02</v>
      </c>
      <c r="BA230" t="s">
        <v>93</v>
      </c>
      <c r="BC230" t="s">
        <v>93</v>
      </c>
      <c r="BD230" t="s">
        <v>128</v>
      </c>
      <c r="BI230" t="s">
        <v>80</v>
      </c>
      <c r="BM230" t="s">
        <v>94</v>
      </c>
      <c r="BN230" t="s">
        <v>95</v>
      </c>
      <c r="BP230" t="s">
        <v>405</v>
      </c>
      <c r="BR230" t="s">
        <v>130</v>
      </c>
      <c r="BT230" t="s">
        <v>131</v>
      </c>
      <c r="BU230" t="s">
        <v>132</v>
      </c>
      <c r="BV230" t="str">
        <f>"98109"</f>
        <v>98109</v>
      </c>
      <c r="BW230">
        <v>893</v>
      </c>
      <c r="BX230" t="s">
        <v>2742</v>
      </c>
      <c r="BY230" t="s">
        <v>2695</v>
      </c>
      <c r="BZ230">
        <v>2</v>
      </c>
    </row>
    <row r="231" spans="1:78" x14ac:dyDescent="0.25">
      <c r="A231" s="1">
        <v>44938</v>
      </c>
      <c r="B231" t="s">
        <v>1922</v>
      </c>
      <c r="C231" t="s">
        <v>100</v>
      </c>
      <c r="D231" t="s">
        <v>1923</v>
      </c>
      <c r="E231">
        <v>6</v>
      </c>
      <c r="F231" t="s">
        <v>76</v>
      </c>
      <c r="G231">
        <v>59.28</v>
      </c>
      <c r="H231">
        <v>0</v>
      </c>
      <c r="I231">
        <v>-1.78</v>
      </c>
      <c r="J231">
        <v>4.4400000000000004</v>
      </c>
      <c r="K231">
        <v>61.94</v>
      </c>
      <c r="L231" t="s">
        <v>77</v>
      </c>
      <c r="M231" t="s">
        <v>102</v>
      </c>
      <c r="P231" t="s">
        <v>102</v>
      </c>
      <c r="Q231" t="s">
        <v>103</v>
      </c>
      <c r="R231" t="s">
        <v>80</v>
      </c>
      <c r="S231" t="s">
        <v>80</v>
      </c>
      <c r="T231" t="s">
        <v>80</v>
      </c>
      <c r="U231" t="s">
        <v>80</v>
      </c>
      <c r="V231" t="s">
        <v>80</v>
      </c>
      <c r="W231" t="s">
        <v>1924</v>
      </c>
      <c r="X231" s="1">
        <v>44942</v>
      </c>
      <c r="Y231">
        <v>61.94</v>
      </c>
      <c r="Z231" t="s">
        <v>82</v>
      </c>
      <c r="AA231" t="str">
        <f t="shared" si="4"/>
        <v>1003</v>
      </c>
      <c r="AB231" t="s">
        <v>119</v>
      </c>
      <c r="AC231" t="s">
        <v>1925</v>
      </c>
      <c r="AD231" t="s">
        <v>1926</v>
      </c>
      <c r="AE231" t="str">
        <f>"43211802"</f>
        <v>43211802</v>
      </c>
      <c r="AF231" t="s">
        <v>86</v>
      </c>
      <c r="AG231" t="s">
        <v>1151</v>
      </c>
      <c r="AH231" t="s">
        <v>1927</v>
      </c>
      <c r="AI231" t="s">
        <v>1928</v>
      </c>
      <c r="AK231" t="s">
        <v>1929</v>
      </c>
      <c r="AL231" t="s">
        <v>1929</v>
      </c>
      <c r="AO231" t="s">
        <v>1930</v>
      </c>
      <c r="AP231" t="s">
        <v>92</v>
      </c>
      <c r="AR231">
        <v>12.49</v>
      </c>
      <c r="AS231">
        <v>9.8800000000000008</v>
      </c>
      <c r="AT231">
        <v>6</v>
      </c>
      <c r="AU231">
        <v>59.28</v>
      </c>
      <c r="AV231">
        <v>0</v>
      </c>
      <c r="AW231">
        <v>-1.78</v>
      </c>
      <c r="AX231">
        <v>4.4400000000000004</v>
      </c>
      <c r="AY231">
        <v>61.94</v>
      </c>
      <c r="BA231" t="s">
        <v>93</v>
      </c>
      <c r="BC231" t="s">
        <v>93</v>
      </c>
      <c r="BD231" t="s">
        <v>128</v>
      </c>
      <c r="BE231">
        <v>2.61</v>
      </c>
      <c r="BF231" s="2">
        <v>0.20899999999999999</v>
      </c>
      <c r="BI231" t="s">
        <v>80</v>
      </c>
      <c r="BM231" t="s">
        <v>94</v>
      </c>
      <c r="BN231" t="s">
        <v>95</v>
      </c>
      <c r="BP231" t="s">
        <v>1931</v>
      </c>
      <c r="BR231" t="s">
        <v>1932</v>
      </c>
      <c r="BT231" t="s">
        <v>1933</v>
      </c>
      <c r="BU231" t="s">
        <v>1934</v>
      </c>
      <c r="BV231" t="str">
        <f>"518000"</f>
        <v>518000</v>
      </c>
      <c r="BW231">
        <v>109</v>
      </c>
      <c r="BX231" t="s">
        <v>2753</v>
      </c>
      <c r="BY231" t="s">
        <v>2583</v>
      </c>
      <c r="BZ231">
        <v>2</v>
      </c>
    </row>
    <row r="232" spans="1:78" x14ac:dyDescent="0.25">
      <c r="A232" s="1">
        <v>44938</v>
      </c>
      <c r="B232" t="s">
        <v>1935</v>
      </c>
      <c r="C232" t="s">
        <v>100</v>
      </c>
      <c r="D232" t="s">
        <v>1923</v>
      </c>
      <c r="E232">
        <v>2</v>
      </c>
      <c r="F232" t="s">
        <v>76</v>
      </c>
      <c r="G232">
        <v>138.86000000000001</v>
      </c>
      <c r="H232">
        <v>0</v>
      </c>
      <c r="I232">
        <v>0</v>
      </c>
      <c r="J232">
        <v>10.76</v>
      </c>
      <c r="K232">
        <v>149.62</v>
      </c>
      <c r="L232" t="s">
        <v>77</v>
      </c>
      <c r="M232" t="s">
        <v>102</v>
      </c>
      <c r="P232" t="s">
        <v>102</v>
      </c>
      <c r="Q232" t="s">
        <v>103</v>
      </c>
      <c r="R232" t="s">
        <v>80</v>
      </c>
      <c r="S232" t="s">
        <v>80</v>
      </c>
      <c r="T232" t="s">
        <v>80</v>
      </c>
      <c r="U232" t="s">
        <v>80</v>
      </c>
      <c r="V232" t="s">
        <v>80</v>
      </c>
      <c r="W232" t="s">
        <v>1936</v>
      </c>
      <c r="X232" s="1">
        <v>44941</v>
      </c>
      <c r="Y232">
        <v>149.62</v>
      </c>
      <c r="Z232" t="s">
        <v>82</v>
      </c>
      <c r="AA232" t="str">
        <f t="shared" si="4"/>
        <v>1003</v>
      </c>
      <c r="AB232" t="s">
        <v>119</v>
      </c>
      <c r="AC232" t="s">
        <v>1937</v>
      </c>
      <c r="AD232" t="s">
        <v>1938</v>
      </c>
      <c r="AE232" t="str">
        <f>"44121708"</f>
        <v>44121708</v>
      </c>
      <c r="AF232" t="s">
        <v>108</v>
      </c>
      <c r="AG232" t="s">
        <v>556</v>
      </c>
      <c r="AH232" t="s">
        <v>590</v>
      </c>
      <c r="AI232" t="s">
        <v>1939</v>
      </c>
      <c r="AK232" t="s">
        <v>1940</v>
      </c>
      <c r="AL232" t="s">
        <v>1941</v>
      </c>
      <c r="AN232" t="s">
        <v>1942</v>
      </c>
      <c r="AO232" t="str">
        <f>"2005165"</f>
        <v>2005165</v>
      </c>
      <c r="AP232" t="s">
        <v>92</v>
      </c>
      <c r="AR232">
        <v>129.5</v>
      </c>
      <c r="AS232">
        <v>69.430000000000007</v>
      </c>
      <c r="AT232">
        <v>2</v>
      </c>
      <c r="AU232">
        <v>138.86000000000001</v>
      </c>
      <c r="AV232">
        <v>0</v>
      </c>
      <c r="AX232">
        <v>10.76</v>
      </c>
      <c r="AY232">
        <v>149.62</v>
      </c>
      <c r="BA232" t="s">
        <v>93</v>
      </c>
      <c r="BC232" t="s">
        <v>93</v>
      </c>
      <c r="BI232" t="s">
        <v>80</v>
      </c>
      <c r="BM232" t="s">
        <v>94</v>
      </c>
      <c r="BN232" t="s">
        <v>95</v>
      </c>
      <c r="BP232" t="s">
        <v>1931</v>
      </c>
      <c r="BR232" t="s">
        <v>1943</v>
      </c>
      <c r="BS232" t="s">
        <v>250</v>
      </c>
      <c r="BT232" t="s">
        <v>1708</v>
      </c>
      <c r="BU232" t="s">
        <v>1530</v>
      </c>
      <c r="BV232" t="str">
        <f>"11219"</f>
        <v>11219</v>
      </c>
      <c r="BW232">
        <v>109</v>
      </c>
      <c r="BX232" t="s">
        <v>2753</v>
      </c>
      <c r="BY232" t="s">
        <v>2583</v>
      </c>
      <c r="BZ232">
        <v>2</v>
      </c>
    </row>
    <row r="233" spans="1:78" x14ac:dyDescent="0.25">
      <c r="A233" s="1">
        <v>44938</v>
      </c>
      <c r="B233" t="s">
        <v>1944</v>
      </c>
      <c r="C233" t="s">
        <v>254</v>
      </c>
      <c r="E233">
        <v>11</v>
      </c>
      <c r="F233" t="s">
        <v>76</v>
      </c>
      <c r="G233">
        <v>287</v>
      </c>
      <c r="H233">
        <v>0</v>
      </c>
      <c r="I233">
        <v>0</v>
      </c>
      <c r="J233">
        <v>24.38</v>
      </c>
      <c r="K233">
        <v>311.38</v>
      </c>
      <c r="L233" t="s">
        <v>77</v>
      </c>
      <c r="M233" t="s">
        <v>224</v>
      </c>
      <c r="P233" t="s">
        <v>446</v>
      </c>
      <c r="Q233" t="s">
        <v>447</v>
      </c>
      <c r="R233" t="s">
        <v>80</v>
      </c>
      <c r="S233" t="s">
        <v>80</v>
      </c>
      <c r="T233" t="s">
        <v>80</v>
      </c>
      <c r="U233" t="s">
        <v>80</v>
      </c>
      <c r="V233" t="s">
        <v>80</v>
      </c>
      <c r="W233" t="s">
        <v>1945</v>
      </c>
      <c r="X233" s="1">
        <v>44942</v>
      </c>
      <c r="Y233">
        <v>311.38</v>
      </c>
      <c r="Z233" t="s">
        <v>82</v>
      </c>
      <c r="AA233" t="str">
        <f t="shared" ref="AA233:AA244" si="5">"1003"</f>
        <v>1003</v>
      </c>
      <c r="AB233" t="s">
        <v>141</v>
      </c>
      <c r="AC233" t="s">
        <v>1946</v>
      </c>
      <c r="AD233" t="s">
        <v>1947</v>
      </c>
      <c r="AE233" t="str">
        <f>"31201500"</f>
        <v>31201500</v>
      </c>
      <c r="AF233" t="s">
        <v>398</v>
      </c>
      <c r="AG233" t="s">
        <v>799</v>
      </c>
      <c r="AH233" t="s">
        <v>800</v>
      </c>
      <c r="AI233" t="s">
        <v>800</v>
      </c>
      <c r="AK233" t="s">
        <v>1948</v>
      </c>
      <c r="AL233" t="s">
        <v>1949</v>
      </c>
      <c r="AO233" t="s">
        <v>1950</v>
      </c>
      <c r="AP233" t="s">
        <v>92</v>
      </c>
      <c r="AR233">
        <v>18.86</v>
      </c>
      <c r="AS233">
        <v>18.86</v>
      </c>
      <c r="AT233">
        <v>1</v>
      </c>
      <c r="AU233">
        <v>18.86</v>
      </c>
      <c r="AV233">
        <v>0</v>
      </c>
      <c r="AX233">
        <v>1.6</v>
      </c>
      <c r="AY233">
        <v>20.46</v>
      </c>
      <c r="BA233" t="s">
        <v>93</v>
      </c>
      <c r="BC233" t="s">
        <v>93</v>
      </c>
      <c r="BD233" t="s">
        <v>128</v>
      </c>
      <c r="BI233" t="s">
        <v>80</v>
      </c>
      <c r="BM233" t="s">
        <v>94</v>
      </c>
      <c r="BN233" t="s">
        <v>95</v>
      </c>
      <c r="BP233" t="s">
        <v>455</v>
      </c>
      <c r="BR233" t="s">
        <v>1948</v>
      </c>
      <c r="BT233" t="s">
        <v>1951</v>
      </c>
      <c r="BU233" t="s">
        <v>204</v>
      </c>
      <c r="BV233" t="str">
        <f>"523710"</f>
        <v>523710</v>
      </c>
      <c r="BW233">
        <v>807</v>
      </c>
      <c r="BX233" t="s">
        <v>2746</v>
      </c>
      <c r="BY233" t="s">
        <v>2620</v>
      </c>
      <c r="BZ233">
        <v>2</v>
      </c>
    </row>
    <row r="234" spans="1:78" x14ac:dyDescent="0.25">
      <c r="A234" s="1">
        <v>44938</v>
      </c>
      <c r="B234" t="s">
        <v>1944</v>
      </c>
      <c r="C234" t="s">
        <v>254</v>
      </c>
      <c r="E234">
        <v>11</v>
      </c>
      <c r="F234" t="s">
        <v>76</v>
      </c>
      <c r="G234">
        <v>287</v>
      </c>
      <c r="H234">
        <v>0</v>
      </c>
      <c r="I234">
        <v>0</v>
      </c>
      <c r="J234">
        <v>24.38</v>
      </c>
      <c r="K234">
        <v>311.38</v>
      </c>
      <c r="L234" t="s">
        <v>77</v>
      </c>
      <c r="M234" t="s">
        <v>224</v>
      </c>
      <c r="P234" t="s">
        <v>446</v>
      </c>
      <c r="Q234" t="s">
        <v>447</v>
      </c>
      <c r="R234" t="s">
        <v>80</v>
      </c>
      <c r="S234" t="s">
        <v>80</v>
      </c>
      <c r="T234" t="s">
        <v>80</v>
      </c>
      <c r="U234" t="s">
        <v>80</v>
      </c>
      <c r="V234" t="s">
        <v>80</v>
      </c>
      <c r="W234" t="s">
        <v>1945</v>
      </c>
      <c r="X234" s="1">
        <v>44942</v>
      </c>
      <c r="Y234">
        <v>311.38</v>
      </c>
      <c r="Z234" t="s">
        <v>82</v>
      </c>
      <c r="AA234" t="str">
        <f t="shared" si="5"/>
        <v>1003</v>
      </c>
      <c r="AB234" t="s">
        <v>141</v>
      </c>
      <c r="AC234" t="s">
        <v>1952</v>
      </c>
      <c r="AD234" t="s">
        <v>1953</v>
      </c>
      <c r="AE234" t="str">
        <f>"47131800"</f>
        <v>47131800</v>
      </c>
      <c r="AF234" t="s">
        <v>144</v>
      </c>
      <c r="AG234" t="s">
        <v>145</v>
      </c>
      <c r="AH234" t="s">
        <v>261</v>
      </c>
      <c r="AI234" t="s">
        <v>261</v>
      </c>
      <c r="AJ234" t="s">
        <v>1954</v>
      </c>
      <c r="AK234" t="s">
        <v>950</v>
      </c>
      <c r="AL234" t="s">
        <v>1955</v>
      </c>
      <c r="AN234" t="s">
        <v>1956</v>
      </c>
      <c r="AO234" t="s">
        <v>1956</v>
      </c>
      <c r="AP234" t="s">
        <v>92</v>
      </c>
      <c r="AR234">
        <v>88.5</v>
      </c>
      <c r="AS234">
        <v>62.03</v>
      </c>
      <c r="AT234">
        <v>2</v>
      </c>
      <c r="AU234">
        <v>124.06</v>
      </c>
      <c r="AV234">
        <v>0</v>
      </c>
      <c r="AX234">
        <v>10.54</v>
      </c>
      <c r="AY234">
        <v>134.6</v>
      </c>
      <c r="BA234" t="s">
        <v>93</v>
      </c>
      <c r="BC234" t="s">
        <v>93</v>
      </c>
      <c r="BD234" t="s">
        <v>128</v>
      </c>
      <c r="BE234">
        <v>26.47</v>
      </c>
      <c r="BF234" s="2">
        <v>0.29909999999999998</v>
      </c>
      <c r="BI234" t="s">
        <v>80</v>
      </c>
      <c r="BM234" t="s">
        <v>94</v>
      </c>
      <c r="BN234" t="s">
        <v>95</v>
      </c>
      <c r="BP234" t="s">
        <v>455</v>
      </c>
      <c r="BR234" t="s">
        <v>130</v>
      </c>
      <c r="BT234" t="s">
        <v>131</v>
      </c>
      <c r="BU234" t="s">
        <v>132</v>
      </c>
      <c r="BV234" t="str">
        <f>"98109"</f>
        <v>98109</v>
      </c>
      <c r="BW234">
        <v>807</v>
      </c>
      <c r="BX234" t="s">
        <v>2746</v>
      </c>
      <c r="BY234" t="s">
        <v>2620</v>
      </c>
      <c r="BZ234">
        <v>2</v>
      </c>
    </row>
    <row r="235" spans="1:78" x14ac:dyDescent="0.25">
      <c r="A235" s="1">
        <v>44938</v>
      </c>
      <c r="B235" t="s">
        <v>1944</v>
      </c>
      <c r="C235" t="s">
        <v>254</v>
      </c>
      <c r="E235">
        <v>11</v>
      </c>
      <c r="F235" t="s">
        <v>76</v>
      </c>
      <c r="G235">
        <v>287</v>
      </c>
      <c r="H235">
        <v>0</v>
      </c>
      <c r="I235">
        <v>0</v>
      </c>
      <c r="J235">
        <v>24.38</v>
      </c>
      <c r="K235">
        <v>311.38</v>
      </c>
      <c r="L235" t="s">
        <v>77</v>
      </c>
      <c r="M235" t="s">
        <v>224</v>
      </c>
      <c r="P235" t="s">
        <v>446</v>
      </c>
      <c r="Q235" t="s">
        <v>447</v>
      </c>
      <c r="R235" t="s">
        <v>80</v>
      </c>
      <c r="S235" t="s">
        <v>80</v>
      </c>
      <c r="T235" t="s">
        <v>80</v>
      </c>
      <c r="U235" t="s">
        <v>80</v>
      </c>
      <c r="V235" t="s">
        <v>80</v>
      </c>
      <c r="W235" t="s">
        <v>1945</v>
      </c>
      <c r="X235" s="1">
        <v>44942</v>
      </c>
      <c r="Y235">
        <v>311.38</v>
      </c>
      <c r="Z235" t="s">
        <v>82</v>
      </c>
      <c r="AA235" t="str">
        <f t="shared" si="5"/>
        <v>1003</v>
      </c>
      <c r="AB235" t="s">
        <v>141</v>
      </c>
      <c r="AC235" t="s">
        <v>1957</v>
      </c>
      <c r="AD235" t="s">
        <v>1958</v>
      </c>
      <c r="AE235" t="str">
        <f>"47131812"</f>
        <v>47131812</v>
      </c>
      <c r="AF235" t="s">
        <v>144</v>
      </c>
      <c r="AG235" t="s">
        <v>145</v>
      </c>
      <c r="AH235" t="s">
        <v>261</v>
      </c>
      <c r="AI235" t="s">
        <v>649</v>
      </c>
      <c r="AJ235" t="s">
        <v>650</v>
      </c>
      <c r="AK235" t="s">
        <v>1959</v>
      </c>
      <c r="AL235" t="s">
        <v>1960</v>
      </c>
      <c r="AN235" t="str">
        <f>"325089"</f>
        <v>325089</v>
      </c>
      <c r="AO235" t="str">
        <f>"325089"</f>
        <v>325089</v>
      </c>
      <c r="AP235" t="s">
        <v>92</v>
      </c>
      <c r="AR235">
        <v>17.84</v>
      </c>
      <c r="AS235">
        <v>14.97</v>
      </c>
      <c r="AT235">
        <v>4</v>
      </c>
      <c r="AU235">
        <v>59.88</v>
      </c>
      <c r="AV235">
        <v>0</v>
      </c>
      <c r="AX235">
        <v>5.08</v>
      </c>
      <c r="AY235">
        <v>64.959999999999994</v>
      </c>
      <c r="BA235" t="s">
        <v>93</v>
      </c>
      <c r="BC235" t="s">
        <v>93</v>
      </c>
      <c r="BI235" t="s">
        <v>80</v>
      </c>
      <c r="BM235" t="s">
        <v>94</v>
      </c>
      <c r="BN235" t="s">
        <v>95</v>
      </c>
      <c r="BP235" t="s">
        <v>455</v>
      </c>
      <c r="BR235" t="s">
        <v>130</v>
      </c>
      <c r="BT235" t="s">
        <v>131</v>
      </c>
      <c r="BU235" t="s">
        <v>132</v>
      </c>
      <c r="BV235" t="str">
        <f>"98109"</f>
        <v>98109</v>
      </c>
      <c r="BW235">
        <v>807</v>
      </c>
      <c r="BX235" t="s">
        <v>2746</v>
      </c>
      <c r="BY235" t="s">
        <v>2620</v>
      </c>
      <c r="BZ235">
        <v>2</v>
      </c>
    </row>
    <row r="236" spans="1:78" x14ac:dyDescent="0.25">
      <c r="A236" s="1">
        <v>44938</v>
      </c>
      <c r="B236" t="s">
        <v>1944</v>
      </c>
      <c r="C236" t="s">
        <v>254</v>
      </c>
      <c r="E236">
        <v>11</v>
      </c>
      <c r="F236" t="s">
        <v>76</v>
      </c>
      <c r="G236">
        <v>287</v>
      </c>
      <c r="H236">
        <v>0</v>
      </c>
      <c r="I236">
        <v>0</v>
      </c>
      <c r="J236">
        <v>24.38</v>
      </c>
      <c r="K236">
        <v>311.38</v>
      </c>
      <c r="L236" t="s">
        <v>77</v>
      </c>
      <c r="M236" t="s">
        <v>224</v>
      </c>
      <c r="P236" t="s">
        <v>446</v>
      </c>
      <c r="Q236" t="s">
        <v>447</v>
      </c>
      <c r="R236" t="s">
        <v>80</v>
      </c>
      <c r="S236" t="s">
        <v>80</v>
      </c>
      <c r="T236" t="s">
        <v>80</v>
      </c>
      <c r="U236" t="s">
        <v>80</v>
      </c>
      <c r="V236" t="s">
        <v>80</v>
      </c>
      <c r="W236" t="s">
        <v>1945</v>
      </c>
      <c r="X236" s="1">
        <v>44942</v>
      </c>
      <c r="Y236">
        <v>311.38</v>
      </c>
      <c r="Z236" t="s">
        <v>82</v>
      </c>
      <c r="AA236" t="str">
        <f t="shared" si="5"/>
        <v>1003</v>
      </c>
      <c r="AB236" t="s">
        <v>119</v>
      </c>
      <c r="AC236" t="s">
        <v>1961</v>
      </c>
      <c r="AD236" t="s">
        <v>1962</v>
      </c>
      <c r="AE236" t="str">
        <f>"14121700"</f>
        <v>14121700</v>
      </c>
      <c r="AF236" t="s">
        <v>213</v>
      </c>
      <c r="AG236" t="s">
        <v>1963</v>
      </c>
      <c r="AH236" t="s">
        <v>1964</v>
      </c>
      <c r="AI236" t="s">
        <v>1964</v>
      </c>
      <c r="AJ236" t="s">
        <v>175</v>
      </c>
      <c r="AK236" t="s">
        <v>176</v>
      </c>
      <c r="AL236" t="s">
        <v>176</v>
      </c>
      <c r="AN236" t="s">
        <v>1965</v>
      </c>
      <c r="AO236" t="s">
        <v>1965</v>
      </c>
      <c r="AP236" t="s">
        <v>92</v>
      </c>
      <c r="AR236">
        <v>25.99</v>
      </c>
      <c r="AS236">
        <v>21.05</v>
      </c>
      <c r="AT236">
        <v>4</v>
      </c>
      <c r="AU236">
        <v>84.2</v>
      </c>
      <c r="AV236">
        <v>0</v>
      </c>
      <c r="AX236">
        <v>7.16</v>
      </c>
      <c r="AY236">
        <v>91.36</v>
      </c>
      <c r="BA236" t="s">
        <v>93</v>
      </c>
      <c r="BC236" t="s">
        <v>93</v>
      </c>
      <c r="BD236" t="s">
        <v>128</v>
      </c>
      <c r="BE236">
        <v>4.9400000000000004</v>
      </c>
      <c r="BF236" s="2">
        <v>0.19009999999999999</v>
      </c>
      <c r="BI236" t="s">
        <v>80</v>
      </c>
      <c r="BM236" t="s">
        <v>94</v>
      </c>
      <c r="BN236" t="s">
        <v>95</v>
      </c>
      <c r="BP236" t="s">
        <v>455</v>
      </c>
      <c r="BR236" t="s">
        <v>130</v>
      </c>
      <c r="BT236" t="s">
        <v>131</v>
      </c>
      <c r="BU236" t="s">
        <v>132</v>
      </c>
      <c r="BV236" t="str">
        <f>"98109"</f>
        <v>98109</v>
      </c>
      <c r="BW236">
        <v>807</v>
      </c>
      <c r="BX236" t="s">
        <v>2746</v>
      </c>
      <c r="BY236" t="s">
        <v>2620</v>
      </c>
      <c r="BZ236">
        <v>2</v>
      </c>
    </row>
    <row r="237" spans="1:78" x14ac:dyDescent="0.25">
      <c r="A237" s="1">
        <v>44938</v>
      </c>
      <c r="B237" t="s">
        <v>1966</v>
      </c>
      <c r="C237" t="s">
        <v>254</v>
      </c>
      <c r="E237">
        <v>1</v>
      </c>
      <c r="F237" t="s">
        <v>76</v>
      </c>
      <c r="G237">
        <v>17.89</v>
      </c>
      <c r="H237">
        <v>0</v>
      </c>
      <c r="I237">
        <v>0</v>
      </c>
      <c r="J237">
        <v>1.52</v>
      </c>
      <c r="K237">
        <v>19.41</v>
      </c>
      <c r="L237" t="s">
        <v>77</v>
      </c>
      <c r="M237" t="s">
        <v>224</v>
      </c>
      <c r="P237" t="s">
        <v>446</v>
      </c>
      <c r="Q237" t="s">
        <v>447</v>
      </c>
      <c r="R237" t="s">
        <v>80</v>
      </c>
      <c r="S237" t="s">
        <v>80</v>
      </c>
      <c r="T237" t="s">
        <v>80</v>
      </c>
      <c r="U237" t="s">
        <v>80</v>
      </c>
      <c r="V237" t="s">
        <v>80</v>
      </c>
      <c r="W237" t="s">
        <v>1967</v>
      </c>
      <c r="X237" s="1">
        <v>44941</v>
      </c>
      <c r="Y237">
        <v>19.41</v>
      </c>
      <c r="Z237" t="s">
        <v>82</v>
      </c>
      <c r="AA237" t="str">
        <f t="shared" si="5"/>
        <v>1003</v>
      </c>
      <c r="AB237" t="s">
        <v>168</v>
      </c>
      <c r="AC237" t="s">
        <v>727</v>
      </c>
      <c r="AD237" t="s">
        <v>728</v>
      </c>
      <c r="AE237" t="str">
        <f>"47131502"</f>
        <v>47131502</v>
      </c>
      <c r="AF237" t="s">
        <v>144</v>
      </c>
      <c r="AG237" t="s">
        <v>145</v>
      </c>
      <c r="AH237" t="s">
        <v>729</v>
      </c>
      <c r="AI237" t="s">
        <v>730</v>
      </c>
      <c r="AJ237" t="s">
        <v>731</v>
      </c>
      <c r="AK237" t="s">
        <v>732</v>
      </c>
      <c r="AL237" t="s">
        <v>733</v>
      </c>
      <c r="AP237" t="s">
        <v>92</v>
      </c>
      <c r="AR237">
        <v>26.99</v>
      </c>
      <c r="AS237">
        <v>17.89</v>
      </c>
      <c r="AT237">
        <v>1</v>
      </c>
      <c r="AU237">
        <v>17.89</v>
      </c>
      <c r="AV237">
        <v>0</v>
      </c>
      <c r="AX237">
        <v>1.52</v>
      </c>
      <c r="AY237">
        <v>19.41</v>
      </c>
      <c r="BA237" t="s">
        <v>93</v>
      </c>
      <c r="BC237" t="s">
        <v>93</v>
      </c>
      <c r="BI237" t="s">
        <v>80</v>
      </c>
      <c r="BM237" t="s">
        <v>94</v>
      </c>
      <c r="BN237" t="s">
        <v>95</v>
      </c>
      <c r="BP237" t="s">
        <v>455</v>
      </c>
      <c r="BR237" t="s">
        <v>1336</v>
      </c>
      <c r="BT237" t="s">
        <v>1337</v>
      </c>
      <c r="BU237" t="s">
        <v>1338</v>
      </c>
      <c r="BV237" t="str">
        <f>"60031"</f>
        <v>60031</v>
      </c>
      <c r="BW237">
        <v>807</v>
      </c>
      <c r="BX237" t="s">
        <v>2746</v>
      </c>
      <c r="BY237" t="s">
        <v>2620</v>
      </c>
      <c r="BZ237">
        <v>2</v>
      </c>
    </row>
    <row r="238" spans="1:78" x14ac:dyDescent="0.25">
      <c r="A238" s="1">
        <v>44938</v>
      </c>
      <c r="B238" t="s">
        <v>1968</v>
      </c>
      <c r="C238" t="s">
        <v>100</v>
      </c>
      <c r="D238" t="s">
        <v>1969</v>
      </c>
      <c r="E238">
        <v>1</v>
      </c>
      <c r="F238" t="s">
        <v>76</v>
      </c>
      <c r="G238">
        <v>49.13</v>
      </c>
      <c r="H238">
        <v>0</v>
      </c>
      <c r="I238">
        <v>0</v>
      </c>
      <c r="J238">
        <v>4.32</v>
      </c>
      <c r="K238">
        <v>53.45</v>
      </c>
      <c r="L238" t="s">
        <v>77</v>
      </c>
      <c r="P238" t="s">
        <v>224</v>
      </c>
      <c r="Q238" t="s">
        <v>434</v>
      </c>
      <c r="R238" t="s">
        <v>80</v>
      </c>
      <c r="S238" t="s">
        <v>80</v>
      </c>
      <c r="T238" t="s">
        <v>80</v>
      </c>
      <c r="U238" t="s">
        <v>80</v>
      </c>
      <c r="V238" t="s">
        <v>80</v>
      </c>
      <c r="W238" t="s">
        <v>1970</v>
      </c>
      <c r="X238" s="1">
        <v>44939</v>
      </c>
      <c r="Y238">
        <v>53.45</v>
      </c>
      <c r="Z238" t="s">
        <v>82</v>
      </c>
      <c r="AA238" t="str">
        <f t="shared" si="5"/>
        <v>1003</v>
      </c>
      <c r="AB238" t="s">
        <v>141</v>
      </c>
      <c r="AC238" t="s">
        <v>1971</v>
      </c>
      <c r="AD238" t="s">
        <v>1972</v>
      </c>
      <c r="AE238" t="str">
        <f>"14111704"</f>
        <v>14111704</v>
      </c>
      <c r="AF238" t="s">
        <v>213</v>
      </c>
      <c r="AG238" t="s">
        <v>214</v>
      </c>
      <c r="AH238" t="s">
        <v>719</v>
      </c>
      <c r="AI238" t="s">
        <v>1973</v>
      </c>
      <c r="AJ238" t="s">
        <v>1974</v>
      </c>
      <c r="AK238" t="s">
        <v>1975</v>
      </c>
      <c r="AL238" t="s">
        <v>723</v>
      </c>
      <c r="AN238" t="str">
        <f>"13217"</f>
        <v>13217</v>
      </c>
      <c r="AO238" t="str">
        <f>"13217"</f>
        <v>13217</v>
      </c>
      <c r="AP238" t="s">
        <v>92</v>
      </c>
      <c r="AR238">
        <v>91.44</v>
      </c>
      <c r="AS238">
        <v>49.13</v>
      </c>
      <c r="AT238">
        <v>1</v>
      </c>
      <c r="AU238">
        <v>49.13</v>
      </c>
      <c r="AV238">
        <v>0</v>
      </c>
      <c r="AX238">
        <v>4.32</v>
      </c>
      <c r="AY238">
        <v>53.45</v>
      </c>
      <c r="BA238" t="s">
        <v>93</v>
      </c>
      <c r="BC238" t="s">
        <v>93</v>
      </c>
      <c r="BD238" t="s">
        <v>128</v>
      </c>
      <c r="BE238">
        <v>42.31</v>
      </c>
      <c r="BF238" s="2">
        <v>0.4627</v>
      </c>
      <c r="BI238" t="s">
        <v>80</v>
      </c>
      <c r="BM238" t="s">
        <v>94</v>
      </c>
      <c r="BN238" t="s">
        <v>95</v>
      </c>
      <c r="BP238" t="s">
        <v>129</v>
      </c>
      <c r="BR238" t="s">
        <v>130</v>
      </c>
      <c r="BT238" t="s">
        <v>131</v>
      </c>
      <c r="BU238" t="s">
        <v>132</v>
      </c>
      <c r="BV238" t="str">
        <f>"98109"</f>
        <v>98109</v>
      </c>
      <c r="BW238">
        <v>884</v>
      </c>
      <c r="BX238" t="s">
        <v>2729</v>
      </c>
      <c r="BY238" t="s">
        <v>2681</v>
      </c>
      <c r="BZ238">
        <v>2</v>
      </c>
    </row>
    <row r="239" spans="1:78" x14ac:dyDescent="0.25">
      <c r="A239" s="1">
        <v>44938</v>
      </c>
      <c r="B239" t="s">
        <v>1976</v>
      </c>
      <c r="C239" t="s">
        <v>189</v>
      </c>
      <c r="E239">
        <v>1</v>
      </c>
      <c r="F239" t="s">
        <v>76</v>
      </c>
      <c r="G239">
        <v>104.44</v>
      </c>
      <c r="H239">
        <v>0</v>
      </c>
      <c r="I239">
        <v>0</v>
      </c>
      <c r="J239">
        <v>0</v>
      </c>
      <c r="K239">
        <v>104.44</v>
      </c>
      <c r="L239" t="s">
        <v>77</v>
      </c>
      <c r="P239" t="s">
        <v>307</v>
      </c>
      <c r="Q239" t="s">
        <v>308</v>
      </c>
      <c r="R239" t="s">
        <v>80</v>
      </c>
      <c r="S239" t="s">
        <v>80</v>
      </c>
      <c r="T239" t="s">
        <v>80</v>
      </c>
      <c r="U239" t="s">
        <v>80</v>
      </c>
      <c r="V239" t="s">
        <v>80</v>
      </c>
      <c r="W239" t="s">
        <v>1977</v>
      </c>
      <c r="X239" s="1">
        <v>44940</v>
      </c>
      <c r="Y239">
        <v>104.44</v>
      </c>
      <c r="Z239" t="s">
        <v>82</v>
      </c>
      <c r="AA239" t="str">
        <f t="shared" si="5"/>
        <v>1003</v>
      </c>
      <c r="AB239" t="s">
        <v>320</v>
      </c>
      <c r="AC239" t="s">
        <v>1978</v>
      </c>
      <c r="AD239" t="s">
        <v>1979</v>
      </c>
      <c r="AE239" t="str">
        <f>"50201706"</f>
        <v>50201706</v>
      </c>
      <c r="AF239" t="s">
        <v>323</v>
      </c>
      <c r="AG239" t="s">
        <v>332</v>
      </c>
      <c r="AH239" t="s">
        <v>333</v>
      </c>
      <c r="AI239" t="s">
        <v>334</v>
      </c>
      <c r="AK239" t="s">
        <v>336</v>
      </c>
      <c r="AL239" t="s">
        <v>1980</v>
      </c>
      <c r="AO239" t="s">
        <v>1981</v>
      </c>
      <c r="AP239" t="s">
        <v>92</v>
      </c>
      <c r="AR239">
        <v>160.99</v>
      </c>
      <c r="AS239">
        <v>104.44</v>
      </c>
      <c r="AT239">
        <v>1</v>
      </c>
      <c r="AU239">
        <v>104.44</v>
      </c>
      <c r="AV239">
        <v>0</v>
      </c>
      <c r="AX239">
        <v>0</v>
      </c>
      <c r="AY239">
        <v>104.44</v>
      </c>
      <c r="BA239" t="s">
        <v>93</v>
      </c>
      <c r="BC239" t="s">
        <v>93</v>
      </c>
      <c r="BI239" t="s">
        <v>80</v>
      </c>
      <c r="BM239" t="s">
        <v>94</v>
      </c>
      <c r="BN239" t="s">
        <v>95</v>
      </c>
      <c r="BP239" t="s">
        <v>314</v>
      </c>
      <c r="BR239" t="s">
        <v>1982</v>
      </c>
      <c r="BT239" t="s">
        <v>1983</v>
      </c>
      <c r="BU239" t="s">
        <v>1984</v>
      </c>
      <c r="BV239" t="str">
        <f>"33141"</f>
        <v>33141</v>
      </c>
      <c r="BW239">
        <v>868</v>
      </c>
      <c r="BX239" t="s">
        <v>2738</v>
      </c>
      <c r="BY239" t="s">
        <v>2665</v>
      </c>
      <c r="BZ239">
        <v>2</v>
      </c>
    </row>
    <row r="240" spans="1:78" x14ac:dyDescent="0.25">
      <c r="A240" s="1">
        <v>44938</v>
      </c>
      <c r="B240" t="s">
        <v>1985</v>
      </c>
      <c r="C240" t="s">
        <v>254</v>
      </c>
      <c r="D240" t="s">
        <v>1986</v>
      </c>
      <c r="E240">
        <v>6</v>
      </c>
      <c r="F240" t="s">
        <v>76</v>
      </c>
      <c r="G240">
        <v>114.44</v>
      </c>
      <c r="H240">
        <v>0</v>
      </c>
      <c r="I240">
        <v>0</v>
      </c>
      <c r="J240">
        <v>8.8699999999999992</v>
      </c>
      <c r="K240">
        <v>123.31</v>
      </c>
      <c r="L240" t="s">
        <v>77</v>
      </c>
      <c r="M240" t="s">
        <v>224</v>
      </c>
      <c r="P240" t="s">
        <v>256</v>
      </c>
      <c r="Q240" t="s">
        <v>257</v>
      </c>
      <c r="R240" t="s">
        <v>80</v>
      </c>
      <c r="S240" t="s">
        <v>80</v>
      </c>
      <c r="T240" t="s">
        <v>80</v>
      </c>
      <c r="U240" t="s">
        <v>80</v>
      </c>
      <c r="V240" t="s">
        <v>80</v>
      </c>
      <c r="W240" t="s">
        <v>1987</v>
      </c>
      <c r="X240" s="1">
        <v>44942</v>
      </c>
      <c r="Y240">
        <v>123.31</v>
      </c>
      <c r="Z240" t="s">
        <v>82</v>
      </c>
      <c r="AA240" t="str">
        <f t="shared" si="5"/>
        <v>1003</v>
      </c>
      <c r="AB240" t="s">
        <v>119</v>
      </c>
      <c r="AC240" t="s">
        <v>1988</v>
      </c>
      <c r="AD240" t="s">
        <v>1989</v>
      </c>
      <c r="AE240" t="str">
        <f>"44121704"</f>
        <v>44121704</v>
      </c>
      <c r="AF240" t="s">
        <v>108</v>
      </c>
      <c r="AG240" t="s">
        <v>556</v>
      </c>
      <c r="AH240" t="s">
        <v>590</v>
      </c>
      <c r="AI240" t="s">
        <v>759</v>
      </c>
      <c r="AJ240" t="s">
        <v>1990</v>
      </c>
      <c r="AK240" t="s">
        <v>761</v>
      </c>
      <c r="AL240" t="s">
        <v>761</v>
      </c>
      <c r="AN240" t="s">
        <v>1991</v>
      </c>
      <c r="AO240" t="s">
        <v>1992</v>
      </c>
      <c r="AP240" t="s">
        <v>92</v>
      </c>
      <c r="AR240">
        <v>19.989999999999998</v>
      </c>
      <c r="AS240">
        <v>14.49</v>
      </c>
      <c r="AT240">
        <v>1</v>
      </c>
      <c r="AU240">
        <v>14.49</v>
      </c>
      <c r="AV240">
        <v>0</v>
      </c>
      <c r="AX240">
        <v>1.1200000000000001</v>
      </c>
      <c r="AY240">
        <v>15.61</v>
      </c>
      <c r="BA240" t="s">
        <v>93</v>
      </c>
      <c r="BC240" t="s">
        <v>93</v>
      </c>
      <c r="BD240" t="s">
        <v>128</v>
      </c>
      <c r="BE240">
        <v>5.5</v>
      </c>
      <c r="BF240" s="2">
        <v>0.27510000000000001</v>
      </c>
      <c r="BI240" t="s">
        <v>80</v>
      </c>
      <c r="BM240" t="s">
        <v>94</v>
      </c>
      <c r="BN240" t="s">
        <v>95</v>
      </c>
      <c r="BP240" t="s">
        <v>266</v>
      </c>
      <c r="BR240" t="s">
        <v>130</v>
      </c>
      <c r="BT240" t="s">
        <v>131</v>
      </c>
      <c r="BU240" t="s">
        <v>132</v>
      </c>
      <c r="BV240" t="str">
        <f>"98109"</f>
        <v>98109</v>
      </c>
      <c r="BW240">
        <v>848</v>
      </c>
      <c r="BX240" t="s">
        <v>2733</v>
      </c>
      <c r="BY240" t="s">
        <v>2661</v>
      </c>
      <c r="BZ240">
        <v>2</v>
      </c>
    </row>
    <row r="241" spans="1:78" x14ac:dyDescent="0.25">
      <c r="A241" s="1">
        <v>44938</v>
      </c>
      <c r="B241" t="s">
        <v>1985</v>
      </c>
      <c r="C241" t="s">
        <v>254</v>
      </c>
      <c r="D241" t="s">
        <v>1986</v>
      </c>
      <c r="E241">
        <v>6</v>
      </c>
      <c r="F241" t="s">
        <v>76</v>
      </c>
      <c r="G241">
        <v>114.44</v>
      </c>
      <c r="H241">
        <v>0</v>
      </c>
      <c r="I241">
        <v>0</v>
      </c>
      <c r="J241">
        <v>8.8699999999999992</v>
      </c>
      <c r="K241">
        <v>123.31</v>
      </c>
      <c r="L241" t="s">
        <v>77</v>
      </c>
      <c r="M241" t="s">
        <v>224</v>
      </c>
      <c r="P241" t="s">
        <v>256</v>
      </c>
      <c r="Q241" t="s">
        <v>257</v>
      </c>
      <c r="R241" t="s">
        <v>80</v>
      </c>
      <c r="S241" t="s">
        <v>80</v>
      </c>
      <c r="T241" t="s">
        <v>80</v>
      </c>
      <c r="U241" t="s">
        <v>80</v>
      </c>
      <c r="V241" t="s">
        <v>80</v>
      </c>
      <c r="W241" t="s">
        <v>1987</v>
      </c>
      <c r="X241" s="1">
        <v>44942</v>
      </c>
      <c r="Y241">
        <v>123.31</v>
      </c>
      <c r="Z241" t="s">
        <v>82</v>
      </c>
      <c r="AA241" t="str">
        <f t="shared" si="5"/>
        <v>1003</v>
      </c>
      <c r="AB241" t="s">
        <v>83</v>
      </c>
      <c r="AC241" t="s">
        <v>1993</v>
      </c>
      <c r="AD241" t="s">
        <v>1994</v>
      </c>
      <c r="AE241" t="str">
        <f>"43191600"</f>
        <v>43191600</v>
      </c>
      <c r="AF241" t="s">
        <v>86</v>
      </c>
      <c r="AG241" t="s">
        <v>136</v>
      </c>
      <c r="AH241" t="s">
        <v>137</v>
      </c>
      <c r="AI241" t="s">
        <v>137</v>
      </c>
      <c r="AJ241" t="s">
        <v>1995</v>
      </c>
      <c r="AK241" t="s">
        <v>1996</v>
      </c>
      <c r="AL241" t="s">
        <v>1997</v>
      </c>
      <c r="AN241" t="s">
        <v>1998</v>
      </c>
      <c r="AO241" t="s">
        <v>1998</v>
      </c>
      <c r="AP241" t="s">
        <v>92</v>
      </c>
      <c r="AR241">
        <v>27.99</v>
      </c>
      <c r="AS241">
        <v>19.989999999999998</v>
      </c>
      <c r="AT241">
        <v>2</v>
      </c>
      <c r="AU241">
        <v>39.979999999999997</v>
      </c>
      <c r="AV241">
        <v>0</v>
      </c>
      <c r="AX241">
        <v>3.1</v>
      </c>
      <c r="AY241">
        <v>43.08</v>
      </c>
      <c r="BA241" t="s">
        <v>93</v>
      </c>
      <c r="BC241" t="s">
        <v>93</v>
      </c>
      <c r="BI241" t="s">
        <v>80</v>
      </c>
      <c r="BM241" t="s">
        <v>94</v>
      </c>
      <c r="BN241" t="s">
        <v>95</v>
      </c>
      <c r="BP241" t="s">
        <v>266</v>
      </c>
      <c r="BR241" t="s">
        <v>130</v>
      </c>
      <c r="BT241" t="s">
        <v>131</v>
      </c>
      <c r="BU241" t="s">
        <v>132</v>
      </c>
      <c r="BV241" t="str">
        <f>"98109"</f>
        <v>98109</v>
      </c>
      <c r="BW241">
        <v>848</v>
      </c>
      <c r="BX241" t="s">
        <v>2733</v>
      </c>
      <c r="BY241" t="s">
        <v>2661</v>
      </c>
      <c r="BZ241">
        <v>2</v>
      </c>
    </row>
    <row r="242" spans="1:78" x14ac:dyDescent="0.25">
      <c r="A242" s="1">
        <v>44938</v>
      </c>
      <c r="B242" t="s">
        <v>1985</v>
      </c>
      <c r="C242" t="s">
        <v>254</v>
      </c>
      <c r="D242" t="s">
        <v>1986</v>
      </c>
      <c r="E242">
        <v>6</v>
      </c>
      <c r="F242" t="s">
        <v>76</v>
      </c>
      <c r="G242">
        <v>114.44</v>
      </c>
      <c r="H242">
        <v>0</v>
      </c>
      <c r="I242">
        <v>0</v>
      </c>
      <c r="J242">
        <v>8.8699999999999992</v>
      </c>
      <c r="K242">
        <v>123.31</v>
      </c>
      <c r="L242" t="s">
        <v>77</v>
      </c>
      <c r="M242" t="s">
        <v>224</v>
      </c>
      <c r="P242" t="s">
        <v>256</v>
      </c>
      <c r="Q242" t="s">
        <v>257</v>
      </c>
      <c r="R242" t="s">
        <v>80</v>
      </c>
      <c r="S242" t="s">
        <v>80</v>
      </c>
      <c r="T242" t="s">
        <v>80</v>
      </c>
      <c r="U242" t="s">
        <v>80</v>
      </c>
      <c r="V242" t="s">
        <v>80</v>
      </c>
      <c r="W242" t="s">
        <v>1987</v>
      </c>
      <c r="X242" s="1">
        <v>44942</v>
      </c>
      <c r="Y242">
        <v>123.31</v>
      </c>
      <c r="Z242" t="s">
        <v>82</v>
      </c>
      <c r="AA242" t="str">
        <f t="shared" si="5"/>
        <v>1003</v>
      </c>
      <c r="AB242" t="s">
        <v>268</v>
      </c>
      <c r="AC242" t="s">
        <v>1999</v>
      </c>
      <c r="AD242" t="s">
        <v>2000</v>
      </c>
      <c r="AE242" t="str">
        <f>"47131704"</f>
        <v>47131704</v>
      </c>
      <c r="AF242" t="s">
        <v>144</v>
      </c>
      <c r="AG242" t="s">
        <v>145</v>
      </c>
      <c r="AH242" t="s">
        <v>1057</v>
      </c>
      <c r="AI242" t="s">
        <v>1058</v>
      </c>
      <c r="AK242" t="s">
        <v>2001</v>
      </c>
      <c r="AL242" t="s">
        <v>2001</v>
      </c>
      <c r="AP242" t="s">
        <v>92</v>
      </c>
      <c r="AR242">
        <v>19.989999999999998</v>
      </c>
      <c r="AS242">
        <v>19.989999999999998</v>
      </c>
      <c r="AT242">
        <v>3</v>
      </c>
      <c r="AU242">
        <v>59.97</v>
      </c>
      <c r="AV242">
        <v>0</v>
      </c>
      <c r="AX242">
        <v>4.6500000000000004</v>
      </c>
      <c r="AY242">
        <v>64.62</v>
      </c>
      <c r="BA242" t="s">
        <v>93</v>
      </c>
      <c r="BC242" t="s">
        <v>93</v>
      </c>
      <c r="BI242" t="s">
        <v>80</v>
      </c>
      <c r="BM242" t="s">
        <v>94</v>
      </c>
      <c r="BN242" t="s">
        <v>95</v>
      </c>
      <c r="BP242" t="s">
        <v>266</v>
      </c>
      <c r="BR242" t="s">
        <v>2002</v>
      </c>
      <c r="BT242" t="s">
        <v>2003</v>
      </c>
      <c r="BU242" t="s">
        <v>2004</v>
      </c>
      <c r="BV242" t="str">
        <f>"325000"</f>
        <v>325000</v>
      </c>
      <c r="BW242">
        <v>848</v>
      </c>
      <c r="BX242" t="s">
        <v>2733</v>
      </c>
      <c r="BY242" t="s">
        <v>2661</v>
      </c>
      <c r="BZ242">
        <v>2</v>
      </c>
    </row>
    <row r="243" spans="1:78" x14ac:dyDescent="0.25">
      <c r="A243" s="1">
        <v>44938</v>
      </c>
      <c r="B243" t="s">
        <v>2005</v>
      </c>
      <c r="C243" t="s">
        <v>254</v>
      </c>
      <c r="D243" t="s">
        <v>1986</v>
      </c>
      <c r="E243">
        <v>2</v>
      </c>
      <c r="F243" t="s">
        <v>76</v>
      </c>
      <c r="G243">
        <v>99.98</v>
      </c>
      <c r="H243">
        <v>2.99</v>
      </c>
      <c r="I243">
        <v>-2.99</v>
      </c>
      <c r="J243">
        <v>7.5</v>
      </c>
      <c r="K243">
        <v>107.48</v>
      </c>
      <c r="L243" t="s">
        <v>77</v>
      </c>
      <c r="M243" t="s">
        <v>224</v>
      </c>
      <c r="P243" t="s">
        <v>256</v>
      </c>
      <c r="Q243" t="s">
        <v>257</v>
      </c>
      <c r="R243" t="s">
        <v>80</v>
      </c>
      <c r="S243" t="s">
        <v>80</v>
      </c>
      <c r="T243" t="s">
        <v>80</v>
      </c>
      <c r="U243" t="s">
        <v>80</v>
      </c>
      <c r="V243" t="s">
        <v>80</v>
      </c>
      <c r="W243" t="s">
        <v>2006</v>
      </c>
      <c r="X243" s="1">
        <v>44939</v>
      </c>
      <c r="Y243">
        <v>107.48</v>
      </c>
      <c r="Z243" t="s">
        <v>82</v>
      </c>
      <c r="AA243" t="str">
        <f t="shared" si="5"/>
        <v>1003</v>
      </c>
      <c r="AB243" t="s">
        <v>141</v>
      </c>
      <c r="AC243" t="s">
        <v>2007</v>
      </c>
      <c r="AD243" t="s">
        <v>2008</v>
      </c>
      <c r="AE243" t="str">
        <f>"14111704"</f>
        <v>14111704</v>
      </c>
      <c r="AF243" t="s">
        <v>213</v>
      </c>
      <c r="AG243" t="s">
        <v>214</v>
      </c>
      <c r="AH243" t="s">
        <v>719</v>
      </c>
      <c r="AI243" t="s">
        <v>1973</v>
      </c>
      <c r="AJ243" t="s">
        <v>2009</v>
      </c>
      <c r="AK243" t="s">
        <v>2010</v>
      </c>
      <c r="AL243" t="s">
        <v>723</v>
      </c>
      <c r="AN243" t="str">
        <f>"92145"</f>
        <v>92145</v>
      </c>
      <c r="AO243" t="str">
        <f>"17713"</f>
        <v>17713</v>
      </c>
      <c r="AP243" t="s">
        <v>92</v>
      </c>
      <c r="AR243">
        <v>117.11</v>
      </c>
      <c r="AS243">
        <v>49.99</v>
      </c>
      <c r="AT243">
        <v>2</v>
      </c>
      <c r="AU243">
        <v>99.98</v>
      </c>
      <c r="AV243">
        <v>2.99</v>
      </c>
      <c r="AW243">
        <v>-2.99</v>
      </c>
      <c r="AX243">
        <v>7.5</v>
      </c>
      <c r="AY243">
        <v>107.48</v>
      </c>
      <c r="BA243" t="s">
        <v>93</v>
      </c>
      <c r="BC243" t="s">
        <v>93</v>
      </c>
      <c r="BD243" t="s">
        <v>128</v>
      </c>
      <c r="BE243">
        <v>67.12</v>
      </c>
      <c r="BF243" s="2">
        <v>0.57310000000000005</v>
      </c>
      <c r="BI243" t="s">
        <v>80</v>
      </c>
      <c r="BM243" t="s">
        <v>94</v>
      </c>
      <c r="BN243" t="s">
        <v>95</v>
      </c>
      <c r="BP243" t="s">
        <v>266</v>
      </c>
      <c r="BR243" t="s">
        <v>130</v>
      </c>
      <c r="BT243" t="s">
        <v>131</v>
      </c>
      <c r="BU243" t="s">
        <v>132</v>
      </c>
      <c r="BV243" t="str">
        <f>"98109"</f>
        <v>98109</v>
      </c>
      <c r="BW243">
        <v>848</v>
      </c>
      <c r="BX243" t="s">
        <v>2733</v>
      </c>
      <c r="BY243" t="s">
        <v>2661</v>
      </c>
      <c r="BZ243">
        <v>2</v>
      </c>
    </row>
    <row r="244" spans="1:78" x14ac:dyDescent="0.25">
      <c r="A244" s="1">
        <v>44938</v>
      </c>
      <c r="B244" t="s">
        <v>2011</v>
      </c>
      <c r="C244" t="s">
        <v>254</v>
      </c>
      <c r="D244" t="s">
        <v>1986</v>
      </c>
      <c r="E244">
        <v>2</v>
      </c>
      <c r="F244" t="s">
        <v>76</v>
      </c>
      <c r="G244">
        <v>38.979999999999997</v>
      </c>
      <c r="H244">
        <v>0</v>
      </c>
      <c r="I244">
        <v>0</v>
      </c>
      <c r="J244">
        <v>3.02</v>
      </c>
      <c r="K244">
        <v>42</v>
      </c>
      <c r="L244" t="s">
        <v>77</v>
      </c>
      <c r="M244" t="s">
        <v>224</v>
      </c>
      <c r="P244" t="s">
        <v>256</v>
      </c>
      <c r="Q244" t="s">
        <v>257</v>
      </c>
      <c r="R244" t="s">
        <v>80</v>
      </c>
      <c r="S244" t="s">
        <v>80</v>
      </c>
      <c r="T244" t="s">
        <v>80</v>
      </c>
      <c r="U244" t="s">
        <v>80</v>
      </c>
      <c r="V244" t="s">
        <v>80</v>
      </c>
      <c r="W244" t="s">
        <v>2012</v>
      </c>
      <c r="X244" s="1">
        <v>44947</v>
      </c>
      <c r="Y244">
        <v>42</v>
      </c>
      <c r="Z244" t="s">
        <v>82</v>
      </c>
      <c r="AA244" t="str">
        <f t="shared" si="5"/>
        <v>1003</v>
      </c>
      <c r="AB244" t="s">
        <v>141</v>
      </c>
      <c r="AC244" t="s">
        <v>2013</v>
      </c>
      <c r="AD244" t="s">
        <v>2014</v>
      </c>
      <c r="AE244" t="str">
        <f>"46181500"</f>
        <v>46181500</v>
      </c>
      <c r="AF244" t="s">
        <v>451</v>
      </c>
      <c r="AG244" t="s">
        <v>580</v>
      </c>
      <c r="AH244" t="s">
        <v>1361</v>
      </c>
      <c r="AI244" t="s">
        <v>1361</v>
      </c>
      <c r="AJ244" t="s">
        <v>2015</v>
      </c>
      <c r="AK244" t="s">
        <v>2016</v>
      </c>
      <c r="AL244" t="s">
        <v>2017</v>
      </c>
      <c r="AN244" t="s">
        <v>2018</v>
      </c>
      <c r="AO244" t="s">
        <v>2018</v>
      </c>
      <c r="AP244" t="s">
        <v>92</v>
      </c>
      <c r="AR244">
        <v>19.489999999999998</v>
      </c>
      <c r="AS244">
        <v>19.489999999999998</v>
      </c>
      <c r="AT244">
        <v>2</v>
      </c>
      <c r="AU244">
        <v>38.979999999999997</v>
      </c>
      <c r="AV244">
        <v>0</v>
      </c>
      <c r="AX244">
        <v>3.02</v>
      </c>
      <c r="AY244">
        <v>42</v>
      </c>
      <c r="BA244" t="s">
        <v>93</v>
      </c>
      <c r="BC244" t="s">
        <v>93</v>
      </c>
      <c r="BI244" t="s">
        <v>80</v>
      </c>
      <c r="BM244" t="s">
        <v>94</v>
      </c>
      <c r="BN244" t="s">
        <v>95</v>
      </c>
      <c r="BP244" t="s">
        <v>266</v>
      </c>
      <c r="BR244" t="s">
        <v>130</v>
      </c>
      <c r="BT244" t="s">
        <v>131</v>
      </c>
      <c r="BU244" t="s">
        <v>132</v>
      </c>
      <c r="BV244" t="str">
        <f>"98109"</f>
        <v>98109</v>
      </c>
      <c r="BW244">
        <v>848</v>
      </c>
      <c r="BX244" t="s">
        <v>2733</v>
      </c>
      <c r="BY244" t="s">
        <v>2661</v>
      </c>
      <c r="BZ244">
        <v>2</v>
      </c>
    </row>
    <row r="245" spans="1:78" x14ac:dyDescent="0.25">
      <c r="A245" s="1">
        <v>44938</v>
      </c>
      <c r="B245" t="s">
        <v>2011</v>
      </c>
      <c r="C245" t="s">
        <v>254</v>
      </c>
      <c r="D245" t="s">
        <v>1986</v>
      </c>
      <c r="E245">
        <v>2</v>
      </c>
      <c r="F245" t="s">
        <v>76</v>
      </c>
      <c r="G245">
        <v>38.979999999999997</v>
      </c>
      <c r="H245">
        <v>0</v>
      </c>
      <c r="I245">
        <v>0</v>
      </c>
      <c r="J245">
        <v>3.02</v>
      </c>
      <c r="K245">
        <v>42</v>
      </c>
      <c r="L245" t="s">
        <v>77</v>
      </c>
      <c r="M245" t="s">
        <v>224</v>
      </c>
      <c r="P245" t="s">
        <v>256</v>
      </c>
      <c r="Q245" t="s">
        <v>257</v>
      </c>
      <c r="R245" t="s">
        <v>80</v>
      </c>
      <c r="S245" t="s">
        <v>80</v>
      </c>
      <c r="T245" t="s">
        <v>80</v>
      </c>
      <c r="U245" t="s">
        <v>80</v>
      </c>
      <c r="V245" t="s">
        <v>80</v>
      </c>
      <c r="W245" t="s">
        <v>80</v>
      </c>
      <c r="X245" t="s">
        <v>80</v>
      </c>
      <c r="Y245" t="s">
        <v>80</v>
      </c>
      <c r="Z245" t="s">
        <v>80</v>
      </c>
      <c r="AA245" t="s">
        <v>80</v>
      </c>
      <c r="AB245" t="s">
        <v>141</v>
      </c>
      <c r="AC245" t="s">
        <v>2019</v>
      </c>
      <c r="AD245" t="s">
        <v>2020</v>
      </c>
      <c r="AE245" t="str">
        <f>"46171500"</f>
        <v>46171500</v>
      </c>
      <c r="AF245" t="s">
        <v>451</v>
      </c>
      <c r="AG245" t="s">
        <v>452</v>
      </c>
      <c r="AH245" t="s">
        <v>453</v>
      </c>
      <c r="AI245" t="s">
        <v>453</v>
      </c>
      <c r="AK245" t="s">
        <v>2021</v>
      </c>
      <c r="AL245" t="s">
        <v>2022</v>
      </c>
      <c r="AN245" t="s">
        <v>2023</v>
      </c>
      <c r="AO245" t="s">
        <v>2024</v>
      </c>
      <c r="AP245" t="s">
        <v>92</v>
      </c>
      <c r="AR245">
        <v>19.5</v>
      </c>
      <c r="AS245">
        <v>0</v>
      </c>
      <c r="AT245">
        <v>0</v>
      </c>
      <c r="AU245">
        <v>15</v>
      </c>
      <c r="AV245">
        <v>0</v>
      </c>
      <c r="AX245">
        <v>1.1599999999999999</v>
      </c>
      <c r="AY245">
        <v>16.16</v>
      </c>
      <c r="BA245" t="s">
        <v>93</v>
      </c>
      <c r="BC245" t="s">
        <v>93</v>
      </c>
      <c r="BD245" t="s">
        <v>128</v>
      </c>
      <c r="BE245">
        <v>19.5</v>
      </c>
      <c r="BF245" s="3">
        <v>1</v>
      </c>
      <c r="BI245" t="s">
        <v>80</v>
      </c>
      <c r="BM245" t="s">
        <v>94</v>
      </c>
      <c r="BN245" t="s">
        <v>95</v>
      </c>
      <c r="BP245" t="s">
        <v>266</v>
      </c>
      <c r="BR245" t="s">
        <v>2021</v>
      </c>
      <c r="BT245" t="s">
        <v>2025</v>
      </c>
      <c r="BU245" t="s">
        <v>2026</v>
      </c>
      <c r="BV245" t="str">
        <f>"350004"</f>
        <v>350004</v>
      </c>
      <c r="BW245">
        <v>848</v>
      </c>
      <c r="BX245" t="s">
        <v>2733</v>
      </c>
      <c r="BY245" t="s">
        <v>2661</v>
      </c>
      <c r="BZ245">
        <v>2</v>
      </c>
    </row>
    <row r="246" spans="1:78" x14ac:dyDescent="0.25">
      <c r="A246" s="1">
        <v>44938</v>
      </c>
      <c r="B246" t="s">
        <v>2027</v>
      </c>
      <c r="C246" t="s">
        <v>254</v>
      </c>
      <c r="D246" t="s">
        <v>1986</v>
      </c>
      <c r="E246">
        <v>1</v>
      </c>
      <c r="F246" t="s">
        <v>76</v>
      </c>
      <c r="G246">
        <v>26.09</v>
      </c>
      <c r="H246">
        <v>0</v>
      </c>
      <c r="I246">
        <v>0</v>
      </c>
      <c r="J246">
        <v>2.02</v>
      </c>
      <c r="K246">
        <v>28.11</v>
      </c>
      <c r="L246" t="s">
        <v>77</v>
      </c>
      <c r="M246" t="s">
        <v>224</v>
      </c>
      <c r="P246" t="s">
        <v>256</v>
      </c>
      <c r="Q246" t="s">
        <v>257</v>
      </c>
      <c r="R246" t="s">
        <v>80</v>
      </c>
      <c r="S246" t="s">
        <v>80</v>
      </c>
      <c r="T246" t="s">
        <v>80</v>
      </c>
      <c r="U246" t="s">
        <v>80</v>
      </c>
      <c r="V246" t="s">
        <v>80</v>
      </c>
      <c r="W246" t="s">
        <v>2028</v>
      </c>
      <c r="X246" s="1">
        <v>44942</v>
      </c>
      <c r="Y246">
        <v>28.11</v>
      </c>
      <c r="Z246" t="s">
        <v>82</v>
      </c>
      <c r="AA246" t="str">
        <f>"1003"</f>
        <v>1003</v>
      </c>
      <c r="AB246" t="s">
        <v>141</v>
      </c>
      <c r="AC246" t="s">
        <v>2029</v>
      </c>
      <c r="AD246" t="s">
        <v>2030</v>
      </c>
      <c r="AE246" t="str">
        <f>"46181802"</f>
        <v>46181802</v>
      </c>
      <c r="AF246" t="s">
        <v>451</v>
      </c>
      <c r="AG246" t="s">
        <v>580</v>
      </c>
      <c r="AH246" t="s">
        <v>2031</v>
      </c>
      <c r="AI246" t="s">
        <v>2032</v>
      </c>
      <c r="AK246" t="s">
        <v>2033</v>
      </c>
      <c r="AL246" t="s">
        <v>2033</v>
      </c>
      <c r="AN246" t="s">
        <v>2034</v>
      </c>
      <c r="AO246" t="s">
        <v>2034</v>
      </c>
      <c r="AP246" t="s">
        <v>92</v>
      </c>
      <c r="AR246">
        <v>28.99</v>
      </c>
      <c r="AS246">
        <v>26.09</v>
      </c>
      <c r="AT246">
        <v>1</v>
      </c>
      <c r="AU246">
        <v>26.09</v>
      </c>
      <c r="AV246">
        <v>0</v>
      </c>
      <c r="AX246">
        <v>2.02</v>
      </c>
      <c r="AY246">
        <v>28.11</v>
      </c>
      <c r="BA246" t="s">
        <v>93</v>
      </c>
      <c r="BC246" t="s">
        <v>93</v>
      </c>
      <c r="BD246" t="s">
        <v>128</v>
      </c>
      <c r="BE246">
        <v>2.9</v>
      </c>
      <c r="BF246" s="3">
        <v>0.1</v>
      </c>
      <c r="BI246" t="s">
        <v>80</v>
      </c>
      <c r="BM246" t="s">
        <v>94</v>
      </c>
      <c r="BN246" t="s">
        <v>95</v>
      </c>
      <c r="BP246" t="s">
        <v>266</v>
      </c>
      <c r="BR246" t="s">
        <v>2035</v>
      </c>
      <c r="BT246" t="s">
        <v>2036</v>
      </c>
      <c r="BU246" t="s">
        <v>2036</v>
      </c>
      <c r="BV246" t="str">
        <f>"202150"</f>
        <v>202150</v>
      </c>
      <c r="BW246">
        <v>848</v>
      </c>
      <c r="BX246" t="s">
        <v>2733</v>
      </c>
      <c r="BY246" t="s">
        <v>2661</v>
      </c>
      <c r="BZ246">
        <v>2</v>
      </c>
    </row>
    <row r="247" spans="1:78" x14ac:dyDescent="0.25">
      <c r="A247" s="1">
        <v>44938</v>
      </c>
      <c r="B247" t="s">
        <v>2037</v>
      </c>
      <c r="C247" t="s">
        <v>223</v>
      </c>
      <c r="E247">
        <v>2</v>
      </c>
      <c r="F247" t="s">
        <v>76</v>
      </c>
      <c r="G247">
        <v>109.96</v>
      </c>
      <c r="H247">
        <v>0</v>
      </c>
      <c r="I247">
        <v>0</v>
      </c>
      <c r="J247">
        <v>7.28</v>
      </c>
      <c r="K247">
        <v>117.24</v>
      </c>
      <c r="L247" t="s">
        <v>77</v>
      </c>
      <c r="P247" t="s">
        <v>225</v>
      </c>
      <c r="Q247" t="s">
        <v>226</v>
      </c>
      <c r="R247" t="s">
        <v>80</v>
      </c>
      <c r="S247" t="s">
        <v>80</v>
      </c>
      <c r="T247" t="s">
        <v>80</v>
      </c>
      <c r="U247" t="s">
        <v>80</v>
      </c>
      <c r="V247" t="s">
        <v>80</v>
      </c>
      <c r="W247" t="s">
        <v>2038</v>
      </c>
      <c r="X247" s="1">
        <v>44942</v>
      </c>
      <c r="Y247">
        <v>117.24</v>
      </c>
      <c r="Z247" t="s">
        <v>82</v>
      </c>
      <c r="AA247" t="str">
        <f>"1003"</f>
        <v>1003</v>
      </c>
      <c r="AB247" t="s">
        <v>141</v>
      </c>
      <c r="AC247" t="s">
        <v>2039</v>
      </c>
      <c r="AD247" t="s">
        <v>2040</v>
      </c>
      <c r="AE247" t="str">
        <f>"47131800"</f>
        <v>47131800</v>
      </c>
      <c r="AF247" t="s">
        <v>144</v>
      </c>
      <c r="AG247" t="s">
        <v>145</v>
      </c>
      <c r="AH247" t="s">
        <v>261</v>
      </c>
      <c r="AI247" t="s">
        <v>261</v>
      </c>
      <c r="AJ247" t="s">
        <v>2041</v>
      </c>
      <c r="AK247" t="s">
        <v>950</v>
      </c>
      <c r="AL247" t="s">
        <v>1955</v>
      </c>
      <c r="AN247" t="str">
        <f>"35110459551"</f>
        <v>35110459551</v>
      </c>
      <c r="AO247" t="str">
        <f>"35110459551"</f>
        <v>35110459551</v>
      </c>
      <c r="AP247" t="s">
        <v>92</v>
      </c>
      <c r="AR247">
        <v>67.59</v>
      </c>
      <c r="AS247">
        <v>54.98</v>
      </c>
      <c r="AT247">
        <v>2</v>
      </c>
      <c r="AU247">
        <v>109.96</v>
      </c>
      <c r="AV247">
        <v>0</v>
      </c>
      <c r="AX247">
        <v>7.28</v>
      </c>
      <c r="AY247">
        <v>117.24</v>
      </c>
      <c r="BA247" t="s">
        <v>93</v>
      </c>
      <c r="BC247" t="s">
        <v>93</v>
      </c>
      <c r="BI247" t="s">
        <v>80</v>
      </c>
      <c r="BM247" t="s">
        <v>94</v>
      </c>
      <c r="BN247" t="s">
        <v>95</v>
      </c>
      <c r="BP247" t="s">
        <v>235</v>
      </c>
      <c r="BR247" t="s">
        <v>338</v>
      </c>
      <c r="BT247" t="s">
        <v>131</v>
      </c>
      <c r="BU247" t="s">
        <v>339</v>
      </c>
      <c r="BV247" t="str">
        <f>"98109"</f>
        <v>98109</v>
      </c>
      <c r="BW247">
        <v>909</v>
      </c>
      <c r="BX247" t="s">
        <v>2732</v>
      </c>
      <c r="BY247" t="s">
        <v>2719</v>
      </c>
      <c r="BZ247">
        <v>2</v>
      </c>
    </row>
    <row r="248" spans="1:78" x14ac:dyDescent="0.25">
      <c r="A248" s="1">
        <v>44938</v>
      </c>
      <c r="B248" t="s">
        <v>2042</v>
      </c>
      <c r="C248" t="s">
        <v>223</v>
      </c>
      <c r="E248">
        <v>5</v>
      </c>
      <c r="F248" t="s">
        <v>76</v>
      </c>
      <c r="G248">
        <v>30.77</v>
      </c>
      <c r="H248">
        <v>0</v>
      </c>
      <c r="I248">
        <v>0</v>
      </c>
      <c r="J248">
        <v>2.0299999999999998</v>
      </c>
      <c r="K248">
        <v>32.799999999999997</v>
      </c>
      <c r="L248" t="s">
        <v>77</v>
      </c>
      <c r="M248" t="s">
        <v>208</v>
      </c>
      <c r="P248" t="s">
        <v>225</v>
      </c>
      <c r="Q248" t="s">
        <v>226</v>
      </c>
      <c r="R248" t="s">
        <v>80</v>
      </c>
      <c r="S248" t="s">
        <v>80</v>
      </c>
      <c r="T248" t="s">
        <v>80</v>
      </c>
      <c r="U248" t="s">
        <v>80</v>
      </c>
      <c r="V248" t="s">
        <v>80</v>
      </c>
      <c r="W248" t="s">
        <v>2043</v>
      </c>
      <c r="X248" s="1">
        <v>44940</v>
      </c>
      <c r="Y248">
        <v>32.799999999999997</v>
      </c>
      <c r="Z248" t="s">
        <v>82</v>
      </c>
      <c r="AA248" t="str">
        <f>"1003"</f>
        <v>1003</v>
      </c>
      <c r="AB248" t="s">
        <v>119</v>
      </c>
      <c r="AC248" t="s">
        <v>763</v>
      </c>
      <c r="AD248" t="s">
        <v>764</v>
      </c>
      <c r="AE248" t="str">
        <f>"44121704"</f>
        <v>44121704</v>
      </c>
      <c r="AF248" t="s">
        <v>108</v>
      </c>
      <c r="AG248" t="s">
        <v>556</v>
      </c>
      <c r="AH248" t="s">
        <v>590</v>
      </c>
      <c r="AI248" t="s">
        <v>759</v>
      </c>
      <c r="AJ248" t="s">
        <v>765</v>
      </c>
      <c r="AK248" t="s">
        <v>761</v>
      </c>
      <c r="AL248" t="s">
        <v>766</v>
      </c>
      <c r="AN248" t="s">
        <v>767</v>
      </c>
      <c r="AO248" t="s">
        <v>768</v>
      </c>
      <c r="AP248" t="s">
        <v>92</v>
      </c>
      <c r="AR248">
        <v>6.99</v>
      </c>
      <c r="AS248">
        <v>5.0999999999999996</v>
      </c>
      <c r="AT248">
        <v>2</v>
      </c>
      <c r="AU248">
        <v>10.199999999999999</v>
      </c>
      <c r="AV248">
        <v>0</v>
      </c>
      <c r="AX248">
        <v>0.68</v>
      </c>
      <c r="AY248">
        <v>10.88</v>
      </c>
      <c r="BA248" t="s">
        <v>93</v>
      </c>
      <c r="BC248" t="s">
        <v>93</v>
      </c>
      <c r="BD248" t="s">
        <v>128</v>
      </c>
      <c r="BE248">
        <v>1.89</v>
      </c>
      <c r="BF248" s="2">
        <v>0.27039999999999997</v>
      </c>
      <c r="BI248" t="s">
        <v>80</v>
      </c>
      <c r="BM248" t="s">
        <v>94</v>
      </c>
      <c r="BN248" t="s">
        <v>95</v>
      </c>
      <c r="BP248" t="s">
        <v>235</v>
      </c>
      <c r="BR248" t="s">
        <v>130</v>
      </c>
      <c r="BT248" t="s">
        <v>131</v>
      </c>
      <c r="BU248" t="s">
        <v>132</v>
      </c>
      <c r="BV248" t="str">
        <f>"98109"</f>
        <v>98109</v>
      </c>
      <c r="BW248">
        <v>909</v>
      </c>
      <c r="BX248" t="s">
        <v>2732</v>
      </c>
      <c r="BY248" t="s">
        <v>2719</v>
      </c>
      <c r="BZ248">
        <v>2</v>
      </c>
    </row>
    <row r="249" spans="1:78" x14ac:dyDescent="0.25">
      <c r="A249" s="1">
        <v>44938</v>
      </c>
      <c r="B249" t="s">
        <v>2042</v>
      </c>
      <c r="C249" t="s">
        <v>223</v>
      </c>
      <c r="E249">
        <v>5</v>
      </c>
      <c r="F249" t="s">
        <v>76</v>
      </c>
      <c r="G249">
        <v>30.77</v>
      </c>
      <c r="H249">
        <v>0</v>
      </c>
      <c r="I249">
        <v>0</v>
      </c>
      <c r="J249">
        <v>2.0299999999999998</v>
      </c>
      <c r="K249">
        <v>32.799999999999997</v>
      </c>
      <c r="L249" t="s">
        <v>77</v>
      </c>
      <c r="M249" t="s">
        <v>208</v>
      </c>
      <c r="P249" t="s">
        <v>225</v>
      </c>
      <c r="Q249" t="s">
        <v>226</v>
      </c>
      <c r="R249" t="s">
        <v>80</v>
      </c>
      <c r="S249" t="s">
        <v>80</v>
      </c>
      <c r="T249" t="s">
        <v>80</v>
      </c>
      <c r="U249" t="s">
        <v>80</v>
      </c>
      <c r="V249" t="s">
        <v>80</v>
      </c>
      <c r="W249" t="s">
        <v>2043</v>
      </c>
      <c r="X249" s="1">
        <v>44940</v>
      </c>
      <c r="Y249">
        <v>32.799999999999997</v>
      </c>
      <c r="Z249" t="s">
        <v>82</v>
      </c>
      <c r="AA249" t="str">
        <f>"1003"</f>
        <v>1003</v>
      </c>
      <c r="AB249" t="s">
        <v>119</v>
      </c>
      <c r="AC249" t="s">
        <v>2044</v>
      </c>
      <c r="AD249" t="s">
        <v>2045</v>
      </c>
      <c r="AE249" t="str">
        <f>"44121600"</f>
        <v>44121600</v>
      </c>
      <c r="AF249" t="s">
        <v>108</v>
      </c>
      <c r="AG249" t="s">
        <v>556</v>
      </c>
      <c r="AH249" t="s">
        <v>983</v>
      </c>
      <c r="AI249" t="s">
        <v>983</v>
      </c>
      <c r="AJ249" t="s">
        <v>175</v>
      </c>
      <c r="AK249" t="s">
        <v>176</v>
      </c>
      <c r="AL249" t="s">
        <v>176</v>
      </c>
      <c r="AN249" t="s">
        <v>2046</v>
      </c>
      <c r="AO249" t="s">
        <v>2046</v>
      </c>
      <c r="AP249" t="s">
        <v>92</v>
      </c>
      <c r="AR249">
        <v>12.99</v>
      </c>
      <c r="AS249">
        <v>10.79</v>
      </c>
      <c r="AT249">
        <v>1</v>
      </c>
      <c r="AU249">
        <v>10.79</v>
      </c>
      <c r="AV249">
        <v>0</v>
      </c>
      <c r="AX249">
        <v>0.71</v>
      </c>
      <c r="AY249">
        <v>11.5</v>
      </c>
      <c r="BA249" t="s">
        <v>93</v>
      </c>
      <c r="BC249" t="s">
        <v>93</v>
      </c>
      <c r="BD249" t="s">
        <v>128</v>
      </c>
      <c r="BE249">
        <v>2.2000000000000002</v>
      </c>
      <c r="BF249" s="2">
        <v>0.1694</v>
      </c>
      <c r="BI249" t="s">
        <v>80</v>
      </c>
      <c r="BM249" t="s">
        <v>94</v>
      </c>
      <c r="BN249" t="s">
        <v>95</v>
      </c>
      <c r="BP249" t="s">
        <v>235</v>
      </c>
      <c r="BR249" t="s">
        <v>130</v>
      </c>
      <c r="BT249" t="s">
        <v>131</v>
      </c>
      <c r="BU249" t="s">
        <v>132</v>
      </c>
      <c r="BV249" t="str">
        <f>"98109"</f>
        <v>98109</v>
      </c>
      <c r="BW249">
        <v>909</v>
      </c>
      <c r="BX249" t="s">
        <v>2732</v>
      </c>
      <c r="BY249" t="s">
        <v>2719</v>
      </c>
      <c r="BZ249">
        <v>2</v>
      </c>
    </row>
    <row r="250" spans="1:78" x14ac:dyDescent="0.25">
      <c r="A250" s="1">
        <v>44938</v>
      </c>
      <c r="B250" t="s">
        <v>2042</v>
      </c>
      <c r="C250" t="s">
        <v>223</v>
      </c>
      <c r="E250">
        <v>5</v>
      </c>
      <c r="F250" t="s">
        <v>76</v>
      </c>
      <c r="G250">
        <v>30.77</v>
      </c>
      <c r="H250">
        <v>0</v>
      </c>
      <c r="I250">
        <v>0</v>
      </c>
      <c r="J250">
        <v>2.0299999999999998</v>
      </c>
      <c r="K250">
        <v>32.799999999999997</v>
      </c>
      <c r="L250" t="s">
        <v>77</v>
      </c>
      <c r="M250" t="s">
        <v>208</v>
      </c>
      <c r="P250" t="s">
        <v>225</v>
      </c>
      <c r="Q250" t="s">
        <v>226</v>
      </c>
      <c r="R250" t="s">
        <v>80</v>
      </c>
      <c r="S250" t="s">
        <v>80</v>
      </c>
      <c r="T250" t="s">
        <v>80</v>
      </c>
      <c r="U250" t="s">
        <v>80</v>
      </c>
      <c r="V250" t="s">
        <v>80</v>
      </c>
      <c r="W250" t="s">
        <v>2043</v>
      </c>
      <c r="X250" s="1">
        <v>44940</v>
      </c>
      <c r="Y250">
        <v>32.799999999999997</v>
      </c>
      <c r="Z250" t="s">
        <v>82</v>
      </c>
      <c r="AA250" t="str">
        <f>"1003"</f>
        <v>1003</v>
      </c>
      <c r="AB250" t="s">
        <v>119</v>
      </c>
      <c r="AC250" t="s">
        <v>1277</v>
      </c>
      <c r="AD250" t="s">
        <v>1278</v>
      </c>
      <c r="AE250" t="str">
        <f>"44121704"</f>
        <v>44121704</v>
      </c>
      <c r="AF250" t="s">
        <v>108</v>
      </c>
      <c r="AG250" t="s">
        <v>556</v>
      </c>
      <c r="AH250" t="s">
        <v>590</v>
      </c>
      <c r="AI250" t="s">
        <v>759</v>
      </c>
      <c r="AJ250" t="s">
        <v>765</v>
      </c>
      <c r="AK250" t="s">
        <v>761</v>
      </c>
      <c r="AL250" t="s">
        <v>766</v>
      </c>
      <c r="AN250" t="s">
        <v>1279</v>
      </c>
      <c r="AO250" t="s">
        <v>1279</v>
      </c>
      <c r="AP250" t="s">
        <v>92</v>
      </c>
      <c r="AR250">
        <v>6.99</v>
      </c>
      <c r="AS250">
        <v>4.8899999999999997</v>
      </c>
      <c r="AT250">
        <v>2</v>
      </c>
      <c r="AU250">
        <v>9.7799999999999994</v>
      </c>
      <c r="AV250">
        <v>0</v>
      </c>
      <c r="AX250">
        <v>0.64</v>
      </c>
      <c r="AY250">
        <v>10.42</v>
      </c>
      <c r="BA250" t="s">
        <v>93</v>
      </c>
      <c r="BC250" t="s">
        <v>93</v>
      </c>
      <c r="BD250" t="s">
        <v>128</v>
      </c>
      <c r="BE250">
        <v>2.1</v>
      </c>
      <c r="BF250" s="2">
        <v>0.3004</v>
      </c>
      <c r="BI250" t="s">
        <v>80</v>
      </c>
      <c r="BM250" t="s">
        <v>94</v>
      </c>
      <c r="BN250" t="s">
        <v>95</v>
      </c>
      <c r="BP250" t="s">
        <v>235</v>
      </c>
      <c r="BR250" t="s">
        <v>130</v>
      </c>
      <c r="BT250" t="s">
        <v>131</v>
      </c>
      <c r="BU250" t="s">
        <v>132</v>
      </c>
      <c r="BV250" t="str">
        <f>"98109"</f>
        <v>98109</v>
      </c>
      <c r="BW250">
        <v>909</v>
      </c>
      <c r="BX250" t="s">
        <v>2732</v>
      </c>
      <c r="BY250" t="s">
        <v>2719</v>
      </c>
      <c r="BZ250">
        <v>2</v>
      </c>
    </row>
    <row r="251" spans="1:78" x14ac:dyDescent="0.25">
      <c r="A251" s="1">
        <v>44938</v>
      </c>
      <c r="B251" t="s">
        <v>2042</v>
      </c>
      <c r="C251" t="s">
        <v>223</v>
      </c>
      <c r="E251">
        <v>5</v>
      </c>
      <c r="F251" t="s">
        <v>76</v>
      </c>
      <c r="G251">
        <v>30.77</v>
      </c>
      <c r="H251">
        <v>0</v>
      </c>
      <c r="I251">
        <v>0</v>
      </c>
      <c r="J251">
        <v>2.0299999999999998</v>
      </c>
      <c r="K251">
        <v>32.799999999999997</v>
      </c>
      <c r="L251" t="s">
        <v>77</v>
      </c>
      <c r="M251" t="s">
        <v>208</v>
      </c>
      <c r="P251" t="s">
        <v>225</v>
      </c>
      <c r="Q251" t="s">
        <v>226</v>
      </c>
      <c r="R251" t="s">
        <v>80</v>
      </c>
      <c r="S251" t="s">
        <v>80</v>
      </c>
      <c r="T251" t="s">
        <v>80</v>
      </c>
      <c r="U251" t="s">
        <v>80</v>
      </c>
      <c r="V251" t="s">
        <v>80</v>
      </c>
      <c r="W251" t="s">
        <v>80</v>
      </c>
      <c r="X251" t="s">
        <v>80</v>
      </c>
      <c r="Y251" t="s">
        <v>80</v>
      </c>
      <c r="Z251" t="s">
        <v>80</v>
      </c>
      <c r="AA251" t="s">
        <v>80</v>
      </c>
      <c r="AB251" t="s">
        <v>119</v>
      </c>
      <c r="AC251" t="s">
        <v>2047</v>
      </c>
      <c r="AD251" t="s">
        <v>2048</v>
      </c>
      <c r="AE251" t="str">
        <f>"44121615"</f>
        <v>44121615</v>
      </c>
      <c r="AF251" t="s">
        <v>108</v>
      </c>
      <c r="AG251" t="s">
        <v>556</v>
      </c>
      <c r="AH251" t="s">
        <v>983</v>
      </c>
      <c r="AI251" t="s">
        <v>1003</v>
      </c>
      <c r="AJ251" t="s">
        <v>2049</v>
      </c>
      <c r="AK251" t="s">
        <v>2050</v>
      </c>
      <c r="AL251" t="s">
        <v>2051</v>
      </c>
      <c r="AN251" t="s">
        <v>2052</v>
      </c>
      <c r="AO251" t="s">
        <v>2053</v>
      </c>
      <c r="AP251" t="s">
        <v>92</v>
      </c>
      <c r="AR251">
        <v>21.99</v>
      </c>
      <c r="AS251">
        <v>0</v>
      </c>
      <c r="AT251">
        <v>0</v>
      </c>
      <c r="AU251">
        <v>16.77</v>
      </c>
      <c r="AV251">
        <v>0</v>
      </c>
      <c r="AX251">
        <v>1.1100000000000001</v>
      </c>
      <c r="AY251">
        <v>17.88</v>
      </c>
      <c r="BA251" t="s">
        <v>93</v>
      </c>
      <c r="BC251" t="s">
        <v>93</v>
      </c>
      <c r="BD251" t="s">
        <v>128</v>
      </c>
      <c r="BE251">
        <v>21.99</v>
      </c>
      <c r="BF251" s="3">
        <v>1</v>
      </c>
      <c r="BI251" t="s">
        <v>80</v>
      </c>
      <c r="BM251" t="s">
        <v>94</v>
      </c>
      <c r="BN251" t="s">
        <v>95</v>
      </c>
      <c r="BP251" t="s">
        <v>235</v>
      </c>
      <c r="BR251" t="s">
        <v>130</v>
      </c>
      <c r="BT251" t="s">
        <v>131</v>
      </c>
      <c r="BU251" t="s">
        <v>132</v>
      </c>
      <c r="BV251" t="str">
        <f>"98109"</f>
        <v>98109</v>
      </c>
      <c r="BW251">
        <v>909</v>
      </c>
      <c r="BX251" t="s">
        <v>2732</v>
      </c>
      <c r="BY251" t="s">
        <v>2719</v>
      </c>
      <c r="BZ251">
        <v>2</v>
      </c>
    </row>
    <row r="252" spans="1:78" x14ac:dyDescent="0.25">
      <c r="A252" s="1">
        <v>44938</v>
      </c>
      <c r="B252" t="s">
        <v>2054</v>
      </c>
      <c r="C252" t="s">
        <v>223</v>
      </c>
      <c r="E252">
        <v>10</v>
      </c>
      <c r="F252" t="s">
        <v>76</v>
      </c>
      <c r="G252">
        <v>84.7</v>
      </c>
      <c r="H252">
        <v>0</v>
      </c>
      <c r="I252">
        <v>0</v>
      </c>
      <c r="J252">
        <v>0</v>
      </c>
      <c r="K252">
        <v>84.7</v>
      </c>
      <c r="L252" t="s">
        <v>77</v>
      </c>
      <c r="M252" t="s">
        <v>208</v>
      </c>
      <c r="P252" t="s">
        <v>225</v>
      </c>
      <c r="Q252" t="s">
        <v>226</v>
      </c>
      <c r="R252" t="s">
        <v>80</v>
      </c>
      <c r="S252" t="s">
        <v>80</v>
      </c>
      <c r="T252" t="s">
        <v>80</v>
      </c>
      <c r="U252" t="s">
        <v>80</v>
      </c>
      <c r="V252" t="s">
        <v>80</v>
      </c>
      <c r="W252" t="s">
        <v>2055</v>
      </c>
      <c r="X252" s="1">
        <v>44939</v>
      </c>
      <c r="Y252">
        <v>84.7</v>
      </c>
      <c r="Z252" t="s">
        <v>82</v>
      </c>
      <c r="AA252" t="str">
        <f t="shared" ref="AA252:AA283" si="6">"1003"</f>
        <v>1003</v>
      </c>
      <c r="AB252" t="s">
        <v>141</v>
      </c>
      <c r="AC252" t="s">
        <v>2056</v>
      </c>
      <c r="AD252" t="s">
        <v>2057</v>
      </c>
      <c r="AE252" t="str">
        <f>"42132203"</f>
        <v>42132203</v>
      </c>
      <c r="AF252" t="s">
        <v>243</v>
      </c>
      <c r="AG252" t="s">
        <v>244</v>
      </c>
      <c r="AH252" t="s">
        <v>245</v>
      </c>
      <c r="AI252" t="s">
        <v>246</v>
      </c>
      <c r="AK252" t="s">
        <v>247</v>
      </c>
      <c r="AL252" t="s">
        <v>1766</v>
      </c>
      <c r="AN252" t="s">
        <v>2058</v>
      </c>
      <c r="AO252" t="s">
        <v>2058</v>
      </c>
      <c r="AP252" t="s">
        <v>92</v>
      </c>
      <c r="AR252">
        <v>8.99</v>
      </c>
      <c r="AS252">
        <v>8.4700000000000006</v>
      </c>
      <c r="AT252">
        <v>10</v>
      </c>
      <c r="AU252">
        <v>84.7</v>
      </c>
      <c r="AV252">
        <v>0</v>
      </c>
      <c r="AX252">
        <v>0</v>
      </c>
      <c r="AY252">
        <v>84.7</v>
      </c>
      <c r="BA252" t="s">
        <v>93</v>
      </c>
      <c r="BC252" t="s">
        <v>93</v>
      </c>
      <c r="BI252" t="s">
        <v>80</v>
      </c>
      <c r="BM252" t="s">
        <v>94</v>
      </c>
      <c r="BN252" t="s">
        <v>95</v>
      </c>
      <c r="BP252" t="s">
        <v>235</v>
      </c>
      <c r="BR252" t="s">
        <v>249</v>
      </c>
      <c r="BS252" t="s">
        <v>250</v>
      </c>
      <c r="BT252" t="s">
        <v>251</v>
      </c>
      <c r="BU252" t="s">
        <v>252</v>
      </c>
      <c r="BV252" t="str">
        <f>"08527"</f>
        <v>08527</v>
      </c>
      <c r="BW252">
        <v>909</v>
      </c>
      <c r="BX252" t="s">
        <v>2732</v>
      </c>
      <c r="BY252" t="s">
        <v>2719</v>
      </c>
      <c r="BZ252">
        <v>2</v>
      </c>
    </row>
    <row r="253" spans="1:78" x14ac:dyDescent="0.25">
      <c r="A253" s="1">
        <v>44937</v>
      </c>
      <c r="B253" t="s">
        <v>2059</v>
      </c>
      <c r="C253" t="s">
        <v>100</v>
      </c>
      <c r="D253" t="s">
        <v>2060</v>
      </c>
      <c r="E253">
        <v>1</v>
      </c>
      <c r="F253" t="s">
        <v>76</v>
      </c>
      <c r="G253">
        <v>1359</v>
      </c>
      <c r="H253">
        <v>0</v>
      </c>
      <c r="I253">
        <v>0</v>
      </c>
      <c r="J253">
        <v>105.32</v>
      </c>
      <c r="K253">
        <v>1464.32</v>
      </c>
      <c r="L253" t="s">
        <v>207</v>
      </c>
      <c r="M253" t="s">
        <v>224</v>
      </c>
      <c r="P253" t="s">
        <v>224</v>
      </c>
      <c r="Q253" t="s">
        <v>434</v>
      </c>
      <c r="R253" t="s">
        <v>80</v>
      </c>
      <c r="S253" t="s">
        <v>80</v>
      </c>
      <c r="T253" t="s">
        <v>80</v>
      </c>
      <c r="U253" t="s">
        <v>80</v>
      </c>
      <c r="V253" t="s">
        <v>80</v>
      </c>
      <c r="W253" t="s">
        <v>2061</v>
      </c>
      <c r="X253" s="1">
        <v>44938</v>
      </c>
      <c r="Y253">
        <v>1464.32</v>
      </c>
      <c r="Z253" t="s">
        <v>82</v>
      </c>
      <c r="AA253" t="str">
        <f t="shared" si="6"/>
        <v>1003</v>
      </c>
      <c r="AB253" t="s">
        <v>119</v>
      </c>
      <c r="AC253" t="s">
        <v>924</v>
      </c>
      <c r="AD253" t="s">
        <v>925</v>
      </c>
      <c r="AE253" t="str">
        <f>"14111507"</f>
        <v>14111507</v>
      </c>
      <c r="AF253" t="s">
        <v>213</v>
      </c>
      <c r="AG253" t="s">
        <v>214</v>
      </c>
      <c r="AH253" t="s">
        <v>215</v>
      </c>
      <c r="AI253" t="s">
        <v>216</v>
      </c>
      <c r="AJ253" t="s">
        <v>926</v>
      </c>
      <c r="AK253" t="s">
        <v>927</v>
      </c>
      <c r="AL253" t="s">
        <v>928</v>
      </c>
      <c r="AN253" t="s">
        <v>929</v>
      </c>
      <c r="AO253" t="s">
        <v>929</v>
      </c>
      <c r="AP253" t="s">
        <v>92</v>
      </c>
      <c r="AR253">
        <v>1359</v>
      </c>
      <c r="AS253">
        <v>1359</v>
      </c>
      <c r="AT253">
        <v>1</v>
      </c>
      <c r="AU253">
        <v>1359</v>
      </c>
      <c r="AV253">
        <v>0</v>
      </c>
      <c r="AX253">
        <v>105.32</v>
      </c>
      <c r="AY253">
        <v>1464.32</v>
      </c>
      <c r="BA253" t="s">
        <v>93</v>
      </c>
      <c r="BC253" t="s">
        <v>93</v>
      </c>
      <c r="BI253" t="s">
        <v>80</v>
      </c>
      <c r="BM253" t="s">
        <v>94</v>
      </c>
      <c r="BN253" t="s">
        <v>95</v>
      </c>
      <c r="BP253" t="s">
        <v>221</v>
      </c>
      <c r="BR253" t="s">
        <v>130</v>
      </c>
      <c r="BT253" t="s">
        <v>131</v>
      </c>
      <c r="BU253" t="s">
        <v>132</v>
      </c>
      <c r="BV253" t="str">
        <f>"98109"</f>
        <v>98109</v>
      </c>
      <c r="BW253">
        <v>889</v>
      </c>
      <c r="BX253" t="s">
        <v>2731</v>
      </c>
      <c r="BY253" t="s">
        <v>2687</v>
      </c>
      <c r="BZ253">
        <v>2</v>
      </c>
    </row>
    <row r="254" spans="1:78" x14ac:dyDescent="0.25">
      <c r="A254" s="1">
        <v>44937</v>
      </c>
      <c r="B254" t="s">
        <v>2062</v>
      </c>
      <c r="C254" t="s">
        <v>100</v>
      </c>
      <c r="D254" t="s">
        <v>2063</v>
      </c>
      <c r="E254">
        <v>1</v>
      </c>
      <c r="F254" t="s">
        <v>76</v>
      </c>
      <c r="G254">
        <v>1359</v>
      </c>
      <c r="H254">
        <v>0</v>
      </c>
      <c r="I254">
        <v>0</v>
      </c>
      <c r="J254">
        <v>95.13</v>
      </c>
      <c r="K254">
        <v>1454.13</v>
      </c>
      <c r="L254" t="s">
        <v>207</v>
      </c>
      <c r="M254" t="s">
        <v>224</v>
      </c>
      <c r="P254" t="s">
        <v>224</v>
      </c>
      <c r="Q254" t="s">
        <v>434</v>
      </c>
      <c r="R254" t="s">
        <v>80</v>
      </c>
      <c r="S254" t="s">
        <v>80</v>
      </c>
      <c r="T254" t="s">
        <v>80</v>
      </c>
      <c r="U254" t="s">
        <v>80</v>
      </c>
      <c r="V254" t="s">
        <v>80</v>
      </c>
      <c r="W254" t="s">
        <v>2064</v>
      </c>
      <c r="X254" s="1">
        <v>44938</v>
      </c>
      <c r="Y254">
        <v>1454.13</v>
      </c>
      <c r="Z254" t="s">
        <v>82</v>
      </c>
      <c r="AA254" t="str">
        <f t="shared" si="6"/>
        <v>1003</v>
      </c>
      <c r="AB254" t="s">
        <v>119</v>
      </c>
      <c r="AC254" t="s">
        <v>924</v>
      </c>
      <c r="AD254" t="s">
        <v>925</v>
      </c>
      <c r="AE254" t="str">
        <f>"14111507"</f>
        <v>14111507</v>
      </c>
      <c r="AF254" t="s">
        <v>213</v>
      </c>
      <c r="AG254" t="s">
        <v>214</v>
      </c>
      <c r="AH254" t="s">
        <v>215</v>
      </c>
      <c r="AI254" t="s">
        <v>216</v>
      </c>
      <c r="AJ254" t="s">
        <v>926</v>
      </c>
      <c r="AK254" t="s">
        <v>927</v>
      </c>
      <c r="AL254" t="s">
        <v>928</v>
      </c>
      <c r="AN254" t="s">
        <v>929</v>
      </c>
      <c r="AO254" t="s">
        <v>929</v>
      </c>
      <c r="AP254" t="s">
        <v>92</v>
      </c>
      <c r="AR254">
        <v>1359</v>
      </c>
      <c r="AS254">
        <v>1359</v>
      </c>
      <c r="AT254">
        <v>1</v>
      </c>
      <c r="AU254">
        <v>1359</v>
      </c>
      <c r="AV254">
        <v>0</v>
      </c>
      <c r="AX254">
        <v>95.13</v>
      </c>
      <c r="AY254">
        <v>1454.13</v>
      </c>
      <c r="BA254" t="s">
        <v>93</v>
      </c>
      <c r="BC254" t="s">
        <v>93</v>
      </c>
      <c r="BI254" t="s">
        <v>80</v>
      </c>
      <c r="BM254" t="s">
        <v>94</v>
      </c>
      <c r="BN254" t="s">
        <v>95</v>
      </c>
      <c r="BP254" t="s">
        <v>1014</v>
      </c>
      <c r="BR254" t="s">
        <v>130</v>
      </c>
      <c r="BT254" t="s">
        <v>131</v>
      </c>
      <c r="BU254" t="s">
        <v>132</v>
      </c>
      <c r="BV254" t="str">
        <f>"98109"</f>
        <v>98109</v>
      </c>
      <c r="BW254">
        <v>804</v>
      </c>
      <c r="BX254" t="s">
        <v>2751</v>
      </c>
      <c r="BY254" t="s">
        <v>2614</v>
      </c>
      <c r="BZ254">
        <v>2</v>
      </c>
    </row>
    <row r="255" spans="1:78" x14ac:dyDescent="0.25">
      <c r="A255" s="1">
        <v>44937</v>
      </c>
      <c r="B255" t="s">
        <v>2065</v>
      </c>
      <c r="C255" t="s">
        <v>100</v>
      </c>
      <c r="D255" t="s">
        <v>2066</v>
      </c>
      <c r="E255">
        <v>1</v>
      </c>
      <c r="F255" t="s">
        <v>76</v>
      </c>
      <c r="G255">
        <v>385.9</v>
      </c>
      <c r="H255">
        <v>0</v>
      </c>
      <c r="I255">
        <v>0</v>
      </c>
      <c r="J255">
        <v>28.85</v>
      </c>
      <c r="K255">
        <v>414.75</v>
      </c>
      <c r="L255" t="s">
        <v>77</v>
      </c>
      <c r="M255" t="s">
        <v>208</v>
      </c>
      <c r="P255" t="s">
        <v>208</v>
      </c>
      <c r="Q255" t="s">
        <v>209</v>
      </c>
      <c r="R255" t="s">
        <v>80</v>
      </c>
      <c r="S255" t="s">
        <v>80</v>
      </c>
      <c r="T255" t="s">
        <v>80</v>
      </c>
      <c r="U255" t="s">
        <v>80</v>
      </c>
      <c r="V255" t="s">
        <v>80</v>
      </c>
      <c r="W255" t="s">
        <v>2067</v>
      </c>
      <c r="X255" s="1">
        <v>44942</v>
      </c>
      <c r="Y255">
        <v>414.75</v>
      </c>
      <c r="Z255" t="s">
        <v>82</v>
      </c>
      <c r="AA255" t="str">
        <f t="shared" si="6"/>
        <v>1003</v>
      </c>
      <c r="AB255" t="s">
        <v>119</v>
      </c>
      <c r="AC255" t="s">
        <v>2068</v>
      </c>
      <c r="AD255" t="s">
        <v>2069</v>
      </c>
      <c r="AE255" t="str">
        <f>"44111900"</f>
        <v>44111900</v>
      </c>
      <c r="AF255" t="s">
        <v>108</v>
      </c>
      <c r="AG255" t="s">
        <v>122</v>
      </c>
      <c r="AH255" t="s">
        <v>438</v>
      </c>
      <c r="AI255" t="s">
        <v>438</v>
      </c>
      <c r="AK255" t="s">
        <v>1102</v>
      </c>
      <c r="AL255" t="s">
        <v>2070</v>
      </c>
      <c r="AN255" t="s">
        <v>2071</v>
      </c>
      <c r="AO255" t="s">
        <v>2071</v>
      </c>
      <c r="AP255" t="s">
        <v>92</v>
      </c>
      <c r="AR255">
        <v>385.9</v>
      </c>
      <c r="AS255">
        <v>385.9</v>
      </c>
      <c r="AT255">
        <v>1</v>
      </c>
      <c r="AU255">
        <v>385.9</v>
      </c>
      <c r="AV255">
        <v>0</v>
      </c>
      <c r="AX255">
        <v>28.85</v>
      </c>
      <c r="AY255">
        <v>414.75</v>
      </c>
      <c r="BA255" t="s">
        <v>93</v>
      </c>
      <c r="BC255" t="s">
        <v>93</v>
      </c>
      <c r="BI255" t="s">
        <v>80</v>
      </c>
      <c r="BM255" t="s">
        <v>94</v>
      </c>
      <c r="BN255" t="s">
        <v>95</v>
      </c>
      <c r="BP255" t="s">
        <v>698</v>
      </c>
      <c r="BR255" t="s">
        <v>1105</v>
      </c>
      <c r="BT255" t="s">
        <v>1106</v>
      </c>
      <c r="BU255" t="s">
        <v>1107</v>
      </c>
      <c r="BV255" t="str">
        <f>"06098"</f>
        <v>06098</v>
      </c>
      <c r="BW255">
        <v>839</v>
      </c>
      <c r="BX255" t="s">
        <v>2750</v>
      </c>
      <c r="BY255" t="s">
        <v>2659</v>
      </c>
      <c r="BZ255">
        <v>2</v>
      </c>
    </row>
    <row r="256" spans="1:78" x14ac:dyDescent="0.25">
      <c r="A256" s="1">
        <v>44937</v>
      </c>
      <c r="B256" t="s">
        <v>2072</v>
      </c>
      <c r="C256" t="s">
        <v>283</v>
      </c>
      <c r="E256">
        <v>2</v>
      </c>
      <c r="F256" t="s">
        <v>76</v>
      </c>
      <c r="G256">
        <v>53.98</v>
      </c>
      <c r="H256">
        <v>0</v>
      </c>
      <c r="I256">
        <v>0</v>
      </c>
      <c r="J256">
        <v>5.4</v>
      </c>
      <c r="K256">
        <v>59.38</v>
      </c>
      <c r="L256" t="s">
        <v>77</v>
      </c>
      <c r="P256" t="s">
        <v>284</v>
      </c>
      <c r="Q256" t="s">
        <v>285</v>
      </c>
      <c r="R256" t="s">
        <v>80</v>
      </c>
      <c r="S256" t="s">
        <v>80</v>
      </c>
      <c r="T256" t="s">
        <v>80</v>
      </c>
      <c r="U256" t="s">
        <v>80</v>
      </c>
      <c r="V256" t="s">
        <v>80</v>
      </c>
      <c r="W256" t="s">
        <v>2073</v>
      </c>
      <c r="X256" s="1">
        <v>44937</v>
      </c>
      <c r="Y256">
        <v>59.38</v>
      </c>
      <c r="Z256" t="s">
        <v>82</v>
      </c>
      <c r="AA256" t="str">
        <f t="shared" si="6"/>
        <v>1003</v>
      </c>
      <c r="AB256" t="s">
        <v>83</v>
      </c>
      <c r="AC256" t="s">
        <v>2074</v>
      </c>
      <c r="AD256" t="s">
        <v>2075</v>
      </c>
      <c r="AE256" t="str">
        <f>"43212002"</f>
        <v>43212002</v>
      </c>
      <c r="AF256" t="s">
        <v>86</v>
      </c>
      <c r="AG256" t="s">
        <v>1151</v>
      </c>
      <c r="AH256" t="s">
        <v>2076</v>
      </c>
      <c r="AI256" t="s">
        <v>2077</v>
      </c>
      <c r="AK256" t="s">
        <v>2078</v>
      </c>
      <c r="AL256" t="s">
        <v>2078</v>
      </c>
      <c r="AN256" t="s">
        <v>2079</v>
      </c>
      <c r="AO256" t="s">
        <v>2080</v>
      </c>
      <c r="AP256" t="s">
        <v>92</v>
      </c>
      <c r="AR256">
        <v>39.99</v>
      </c>
      <c r="AS256">
        <v>26.99</v>
      </c>
      <c r="AT256">
        <v>2</v>
      </c>
      <c r="AU256">
        <v>53.98</v>
      </c>
      <c r="AV256">
        <v>0</v>
      </c>
      <c r="AX256">
        <v>5.4</v>
      </c>
      <c r="AY256">
        <v>59.38</v>
      </c>
      <c r="BA256" t="s">
        <v>93</v>
      </c>
      <c r="BC256" t="s">
        <v>93</v>
      </c>
      <c r="BI256" t="s">
        <v>80</v>
      </c>
      <c r="BM256" t="s">
        <v>94</v>
      </c>
      <c r="BN256" t="s">
        <v>95</v>
      </c>
      <c r="BP256" t="s">
        <v>302</v>
      </c>
      <c r="BR256" t="s">
        <v>2081</v>
      </c>
      <c r="BS256" t="s">
        <v>2082</v>
      </c>
      <c r="BT256" t="s">
        <v>2083</v>
      </c>
      <c r="BU256" t="s">
        <v>2084</v>
      </c>
      <c r="BV256" t="str">
        <f>"61742"</f>
        <v>61742</v>
      </c>
      <c r="BW256">
        <v>902</v>
      </c>
      <c r="BX256" t="s">
        <v>2736</v>
      </c>
      <c r="BY256" t="s">
        <v>2707</v>
      </c>
      <c r="BZ256">
        <v>2</v>
      </c>
    </row>
    <row r="257" spans="1:78" x14ac:dyDescent="0.25">
      <c r="A257" s="1">
        <v>44937</v>
      </c>
      <c r="B257" t="s">
        <v>2085</v>
      </c>
      <c r="C257" t="s">
        <v>851</v>
      </c>
      <c r="E257">
        <v>1</v>
      </c>
      <c r="F257" t="s">
        <v>76</v>
      </c>
      <c r="G257">
        <v>23.38</v>
      </c>
      <c r="H257">
        <v>2.99</v>
      </c>
      <c r="I257">
        <v>0</v>
      </c>
      <c r="J257">
        <v>1.75</v>
      </c>
      <c r="K257">
        <v>28.12</v>
      </c>
      <c r="L257" t="s">
        <v>77</v>
      </c>
      <c r="P257" t="s">
        <v>852</v>
      </c>
      <c r="Q257" t="s">
        <v>853</v>
      </c>
      <c r="R257" t="s">
        <v>80</v>
      </c>
      <c r="S257" t="s">
        <v>80</v>
      </c>
      <c r="T257" t="s">
        <v>80</v>
      </c>
      <c r="U257" t="s">
        <v>80</v>
      </c>
      <c r="V257" t="s">
        <v>80</v>
      </c>
      <c r="W257" t="s">
        <v>2086</v>
      </c>
      <c r="X257" s="1">
        <v>44937</v>
      </c>
      <c r="Y257">
        <v>28.12</v>
      </c>
      <c r="Z257" t="s">
        <v>82</v>
      </c>
      <c r="AA257" t="str">
        <f t="shared" si="6"/>
        <v>1003</v>
      </c>
      <c r="AB257" t="s">
        <v>133</v>
      </c>
      <c r="AC257" t="s">
        <v>2087</v>
      </c>
      <c r="AD257" t="s">
        <v>2088</v>
      </c>
      <c r="AE257" t="str">
        <f>"31201500"</f>
        <v>31201500</v>
      </c>
      <c r="AF257" t="s">
        <v>398</v>
      </c>
      <c r="AG257" t="s">
        <v>799</v>
      </c>
      <c r="AH257" t="s">
        <v>800</v>
      </c>
      <c r="AI257" t="s">
        <v>800</v>
      </c>
      <c r="AJ257" t="s">
        <v>2089</v>
      </c>
      <c r="AK257" t="s">
        <v>2090</v>
      </c>
      <c r="AL257" t="s">
        <v>2091</v>
      </c>
      <c r="AN257" t="str">
        <f>"110023"</f>
        <v>110023</v>
      </c>
      <c r="AO257" t="str">
        <f>"110023"</f>
        <v>110023</v>
      </c>
      <c r="AP257" t="s">
        <v>92</v>
      </c>
      <c r="AR257">
        <v>23.38</v>
      </c>
      <c r="AS257">
        <v>23.38</v>
      </c>
      <c r="AT257">
        <v>1</v>
      </c>
      <c r="AU257">
        <v>23.38</v>
      </c>
      <c r="AV257">
        <v>2.99</v>
      </c>
      <c r="AX257">
        <v>1.75</v>
      </c>
      <c r="AY257">
        <v>28.12</v>
      </c>
      <c r="BA257" t="s">
        <v>93</v>
      </c>
      <c r="BC257" t="s">
        <v>93</v>
      </c>
      <c r="BI257" t="s">
        <v>80</v>
      </c>
      <c r="BM257" t="s">
        <v>372</v>
      </c>
      <c r="BN257" t="s">
        <v>373</v>
      </c>
      <c r="BP257" t="s">
        <v>266</v>
      </c>
      <c r="BR257" t="s">
        <v>338</v>
      </c>
      <c r="BT257" t="s">
        <v>131</v>
      </c>
      <c r="BU257" t="s">
        <v>339</v>
      </c>
      <c r="BV257" t="str">
        <f>"98109"</f>
        <v>98109</v>
      </c>
      <c r="BW257">
        <v>848</v>
      </c>
      <c r="BX257" t="s">
        <v>2733</v>
      </c>
      <c r="BY257" t="s">
        <v>2661</v>
      </c>
      <c r="BZ257">
        <v>2</v>
      </c>
    </row>
    <row r="258" spans="1:78" x14ac:dyDescent="0.25">
      <c r="A258" s="1">
        <v>44937</v>
      </c>
      <c r="B258" t="s">
        <v>2092</v>
      </c>
      <c r="C258" t="s">
        <v>851</v>
      </c>
      <c r="E258">
        <v>3</v>
      </c>
      <c r="F258" t="s">
        <v>76</v>
      </c>
      <c r="G258">
        <v>41.57</v>
      </c>
      <c r="H258">
        <v>0</v>
      </c>
      <c r="I258">
        <v>0</v>
      </c>
      <c r="J258">
        <v>3.46</v>
      </c>
      <c r="K258">
        <v>45.03</v>
      </c>
      <c r="L258" t="s">
        <v>77</v>
      </c>
      <c r="P258" t="s">
        <v>852</v>
      </c>
      <c r="Q258" t="s">
        <v>853</v>
      </c>
      <c r="R258" t="s">
        <v>80</v>
      </c>
      <c r="S258" t="s">
        <v>80</v>
      </c>
      <c r="T258" t="s">
        <v>80</v>
      </c>
      <c r="U258" t="s">
        <v>80</v>
      </c>
      <c r="V258" t="s">
        <v>80</v>
      </c>
      <c r="W258" t="s">
        <v>2093</v>
      </c>
      <c r="X258" s="1">
        <v>44937</v>
      </c>
      <c r="Y258">
        <v>44.8</v>
      </c>
      <c r="Z258" t="s">
        <v>82</v>
      </c>
      <c r="AA258" t="str">
        <f t="shared" si="6"/>
        <v>1003</v>
      </c>
      <c r="AB258" t="s">
        <v>119</v>
      </c>
      <c r="AC258" t="s">
        <v>1001</v>
      </c>
      <c r="AD258" t="s">
        <v>1002</v>
      </c>
      <c r="AE258" t="str">
        <f>"44121615"</f>
        <v>44121615</v>
      </c>
      <c r="AF258" t="s">
        <v>108</v>
      </c>
      <c r="AG258" t="s">
        <v>556</v>
      </c>
      <c r="AH258" t="s">
        <v>983</v>
      </c>
      <c r="AI258" t="s">
        <v>1003</v>
      </c>
      <c r="AJ258" t="s">
        <v>613</v>
      </c>
      <c r="AK258" t="s">
        <v>176</v>
      </c>
      <c r="AL258" t="s">
        <v>176</v>
      </c>
      <c r="AN258" t="s">
        <v>1004</v>
      </c>
      <c r="AO258" t="s">
        <v>1004</v>
      </c>
      <c r="AP258" t="s">
        <v>92</v>
      </c>
      <c r="AR258">
        <v>11.19</v>
      </c>
      <c r="AS258">
        <v>10.07</v>
      </c>
      <c r="AT258">
        <v>1</v>
      </c>
      <c r="AU258">
        <v>10.07</v>
      </c>
      <c r="AV258">
        <v>0</v>
      </c>
      <c r="AX258">
        <v>1.01</v>
      </c>
      <c r="AY258">
        <v>11.08</v>
      </c>
      <c r="BA258" t="s">
        <v>93</v>
      </c>
      <c r="BC258" t="s">
        <v>93</v>
      </c>
      <c r="BD258" t="s">
        <v>128</v>
      </c>
      <c r="BE258">
        <v>1.1200000000000001</v>
      </c>
      <c r="BF258" s="2">
        <v>0.10009999999999999</v>
      </c>
      <c r="BI258" t="s">
        <v>80</v>
      </c>
      <c r="BM258" t="s">
        <v>372</v>
      </c>
      <c r="BN258" t="s">
        <v>373</v>
      </c>
      <c r="BP258" t="s">
        <v>266</v>
      </c>
      <c r="BR258" t="s">
        <v>130</v>
      </c>
      <c r="BT258" t="s">
        <v>131</v>
      </c>
      <c r="BU258" t="s">
        <v>132</v>
      </c>
      <c r="BV258" t="str">
        <f>"98109"</f>
        <v>98109</v>
      </c>
      <c r="BW258">
        <v>848</v>
      </c>
      <c r="BX258" t="s">
        <v>2733</v>
      </c>
      <c r="BY258" t="s">
        <v>2661</v>
      </c>
      <c r="BZ258">
        <v>2</v>
      </c>
    </row>
    <row r="259" spans="1:78" x14ac:dyDescent="0.25">
      <c r="A259" s="1">
        <v>44937</v>
      </c>
      <c r="B259" t="s">
        <v>2092</v>
      </c>
      <c r="C259" t="s">
        <v>851</v>
      </c>
      <c r="E259">
        <v>3</v>
      </c>
      <c r="F259" t="s">
        <v>76</v>
      </c>
      <c r="G259">
        <v>41.57</v>
      </c>
      <c r="H259">
        <v>0</v>
      </c>
      <c r="I259">
        <v>0</v>
      </c>
      <c r="J259">
        <v>3.46</v>
      </c>
      <c r="K259">
        <v>45.03</v>
      </c>
      <c r="L259" t="s">
        <v>77</v>
      </c>
      <c r="P259" t="s">
        <v>852</v>
      </c>
      <c r="Q259" t="s">
        <v>853</v>
      </c>
      <c r="R259" t="s">
        <v>80</v>
      </c>
      <c r="S259" t="s">
        <v>80</v>
      </c>
      <c r="T259" t="s">
        <v>80</v>
      </c>
      <c r="U259" t="s">
        <v>80</v>
      </c>
      <c r="V259" t="s">
        <v>80</v>
      </c>
      <c r="W259" t="s">
        <v>2093</v>
      </c>
      <c r="X259" s="1">
        <v>44937</v>
      </c>
      <c r="Y259">
        <v>44.8</v>
      </c>
      <c r="Z259" t="s">
        <v>82</v>
      </c>
      <c r="AA259" t="str">
        <f t="shared" si="6"/>
        <v>1003</v>
      </c>
      <c r="AB259" t="s">
        <v>141</v>
      </c>
      <c r="AC259" t="s">
        <v>2094</v>
      </c>
      <c r="AD259" t="s">
        <v>2095</v>
      </c>
      <c r="AE259" t="str">
        <f>"31201500"</f>
        <v>31201500</v>
      </c>
      <c r="AF259" t="s">
        <v>398</v>
      </c>
      <c r="AG259" t="s">
        <v>799</v>
      </c>
      <c r="AH259" t="s">
        <v>800</v>
      </c>
      <c r="AI259" t="s">
        <v>800</v>
      </c>
      <c r="AK259" t="s">
        <v>2096</v>
      </c>
      <c r="AL259" t="s">
        <v>2096</v>
      </c>
      <c r="AP259" t="s">
        <v>92</v>
      </c>
      <c r="AR259">
        <v>29.99</v>
      </c>
      <c r="AS259">
        <v>18.79</v>
      </c>
      <c r="AT259">
        <v>1</v>
      </c>
      <c r="AU259">
        <v>18.79</v>
      </c>
      <c r="AV259">
        <v>0</v>
      </c>
      <c r="AX259">
        <v>1.46</v>
      </c>
      <c r="AY259">
        <v>20.25</v>
      </c>
      <c r="BA259" t="s">
        <v>93</v>
      </c>
      <c r="BC259" t="s">
        <v>93</v>
      </c>
      <c r="BD259" t="s">
        <v>128</v>
      </c>
      <c r="BE259">
        <v>11.2</v>
      </c>
      <c r="BF259" s="2">
        <v>0.3735</v>
      </c>
      <c r="BI259" t="s">
        <v>80</v>
      </c>
      <c r="BM259" t="s">
        <v>372</v>
      </c>
      <c r="BN259" t="s">
        <v>373</v>
      </c>
      <c r="BP259" t="s">
        <v>266</v>
      </c>
      <c r="BR259" t="s">
        <v>2097</v>
      </c>
      <c r="BS259" t="s">
        <v>113</v>
      </c>
      <c r="BT259" t="s">
        <v>2098</v>
      </c>
      <c r="BU259" t="s">
        <v>2099</v>
      </c>
      <c r="BV259" t="str">
        <f>"80601"</f>
        <v>80601</v>
      </c>
      <c r="BW259">
        <v>848</v>
      </c>
      <c r="BX259" t="s">
        <v>2733</v>
      </c>
      <c r="BY259" t="s">
        <v>2661</v>
      </c>
      <c r="BZ259">
        <v>2</v>
      </c>
    </row>
    <row r="260" spans="1:78" x14ac:dyDescent="0.25">
      <c r="A260" s="1">
        <v>44937</v>
      </c>
      <c r="B260" t="s">
        <v>2092</v>
      </c>
      <c r="C260" t="s">
        <v>851</v>
      </c>
      <c r="E260">
        <v>3</v>
      </c>
      <c r="F260" t="s">
        <v>76</v>
      </c>
      <c r="G260">
        <v>41.57</v>
      </c>
      <c r="H260">
        <v>0</v>
      </c>
      <c r="I260">
        <v>0</v>
      </c>
      <c r="J260">
        <v>3.46</v>
      </c>
      <c r="K260">
        <v>45.03</v>
      </c>
      <c r="L260" t="s">
        <v>77</v>
      </c>
      <c r="P260" t="s">
        <v>852</v>
      </c>
      <c r="Q260" t="s">
        <v>853</v>
      </c>
      <c r="R260" t="s">
        <v>80</v>
      </c>
      <c r="S260" t="s">
        <v>80</v>
      </c>
      <c r="T260" t="s">
        <v>80</v>
      </c>
      <c r="U260" t="s">
        <v>80</v>
      </c>
      <c r="V260" t="s">
        <v>80</v>
      </c>
      <c r="W260" t="s">
        <v>2093</v>
      </c>
      <c r="X260" s="1">
        <v>44937</v>
      </c>
      <c r="Y260">
        <v>44.8</v>
      </c>
      <c r="Z260" t="s">
        <v>82</v>
      </c>
      <c r="AA260" t="str">
        <f t="shared" si="6"/>
        <v>1003</v>
      </c>
      <c r="AB260" t="s">
        <v>119</v>
      </c>
      <c r="AC260" t="s">
        <v>1266</v>
      </c>
      <c r="AD260" t="s">
        <v>1267</v>
      </c>
      <c r="AE260" t="str">
        <f>"44121605"</f>
        <v>44121605</v>
      </c>
      <c r="AF260" t="s">
        <v>108</v>
      </c>
      <c r="AG260" t="s">
        <v>556</v>
      </c>
      <c r="AH260" t="s">
        <v>983</v>
      </c>
      <c r="AI260" t="s">
        <v>984</v>
      </c>
      <c r="AJ260" t="s">
        <v>175</v>
      </c>
      <c r="AK260" t="s">
        <v>176</v>
      </c>
      <c r="AL260" t="s">
        <v>176</v>
      </c>
      <c r="AN260" t="s">
        <v>1268</v>
      </c>
      <c r="AO260" t="s">
        <v>1268</v>
      </c>
      <c r="AP260" t="s">
        <v>92</v>
      </c>
      <c r="AR260">
        <v>11.99</v>
      </c>
      <c r="AS260">
        <v>12.71</v>
      </c>
      <c r="AT260">
        <v>1</v>
      </c>
      <c r="AU260">
        <v>12.71</v>
      </c>
      <c r="AV260">
        <v>0</v>
      </c>
      <c r="AX260">
        <v>0.99</v>
      </c>
      <c r="AY260">
        <v>13.7</v>
      </c>
      <c r="BA260" t="s">
        <v>93</v>
      </c>
      <c r="BC260" t="s">
        <v>93</v>
      </c>
      <c r="BD260" t="s">
        <v>128</v>
      </c>
      <c r="BI260" t="s">
        <v>80</v>
      </c>
      <c r="BM260" t="s">
        <v>372</v>
      </c>
      <c r="BN260" t="s">
        <v>373</v>
      </c>
      <c r="BP260" t="s">
        <v>266</v>
      </c>
      <c r="BR260" t="s">
        <v>130</v>
      </c>
      <c r="BT260" t="s">
        <v>131</v>
      </c>
      <c r="BU260" t="s">
        <v>132</v>
      </c>
      <c r="BV260" t="str">
        <f>"98109"</f>
        <v>98109</v>
      </c>
      <c r="BW260">
        <v>848</v>
      </c>
      <c r="BX260" t="s">
        <v>2733</v>
      </c>
      <c r="BY260" t="s">
        <v>2661</v>
      </c>
      <c r="BZ260">
        <v>2</v>
      </c>
    </row>
    <row r="261" spans="1:78" x14ac:dyDescent="0.25">
      <c r="A261" s="1">
        <v>44937</v>
      </c>
      <c r="B261" t="s">
        <v>2100</v>
      </c>
      <c r="C261" t="s">
        <v>2101</v>
      </c>
      <c r="E261">
        <v>2</v>
      </c>
      <c r="F261" t="s">
        <v>76</v>
      </c>
      <c r="G261">
        <v>74.98</v>
      </c>
      <c r="H261">
        <v>0</v>
      </c>
      <c r="I261">
        <v>0</v>
      </c>
      <c r="J261">
        <v>2.89</v>
      </c>
      <c r="K261">
        <v>77.87</v>
      </c>
      <c r="L261" t="s">
        <v>77</v>
      </c>
      <c r="P261" t="s">
        <v>2102</v>
      </c>
      <c r="Q261" t="s">
        <v>2103</v>
      </c>
      <c r="R261" t="s">
        <v>80</v>
      </c>
      <c r="S261" t="s">
        <v>80</v>
      </c>
      <c r="T261" t="s">
        <v>80</v>
      </c>
      <c r="U261" t="s">
        <v>80</v>
      </c>
      <c r="V261" t="s">
        <v>80</v>
      </c>
      <c r="W261" t="s">
        <v>2104</v>
      </c>
      <c r="X261" s="1">
        <v>44937</v>
      </c>
      <c r="Y261">
        <v>77.87</v>
      </c>
      <c r="Z261" t="s">
        <v>82</v>
      </c>
      <c r="AA261" t="str">
        <f t="shared" si="6"/>
        <v>1003</v>
      </c>
      <c r="AB261" t="s">
        <v>268</v>
      </c>
      <c r="AC261" t="s">
        <v>2105</v>
      </c>
      <c r="AD261" t="s">
        <v>2106</v>
      </c>
      <c r="AE261" t="str">
        <f>"52150000"</f>
        <v>52150000</v>
      </c>
      <c r="AF261" t="s">
        <v>684</v>
      </c>
      <c r="AG261" t="s">
        <v>883</v>
      </c>
      <c r="AH261" t="s">
        <v>883</v>
      </c>
      <c r="AI261" t="s">
        <v>883</v>
      </c>
      <c r="AK261" t="s">
        <v>885</v>
      </c>
      <c r="AP261" t="s">
        <v>92</v>
      </c>
      <c r="AR261">
        <v>39.99</v>
      </c>
      <c r="AS261">
        <v>34.99</v>
      </c>
      <c r="AT261">
        <v>1</v>
      </c>
      <c r="AU261">
        <v>34.99</v>
      </c>
      <c r="AV261">
        <v>0</v>
      </c>
      <c r="AX261">
        <v>2.89</v>
      </c>
      <c r="AY261">
        <v>37.880000000000003</v>
      </c>
      <c r="BA261" t="s">
        <v>93</v>
      </c>
      <c r="BC261" t="s">
        <v>93</v>
      </c>
      <c r="BD261" t="s">
        <v>128</v>
      </c>
      <c r="BE261">
        <v>5</v>
      </c>
      <c r="BF261" s="2">
        <v>0.125</v>
      </c>
      <c r="BI261" t="s">
        <v>80</v>
      </c>
      <c r="BM261" t="s">
        <v>372</v>
      </c>
      <c r="BN261" t="s">
        <v>1168</v>
      </c>
      <c r="BP261" t="s">
        <v>2107</v>
      </c>
      <c r="BR261" t="s">
        <v>885</v>
      </c>
      <c r="BT261" t="s">
        <v>522</v>
      </c>
      <c r="BU261" t="s">
        <v>523</v>
      </c>
      <c r="BV261" t="str">
        <f>"311100"</f>
        <v>311100</v>
      </c>
      <c r="BW261">
        <v>895</v>
      </c>
      <c r="BX261" t="s">
        <v>2754</v>
      </c>
      <c r="BY261" t="s">
        <v>2699</v>
      </c>
      <c r="BZ261">
        <v>2</v>
      </c>
    </row>
    <row r="262" spans="1:78" x14ac:dyDescent="0.25">
      <c r="A262" s="1">
        <v>44937</v>
      </c>
      <c r="B262" t="s">
        <v>2100</v>
      </c>
      <c r="C262" t="s">
        <v>2101</v>
      </c>
      <c r="E262">
        <v>2</v>
      </c>
      <c r="F262" t="s">
        <v>76</v>
      </c>
      <c r="G262">
        <v>74.98</v>
      </c>
      <c r="H262">
        <v>0</v>
      </c>
      <c r="I262">
        <v>0</v>
      </c>
      <c r="J262">
        <v>2.89</v>
      </c>
      <c r="K262">
        <v>77.87</v>
      </c>
      <c r="L262" t="s">
        <v>77</v>
      </c>
      <c r="P262" t="s">
        <v>2102</v>
      </c>
      <c r="Q262" t="s">
        <v>2103</v>
      </c>
      <c r="R262" t="s">
        <v>80</v>
      </c>
      <c r="S262" t="s">
        <v>80</v>
      </c>
      <c r="T262" t="s">
        <v>80</v>
      </c>
      <c r="U262" t="s">
        <v>80</v>
      </c>
      <c r="V262" t="s">
        <v>80</v>
      </c>
      <c r="W262" t="s">
        <v>2104</v>
      </c>
      <c r="X262" s="1">
        <v>44937</v>
      </c>
      <c r="Y262">
        <v>77.87</v>
      </c>
      <c r="Z262" t="s">
        <v>82</v>
      </c>
      <c r="AA262" t="str">
        <f t="shared" si="6"/>
        <v>1003</v>
      </c>
      <c r="AB262" t="s">
        <v>320</v>
      </c>
      <c r="AC262" t="s">
        <v>2108</v>
      </c>
      <c r="AD262" t="s">
        <v>2109</v>
      </c>
      <c r="AE262" t="str">
        <f>"50201706"</f>
        <v>50201706</v>
      </c>
      <c r="AF262" t="s">
        <v>323</v>
      </c>
      <c r="AG262" t="s">
        <v>332</v>
      </c>
      <c r="AH262" t="s">
        <v>333</v>
      </c>
      <c r="AI262" t="s">
        <v>334</v>
      </c>
      <c r="AJ262" t="s">
        <v>2110</v>
      </c>
      <c r="AK262" t="s">
        <v>2111</v>
      </c>
      <c r="AL262" t="s">
        <v>2112</v>
      </c>
      <c r="AN262" t="s">
        <v>2113</v>
      </c>
      <c r="AP262" t="s">
        <v>92</v>
      </c>
      <c r="AR262">
        <v>41.99</v>
      </c>
      <c r="AS262">
        <v>39.99</v>
      </c>
      <c r="AT262">
        <v>1</v>
      </c>
      <c r="AU262">
        <v>39.99</v>
      </c>
      <c r="AV262">
        <v>0</v>
      </c>
      <c r="AX262">
        <v>0</v>
      </c>
      <c r="AY262">
        <v>39.99</v>
      </c>
      <c r="BA262" t="s">
        <v>93</v>
      </c>
      <c r="BC262" t="s">
        <v>93</v>
      </c>
      <c r="BI262" t="s">
        <v>80</v>
      </c>
      <c r="BM262" t="s">
        <v>372</v>
      </c>
      <c r="BN262" t="s">
        <v>1168</v>
      </c>
      <c r="BP262" t="s">
        <v>2107</v>
      </c>
      <c r="BR262" t="s">
        <v>338</v>
      </c>
      <c r="BT262" t="s">
        <v>131</v>
      </c>
      <c r="BU262" t="s">
        <v>339</v>
      </c>
      <c r="BV262" t="str">
        <f>"98109"</f>
        <v>98109</v>
      </c>
      <c r="BW262">
        <v>895</v>
      </c>
      <c r="BX262" t="s">
        <v>2754</v>
      </c>
      <c r="BY262" t="s">
        <v>2699</v>
      </c>
      <c r="BZ262">
        <v>2</v>
      </c>
    </row>
    <row r="263" spans="1:78" x14ac:dyDescent="0.25">
      <c r="A263" s="1">
        <v>44936</v>
      </c>
      <c r="B263" t="s">
        <v>2114</v>
      </c>
      <c r="C263" t="s">
        <v>100</v>
      </c>
      <c r="D263" t="s">
        <v>2115</v>
      </c>
      <c r="E263">
        <v>2</v>
      </c>
      <c r="F263" t="s">
        <v>76</v>
      </c>
      <c r="G263">
        <v>23.92</v>
      </c>
      <c r="H263">
        <v>0</v>
      </c>
      <c r="I263">
        <v>0</v>
      </c>
      <c r="J263">
        <v>1.68</v>
      </c>
      <c r="K263">
        <v>25.6</v>
      </c>
      <c r="L263" t="s">
        <v>77</v>
      </c>
      <c r="P263" t="s">
        <v>224</v>
      </c>
      <c r="Q263" t="s">
        <v>434</v>
      </c>
      <c r="R263" t="s">
        <v>80</v>
      </c>
      <c r="S263" t="s">
        <v>80</v>
      </c>
      <c r="T263" t="s">
        <v>80</v>
      </c>
      <c r="U263" t="s">
        <v>80</v>
      </c>
      <c r="V263" t="s">
        <v>80</v>
      </c>
      <c r="W263" t="s">
        <v>2116</v>
      </c>
      <c r="X263" s="1">
        <v>44942</v>
      </c>
      <c r="Y263">
        <v>25.6</v>
      </c>
      <c r="Z263" t="s">
        <v>82</v>
      </c>
      <c r="AA263" t="str">
        <f t="shared" si="6"/>
        <v>1003</v>
      </c>
      <c r="AB263" t="s">
        <v>119</v>
      </c>
      <c r="AC263" t="s">
        <v>2117</v>
      </c>
      <c r="AD263" t="s">
        <v>2118</v>
      </c>
      <c r="AE263" t="str">
        <f>"44121708"</f>
        <v>44121708</v>
      </c>
      <c r="AF263" t="s">
        <v>108</v>
      </c>
      <c r="AG263" t="s">
        <v>556</v>
      </c>
      <c r="AH263" t="s">
        <v>590</v>
      </c>
      <c r="AI263" t="s">
        <v>1939</v>
      </c>
      <c r="AJ263" t="s">
        <v>1820</v>
      </c>
      <c r="AK263" t="s">
        <v>1821</v>
      </c>
      <c r="AL263" t="s">
        <v>1822</v>
      </c>
      <c r="AN263" t="str">
        <f>"08883"</f>
        <v>08883</v>
      </c>
      <c r="AO263" t="str">
        <f>"08883"</f>
        <v>08883</v>
      </c>
      <c r="AP263" t="s">
        <v>92</v>
      </c>
      <c r="AR263">
        <v>11.96</v>
      </c>
      <c r="AS263">
        <v>11.96</v>
      </c>
      <c r="AT263">
        <v>2</v>
      </c>
      <c r="AU263">
        <v>23.92</v>
      </c>
      <c r="AV263">
        <v>0</v>
      </c>
      <c r="AX263">
        <v>1.68</v>
      </c>
      <c r="AY263">
        <v>25.6</v>
      </c>
      <c r="BA263" t="s">
        <v>93</v>
      </c>
      <c r="BC263" t="s">
        <v>93</v>
      </c>
      <c r="BD263" t="s">
        <v>128</v>
      </c>
      <c r="BI263" t="s">
        <v>80</v>
      </c>
      <c r="BM263" t="s">
        <v>94</v>
      </c>
      <c r="BN263" t="s">
        <v>95</v>
      </c>
      <c r="BP263" t="s">
        <v>96</v>
      </c>
      <c r="BR263" t="s">
        <v>130</v>
      </c>
      <c r="BT263" t="s">
        <v>131</v>
      </c>
      <c r="BU263" t="s">
        <v>132</v>
      </c>
      <c r="BV263" t="str">
        <f>"98109"</f>
        <v>98109</v>
      </c>
      <c r="BW263">
        <v>806</v>
      </c>
      <c r="BX263" t="s">
        <v>2728</v>
      </c>
      <c r="BY263" t="s">
        <v>2618</v>
      </c>
      <c r="BZ263">
        <v>2</v>
      </c>
    </row>
    <row r="264" spans="1:78" x14ac:dyDescent="0.25">
      <c r="A264" s="1">
        <v>44936</v>
      </c>
      <c r="B264" t="s">
        <v>2119</v>
      </c>
      <c r="C264" t="s">
        <v>100</v>
      </c>
      <c r="D264" t="s">
        <v>2115</v>
      </c>
      <c r="E264">
        <v>14</v>
      </c>
      <c r="F264" t="s">
        <v>76</v>
      </c>
      <c r="G264">
        <v>93.62</v>
      </c>
      <c r="H264">
        <v>0</v>
      </c>
      <c r="I264">
        <v>0</v>
      </c>
      <c r="J264">
        <v>6.56</v>
      </c>
      <c r="K264">
        <v>100.18</v>
      </c>
      <c r="L264" t="s">
        <v>77</v>
      </c>
      <c r="P264" t="s">
        <v>224</v>
      </c>
      <c r="Q264" t="s">
        <v>434</v>
      </c>
      <c r="R264" t="s">
        <v>80</v>
      </c>
      <c r="S264" t="s">
        <v>80</v>
      </c>
      <c r="T264" t="s">
        <v>80</v>
      </c>
      <c r="U264" t="s">
        <v>80</v>
      </c>
      <c r="V264" t="s">
        <v>80</v>
      </c>
      <c r="W264" t="s">
        <v>2120</v>
      </c>
      <c r="X264" s="1">
        <v>44937</v>
      </c>
      <c r="Y264">
        <v>100.18</v>
      </c>
      <c r="Z264" t="s">
        <v>82</v>
      </c>
      <c r="AA264" t="str">
        <f t="shared" si="6"/>
        <v>1003</v>
      </c>
      <c r="AB264" t="s">
        <v>119</v>
      </c>
      <c r="AC264" t="s">
        <v>2121</v>
      </c>
      <c r="AD264" t="s">
        <v>2122</v>
      </c>
      <c r="AE264" t="str">
        <f>"44000000"</f>
        <v>44000000</v>
      </c>
      <c r="AF264" t="s">
        <v>108</v>
      </c>
      <c r="AG264" t="s">
        <v>108</v>
      </c>
      <c r="AH264" t="s">
        <v>108</v>
      </c>
      <c r="AI264" t="s">
        <v>108</v>
      </c>
      <c r="AJ264" t="s">
        <v>153</v>
      </c>
      <c r="AK264" t="s">
        <v>154</v>
      </c>
      <c r="AL264" t="s">
        <v>154</v>
      </c>
      <c r="AN264" t="str">
        <f>"60112"</f>
        <v>60112</v>
      </c>
      <c r="AO264" t="str">
        <f>"60112"</f>
        <v>60112</v>
      </c>
      <c r="AP264" t="s">
        <v>92</v>
      </c>
      <c r="AR264">
        <v>7.99</v>
      </c>
      <c r="AS264">
        <v>5.99</v>
      </c>
      <c r="AT264">
        <v>12</v>
      </c>
      <c r="AU264">
        <v>71.88</v>
      </c>
      <c r="AV264">
        <v>0</v>
      </c>
      <c r="AX264">
        <v>5.04</v>
      </c>
      <c r="AY264">
        <v>76.92</v>
      </c>
      <c r="BA264" t="s">
        <v>93</v>
      </c>
      <c r="BC264" t="s">
        <v>93</v>
      </c>
      <c r="BI264" t="s">
        <v>80</v>
      </c>
      <c r="BM264" t="s">
        <v>94</v>
      </c>
      <c r="BN264" t="s">
        <v>95</v>
      </c>
      <c r="BP264" t="s">
        <v>96</v>
      </c>
      <c r="BR264" t="s">
        <v>338</v>
      </c>
      <c r="BT264" t="s">
        <v>131</v>
      </c>
      <c r="BU264" t="s">
        <v>339</v>
      </c>
      <c r="BV264" t="str">
        <f>"98109"</f>
        <v>98109</v>
      </c>
      <c r="BW264">
        <v>806</v>
      </c>
      <c r="BX264" t="s">
        <v>2728</v>
      </c>
      <c r="BY264" t="s">
        <v>2618</v>
      </c>
      <c r="BZ264">
        <v>2</v>
      </c>
    </row>
    <row r="265" spans="1:78" x14ac:dyDescent="0.25">
      <c r="A265" s="1">
        <v>44936</v>
      </c>
      <c r="B265" t="s">
        <v>2119</v>
      </c>
      <c r="C265" t="s">
        <v>100</v>
      </c>
      <c r="D265" t="s">
        <v>2115</v>
      </c>
      <c r="E265">
        <v>14</v>
      </c>
      <c r="F265" t="s">
        <v>76</v>
      </c>
      <c r="G265">
        <v>93.62</v>
      </c>
      <c r="H265">
        <v>0</v>
      </c>
      <c r="I265">
        <v>0</v>
      </c>
      <c r="J265">
        <v>6.56</v>
      </c>
      <c r="K265">
        <v>100.18</v>
      </c>
      <c r="L265" t="s">
        <v>77</v>
      </c>
      <c r="P265" t="s">
        <v>224</v>
      </c>
      <c r="Q265" t="s">
        <v>434</v>
      </c>
      <c r="R265" t="s">
        <v>80</v>
      </c>
      <c r="S265" t="s">
        <v>80</v>
      </c>
      <c r="T265" t="s">
        <v>80</v>
      </c>
      <c r="U265" t="s">
        <v>80</v>
      </c>
      <c r="V265" t="s">
        <v>80</v>
      </c>
      <c r="W265" t="s">
        <v>2120</v>
      </c>
      <c r="X265" s="1">
        <v>44937</v>
      </c>
      <c r="Y265">
        <v>100.18</v>
      </c>
      <c r="Z265" t="s">
        <v>82</v>
      </c>
      <c r="AA265" t="str">
        <f t="shared" si="6"/>
        <v>1003</v>
      </c>
      <c r="AB265" t="s">
        <v>119</v>
      </c>
      <c r="AC265" t="s">
        <v>2123</v>
      </c>
      <c r="AD265" t="s">
        <v>2124</v>
      </c>
      <c r="AE265" t="str">
        <f>"44121708"</f>
        <v>44121708</v>
      </c>
      <c r="AF265" t="s">
        <v>108</v>
      </c>
      <c r="AG265" t="s">
        <v>556</v>
      </c>
      <c r="AH265" t="s">
        <v>590</v>
      </c>
      <c r="AI265" t="s">
        <v>1939</v>
      </c>
      <c r="AJ265" t="s">
        <v>1820</v>
      </c>
      <c r="AK265" t="s">
        <v>1821</v>
      </c>
      <c r="AL265" t="s">
        <v>1822</v>
      </c>
      <c r="AN265" t="str">
        <f>"08885"</f>
        <v>08885</v>
      </c>
      <c r="AO265" t="str">
        <f>"8885"</f>
        <v>8885</v>
      </c>
      <c r="AP265" t="s">
        <v>92</v>
      </c>
      <c r="AR265">
        <v>11.96</v>
      </c>
      <c r="AS265">
        <v>10.87</v>
      </c>
      <c r="AT265">
        <v>2</v>
      </c>
      <c r="AU265">
        <v>21.74</v>
      </c>
      <c r="AV265">
        <v>0</v>
      </c>
      <c r="AX265">
        <v>1.52</v>
      </c>
      <c r="AY265">
        <v>23.26</v>
      </c>
      <c r="BA265" t="s">
        <v>93</v>
      </c>
      <c r="BC265" t="s">
        <v>93</v>
      </c>
      <c r="BD265" t="s">
        <v>128</v>
      </c>
      <c r="BE265">
        <v>1.0900000000000001</v>
      </c>
      <c r="BF265" s="2">
        <v>9.11E-2</v>
      </c>
      <c r="BI265" t="s">
        <v>80</v>
      </c>
      <c r="BM265" t="s">
        <v>94</v>
      </c>
      <c r="BN265" t="s">
        <v>95</v>
      </c>
      <c r="BP265" t="s">
        <v>96</v>
      </c>
      <c r="BR265" t="s">
        <v>130</v>
      </c>
      <c r="BT265" t="s">
        <v>131</v>
      </c>
      <c r="BU265" t="s">
        <v>132</v>
      </c>
      <c r="BV265" t="str">
        <f>"98109"</f>
        <v>98109</v>
      </c>
      <c r="BW265">
        <v>806</v>
      </c>
      <c r="BX265" t="s">
        <v>2728</v>
      </c>
      <c r="BY265" t="s">
        <v>2618</v>
      </c>
      <c r="BZ265">
        <v>2</v>
      </c>
    </row>
    <row r="266" spans="1:78" x14ac:dyDescent="0.25">
      <c r="A266" s="1">
        <v>44936</v>
      </c>
      <c r="B266" t="s">
        <v>2125</v>
      </c>
      <c r="C266" t="s">
        <v>100</v>
      </c>
      <c r="D266" t="s">
        <v>2126</v>
      </c>
      <c r="E266">
        <v>2</v>
      </c>
      <c r="F266" t="s">
        <v>76</v>
      </c>
      <c r="G266">
        <v>102.14</v>
      </c>
      <c r="H266">
        <v>0</v>
      </c>
      <c r="I266">
        <v>0</v>
      </c>
      <c r="J266">
        <v>7.14</v>
      </c>
      <c r="K266">
        <v>109.28</v>
      </c>
      <c r="L266" t="s">
        <v>77</v>
      </c>
      <c r="P266" t="s">
        <v>208</v>
      </c>
      <c r="Q266" t="s">
        <v>209</v>
      </c>
      <c r="R266" t="s">
        <v>80</v>
      </c>
      <c r="S266" t="s">
        <v>80</v>
      </c>
      <c r="T266" t="s">
        <v>80</v>
      </c>
      <c r="U266" t="s">
        <v>80</v>
      </c>
      <c r="V266" t="s">
        <v>80</v>
      </c>
      <c r="W266" t="s">
        <v>2127</v>
      </c>
      <c r="X266" s="1">
        <v>44936</v>
      </c>
      <c r="Y266">
        <v>109.28</v>
      </c>
      <c r="Z266" t="s">
        <v>82</v>
      </c>
      <c r="AA266" t="str">
        <f t="shared" si="6"/>
        <v>1003</v>
      </c>
      <c r="AB266" t="s">
        <v>119</v>
      </c>
      <c r="AC266" t="s">
        <v>2128</v>
      </c>
      <c r="AD266" t="s">
        <v>2129</v>
      </c>
      <c r="AE266" t="str">
        <f>"44121506"</f>
        <v>44121506</v>
      </c>
      <c r="AF266" t="s">
        <v>108</v>
      </c>
      <c r="AG266" t="s">
        <v>556</v>
      </c>
      <c r="AH266" t="s">
        <v>557</v>
      </c>
      <c r="AI266" t="s">
        <v>2130</v>
      </c>
      <c r="AK266" t="s">
        <v>2131</v>
      </c>
      <c r="AL266" t="s">
        <v>2131</v>
      </c>
      <c r="AN266" t="str">
        <f>"3893"</f>
        <v>3893</v>
      </c>
      <c r="AO266" t="s">
        <v>2132</v>
      </c>
      <c r="AP266" t="s">
        <v>92</v>
      </c>
      <c r="AR266">
        <v>54.65</v>
      </c>
      <c r="AS266">
        <v>51.07</v>
      </c>
      <c r="AT266">
        <v>2</v>
      </c>
      <c r="AU266">
        <v>102.14</v>
      </c>
      <c r="AV266">
        <v>0</v>
      </c>
      <c r="AX266">
        <v>7.14</v>
      </c>
      <c r="AY266">
        <v>109.28</v>
      </c>
      <c r="BA266" t="s">
        <v>93</v>
      </c>
      <c r="BC266" t="s">
        <v>93</v>
      </c>
      <c r="BI266" t="s">
        <v>80</v>
      </c>
      <c r="BM266" t="s">
        <v>94</v>
      </c>
      <c r="BN266" t="s">
        <v>95</v>
      </c>
      <c r="BP266" t="s">
        <v>96</v>
      </c>
      <c r="BR266" t="s">
        <v>2131</v>
      </c>
      <c r="BS266" t="s">
        <v>113</v>
      </c>
      <c r="BT266" t="s">
        <v>2133</v>
      </c>
      <c r="BU266" t="s">
        <v>2134</v>
      </c>
      <c r="BV266" t="str">
        <f>"44139"</f>
        <v>44139</v>
      </c>
      <c r="BW266">
        <v>806</v>
      </c>
      <c r="BX266" t="s">
        <v>2728</v>
      </c>
      <c r="BY266" t="s">
        <v>2618</v>
      </c>
      <c r="BZ266">
        <v>2</v>
      </c>
    </row>
    <row r="267" spans="1:78" x14ac:dyDescent="0.25">
      <c r="A267" s="1">
        <v>44936</v>
      </c>
      <c r="B267" t="s">
        <v>2135</v>
      </c>
      <c r="C267" t="s">
        <v>100</v>
      </c>
      <c r="D267" t="s">
        <v>2136</v>
      </c>
      <c r="E267">
        <v>3</v>
      </c>
      <c r="F267" t="s">
        <v>76</v>
      </c>
      <c r="G267">
        <v>100.26</v>
      </c>
      <c r="H267">
        <v>0</v>
      </c>
      <c r="I267">
        <v>0</v>
      </c>
      <c r="J267">
        <v>9.7799999999999994</v>
      </c>
      <c r="K267">
        <v>110.04</v>
      </c>
      <c r="L267" t="s">
        <v>77</v>
      </c>
      <c r="P267" t="s">
        <v>208</v>
      </c>
      <c r="Q267" t="s">
        <v>209</v>
      </c>
      <c r="R267" t="s">
        <v>80</v>
      </c>
      <c r="S267" t="s">
        <v>80</v>
      </c>
      <c r="T267" t="s">
        <v>80</v>
      </c>
      <c r="U267" t="s">
        <v>80</v>
      </c>
      <c r="V267" t="s">
        <v>80</v>
      </c>
      <c r="W267" t="s">
        <v>2137</v>
      </c>
      <c r="X267" s="1">
        <v>44936</v>
      </c>
      <c r="Y267">
        <v>110.04</v>
      </c>
      <c r="Z267" t="s">
        <v>82</v>
      </c>
      <c r="AA267" t="str">
        <f t="shared" si="6"/>
        <v>1003</v>
      </c>
      <c r="AB267" t="s">
        <v>119</v>
      </c>
      <c r="AC267" t="s">
        <v>2138</v>
      </c>
      <c r="AD267" t="s">
        <v>2139</v>
      </c>
      <c r="AE267" t="str">
        <f>"44121506"</f>
        <v>44121506</v>
      </c>
      <c r="AF267" t="s">
        <v>108</v>
      </c>
      <c r="AG267" t="s">
        <v>556</v>
      </c>
      <c r="AH267" t="s">
        <v>557</v>
      </c>
      <c r="AI267" t="s">
        <v>2130</v>
      </c>
      <c r="AK267" t="s">
        <v>2131</v>
      </c>
      <c r="AL267" t="s">
        <v>2131</v>
      </c>
      <c r="AO267" t="s">
        <v>2140</v>
      </c>
      <c r="AP267" t="s">
        <v>92</v>
      </c>
      <c r="AR267">
        <v>44.56</v>
      </c>
      <c r="AS267">
        <v>33.42</v>
      </c>
      <c r="AT267">
        <v>3</v>
      </c>
      <c r="AU267">
        <v>100.26</v>
      </c>
      <c r="AV267">
        <v>0</v>
      </c>
      <c r="AX267">
        <v>9.7799999999999994</v>
      </c>
      <c r="AY267">
        <v>110.04</v>
      </c>
      <c r="BA267" t="s">
        <v>93</v>
      </c>
      <c r="BC267" t="s">
        <v>93</v>
      </c>
      <c r="BI267" t="s">
        <v>80</v>
      </c>
      <c r="BM267" t="s">
        <v>94</v>
      </c>
      <c r="BN267" t="s">
        <v>95</v>
      </c>
      <c r="BP267" t="s">
        <v>609</v>
      </c>
      <c r="BR267" t="s">
        <v>2131</v>
      </c>
      <c r="BS267" t="s">
        <v>113</v>
      </c>
      <c r="BT267" t="s">
        <v>2133</v>
      </c>
      <c r="BU267" t="s">
        <v>2134</v>
      </c>
      <c r="BV267" t="str">
        <f>"44139"</f>
        <v>44139</v>
      </c>
      <c r="BW267">
        <v>812</v>
      </c>
      <c r="BX267" t="s">
        <v>2748</v>
      </c>
      <c r="BY267" t="s">
        <v>2628</v>
      </c>
      <c r="BZ267">
        <v>2</v>
      </c>
    </row>
    <row r="268" spans="1:78" x14ac:dyDescent="0.25">
      <c r="A268" s="1">
        <v>44936</v>
      </c>
      <c r="B268" t="s">
        <v>2141</v>
      </c>
      <c r="C268" t="s">
        <v>392</v>
      </c>
      <c r="E268">
        <v>1</v>
      </c>
      <c r="F268" t="s">
        <v>76</v>
      </c>
      <c r="G268">
        <v>32.090000000000003</v>
      </c>
      <c r="H268">
        <v>0</v>
      </c>
      <c r="I268">
        <v>0</v>
      </c>
      <c r="J268">
        <v>2.25</v>
      </c>
      <c r="K268">
        <v>34.340000000000003</v>
      </c>
      <c r="L268" t="s">
        <v>77</v>
      </c>
      <c r="P268" t="s">
        <v>418</v>
      </c>
      <c r="Q268" t="s">
        <v>419</v>
      </c>
      <c r="R268" t="s">
        <v>80</v>
      </c>
      <c r="S268" t="s">
        <v>80</v>
      </c>
      <c r="T268" t="s">
        <v>80</v>
      </c>
      <c r="U268" t="s">
        <v>80</v>
      </c>
      <c r="V268" t="s">
        <v>80</v>
      </c>
      <c r="W268" t="s">
        <v>2142</v>
      </c>
      <c r="X268" s="1">
        <v>44937</v>
      </c>
      <c r="Y268">
        <v>34.340000000000003</v>
      </c>
      <c r="Z268" t="s">
        <v>82</v>
      </c>
      <c r="AA268" t="str">
        <f t="shared" si="6"/>
        <v>1003</v>
      </c>
      <c r="AB268" t="s">
        <v>141</v>
      </c>
      <c r="AC268" t="s">
        <v>2143</v>
      </c>
      <c r="AD268" t="s">
        <v>2144</v>
      </c>
      <c r="AE268" t="str">
        <f>"46180000"</f>
        <v>46180000</v>
      </c>
      <c r="AF268" t="s">
        <v>451</v>
      </c>
      <c r="AG268" t="s">
        <v>580</v>
      </c>
      <c r="AH268" t="s">
        <v>580</v>
      </c>
      <c r="AI268" t="s">
        <v>580</v>
      </c>
      <c r="AJ268" t="s">
        <v>2145</v>
      </c>
      <c r="AK268" t="s">
        <v>2146</v>
      </c>
      <c r="AL268" t="s">
        <v>2146</v>
      </c>
      <c r="AN268" t="s">
        <v>2147</v>
      </c>
      <c r="AO268" t="s">
        <v>2147</v>
      </c>
      <c r="AP268" t="s">
        <v>92</v>
      </c>
      <c r="AR268">
        <v>41.94</v>
      </c>
      <c r="AS268">
        <v>32.090000000000003</v>
      </c>
      <c r="AT268">
        <v>1</v>
      </c>
      <c r="AU268">
        <v>32.090000000000003</v>
      </c>
      <c r="AV268">
        <v>0</v>
      </c>
      <c r="AX268">
        <v>2.25</v>
      </c>
      <c r="AY268">
        <v>34.340000000000003</v>
      </c>
      <c r="BA268" t="s">
        <v>93</v>
      </c>
      <c r="BC268" t="s">
        <v>93</v>
      </c>
      <c r="BI268" t="s">
        <v>80</v>
      </c>
      <c r="BM268" t="s">
        <v>94</v>
      </c>
      <c r="BN268" t="s">
        <v>95</v>
      </c>
      <c r="BP268" t="s">
        <v>428</v>
      </c>
      <c r="BR268" t="s">
        <v>338</v>
      </c>
      <c r="BT268" t="s">
        <v>131</v>
      </c>
      <c r="BU268" t="s">
        <v>339</v>
      </c>
      <c r="BV268" t="str">
        <f t="shared" ref="BV268:BV273" si="7">"98109"</f>
        <v>98109</v>
      </c>
      <c r="BW268">
        <v>894</v>
      </c>
      <c r="BX268" t="s">
        <v>2744</v>
      </c>
      <c r="BY268" t="s">
        <v>2697</v>
      </c>
      <c r="BZ268">
        <v>2</v>
      </c>
    </row>
    <row r="269" spans="1:78" x14ac:dyDescent="0.25">
      <c r="A269" s="1">
        <v>44936</v>
      </c>
      <c r="B269" t="s">
        <v>2148</v>
      </c>
      <c r="C269" t="s">
        <v>283</v>
      </c>
      <c r="E269">
        <v>1</v>
      </c>
      <c r="F269" t="s">
        <v>76</v>
      </c>
      <c r="G269">
        <v>57.87</v>
      </c>
      <c r="H269">
        <v>0</v>
      </c>
      <c r="I269">
        <v>0</v>
      </c>
      <c r="J269">
        <v>5.79</v>
      </c>
      <c r="K269">
        <v>63.66</v>
      </c>
      <c r="L269" t="s">
        <v>77</v>
      </c>
      <c r="P269" t="s">
        <v>284</v>
      </c>
      <c r="Q269" t="s">
        <v>285</v>
      </c>
      <c r="R269" t="s">
        <v>80</v>
      </c>
      <c r="S269" t="s">
        <v>80</v>
      </c>
      <c r="T269" t="s">
        <v>80</v>
      </c>
      <c r="U269" t="s">
        <v>80</v>
      </c>
      <c r="V269" t="s">
        <v>80</v>
      </c>
      <c r="W269" t="s">
        <v>2149</v>
      </c>
      <c r="X269" s="1">
        <v>44936</v>
      </c>
      <c r="Y269">
        <v>63.66</v>
      </c>
      <c r="Z269" t="s">
        <v>82</v>
      </c>
      <c r="AA269" t="str">
        <f t="shared" si="6"/>
        <v>1003</v>
      </c>
      <c r="AB269" t="s">
        <v>133</v>
      </c>
      <c r="AC269" t="s">
        <v>2150</v>
      </c>
      <c r="AD269" t="s">
        <v>2151</v>
      </c>
      <c r="AE269" t="str">
        <f>"26121500"</f>
        <v>26121500</v>
      </c>
      <c r="AF269" t="s">
        <v>171</v>
      </c>
      <c r="AG269" t="s">
        <v>423</v>
      </c>
      <c r="AH269" t="s">
        <v>2152</v>
      </c>
      <c r="AI269" t="s">
        <v>2152</v>
      </c>
      <c r="AJ269" t="s">
        <v>2153</v>
      </c>
      <c r="AK269" t="s">
        <v>2154</v>
      </c>
      <c r="AL269" t="s">
        <v>2155</v>
      </c>
      <c r="AM269" t="s">
        <v>2156</v>
      </c>
      <c r="AN269" t="str">
        <f>"25890002"</f>
        <v>25890002</v>
      </c>
      <c r="AP269" t="s">
        <v>92</v>
      </c>
      <c r="AR269">
        <v>69.989999999999995</v>
      </c>
      <c r="AS269">
        <v>57.87</v>
      </c>
      <c r="AT269">
        <v>1</v>
      </c>
      <c r="AU269">
        <v>57.87</v>
      </c>
      <c r="AV269">
        <v>0</v>
      </c>
      <c r="AX269">
        <v>5.79</v>
      </c>
      <c r="AY269">
        <v>63.66</v>
      </c>
      <c r="BA269" t="s">
        <v>93</v>
      </c>
      <c r="BC269" t="s">
        <v>93</v>
      </c>
      <c r="BD269" t="s">
        <v>128</v>
      </c>
      <c r="BE269">
        <v>12.12</v>
      </c>
      <c r="BF269" s="2">
        <v>0.17319999999999999</v>
      </c>
      <c r="BI269" t="s">
        <v>80</v>
      </c>
      <c r="BM269" t="s">
        <v>94</v>
      </c>
      <c r="BN269" t="s">
        <v>95</v>
      </c>
      <c r="BP269" t="s">
        <v>302</v>
      </c>
      <c r="BR269" t="s">
        <v>130</v>
      </c>
      <c r="BT269" t="s">
        <v>131</v>
      </c>
      <c r="BU269" t="s">
        <v>132</v>
      </c>
      <c r="BV269" t="str">
        <f t="shared" si="7"/>
        <v>98109</v>
      </c>
      <c r="BW269">
        <v>902</v>
      </c>
      <c r="BX269" t="s">
        <v>2736</v>
      </c>
      <c r="BY269" t="s">
        <v>2707</v>
      </c>
      <c r="BZ269">
        <v>2</v>
      </c>
    </row>
    <row r="270" spans="1:78" x14ac:dyDescent="0.25">
      <c r="A270" s="1">
        <v>44936</v>
      </c>
      <c r="B270" t="s">
        <v>2157</v>
      </c>
      <c r="C270" t="s">
        <v>75</v>
      </c>
      <c r="E270">
        <v>1</v>
      </c>
      <c r="F270" t="s">
        <v>76</v>
      </c>
      <c r="G270">
        <v>146.97999999999999</v>
      </c>
      <c r="H270">
        <v>0</v>
      </c>
      <c r="I270">
        <v>0</v>
      </c>
      <c r="J270">
        <v>10.29</v>
      </c>
      <c r="K270">
        <v>157.27000000000001</v>
      </c>
      <c r="L270" t="s">
        <v>77</v>
      </c>
      <c r="P270" t="s">
        <v>78</v>
      </c>
      <c r="Q270" t="s">
        <v>79</v>
      </c>
      <c r="R270" t="s">
        <v>80</v>
      </c>
      <c r="S270" t="s">
        <v>80</v>
      </c>
      <c r="T270" t="s">
        <v>80</v>
      </c>
      <c r="U270" t="s">
        <v>80</v>
      </c>
      <c r="V270" t="s">
        <v>80</v>
      </c>
      <c r="W270" t="s">
        <v>2158</v>
      </c>
      <c r="X270" s="1">
        <v>44937</v>
      </c>
      <c r="Y270">
        <v>157.27000000000001</v>
      </c>
      <c r="Z270" t="s">
        <v>82</v>
      </c>
      <c r="AA270" t="str">
        <f t="shared" si="6"/>
        <v>1003</v>
      </c>
      <c r="AB270" t="s">
        <v>141</v>
      </c>
      <c r="AC270" t="s">
        <v>2159</v>
      </c>
      <c r="AD270" t="s">
        <v>2160</v>
      </c>
      <c r="AE270" t="str">
        <f>"47121700"</f>
        <v>47121700</v>
      </c>
      <c r="AF270" t="s">
        <v>144</v>
      </c>
      <c r="AG270" t="s">
        <v>617</v>
      </c>
      <c r="AH270" t="s">
        <v>1777</v>
      </c>
      <c r="AI270" t="s">
        <v>1777</v>
      </c>
      <c r="AJ270" t="s">
        <v>2161</v>
      </c>
      <c r="AK270" t="s">
        <v>2162</v>
      </c>
      <c r="AL270" t="s">
        <v>2163</v>
      </c>
      <c r="AN270" t="str">
        <f>"73290199"</f>
        <v>73290199</v>
      </c>
      <c r="AO270" t="str">
        <f>"73290199"</f>
        <v>73290199</v>
      </c>
      <c r="AP270" t="s">
        <v>92</v>
      </c>
      <c r="AR270">
        <v>307.77999999999997</v>
      </c>
      <c r="AS270">
        <v>146.97999999999999</v>
      </c>
      <c r="AT270">
        <v>1</v>
      </c>
      <c r="AU270">
        <v>146.97999999999999</v>
      </c>
      <c r="AV270">
        <v>0</v>
      </c>
      <c r="AX270">
        <v>10.29</v>
      </c>
      <c r="AY270">
        <v>157.27000000000001</v>
      </c>
      <c r="BA270" t="s">
        <v>93</v>
      </c>
      <c r="BC270" t="s">
        <v>93</v>
      </c>
      <c r="BI270" t="s">
        <v>80</v>
      </c>
      <c r="BM270" t="s">
        <v>94</v>
      </c>
      <c r="BN270" t="s">
        <v>95</v>
      </c>
      <c r="BP270" t="s">
        <v>96</v>
      </c>
      <c r="BR270" t="s">
        <v>130</v>
      </c>
      <c r="BT270" t="s">
        <v>131</v>
      </c>
      <c r="BU270" t="s">
        <v>132</v>
      </c>
      <c r="BV270" t="str">
        <f t="shared" si="7"/>
        <v>98109</v>
      </c>
      <c r="BW270">
        <v>806</v>
      </c>
      <c r="BX270" t="s">
        <v>2728</v>
      </c>
      <c r="BY270" t="s">
        <v>2618</v>
      </c>
      <c r="BZ270">
        <v>2</v>
      </c>
    </row>
    <row r="271" spans="1:78" x14ac:dyDescent="0.25">
      <c r="A271" s="1">
        <v>44936</v>
      </c>
      <c r="B271" t="s">
        <v>2164</v>
      </c>
      <c r="C271" t="s">
        <v>363</v>
      </c>
      <c r="E271">
        <v>3</v>
      </c>
      <c r="F271" t="s">
        <v>76</v>
      </c>
      <c r="G271">
        <v>58.85</v>
      </c>
      <c r="H271">
        <v>0</v>
      </c>
      <c r="I271">
        <v>0</v>
      </c>
      <c r="J271">
        <v>4.91</v>
      </c>
      <c r="K271">
        <v>63.76</v>
      </c>
      <c r="L271" t="s">
        <v>77</v>
      </c>
      <c r="P271" t="s">
        <v>364</v>
      </c>
      <c r="Q271" t="s">
        <v>365</v>
      </c>
      <c r="R271" t="s">
        <v>80</v>
      </c>
      <c r="S271" t="s">
        <v>80</v>
      </c>
      <c r="T271" t="s">
        <v>80</v>
      </c>
      <c r="U271" t="s">
        <v>80</v>
      </c>
      <c r="V271" t="s">
        <v>80</v>
      </c>
      <c r="W271" t="s">
        <v>2165</v>
      </c>
      <c r="X271" s="1">
        <v>44936</v>
      </c>
      <c r="Y271">
        <v>20.43</v>
      </c>
      <c r="Z271" t="s">
        <v>82</v>
      </c>
      <c r="AA271" t="str">
        <f t="shared" si="6"/>
        <v>1003</v>
      </c>
      <c r="AB271" t="s">
        <v>119</v>
      </c>
      <c r="AC271" t="s">
        <v>1285</v>
      </c>
      <c r="AD271" t="s">
        <v>1286</v>
      </c>
      <c r="AE271" t="str">
        <f>"44122100"</f>
        <v>44122100</v>
      </c>
      <c r="AF271" t="s">
        <v>108</v>
      </c>
      <c r="AG271" t="s">
        <v>556</v>
      </c>
      <c r="AH271" t="s">
        <v>934</v>
      </c>
      <c r="AI271" t="s">
        <v>934</v>
      </c>
      <c r="AJ271" t="s">
        <v>125</v>
      </c>
      <c r="AK271" t="s">
        <v>126</v>
      </c>
      <c r="AL271" t="s">
        <v>126</v>
      </c>
      <c r="AN271" t="str">
        <f>"91925"</f>
        <v>91925</v>
      </c>
      <c r="AO271" t="str">
        <f>"91925"</f>
        <v>91925</v>
      </c>
      <c r="AP271" t="s">
        <v>92</v>
      </c>
      <c r="AR271">
        <v>7.98</v>
      </c>
      <c r="AS271">
        <v>6.87</v>
      </c>
      <c r="AT271">
        <v>1</v>
      </c>
      <c r="AU271">
        <v>6.87</v>
      </c>
      <c r="AV271">
        <v>0</v>
      </c>
      <c r="AX271">
        <v>0.56999999999999995</v>
      </c>
      <c r="AY271">
        <v>7.44</v>
      </c>
      <c r="BA271" t="s">
        <v>93</v>
      </c>
      <c r="BC271" t="s">
        <v>93</v>
      </c>
      <c r="BD271" t="s">
        <v>128</v>
      </c>
      <c r="BE271">
        <v>1.1100000000000001</v>
      </c>
      <c r="BF271" s="2">
        <v>0.1391</v>
      </c>
      <c r="BI271" t="s">
        <v>80</v>
      </c>
      <c r="BM271" t="s">
        <v>372</v>
      </c>
      <c r="BN271" t="s">
        <v>373</v>
      </c>
      <c r="BP271" t="s">
        <v>374</v>
      </c>
      <c r="BR271" t="s">
        <v>130</v>
      </c>
      <c r="BT271" t="s">
        <v>131</v>
      </c>
      <c r="BU271" t="s">
        <v>132</v>
      </c>
      <c r="BV271" t="str">
        <f t="shared" si="7"/>
        <v>98109</v>
      </c>
      <c r="BW271">
        <v>907</v>
      </c>
      <c r="BX271" t="s">
        <v>2740</v>
      </c>
      <c r="BY271" t="s">
        <v>2715</v>
      </c>
      <c r="BZ271">
        <v>2</v>
      </c>
    </row>
    <row r="272" spans="1:78" x14ac:dyDescent="0.25">
      <c r="A272" s="1">
        <v>44936</v>
      </c>
      <c r="B272" t="s">
        <v>2164</v>
      </c>
      <c r="C272" t="s">
        <v>363</v>
      </c>
      <c r="E272">
        <v>3</v>
      </c>
      <c r="F272" t="s">
        <v>76</v>
      </c>
      <c r="G272">
        <v>58.85</v>
      </c>
      <c r="H272">
        <v>0</v>
      </c>
      <c r="I272">
        <v>0</v>
      </c>
      <c r="J272">
        <v>4.91</v>
      </c>
      <c r="K272">
        <v>63.76</v>
      </c>
      <c r="L272" t="s">
        <v>77</v>
      </c>
      <c r="P272" t="s">
        <v>364</v>
      </c>
      <c r="Q272" t="s">
        <v>365</v>
      </c>
      <c r="R272" t="s">
        <v>80</v>
      </c>
      <c r="S272" t="s">
        <v>80</v>
      </c>
      <c r="T272" t="s">
        <v>80</v>
      </c>
      <c r="U272" t="s">
        <v>80</v>
      </c>
      <c r="V272" t="s">
        <v>80</v>
      </c>
      <c r="W272" t="s">
        <v>2165</v>
      </c>
      <c r="X272" s="1">
        <v>44936</v>
      </c>
      <c r="Y272">
        <v>20.43</v>
      </c>
      <c r="Z272" t="s">
        <v>82</v>
      </c>
      <c r="AA272" t="str">
        <f t="shared" si="6"/>
        <v>1003</v>
      </c>
      <c r="AB272" t="s">
        <v>119</v>
      </c>
      <c r="AC272" t="s">
        <v>2166</v>
      </c>
      <c r="AD272" t="s">
        <v>2167</v>
      </c>
      <c r="AE272" t="str">
        <f>"14111530"</f>
        <v>14111530</v>
      </c>
      <c r="AF272" t="s">
        <v>213</v>
      </c>
      <c r="AG272" t="s">
        <v>214</v>
      </c>
      <c r="AH272" t="s">
        <v>215</v>
      </c>
      <c r="AI272" t="s">
        <v>2168</v>
      </c>
      <c r="AJ272" t="s">
        <v>1322</v>
      </c>
      <c r="AK272" t="s">
        <v>1323</v>
      </c>
      <c r="AL272" t="s">
        <v>1324</v>
      </c>
      <c r="AN272" t="s">
        <v>2169</v>
      </c>
      <c r="AO272" t="str">
        <f>"051131971516"</f>
        <v>051131971516</v>
      </c>
      <c r="AP272" t="s">
        <v>92</v>
      </c>
      <c r="AR272">
        <v>17.489999999999998</v>
      </c>
      <c r="AS272">
        <v>11.99</v>
      </c>
      <c r="AT272">
        <v>1</v>
      </c>
      <c r="AU272">
        <v>11.99</v>
      </c>
      <c r="AV272">
        <v>0</v>
      </c>
      <c r="AX272">
        <v>1</v>
      </c>
      <c r="AY272">
        <v>12.99</v>
      </c>
      <c r="BA272" t="s">
        <v>93</v>
      </c>
      <c r="BC272" t="s">
        <v>93</v>
      </c>
      <c r="BD272" t="s">
        <v>128</v>
      </c>
      <c r="BE272">
        <v>5.5</v>
      </c>
      <c r="BF272" s="2">
        <v>0.3145</v>
      </c>
      <c r="BI272" t="s">
        <v>80</v>
      </c>
      <c r="BM272" t="s">
        <v>372</v>
      </c>
      <c r="BN272" t="s">
        <v>373</v>
      </c>
      <c r="BP272" t="s">
        <v>374</v>
      </c>
      <c r="BR272" t="s">
        <v>130</v>
      </c>
      <c r="BT272" t="s">
        <v>131</v>
      </c>
      <c r="BU272" t="s">
        <v>132</v>
      </c>
      <c r="BV272" t="str">
        <f t="shared" si="7"/>
        <v>98109</v>
      </c>
      <c r="BW272">
        <v>907</v>
      </c>
      <c r="BX272" t="s">
        <v>2740</v>
      </c>
      <c r="BY272" t="s">
        <v>2715</v>
      </c>
      <c r="BZ272">
        <v>2</v>
      </c>
    </row>
    <row r="273" spans="1:78" x14ac:dyDescent="0.25">
      <c r="A273" s="1">
        <v>44936</v>
      </c>
      <c r="B273" t="s">
        <v>2164</v>
      </c>
      <c r="C273" t="s">
        <v>363</v>
      </c>
      <c r="E273">
        <v>3</v>
      </c>
      <c r="F273" t="s">
        <v>76</v>
      </c>
      <c r="G273">
        <v>58.85</v>
      </c>
      <c r="H273">
        <v>0</v>
      </c>
      <c r="I273">
        <v>0</v>
      </c>
      <c r="J273">
        <v>4.91</v>
      </c>
      <c r="K273">
        <v>63.76</v>
      </c>
      <c r="L273" t="s">
        <v>77</v>
      </c>
      <c r="P273" t="s">
        <v>364</v>
      </c>
      <c r="Q273" t="s">
        <v>365</v>
      </c>
      <c r="R273" t="s">
        <v>80</v>
      </c>
      <c r="S273" t="s">
        <v>80</v>
      </c>
      <c r="T273" t="s">
        <v>80</v>
      </c>
      <c r="U273" t="s">
        <v>80</v>
      </c>
      <c r="V273" t="s">
        <v>80</v>
      </c>
      <c r="W273" t="s">
        <v>2170</v>
      </c>
      <c r="X273" s="1">
        <v>44937</v>
      </c>
      <c r="Y273">
        <v>43.33</v>
      </c>
      <c r="Z273" t="s">
        <v>82</v>
      </c>
      <c r="AA273" t="str">
        <f t="shared" si="6"/>
        <v>1003</v>
      </c>
      <c r="AB273" t="s">
        <v>119</v>
      </c>
      <c r="AC273" t="s">
        <v>2171</v>
      </c>
      <c r="AD273" t="s">
        <v>2172</v>
      </c>
      <c r="AE273" t="str">
        <f>"14111525"</f>
        <v>14111525</v>
      </c>
      <c r="AF273" t="s">
        <v>213</v>
      </c>
      <c r="AG273" t="s">
        <v>214</v>
      </c>
      <c r="AH273" t="s">
        <v>215</v>
      </c>
      <c r="AI273" t="s">
        <v>2173</v>
      </c>
      <c r="AJ273" t="s">
        <v>175</v>
      </c>
      <c r="AK273" t="s">
        <v>176</v>
      </c>
      <c r="AL273" t="s">
        <v>176</v>
      </c>
      <c r="AN273" t="s">
        <v>2174</v>
      </c>
      <c r="AO273" t="s">
        <v>2174</v>
      </c>
      <c r="AP273" t="s">
        <v>92</v>
      </c>
      <c r="AR273">
        <v>39.99</v>
      </c>
      <c r="AS273">
        <v>39.99</v>
      </c>
      <c r="AT273">
        <v>1</v>
      </c>
      <c r="AU273">
        <v>39.99</v>
      </c>
      <c r="AV273">
        <v>0</v>
      </c>
      <c r="AX273">
        <v>3.34</v>
      </c>
      <c r="AY273">
        <v>43.33</v>
      </c>
      <c r="BA273" t="s">
        <v>93</v>
      </c>
      <c r="BC273" t="s">
        <v>93</v>
      </c>
      <c r="BD273" t="s">
        <v>128</v>
      </c>
      <c r="BI273" t="s">
        <v>80</v>
      </c>
      <c r="BM273" t="s">
        <v>372</v>
      </c>
      <c r="BN273" t="s">
        <v>373</v>
      </c>
      <c r="BP273" t="s">
        <v>374</v>
      </c>
      <c r="BR273" t="s">
        <v>130</v>
      </c>
      <c r="BT273" t="s">
        <v>131</v>
      </c>
      <c r="BU273" t="s">
        <v>132</v>
      </c>
      <c r="BV273" t="str">
        <f t="shared" si="7"/>
        <v>98109</v>
      </c>
      <c r="BW273">
        <v>907</v>
      </c>
      <c r="BX273" t="s">
        <v>2740</v>
      </c>
      <c r="BY273" t="s">
        <v>2715</v>
      </c>
      <c r="BZ273">
        <v>2</v>
      </c>
    </row>
    <row r="274" spans="1:78" x14ac:dyDescent="0.25">
      <c r="A274" s="1">
        <v>44936</v>
      </c>
      <c r="B274" t="s">
        <v>2175</v>
      </c>
      <c r="C274" t="s">
        <v>2101</v>
      </c>
      <c r="E274">
        <v>1</v>
      </c>
      <c r="F274" t="s">
        <v>76</v>
      </c>
      <c r="G274">
        <v>56.99</v>
      </c>
      <c r="H274">
        <v>0</v>
      </c>
      <c r="I274">
        <v>0</v>
      </c>
      <c r="J274">
        <v>4.7</v>
      </c>
      <c r="K274">
        <v>61.69</v>
      </c>
      <c r="L274" t="s">
        <v>77</v>
      </c>
      <c r="P274" t="s">
        <v>2102</v>
      </c>
      <c r="Q274" t="s">
        <v>2103</v>
      </c>
      <c r="R274" t="s">
        <v>80</v>
      </c>
      <c r="S274" t="s">
        <v>80</v>
      </c>
      <c r="T274" t="s">
        <v>80</v>
      </c>
      <c r="U274" t="s">
        <v>80</v>
      </c>
      <c r="V274" t="s">
        <v>80</v>
      </c>
      <c r="W274" t="s">
        <v>2176</v>
      </c>
      <c r="X274" s="1">
        <v>44936</v>
      </c>
      <c r="Y274">
        <v>61.69</v>
      </c>
      <c r="Z274" t="s">
        <v>82</v>
      </c>
      <c r="AA274" t="str">
        <f t="shared" si="6"/>
        <v>1003</v>
      </c>
      <c r="AB274" t="s">
        <v>168</v>
      </c>
      <c r="AC274" t="s">
        <v>2177</v>
      </c>
      <c r="AD274" t="s">
        <v>2178</v>
      </c>
      <c r="AE274" t="str">
        <f>"52151502"</f>
        <v>52151502</v>
      </c>
      <c r="AF274" t="s">
        <v>684</v>
      </c>
      <c r="AG274" t="s">
        <v>883</v>
      </c>
      <c r="AH274" t="s">
        <v>2179</v>
      </c>
      <c r="AI274" t="s">
        <v>2180</v>
      </c>
      <c r="AJ274" t="s">
        <v>2181</v>
      </c>
      <c r="AK274" t="s">
        <v>2182</v>
      </c>
      <c r="AL274" t="s">
        <v>2182</v>
      </c>
      <c r="AN274" t="str">
        <f>"1512820"</f>
        <v>1512820</v>
      </c>
      <c r="AO274" t="str">
        <f>"1512820"</f>
        <v>1512820</v>
      </c>
      <c r="AP274" t="s">
        <v>92</v>
      </c>
      <c r="AR274">
        <v>25.99</v>
      </c>
      <c r="AS274">
        <v>56.99</v>
      </c>
      <c r="AT274">
        <v>1</v>
      </c>
      <c r="AU274">
        <v>56.99</v>
      </c>
      <c r="AV274">
        <v>0</v>
      </c>
      <c r="AX274">
        <v>4.7</v>
      </c>
      <c r="AY274">
        <v>61.69</v>
      </c>
      <c r="BA274" t="s">
        <v>93</v>
      </c>
      <c r="BC274" t="s">
        <v>93</v>
      </c>
      <c r="BI274" t="s">
        <v>80</v>
      </c>
      <c r="BM274" t="s">
        <v>372</v>
      </c>
      <c r="BN274" t="s">
        <v>1168</v>
      </c>
      <c r="BP274" t="s">
        <v>2107</v>
      </c>
      <c r="BR274" t="s">
        <v>2183</v>
      </c>
      <c r="BT274" t="s">
        <v>2184</v>
      </c>
      <c r="BU274" t="s">
        <v>2185</v>
      </c>
      <c r="BV274" t="str">
        <f>"89129"</f>
        <v>89129</v>
      </c>
      <c r="BW274">
        <v>895</v>
      </c>
      <c r="BX274" t="s">
        <v>2754</v>
      </c>
      <c r="BY274" t="s">
        <v>2699</v>
      </c>
      <c r="BZ274">
        <v>2</v>
      </c>
    </row>
    <row r="275" spans="1:78" x14ac:dyDescent="0.25">
      <c r="A275" s="1">
        <v>44936</v>
      </c>
      <c r="B275" t="s">
        <v>2186</v>
      </c>
      <c r="C275" t="s">
        <v>2101</v>
      </c>
      <c r="E275">
        <v>4</v>
      </c>
      <c r="F275" t="s">
        <v>76</v>
      </c>
      <c r="G275">
        <v>53.92</v>
      </c>
      <c r="H275">
        <v>0</v>
      </c>
      <c r="I275">
        <v>0</v>
      </c>
      <c r="J275">
        <v>4.4400000000000004</v>
      </c>
      <c r="K275">
        <v>58.36</v>
      </c>
      <c r="L275" t="s">
        <v>77</v>
      </c>
      <c r="P275" t="s">
        <v>2102</v>
      </c>
      <c r="Q275" t="s">
        <v>2103</v>
      </c>
      <c r="R275" t="s">
        <v>80</v>
      </c>
      <c r="S275" t="s">
        <v>80</v>
      </c>
      <c r="T275" t="s">
        <v>80</v>
      </c>
      <c r="U275" t="s">
        <v>80</v>
      </c>
      <c r="V275" t="s">
        <v>80</v>
      </c>
      <c r="W275" t="s">
        <v>2187</v>
      </c>
      <c r="X275" s="1">
        <v>44937</v>
      </c>
      <c r="Y275">
        <v>58.36</v>
      </c>
      <c r="Z275" t="s">
        <v>82</v>
      </c>
      <c r="AA275" t="str">
        <f t="shared" si="6"/>
        <v>1003</v>
      </c>
      <c r="AB275" t="s">
        <v>119</v>
      </c>
      <c r="AC275" t="s">
        <v>2188</v>
      </c>
      <c r="AD275" t="s">
        <v>2189</v>
      </c>
      <c r="AE275" t="str">
        <f>"44112002"</f>
        <v>44112002</v>
      </c>
      <c r="AF275" t="s">
        <v>108</v>
      </c>
      <c r="AG275" t="s">
        <v>122</v>
      </c>
      <c r="AH275" t="s">
        <v>568</v>
      </c>
      <c r="AI275" t="s">
        <v>569</v>
      </c>
      <c r="AK275" t="s">
        <v>2190</v>
      </c>
      <c r="AL275" t="s">
        <v>2190</v>
      </c>
      <c r="AO275" t="s">
        <v>2191</v>
      </c>
      <c r="AP275" t="s">
        <v>92</v>
      </c>
      <c r="AR275">
        <v>13.48</v>
      </c>
      <c r="AS275">
        <v>13.48</v>
      </c>
      <c r="AT275">
        <v>4</v>
      </c>
      <c r="AU275">
        <v>53.92</v>
      </c>
      <c r="AV275">
        <v>0</v>
      </c>
      <c r="AX275">
        <v>4.4400000000000004</v>
      </c>
      <c r="AY275">
        <v>58.36</v>
      </c>
      <c r="BA275" t="s">
        <v>93</v>
      </c>
      <c r="BC275" t="s">
        <v>93</v>
      </c>
      <c r="BI275" t="s">
        <v>80</v>
      </c>
      <c r="BM275" t="s">
        <v>372</v>
      </c>
      <c r="BN275" t="s">
        <v>1168</v>
      </c>
      <c r="BP275" t="s">
        <v>2107</v>
      </c>
      <c r="BR275" t="s">
        <v>2192</v>
      </c>
      <c r="BT275" t="s">
        <v>2193</v>
      </c>
      <c r="BU275" t="s">
        <v>2194</v>
      </c>
      <c r="BV275" t="str">
        <f>"518000"</f>
        <v>518000</v>
      </c>
      <c r="BW275">
        <v>895</v>
      </c>
      <c r="BX275" t="s">
        <v>2754</v>
      </c>
      <c r="BY275" t="s">
        <v>2699</v>
      </c>
      <c r="BZ275">
        <v>2</v>
      </c>
    </row>
    <row r="276" spans="1:78" x14ac:dyDescent="0.25">
      <c r="A276" s="1">
        <v>44936</v>
      </c>
      <c r="B276" t="s">
        <v>2195</v>
      </c>
      <c r="C276" t="s">
        <v>363</v>
      </c>
      <c r="E276">
        <v>1</v>
      </c>
      <c r="F276" t="s">
        <v>76</v>
      </c>
      <c r="G276">
        <v>11.97</v>
      </c>
      <c r="H276">
        <v>0</v>
      </c>
      <c r="I276">
        <v>0</v>
      </c>
      <c r="J276">
        <v>0.99</v>
      </c>
      <c r="K276">
        <v>12.96</v>
      </c>
      <c r="L276" t="s">
        <v>77</v>
      </c>
      <c r="P276" t="s">
        <v>364</v>
      </c>
      <c r="Q276" t="s">
        <v>365</v>
      </c>
      <c r="R276" t="s">
        <v>80</v>
      </c>
      <c r="S276" t="s">
        <v>80</v>
      </c>
      <c r="T276" t="s">
        <v>80</v>
      </c>
      <c r="U276" t="s">
        <v>80</v>
      </c>
      <c r="V276" t="s">
        <v>80</v>
      </c>
      <c r="W276" t="s">
        <v>2196</v>
      </c>
      <c r="X276" s="1">
        <v>44939</v>
      </c>
      <c r="Y276">
        <v>12.96</v>
      </c>
      <c r="Z276" t="s">
        <v>82</v>
      </c>
      <c r="AA276" t="str">
        <f t="shared" si="6"/>
        <v>1003</v>
      </c>
      <c r="AB276" t="s">
        <v>168</v>
      </c>
      <c r="AC276" t="s">
        <v>2197</v>
      </c>
      <c r="AD276" t="s">
        <v>2198</v>
      </c>
      <c r="AE276" t="str">
        <f>"47131803"</f>
        <v>47131803</v>
      </c>
      <c r="AF276" t="s">
        <v>144</v>
      </c>
      <c r="AG276" t="s">
        <v>145</v>
      </c>
      <c r="AH276" t="s">
        <v>261</v>
      </c>
      <c r="AI276" t="s">
        <v>2199</v>
      </c>
      <c r="AJ276" t="s">
        <v>2200</v>
      </c>
      <c r="AK276" t="s">
        <v>732</v>
      </c>
      <c r="AL276" t="s">
        <v>1731</v>
      </c>
      <c r="AN276" t="str">
        <f>"1920096226"</f>
        <v>1920096226</v>
      </c>
      <c r="AO276" t="str">
        <f>"1920096226"</f>
        <v>1920096226</v>
      </c>
      <c r="AP276" t="s">
        <v>92</v>
      </c>
      <c r="AR276">
        <v>11.97</v>
      </c>
      <c r="AS276">
        <v>11.97</v>
      </c>
      <c r="AT276">
        <v>1</v>
      </c>
      <c r="AU276">
        <v>11.97</v>
      </c>
      <c r="AV276">
        <v>0</v>
      </c>
      <c r="AX276">
        <v>0.99</v>
      </c>
      <c r="AY276">
        <v>12.96</v>
      </c>
      <c r="BA276" t="s">
        <v>93</v>
      </c>
      <c r="BC276" t="s">
        <v>93</v>
      </c>
      <c r="BI276" t="s">
        <v>80</v>
      </c>
      <c r="BM276" t="s">
        <v>372</v>
      </c>
      <c r="BN276" t="s">
        <v>373</v>
      </c>
      <c r="BP276" t="s">
        <v>2201</v>
      </c>
      <c r="BR276" t="s">
        <v>338</v>
      </c>
      <c r="BT276" t="s">
        <v>131</v>
      </c>
      <c r="BU276" t="s">
        <v>339</v>
      </c>
      <c r="BV276" t="str">
        <f>"98109"</f>
        <v>98109</v>
      </c>
      <c r="BW276">
        <v>908</v>
      </c>
      <c r="BX276" t="s">
        <v>2755</v>
      </c>
      <c r="BY276" t="s">
        <v>2717</v>
      </c>
      <c r="BZ276">
        <v>2</v>
      </c>
    </row>
    <row r="277" spans="1:78" x14ac:dyDescent="0.25">
      <c r="A277" s="1">
        <v>44936</v>
      </c>
      <c r="B277" t="s">
        <v>2202</v>
      </c>
      <c r="C277" t="s">
        <v>363</v>
      </c>
      <c r="E277">
        <v>5</v>
      </c>
      <c r="F277" t="s">
        <v>76</v>
      </c>
      <c r="G277">
        <v>96.61</v>
      </c>
      <c r="H277">
        <v>0</v>
      </c>
      <c r="I277">
        <v>0</v>
      </c>
      <c r="J277">
        <v>7.97</v>
      </c>
      <c r="K277">
        <v>104.58</v>
      </c>
      <c r="L277" t="s">
        <v>77</v>
      </c>
      <c r="P277" t="s">
        <v>364</v>
      </c>
      <c r="Q277" t="s">
        <v>365</v>
      </c>
      <c r="R277" t="s">
        <v>80</v>
      </c>
      <c r="S277" t="s">
        <v>80</v>
      </c>
      <c r="T277" t="s">
        <v>80</v>
      </c>
      <c r="U277" t="s">
        <v>80</v>
      </c>
      <c r="V277" t="s">
        <v>80</v>
      </c>
      <c r="W277" t="s">
        <v>2203</v>
      </c>
      <c r="X277" s="1">
        <v>44937</v>
      </c>
      <c r="Y277">
        <v>57.23</v>
      </c>
      <c r="Z277" t="s">
        <v>82</v>
      </c>
      <c r="AA277" t="str">
        <f t="shared" si="6"/>
        <v>1003</v>
      </c>
      <c r="AB277" t="s">
        <v>168</v>
      </c>
      <c r="AC277" t="s">
        <v>2204</v>
      </c>
      <c r="AD277" t="s">
        <v>2205</v>
      </c>
      <c r="AE277" t="str">
        <f>"26111702"</f>
        <v>26111702</v>
      </c>
      <c r="AF277" t="s">
        <v>171</v>
      </c>
      <c r="AG277" t="s">
        <v>172</v>
      </c>
      <c r="AH277" t="s">
        <v>173</v>
      </c>
      <c r="AI277" t="s">
        <v>174</v>
      </c>
      <c r="AJ277" t="s">
        <v>175</v>
      </c>
      <c r="AK277" t="s">
        <v>176</v>
      </c>
      <c r="AL277" t="s">
        <v>176</v>
      </c>
      <c r="AN277" t="s">
        <v>2206</v>
      </c>
      <c r="AO277" t="s">
        <v>2207</v>
      </c>
      <c r="AP277" t="s">
        <v>92</v>
      </c>
      <c r="AR277">
        <v>9.0299999999999994</v>
      </c>
      <c r="AS277">
        <v>9.89</v>
      </c>
      <c r="AT277">
        <v>1</v>
      </c>
      <c r="AU277">
        <v>9.89</v>
      </c>
      <c r="AV277">
        <v>0</v>
      </c>
      <c r="AX277">
        <v>0.82</v>
      </c>
      <c r="AY277">
        <v>10.71</v>
      </c>
      <c r="BA277" t="s">
        <v>93</v>
      </c>
      <c r="BC277" t="s">
        <v>93</v>
      </c>
      <c r="BD277" t="s">
        <v>128</v>
      </c>
      <c r="BI277" t="s">
        <v>80</v>
      </c>
      <c r="BM277" t="s">
        <v>372</v>
      </c>
      <c r="BN277" t="s">
        <v>373</v>
      </c>
      <c r="BP277" t="s">
        <v>2201</v>
      </c>
      <c r="BR277" t="s">
        <v>130</v>
      </c>
      <c r="BT277" t="s">
        <v>131</v>
      </c>
      <c r="BU277" t="s">
        <v>132</v>
      </c>
      <c r="BV277" t="str">
        <f>"98109"</f>
        <v>98109</v>
      </c>
      <c r="BW277">
        <v>908</v>
      </c>
      <c r="BX277" t="s">
        <v>2755</v>
      </c>
      <c r="BY277" t="s">
        <v>2717</v>
      </c>
      <c r="BZ277">
        <v>2</v>
      </c>
    </row>
    <row r="278" spans="1:78" x14ac:dyDescent="0.25">
      <c r="A278" s="1">
        <v>44936</v>
      </c>
      <c r="B278" t="s">
        <v>2202</v>
      </c>
      <c r="C278" t="s">
        <v>363</v>
      </c>
      <c r="E278">
        <v>5</v>
      </c>
      <c r="F278" t="s">
        <v>76</v>
      </c>
      <c r="G278">
        <v>96.61</v>
      </c>
      <c r="H278">
        <v>0</v>
      </c>
      <c r="I278">
        <v>0</v>
      </c>
      <c r="J278">
        <v>7.97</v>
      </c>
      <c r="K278">
        <v>104.58</v>
      </c>
      <c r="L278" t="s">
        <v>77</v>
      </c>
      <c r="P278" t="s">
        <v>364</v>
      </c>
      <c r="Q278" t="s">
        <v>365</v>
      </c>
      <c r="R278" t="s">
        <v>80</v>
      </c>
      <c r="S278" t="s">
        <v>80</v>
      </c>
      <c r="T278" t="s">
        <v>80</v>
      </c>
      <c r="U278" t="s">
        <v>80</v>
      </c>
      <c r="V278" t="s">
        <v>80</v>
      </c>
      <c r="W278" t="s">
        <v>2203</v>
      </c>
      <c r="X278" s="1">
        <v>44937</v>
      </c>
      <c r="Y278">
        <v>57.23</v>
      </c>
      <c r="Z278" t="s">
        <v>82</v>
      </c>
      <c r="AA278" t="str">
        <f t="shared" si="6"/>
        <v>1003</v>
      </c>
      <c r="AB278" t="s">
        <v>268</v>
      </c>
      <c r="AC278" t="s">
        <v>2208</v>
      </c>
      <c r="AD278" t="s">
        <v>2209</v>
      </c>
      <c r="AE278" t="str">
        <f>"47131600"</f>
        <v>47131600</v>
      </c>
      <c r="AF278" t="s">
        <v>144</v>
      </c>
      <c r="AG278" t="s">
        <v>145</v>
      </c>
      <c r="AH278" t="s">
        <v>271</v>
      </c>
      <c r="AI278" t="s">
        <v>271</v>
      </c>
      <c r="AK278" t="s">
        <v>2210</v>
      </c>
      <c r="AL278" t="s">
        <v>2211</v>
      </c>
      <c r="AN278" t="s">
        <v>2212</v>
      </c>
      <c r="AO278" t="s">
        <v>2212</v>
      </c>
      <c r="AP278" t="s">
        <v>92</v>
      </c>
      <c r="AR278">
        <v>21.99</v>
      </c>
      <c r="AS278">
        <v>17.989999999999998</v>
      </c>
      <c r="AT278">
        <v>1</v>
      </c>
      <c r="AU278">
        <v>17.989999999999998</v>
      </c>
      <c r="AV278">
        <v>0</v>
      </c>
      <c r="AX278">
        <v>1.48</v>
      </c>
      <c r="AY278">
        <v>19.47</v>
      </c>
      <c r="BA278" t="s">
        <v>93</v>
      </c>
      <c r="BC278" t="s">
        <v>93</v>
      </c>
      <c r="BI278" t="s">
        <v>80</v>
      </c>
      <c r="BM278" t="s">
        <v>372</v>
      </c>
      <c r="BN278" t="s">
        <v>373</v>
      </c>
      <c r="BP278" t="s">
        <v>2201</v>
      </c>
      <c r="BR278" t="s">
        <v>2213</v>
      </c>
      <c r="BS278" t="s">
        <v>1377</v>
      </c>
      <c r="BT278" t="s">
        <v>679</v>
      </c>
      <c r="BU278" t="s">
        <v>523</v>
      </c>
      <c r="BV278" t="str">
        <f>"315505"</f>
        <v>315505</v>
      </c>
      <c r="BW278">
        <v>908</v>
      </c>
      <c r="BX278" t="s">
        <v>2755</v>
      </c>
      <c r="BY278" t="s">
        <v>2717</v>
      </c>
      <c r="BZ278">
        <v>2</v>
      </c>
    </row>
    <row r="279" spans="1:78" x14ac:dyDescent="0.25">
      <c r="A279" s="1">
        <v>44936</v>
      </c>
      <c r="B279" t="s">
        <v>2202</v>
      </c>
      <c r="C279" t="s">
        <v>363</v>
      </c>
      <c r="E279">
        <v>5</v>
      </c>
      <c r="F279" t="s">
        <v>76</v>
      </c>
      <c r="G279">
        <v>96.61</v>
      </c>
      <c r="H279">
        <v>0</v>
      </c>
      <c r="I279">
        <v>0</v>
      </c>
      <c r="J279">
        <v>7.97</v>
      </c>
      <c r="K279">
        <v>104.58</v>
      </c>
      <c r="L279" t="s">
        <v>77</v>
      </c>
      <c r="P279" t="s">
        <v>364</v>
      </c>
      <c r="Q279" t="s">
        <v>365</v>
      </c>
      <c r="R279" t="s">
        <v>80</v>
      </c>
      <c r="S279" t="s">
        <v>80</v>
      </c>
      <c r="T279" t="s">
        <v>80</v>
      </c>
      <c r="U279" t="s">
        <v>80</v>
      </c>
      <c r="V279" t="s">
        <v>80</v>
      </c>
      <c r="W279" t="s">
        <v>2203</v>
      </c>
      <c r="X279" s="1">
        <v>44937</v>
      </c>
      <c r="Y279">
        <v>57.23</v>
      </c>
      <c r="Z279" t="s">
        <v>82</v>
      </c>
      <c r="AA279" t="str">
        <f t="shared" si="6"/>
        <v>1003</v>
      </c>
      <c r="AB279" t="s">
        <v>638</v>
      </c>
      <c r="AC279" t="s">
        <v>2214</v>
      </c>
      <c r="AD279" t="s">
        <v>2215</v>
      </c>
      <c r="AE279" t="str">
        <f>"47131812"</f>
        <v>47131812</v>
      </c>
      <c r="AF279" t="s">
        <v>144</v>
      </c>
      <c r="AG279" t="s">
        <v>145</v>
      </c>
      <c r="AH279" t="s">
        <v>261</v>
      </c>
      <c r="AI279" t="s">
        <v>649</v>
      </c>
      <c r="AJ279" t="s">
        <v>2216</v>
      </c>
      <c r="AK279" t="s">
        <v>2217</v>
      </c>
      <c r="AL279" t="s">
        <v>2218</v>
      </c>
      <c r="AN279" t="s">
        <v>2219</v>
      </c>
      <c r="AO279" t="s">
        <v>2219</v>
      </c>
      <c r="AP279" t="s">
        <v>92</v>
      </c>
      <c r="AR279">
        <v>44.22</v>
      </c>
      <c r="AS279">
        <v>24.99</v>
      </c>
      <c r="AT279">
        <v>1</v>
      </c>
      <c r="AU279">
        <v>24.99</v>
      </c>
      <c r="AV279">
        <v>0</v>
      </c>
      <c r="AX279">
        <v>2.06</v>
      </c>
      <c r="AY279">
        <v>27.05</v>
      </c>
      <c r="BA279" t="s">
        <v>93</v>
      </c>
      <c r="BC279" t="s">
        <v>93</v>
      </c>
      <c r="BI279" t="s">
        <v>80</v>
      </c>
      <c r="BM279" t="s">
        <v>372</v>
      </c>
      <c r="BN279" t="s">
        <v>373</v>
      </c>
      <c r="BP279" t="s">
        <v>2201</v>
      </c>
      <c r="BR279" t="s">
        <v>2220</v>
      </c>
      <c r="BS279" t="s">
        <v>237</v>
      </c>
      <c r="BT279" t="s">
        <v>2221</v>
      </c>
      <c r="BU279" t="s">
        <v>2222</v>
      </c>
      <c r="BV279" t="str">
        <f>"19806"</f>
        <v>19806</v>
      </c>
      <c r="BW279">
        <v>908</v>
      </c>
      <c r="BX279" t="s">
        <v>2755</v>
      </c>
      <c r="BY279" t="s">
        <v>2717</v>
      </c>
      <c r="BZ279">
        <v>2</v>
      </c>
    </row>
    <row r="280" spans="1:78" x14ac:dyDescent="0.25">
      <c r="A280" s="1">
        <v>44936</v>
      </c>
      <c r="B280" t="s">
        <v>2202</v>
      </c>
      <c r="C280" t="s">
        <v>363</v>
      </c>
      <c r="E280">
        <v>5</v>
      </c>
      <c r="F280" t="s">
        <v>76</v>
      </c>
      <c r="G280">
        <v>96.61</v>
      </c>
      <c r="H280">
        <v>0</v>
      </c>
      <c r="I280">
        <v>0</v>
      </c>
      <c r="J280">
        <v>7.97</v>
      </c>
      <c r="K280">
        <v>104.58</v>
      </c>
      <c r="L280" t="s">
        <v>77</v>
      </c>
      <c r="P280" t="s">
        <v>364</v>
      </c>
      <c r="Q280" t="s">
        <v>365</v>
      </c>
      <c r="R280" t="s">
        <v>80</v>
      </c>
      <c r="S280" t="s">
        <v>80</v>
      </c>
      <c r="T280" t="s">
        <v>80</v>
      </c>
      <c r="U280" t="s">
        <v>80</v>
      </c>
      <c r="V280" t="s">
        <v>80</v>
      </c>
      <c r="W280" t="s">
        <v>2223</v>
      </c>
      <c r="X280" s="1">
        <v>44937</v>
      </c>
      <c r="Y280">
        <v>47.35</v>
      </c>
      <c r="Z280" t="s">
        <v>82</v>
      </c>
      <c r="AA280" t="str">
        <f t="shared" si="6"/>
        <v>1003</v>
      </c>
      <c r="AB280" t="s">
        <v>133</v>
      </c>
      <c r="AC280" t="s">
        <v>2224</v>
      </c>
      <c r="AD280" t="s">
        <v>2225</v>
      </c>
      <c r="AE280" t="str">
        <f>"47121701"</f>
        <v>47121701</v>
      </c>
      <c r="AF280" t="s">
        <v>144</v>
      </c>
      <c r="AG280" t="s">
        <v>617</v>
      </c>
      <c r="AH280" t="s">
        <v>1777</v>
      </c>
      <c r="AI280" t="s">
        <v>1778</v>
      </c>
      <c r="AK280" t="s">
        <v>2226</v>
      </c>
      <c r="AP280" t="s">
        <v>92</v>
      </c>
      <c r="AR280">
        <v>23.95</v>
      </c>
      <c r="AS280">
        <v>23.95</v>
      </c>
      <c r="AT280">
        <v>1</v>
      </c>
      <c r="AU280">
        <v>23.95</v>
      </c>
      <c r="AV280">
        <v>0</v>
      </c>
      <c r="AX280">
        <v>1.98</v>
      </c>
      <c r="AY280">
        <v>25.93</v>
      </c>
      <c r="BA280" t="s">
        <v>93</v>
      </c>
      <c r="BC280" t="s">
        <v>93</v>
      </c>
      <c r="BI280" t="s">
        <v>80</v>
      </c>
      <c r="BM280" t="s">
        <v>372</v>
      </c>
      <c r="BN280" t="s">
        <v>373</v>
      </c>
      <c r="BP280" t="s">
        <v>2201</v>
      </c>
      <c r="BR280" t="s">
        <v>2226</v>
      </c>
      <c r="BT280" t="s">
        <v>295</v>
      </c>
      <c r="BU280" t="s">
        <v>296</v>
      </c>
      <c r="BV280" t="str">
        <f>"510635"</f>
        <v>510635</v>
      </c>
      <c r="BW280">
        <v>908</v>
      </c>
      <c r="BX280" t="s">
        <v>2755</v>
      </c>
      <c r="BY280" t="s">
        <v>2717</v>
      </c>
      <c r="BZ280">
        <v>2</v>
      </c>
    </row>
    <row r="281" spans="1:78" x14ac:dyDescent="0.25">
      <c r="A281" s="1">
        <v>44936</v>
      </c>
      <c r="B281" t="s">
        <v>2202</v>
      </c>
      <c r="C281" t="s">
        <v>363</v>
      </c>
      <c r="E281">
        <v>5</v>
      </c>
      <c r="F281" t="s">
        <v>76</v>
      </c>
      <c r="G281">
        <v>96.61</v>
      </c>
      <c r="H281">
        <v>0</v>
      </c>
      <c r="I281">
        <v>0</v>
      </c>
      <c r="J281">
        <v>7.97</v>
      </c>
      <c r="K281">
        <v>104.58</v>
      </c>
      <c r="L281" t="s">
        <v>77</v>
      </c>
      <c r="P281" t="s">
        <v>364</v>
      </c>
      <c r="Q281" t="s">
        <v>365</v>
      </c>
      <c r="R281" t="s">
        <v>80</v>
      </c>
      <c r="S281" t="s">
        <v>80</v>
      </c>
      <c r="T281" t="s">
        <v>80</v>
      </c>
      <c r="U281" t="s">
        <v>80</v>
      </c>
      <c r="V281" t="s">
        <v>80</v>
      </c>
      <c r="W281" t="s">
        <v>2223</v>
      </c>
      <c r="X281" s="1">
        <v>44937</v>
      </c>
      <c r="Y281">
        <v>47.35</v>
      </c>
      <c r="Z281" t="s">
        <v>82</v>
      </c>
      <c r="AA281" t="str">
        <f t="shared" si="6"/>
        <v>1003</v>
      </c>
      <c r="AB281" t="s">
        <v>1358</v>
      </c>
      <c r="AC281" t="s">
        <v>2227</v>
      </c>
      <c r="AD281" t="s">
        <v>2228</v>
      </c>
      <c r="AE281" t="str">
        <f>"46181500"</f>
        <v>46181500</v>
      </c>
      <c r="AF281" t="s">
        <v>451</v>
      </c>
      <c r="AG281" t="s">
        <v>580</v>
      </c>
      <c r="AH281" t="s">
        <v>1361</v>
      </c>
      <c r="AI281" t="s">
        <v>1361</v>
      </c>
      <c r="AK281" t="s">
        <v>2229</v>
      </c>
      <c r="AP281" t="s">
        <v>92</v>
      </c>
      <c r="AR281">
        <v>26.99</v>
      </c>
      <c r="AS281">
        <v>19.79</v>
      </c>
      <c r="AT281">
        <v>1</v>
      </c>
      <c r="AU281">
        <v>19.79</v>
      </c>
      <c r="AV281">
        <v>0</v>
      </c>
      <c r="AX281">
        <v>1.63</v>
      </c>
      <c r="AY281">
        <v>21.42</v>
      </c>
      <c r="BA281" t="s">
        <v>93</v>
      </c>
      <c r="BC281" t="s">
        <v>93</v>
      </c>
      <c r="BI281" t="s">
        <v>80</v>
      </c>
      <c r="BM281" t="s">
        <v>372</v>
      </c>
      <c r="BN281" t="s">
        <v>373</v>
      </c>
      <c r="BP281" t="s">
        <v>2201</v>
      </c>
      <c r="BR281" t="s">
        <v>2230</v>
      </c>
      <c r="BS281" t="s">
        <v>250</v>
      </c>
      <c r="BT281" t="s">
        <v>2231</v>
      </c>
      <c r="BU281" t="s">
        <v>416</v>
      </c>
      <c r="BV281" t="str">
        <f>"07104"</f>
        <v>07104</v>
      </c>
      <c r="BW281">
        <v>908</v>
      </c>
      <c r="BX281" t="s">
        <v>2755</v>
      </c>
      <c r="BY281" t="s">
        <v>2717</v>
      </c>
      <c r="BZ281">
        <v>2</v>
      </c>
    </row>
    <row r="282" spans="1:78" x14ac:dyDescent="0.25">
      <c r="A282" s="1">
        <v>44936</v>
      </c>
      <c r="B282" t="s">
        <v>2232</v>
      </c>
      <c r="C282" t="s">
        <v>363</v>
      </c>
      <c r="E282">
        <v>1</v>
      </c>
      <c r="F282" t="s">
        <v>76</v>
      </c>
      <c r="G282">
        <v>65.2</v>
      </c>
      <c r="H282">
        <v>0</v>
      </c>
      <c r="I282">
        <v>0</v>
      </c>
      <c r="J282">
        <v>5.38</v>
      </c>
      <c r="K282">
        <v>70.58</v>
      </c>
      <c r="L282" t="s">
        <v>207</v>
      </c>
      <c r="P282" t="s">
        <v>364</v>
      </c>
      <c r="Q282" t="s">
        <v>365</v>
      </c>
      <c r="R282" t="s">
        <v>80</v>
      </c>
      <c r="S282" t="s">
        <v>80</v>
      </c>
      <c r="T282" t="s">
        <v>80</v>
      </c>
      <c r="U282" t="s">
        <v>80</v>
      </c>
      <c r="V282" t="s">
        <v>80</v>
      </c>
      <c r="W282" t="s">
        <v>2233</v>
      </c>
      <c r="X282" s="1">
        <v>44937</v>
      </c>
      <c r="Y282">
        <v>70.58</v>
      </c>
      <c r="Z282" t="s">
        <v>82</v>
      </c>
      <c r="AA282" t="str">
        <f t="shared" si="6"/>
        <v>1003</v>
      </c>
      <c r="AB282" t="s">
        <v>119</v>
      </c>
      <c r="AC282" t="s">
        <v>2234</v>
      </c>
      <c r="AD282" t="s">
        <v>2235</v>
      </c>
      <c r="AE282" t="str">
        <f>"14111507"</f>
        <v>14111507</v>
      </c>
      <c r="AF282" t="s">
        <v>213</v>
      </c>
      <c r="AG282" t="s">
        <v>214</v>
      </c>
      <c r="AH282" t="s">
        <v>215</v>
      </c>
      <c r="AI282" t="s">
        <v>216</v>
      </c>
      <c r="AJ282" t="s">
        <v>2236</v>
      </c>
      <c r="AK282" t="s">
        <v>2237</v>
      </c>
      <c r="AL282" t="s">
        <v>2238</v>
      </c>
      <c r="AN282" t="s">
        <v>2239</v>
      </c>
      <c r="AO282" t="s">
        <v>2239</v>
      </c>
      <c r="AP282" t="s">
        <v>92</v>
      </c>
      <c r="AR282">
        <v>79.989999999999995</v>
      </c>
      <c r="AS282">
        <v>65.2</v>
      </c>
      <c r="AT282">
        <v>1</v>
      </c>
      <c r="AU282">
        <v>65.2</v>
      </c>
      <c r="AV282">
        <v>0</v>
      </c>
      <c r="AX282">
        <v>5.38</v>
      </c>
      <c r="AY282">
        <v>70.58</v>
      </c>
      <c r="BA282" t="s">
        <v>93</v>
      </c>
      <c r="BC282" t="s">
        <v>93</v>
      </c>
      <c r="BI282" t="s">
        <v>80</v>
      </c>
      <c r="BM282" t="s">
        <v>372</v>
      </c>
      <c r="BN282" t="s">
        <v>373</v>
      </c>
      <c r="BP282" t="s">
        <v>2201</v>
      </c>
      <c r="BR282" t="s">
        <v>2240</v>
      </c>
      <c r="BS282" t="s">
        <v>2241</v>
      </c>
      <c r="BT282" t="s">
        <v>2242</v>
      </c>
      <c r="BU282" t="s">
        <v>2243</v>
      </c>
      <c r="BV282" t="str">
        <f>"77494"</f>
        <v>77494</v>
      </c>
      <c r="BW282">
        <v>908</v>
      </c>
      <c r="BX282" t="s">
        <v>2755</v>
      </c>
      <c r="BY282" t="s">
        <v>2717</v>
      </c>
      <c r="BZ282">
        <v>2</v>
      </c>
    </row>
    <row r="283" spans="1:78" x14ac:dyDescent="0.25">
      <c r="A283" s="1">
        <v>44936</v>
      </c>
      <c r="B283" t="s">
        <v>2244</v>
      </c>
      <c r="C283" t="s">
        <v>392</v>
      </c>
      <c r="E283">
        <v>1</v>
      </c>
      <c r="F283" t="s">
        <v>76</v>
      </c>
      <c r="G283">
        <v>59.39</v>
      </c>
      <c r="H283">
        <v>0</v>
      </c>
      <c r="I283">
        <v>0</v>
      </c>
      <c r="J283">
        <v>4.16</v>
      </c>
      <c r="K283">
        <v>63.55</v>
      </c>
      <c r="L283" t="s">
        <v>77</v>
      </c>
      <c r="P283" t="s">
        <v>418</v>
      </c>
      <c r="Q283" t="s">
        <v>419</v>
      </c>
      <c r="R283" t="s">
        <v>80</v>
      </c>
      <c r="S283" t="s">
        <v>80</v>
      </c>
      <c r="T283" t="s">
        <v>80</v>
      </c>
      <c r="U283" t="s">
        <v>80</v>
      </c>
      <c r="V283" t="s">
        <v>80</v>
      </c>
      <c r="W283" t="s">
        <v>2245</v>
      </c>
      <c r="X283" s="1">
        <v>44937</v>
      </c>
      <c r="Y283">
        <v>63.55</v>
      </c>
      <c r="Z283" t="s">
        <v>82</v>
      </c>
      <c r="AA283" t="str">
        <f t="shared" si="6"/>
        <v>1003</v>
      </c>
      <c r="AB283" t="s">
        <v>119</v>
      </c>
      <c r="AC283" t="s">
        <v>2246</v>
      </c>
      <c r="AD283" t="s">
        <v>2247</v>
      </c>
      <c r="AE283" t="str">
        <f>"44111900"</f>
        <v>44111900</v>
      </c>
      <c r="AF283" t="s">
        <v>108</v>
      </c>
      <c r="AG283" t="s">
        <v>122</v>
      </c>
      <c r="AH283" t="s">
        <v>438</v>
      </c>
      <c r="AI283" t="s">
        <v>438</v>
      </c>
      <c r="AK283" t="s">
        <v>668</v>
      </c>
      <c r="AL283" t="s">
        <v>668</v>
      </c>
      <c r="AO283" t="s">
        <v>2248</v>
      </c>
      <c r="AP283" t="s">
        <v>92</v>
      </c>
      <c r="AR283">
        <v>74.989999999999995</v>
      </c>
      <c r="AS283">
        <v>59.39</v>
      </c>
      <c r="AT283">
        <v>1</v>
      </c>
      <c r="AU283">
        <v>59.39</v>
      </c>
      <c r="AV283">
        <v>0</v>
      </c>
      <c r="AX283">
        <v>4.16</v>
      </c>
      <c r="AY283">
        <v>63.55</v>
      </c>
      <c r="BA283" t="s">
        <v>93</v>
      </c>
      <c r="BC283" t="s">
        <v>93</v>
      </c>
      <c r="BD283" t="s">
        <v>128</v>
      </c>
      <c r="BE283">
        <v>15.6</v>
      </c>
      <c r="BF283" s="2">
        <v>0.20799999999999999</v>
      </c>
      <c r="BI283" t="s">
        <v>80</v>
      </c>
      <c r="BM283" t="s">
        <v>94</v>
      </c>
      <c r="BN283" t="s">
        <v>95</v>
      </c>
      <c r="BP283" t="s">
        <v>428</v>
      </c>
      <c r="BR283" t="s">
        <v>670</v>
      </c>
      <c r="BT283" t="s">
        <v>671</v>
      </c>
      <c r="BU283" t="s">
        <v>672</v>
      </c>
      <c r="BV283" t="str">
        <f>"215131"</f>
        <v>215131</v>
      </c>
      <c r="BW283">
        <v>894</v>
      </c>
      <c r="BX283" t="s">
        <v>2744</v>
      </c>
      <c r="BY283" t="s">
        <v>2697</v>
      </c>
      <c r="BZ283">
        <v>2</v>
      </c>
    </row>
    <row r="284" spans="1:78" x14ac:dyDescent="0.25">
      <c r="A284" s="1">
        <v>44936</v>
      </c>
      <c r="B284" t="s">
        <v>2249</v>
      </c>
      <c r="C284" t="s">
        <v>1160</v>
      </c>
      <c r="E284">
        <v>1</v>
      </c>
      <c r="F284" t="s">
        <v>76</v>
      </c>
      <c r="G284">
        <v>118.99</v>
      </c>
      <c r="H284">
        <v>0</v>
      </c>
      <c r="I284">
        <v>0</v>
      </c>
      <c r="J284">
        <v>8.33</v>
      </c>
      <c r="K284">
        <v>127.32</v>
      </c>
      <c r="L284" t="s">
        <v>77</v>
      </c>
      <c r="M284" t="s">
        <v>224</v>
      </c>
      <c r="P284" t="s">
        <v>2250</v>
      </c>
      <c r="Q284" t="s">
        <v>2251</v>
      </c>
      <c r="R284" t="s">
        <v>80</v>
      </c>
      <c r="S284" t="s">
        <v>80</v>
      </c>
      <c r="T284" t="s">
        <v>80</v>
      </c>
      <c r="U284" t="s">
        <v>80</v>
      </c>
      <c r="V284" t="s">
        <v>80</v>
      </c>
      <c r="W284" t="s">
        <v>2252</v>
      </c>
      <c r="X284" s="1">
        <v>44937</v>
      </c>
      <c r="Y284">
        <v>127.32</v>
      </c>
      <c r="Z284" t="s">
        <v>82</v>
      </c>
      <c r="AA284" t="str">
        <f t="shared" ref="AA284:AA315" si="8">"1003"</f>
        <v>1003</v>
      </c>
      <c r="AB284" t="s">
        <v>675</v>
      </c>
      <c r="AC284" t="s">
        <v>2253</v>
      </c>
      <c r="AD284" t="s">
        <v>2254</v>
      </c>
      <c r="AE284" t="str">
        <f>"25170000"</f>
        <v>25170000</v>
      </c>
      <c r="AF284" t="s">
        <v>2255</v>
      </c>
      <c r="AG284" t="s">
        <v>2256</v>
      </c>
      <c r="AH284" t="s">
        <v>2256</v>
      </c>
      <c r="AI284" t="s">
        <v>2256</v>
      </c>
      <c r="AK284" t="s">
        <v>2257</v>
      </c>
      <c r="AL284" t="s">
        <v>2257</v>
      </c>
      <c r="AN284" t="s">
        <v>2258</v>
      </c>
      <c r="AO284" t="s">
        <v>2258</v>
      </c>
      <c r="AP284" t="s">
        <v>92</v>
      </c>
      <c r="AR284">
        <v>149.99</v>
      </c>
      <c r="AS284">
        <v>118.99</v>
      </c>
      <c r="AT284">
        <v>1</v>
      </c>
      <c r="AU284">
        <v>118.99</v>
      </c>
      <c r="AV284">
        <v>0</v>
      </c>
      <c r="AX284">
        <v>8.33</v>
      </c>
      <c r="AY284">
        <v>127.32</v>
      </c>
      <c r="BA284" t="s">
        <v>93</v>
      </c>
      <c r="BC284" t="s">
        <v>93</v>
      </c>
      <c r="BD284" t="s">
        <v>128</v>
      </c>
      <c r="BE284">
        <v>31</v>
      </c>
      <c r="BF284" s="2">
        <v>0.20669999999999999</v>
      </c>
      <c r="BI284" t="s">
        <v>80</v>
      </c>
      <c r="BM284" t="s">
        <v>372</v>
      </c>
      <c r="BN284" t="s">
        <v>373</v>
      </c>
      <c r="BP284" t="s">
        <v>2259</v>
      </c>
      <c r="BR284" t="s">
        <v>2260</v>
      </c>
      <c r="BS284" t="s">
        <v>113</v>
      </c>
      <c r="BT284" t="s">
        <v>2261</v>
      </c>
      <c r="BU284" t="s">
        <v>2262</v>
      </c>
      <c r="BV284" t="str">
        <f>"60107"</f>
        <v>60107</v>
      </c>
      <c r="BW284">
        <v>803</v>
      </c>
      <c r="BX284" t="s">
        <v>2756</v>
      </c>
      <c r="BY284" t="s">
        <v>2612</v>
      </c>
      <c r="BZ284">
        <v>2</v>
      </c>
    </row>
    <row r="285" spans="1:78" x14ac:dyDescent="0.25">
      <c r="A285" s="1">
        <v>44936</v>
      </c>
      <c r="B285" t="s">
        <v>2263</v>
      </c>
      <c r="C285" t="s">
        <v>1160</v>
      </c>
      <c r="E285">
        <v>2</v>
      </c>
      <c r="F285" t="s">
        <v>76</v>
      </c>
      <c r="G285">
        <v>81.96</v>
      </c>
      <c r="H285">
        <v>0</v>
      </c>
      <c r="I285">
        <v>0</v>
      </c>
      <c r="J285">
        <v>5.74</v>
      </c>
      <c r="K285">
        <v>87.7</v>
      </c>
      <c r="L285" t="s">
        <v>77</v>
      </c>
      <c r="M285" t="s">
        <v>224</v>
      </c>
      <c r="P285" t="s">
        <v>2250</v>
      </c>
      <c r="Q285" t="s">
        <v>2251</v>
      </c>
      <c r="R285" t="s">
        <v>80</v>
      </c>
      <c r="S285" t="s">
        <v>80</v>
      </c>
      <c r="T285" t="s">
        <v>80</v>
      </c>
      <c r="U285" t="s">
        <v>80</v>
      </c>
      <c r="V285" t="s">
        <v>80</v>
      </c>
      <c r="W285" t="s">
        <v>2264</v>
      </c>
      <c r="X285" s="1">
        <v>44937</v>
      </c>
      <c r="Y285">
        <v>87.7</v>
      </c>
      <c r="Z285" t="s">
        <v>82</v>
      </c>
      <c r="AA285" t="str">
        <f t="shared" si="8"/>
        <v>1003</v>
      </c>
      <c r="AB285" t="s">
        <v>675</v>
      </c>
      <c r="AC285" t="s">
        <v>2265</v>
      </c>
      <c r="AD285" t="s">
        <v>2266</v>
      </c>
      <c r="AE285" t="str">
        <f>"47131800"</f>
        <v>47131800</v>
      </c>
      <c r="AF285" t="s">
        <v>144</v>
      </c>
      <c r="AG285" t="s">
        <v>145</v>
      </c>
      <c r="AH285" t="s">
        <v>261</v>
      </c>
      <c r="AI285" t="s">
        <v>261</v>
      </c>
      <c r="AK285" t="s">
        <v>2267</v>
      </c>
      <c r="AL285" t="s">
        <v>2267</v>
      </c>
      <c r="AO285" t="str">
        <f>"5061320"</f>
        <v>5061320</v>
      </c>
      <c r="AP285" t="s">
        <v>92</v>
      </c>
      <c r="AR285">
        <v>40.98</v>
      </c>
      <c r="AS285">
        <v>40.98</v>
      </c>
      <c r="AT285">
        <v>2</v>
      </c>
      <c r="AU285">
        <v>81.96</v>
      </c>
      <c r="AV285">
        <v>0</v>
      </c>
      <c r="AX285">
        <v>5.74</v>
      </c>
      <c r="AY285">
        <v>87.7</v>
      </c>
      <c r="BA285" t="s">
        <v>93</v>
      </c>
      <c r="BC285" t="s">
        <v>93</v>
      </c>
      <c r="BI285" t="s">
        <v>80</v>
      </c>
      <c r="BM285" t="s">
        <v>372</v>
      </c>
      <c r="BN285" t="s">
        <v>373</v>
      </c>
      <c r="BP285" t="s">
        <v>2259</v>
      </c>
      <c r="BR285" t="s">
        <v>2268</v>
      </c>
      <c r="BT285" t="s">
        <v>2269</v>
      </c>
      <c r="BU285" t="s">
        <v>458</v>
      </c>
      <c r="BV285" t="str">
        <f>"33777"</f>
        <v>33777</v>
      </c>
      <c r="BW285">
        <v>803</v>
      </c>
      <c r="BX285" t="s">
        <v>2756</v>
      </c>
      <c r="BY285" t="s">
        <v>2612</v>
      </c>
      <c r="BZ285">
        <v>2</v>
      </c>
    </row>
    <row r="286" spans="1:78" x14ac:dyDescent="0.25">
      <c r="A286" s="1">
        <v>44936</v>
      </c>
      <c r="B286" t="s">
        <v>2270</v>
      </c>
      <c r="C286" t="s">
        <v>1160</v>
      </c>
      <c r="E286">
        <v>1</v>
      </c>
      <c r="F286" t="s">
        <v>76</v>
      </c>
      <c r="G286">
        <v>132.87</v>
      </c>
      <c r="H286">
        <v>0</v>
      </c>
      <c r="I286">
        <v>0</v>
      </c>
      <c r="J286">
        <v>9.3000000000000007</v>
      </c>
      <c r="K286">
        <v>142.16999999999999</v>
      </c>
      <c r="L286" t="s">
        <v>77</v>
      </c>
      <c r="M286" t="s">
        <v>224</v>
      </c>
      <c r="P286" t="s">
        <v>2250</v>
      </c>
      <c r="Q286" t="s">
        <v>2251</v>
      </c>
      <c r="R286" t="s">
        <v>80</v>
      </c>
      <c r="S286" t="s">
        <v>80</v>
      </c>
      <c r="T286" t="s">
        <v>80</v>
      </c>
      <c r="U286" t="s">
        <v>80</v>
      </c>
      <c r="V286" t="s">
        <v>80</v>
      </c>
      <c r="W286" t="s">
        <v>2271</v>
      </c>
      <c r="X286" s="1">
        <v>44937</v>
      </c>
      <c r="Y286">
        <v>142.16999999999999</v>
      </c>
      <c r="Z286" t="s">
        <v>82</v>
      </c>
      <c r="AA286" t="str">
        <f t="shared" si="8"/>
        <v>1003</v>
      </c>
      <c r="AB286" t="s">
        <v>133</v>
      </c>
      <c r="AC286" t="s">
        <v>2272</v>
      </c>
      <c r="AD286" t="s">
        <v>2273</v>
      </c>
      <c r="AE286" t="str">
        <f>"52152100"</f>
        <v>52152100</v>
      </c>
      <c r="AF286" t="s">
        <v>684</v>
      </c>
      <c r="AG286" t="s">
        <v>883</v>
      </c>
      <c r="AH286" t="s">
        <v>884</v>
      </c>
      <c r="AI286" t="s">
        <v>884</v>
      </c>
      <c r="AK286" t="s">
        <v>2274</v>
      </c>
      <c r="AN286" t="str">
        <f>"8542053912"</f>
        <v>8542053912</v>
      </c>
      <c r="AO286" t="s">
        <v>2275</v>
      </c>
      <c r="AP286" t="s">
        <v>92</v>
      </c>
      <c r="AR286">
        <v>132.87</v>
      </c>
      <c r="AS286">
        <v>132.87</v>
      </c>
      <c r="AT286">
        <v>1</v>
      </c>
      <c r="AU286">
        <v>132.87</v>
      </c>
      <c r="AV286">
        <v>0</v>
      </c>
      <c r="AX286">
        <v>9.3000000000000007</v>
      </c>
      <c r="AY286">
        <v>142.16999999999999</v>
      </c>
      <c r="BA286" t="s">
        <v>93</v>
      </c>
      <c r="BC286" t="s">
        <v>93</v>
      </c>
      <c r="BI286" t="s">
        <v>80</v>
      </c>
      <c r="BM286" t="s">
        <v>372</v>
      </c>
      <c r="BN286" t="s">
        <v>373</v>
      </c>
      <c r="BP286" t="s">
        <v>2259</v>
      </c>
      <c r="BR286" t="s">
        <v>2276</v>
      </c>
      <c r="BS286" t="s">
        <v>538</v>
      </c>
      <c r="BT286" t="s">
        <v>2277</v>
      </c>
      <c r="BU286" t="s">
        <v>2278</v>
      </c>
      <c r="BV286" t="str">
        <f>"55904"</f>
        <v>55904</v>
      </c>
      <c r="BW286">
        <v>803</v>
      </c>
      <c r="BX286" t="s">
        <v>2756</v>
      </c>
      <c r="BY286" t="s">
        <v>2612</v>
      </c>
      <c r="BZ286">
        <v>2</v>
      </c>
    </row>
    <row r="287" spans="1:78" x14ac:dyDescent="0.25">
      <c r="A287" s="1">
        <v>44936</v>
      </c>
      <c r="B287" t="s">
        <v>2279</v>
      </c>
      <c r="C287" t="s">
        <v>1160</v>
      </c>
      <c r="E287">
        <v>2</v>
      </c>
      <c r="F287" t="s">
        <v>76</v>
      </c>
      <c r="G287">
        <v>128.82</v>
      </c>
      <c r="H287">
        <v>0</v>
      </c>
      <c r="I287">
        <v>0</v>
      </c>
      <c r="J287">
        <v>9.02</v>
      </c>
      <c r="K287">
        <v>137.84</v>
      </c>
      <c r="L287" t="s">
        <v>77</v>
      </c>
      <c r="M287" t="s">
        <v>224</v>
      </c>
      <c r="P287" t="s">
        <v>2250</v>
      </c>
      <c r="Q287" t="s">
        <v>2251</v>
      </c>
      <c r="R287" t="s">
        <v>80</v>
      </c>
      <c r="S287" t="s">
        <v>80</v>
      </c>
      <c r="T287" t="s">
        <v>80</v>
      </c>
      <c r="U287" t="s">
        <v>80</v>
      </c>
      <c r="V287" t="s">
        <v>80</v>
      </c>
      <c r="W287" t="s">
        <v>2280</v>
      </c>
      <c r="X287" s="1">
        <v>44937</v>
      </c>
      <c r="Y287">
        <v>137.84</v>
      </c>
      <c r="Z287" t="s">
        <v>82</v>
      </c>
      <c r="AA287" t="str">
        <f t="shared" si="8"/>
        <v>1003</v>
      </c>
      <c r="AB287" t="s">
        <v>675</v>
      </c>
      <c r="AC287" t="s">
        <v>2281</v>
      </c>
      <c r="AD287" t="s">
        <v>2282</v>
      </c>
      <c r="AE287" t="str">
        <f>"25170000"</f>
        <v>25170000</v>
      </c>
      <c r="AF287" t="s">
        <v>2255</v>
      </c>
      <c r="AG287" t="s">
        <v>2256</v>
      </c>
      <c r="AH287" t="s">
        <v>2256</v>
      </c>
      <c r="AI287" t="s">
        <v>2256</v>
      </c>
      <c r="AK287" t="s">
        <v>2283</v>
      </c>
      <c r="AL287" t="s">
        <v>2283</v>
      </c>
      <c r="AN287" t="s">
        <v>2284</v>
      </c>
      <c r="AO287" t="s">
        <v>2285</v>
      </c>
      <c r="AP287" t="s">
        <v>92</v>
      </c>
      <c r="AR287">
        <v>67.8</v>
      </c>
      <c r="AS287">
        <v>64.41</v>
      </c>
      <c r="AT287">
        <v>2</v>
      </c>
      <c r="AU287">
        <v>128.82</v>
      </c>
      <c r="AV287">
        <v>0</v>
      </c>
      <c r="AX287">
        <v>9.02</v>
      </c>
      <c r="AY287">
        <v>137.84</v>
      </c>
      <c r="BA287" t="s">
        <v>93</v>
      </c>
      <c r="BC287" t="s">
        <v>93</v>
      </c>
      <c r="BI287" t="s">
        <v>80</v>
      </c>
      <c r="BM287" t="s">
        <v>372</v>
      </c>
      <c r="BN287" t="s">
        <v>373</v>
      </c>
      <c r="BP287" t="s">
        <v>2259</v>
      </c>
      <c r="BR287" t="s">
        <v>2286</v>
      </c>
      <c r="BS287" t="s">
        <v>113</v>
      </c>
      <c r="BT287" t="s">
        <v>2287</v>
      </c>
      <c r="BU287" t="s">
        <v>2134</v>
      </c>
      <c r="BV287" t="str">
        <f>"43338"</f>
        <v>43338</v>
      </c>
      <c r="BW287">
        <v>803</v>
      </c>
      <c r="BX287" t="s">
        <v>2756</v>
      </c>
      <c r="BY287" t="s">
        <v>2612</v>
      </c>
      <c r="BZ287">
        <v>2</v>
      </c>
    </row>
    <row r="288" spans="1:78" x14ac:dyDescent="0.25">
      <c r="A288" s="1">
        <v>44936</v>
      </c>
      <c r="B288" t="s">
        <v>2288</v>
      </c>
      <c r="C288" t="s">
        <v>392</v>
      </c>
      <c r="E288">
        <v>9</v>
      </c>
      <c r="F288" t="s">
        <v>76</v>
      </c>
      <c r="G288">
        <v>123.87</v>
      </c>
      <c r="H288">
        <v>0</v>
      </c>
      <c r="I288">
        <v>0</v>
      </c>
      <c r="J288">
        <v>8.67</v>
      </c>
      <c r="K288">
        <v>132.54</v>
      </c>
      <c r="L288" t="s">
        <v>77</v>
      </c>
      <c r="P288" t="s">
        <v>393</v>
      </c>
      <c r="Q288" t="s">
        <v>394</v>
      </c>
      <c r="R288" t="s">
        <v>80</v>
      </c>
      <c r="S288" t="s">
        <v>80</v>
      </c>
      <c r="T288" t="s">
        <v>80</v>
      </c>
      <c r="U288" t="s">
        <v>80</v>
      </c>
      <c r="V288" t="s">
        <v>80</v>
      </c>
      <c r="W288" t="s">
        <v>2289</v>
      </c>
      <c r="X288" s="1">
        <v>44937</v>
      </c>
      <c r="Y288">
        <v>103.39</v>
      </c>
      <c r="Z288" t="s">
        <v>82</v>
      </c>
      <c r="AA288" t="str">
        <f t="shared" si="8"/>
        <v>1003</v>
      </c>
      <c r="AB288" t="s">
        <v>119</v>
      </c>
      <c r="AC288" t="s">
        <v>763</v>
      </c>
      <c r="AD288" t="s">
        <v>764</v>
      </c>
      <c r="AE288" t="str">
        <f>"44121704"</f>
        <v>44121704</v>
      </c>
      <c r="AF288" t="s">
        <v>108</v>
      </c>
      <c r="AG288" t="s">
        <v>556</v>
      </c>
      <c r="AH288" t="s">
        <v>590</v>
      </c>
      <c r="AI288" t="s">
        <v>759</v>
      </c>
      <c r="AJ288" t="s">
        <v>765</v>
      </c>
      <c r="AK288" t="s">
        <v>761</v>
      </c>
      <c r="AL288" t="s">
        <v>766</v>
      </c>
      <c r="AN288" t="s">
        <v>767</v>
      </c>
      <c r="AO288" t="s">
        <v>768</v>
      </c>
      <c r="AP288" t="s">
        <v>92</v>
      </c>
      <c r="AR288">
        <v>6.99</v>
      </c>
      <c r="AS288">
        <v>5.0999999999999996</v>
      </c>
      <c r="AT288">
        <v>2</v>
      </c>
      <c r="AU288">
        <v>10.199999999999999</v>
      </c>
      <c r="AV288">
        <v>0</v>
      </c>
      <c r="AX288">
        <v>0.72</v>
      </c>
      <c r="AY288">
        <v>10.92</v>
      </c>
      <c r="BA288" t="s">
        <v>93</v>
      </c>
      <c r="BC288" t="s">
        <v>93</v>
      </c>
      <c r="BD288" t="s">
        <v>128</v>
      </c>
      <c r="BE288">
        <v>1.89</v>
      </c>
      <c r="BF288" s="2">
        <v>0.27039999999999997</v>
      </c>
      <c r="BI288" t="s">
        <v>80</v>
      </c>
      <c r="BM288" t="s">
        <v>94</v>
      </c>
      <c r="BN288" t="s">
        <v>95</v>
      </c>
      <c r="BP288" t="s">
        <v>405</v>
      </c>
      <c r="BR288" t="s">
        <v>130</v>
      </c>
      <c r="BT288" t="s">
        <v>131</v>
      </c>
      <c r="BU288" t="s">
        <v>132</v>
      </c>
      <c r="BV288" t="str">
        <f>"98109"</f>
        <v>98109</v>
      </c>
      <c r="BW288">
        <v>893</v>
      </c>
      <c r="BX288" t="s">
        <v>2742</v>
      </c>
      <c r="BY288" t="s">
        <v>2695</v>
      </c>
      <c r="BZ288">
        <v>2</v>
      </c>
    </row>
    <row r="289" spans="1:78" x14ac:dyDescent="0.25">
      <c r="A289" s="1">
        <v>44936</v>
      </c>
      <c r="B289" t="s">
        <v>2288</v>
      </c>
      <c r="C289" t="s">
        <v>392</v>
      </c>
      <c r="E289">
        <v>9</v>
      </c>
      <c r="F289" t="s">
        <v>76</v>
      </c>
      <c r="G289">
        <v>123.87</v>
      </c>
      <c r="H289">
        <v>0</v>
      </c>
      <c r="I289">
        <v>0</v>
      </c>
      <c r="J289">
        <v>8.67</v>
      </c>
      <c r="K289">
        <v>132.54</v>
      </c>
      <c r="L289" t="s">
        <v>77</v>
      </c>
      <c r="P289" t="s">
        <v>393</v>
      </c>
      <c r="Q289" t="s">
        <v>394</v>
      </c>
      <c r="R289" t="s">
        <v>80</v>
      </c>
      <c r="S289" t="s">
        <v>80</v>
      </c>
      <c r="T289" t="s">
        <v>80</v>
      </c>
      <c r="U289" t="s">
        <v>80</v>
      </c>
      <c r="V289" t="s">
        <v>80</v>
      </c>
      <c r="W289" t="s">
        <v>2289</v>
      </c>
      <c r="X289" s="1">
        <v>44937</v>
      </c>
      <c r="Y289">
        <v>103.39</v>
      </c>
      <c r="Z289" t="s">
        <v>82</v>
      </c>
      <c r="AA289" t="str">
        <f t="shared" si="8"/>
        <v>1003</v>
      </c>
      <c r="AB289" t="s">
        <v>119</v>
      </c>
      <c r="AC289" t="s">
        <v>2290</v>
      </c>
      <c r="AD289" t="s">
        <v>2291</v>
      </c>
      <c r="AE289" t="str">
        <f>"44122100"</f>
        <v>44122100</v>
      </c>
      <c r="AF289" t="s">
        <v>108</v>
      </c>
      <c r="AG289" t="s">
        <v>556</v>
      </c>
      <c r="AH289" t="s">
        <v>934</v>
      </c>
      <c r="AI289" t="s">
        <v>934</v>
      </c>
      <c r="AJ289" t="s">
        <v>2292</v>
      </c>
      <c r="AK289" t="s">
        <v>126</v>
      </c>
      <c r="AL289" t="s">
        <v>2293</v>
      </c>
      <c r="AM289" t="s">
        <v>2294</v>
      </c>
      <c r="AN289" t="str">
        <f>"99914"</f>
        <v>99914</v>
      </c>
      <c r="AO289" t="str">
        <f>"99914"</f>
        <v>99914</v>
      </c>
      <c r="AP289" t="s">
        <v>92</v>
      </c>
      <c r="AR289">
        <v>30.1</v>
      </c>
      <c r="AS289">
        <v>18.329999999999998</v>
      </c>
      <c r="AT289">
        <v>1</v>
      </c>
      <c r="AU289">
        <v>18.329999999999998</v>
      </c>
      <c r="AV289">
        <v>0</v>
      </c>
      <c r="AX289">
        <v>1.28</v>
      </c>
      <c r="AY289">
        <v>19.61</v>
      </c>
      <c r="BA289" t="s">
        <v>93</v>
      </c>
      <c r="BC289" t="s">
        <v>93</v>
      </c>
      <c r="BD289" t="s">
        <v>2295</v>
      </c>
      <c r="BE289">
        <v>11.77</v>
      </c>
      <c r="BF289" s="2">
        <v>0.39100000000000001</v>
      </c>
      <c r="BI289" t="s">
        <v>80</v>
      </c>
      <c r="BM289" t="s">
        <v>94</v>
      </c>
      <c r="BN289" t="s">
        <v>95</v>
      </c>
      <c r="BP289" t="s">
        <v>405</v>
      </c>
      <c r="BR289" t="s">
        <v>130</v>
      </c>
      <c r="BT289" t="s">
        <v>131</v>
      </c>
      <c r="BU289" t="s">
        <v>132</v>
      </c>
      <c r="BV289" t="str">
        <f>"98109"</f>
        <v>98109</v>
      </c>
      <c r="BW289">
        <v>893</v>
      </c>
      <c r="BX289" t="s">
        <v>2742</v>
      </c>
      <c r="BY289" t="s">
        <v>2695</v>
      </c>
      <c r="BZ289">
        <v>2</v>
      </c>
    </row>
    <row r="290" spans="1:78" x14ac:dyDescent="0.25">
      <c r="A290" s="1">
        <v>44936</v>
      </c>
      <c r="B290" t="s">
        <v>2288</v>
      </c>
      <c r="C290" t="s">
        <v>392</v>
      </c>
      <c r="E290">
        <v>9</v>
      </c>
      <c r="F290" t="s">
        <v>76</v>
      </c>
      <c r="G290">
        <v>123.87</v>
      </c>
      <c r="H290">
        <v>0</v>
      </c>
      <c r="I290">
        <v>0</v>
      </c>
      <c r="J290">
        <v>8.67</v>
      </c>
      <c r="K290">
        <v>132.54</v>
      </c>
      <c r="L290" t="s">
        <v>77</v>
      </c>
      <c r="P290" t="s">
        <v>393</v>
      </c>
      <c r="Q290" t="s">
        <v>394</v>
      </c>
      <c r="R290" t="s">
        <v>80</v>
      </c>
      <c r="S290" t="s">
        <v>80</v>
      </c>
      <c r="T290" t="s">
        <v>80</v>
      </c>
      <c r="U290" t="s">
        <v>80</v>
      </c>
      <c r="V290" t="s">
        <v>80</v>
      </c>
      <c r="W290" t="s">
        <v>2289</v>
      </c>
      <c r="X290" s="1">
        <v>44937</v>
      </c>
      <c r="Y290">
        <v>103.39</v>
      </c>
      <c r="Z290" t="s">
        <v>82</v>
      </c>
      <c r="AA290" t="str">
        <f t="shared" si="8"/>
        <v>1003</v>
      </c>
      <c r="AB290" t="s">
        <v>119</v>
      </c>
      <c r="AC290" t="s">
        <v>790</v>
      </c>
      <c r="AD290" t="s">
        <v>791</v>
      </c>
      <c r="AE290" t="str">
        <f>"44121700"</f>
        <v>44121700</v>
      </c>
      <c r="AF290" t="s">
        <v>108</v>
      </c>
      <c r="AG290" t="s">
        <v>556</v>
      </c>
      <c r="AH290" t="s">
        <v>590</v>
      </c>
      <c r="AI290" t="s">
        <v>590</v>
      </c>
      <c r="AK290" t="s">
        <v>792</v>
      </c>
      <c r="AL290" t="s">
        <v>792</v>
      </c>
      <c r="AO290" t="s">
        <v>793</v>
      </c>
      <c r="AP290" t="s">
        <v>92</v>
      </c>
      <c r="AR290">
        <v>12.99</v>
      </c>
      <c r="AS290">
        <v>9.89</v>
      </c>
      <c r="AT290">
        <v>2</v>
      </c>
      <c r="AU290">
        <v>19.78</v>
      </c>
      <c r="AV290">
        <v>0</v>
      </c>
      <c r="AX290">
        <v>1.38</v>
      </c>
      <c r="AY290">
        <v>21.16</v>
      </c>
      <c r="BA290" t="s">
        <v>93</v>
      </c>
      <c r="BC290" t="s">
        <v>93</v>
      </c>
      <c r="BD290" t="s">
        <v>128</v>
      </c>
      <c r="BE290">
        <v>3.1</v>
      </c>
      <c r="BF290" s="2">
        <v>0.23860000000000001</v>
      </c>
      <c r="BI290" t="s">
        <v>80</v>
      </c>
      <c r="BM290" t="s">
        <v>94</v>
      </c>
      <c r="BN290" t="s">
        <v>95</v>
      </c>
      <c r="BP290" t="s">
        <v>405</v>
      </c>
      <c r="BR290" t="s">
        <v>794</v>
      </c>
      <c r="BT290" t="s">
        <v>679</v>
      </c>
      <c r="BU290" t="s">
        <v>523</v>
      </c>
      <c r="BV290" t="str">
        <f>"315314"</f>
        <v>315314</v>
      </c>
      <c r="BW290">
        <v>893</v>
      </c>
      <c r="BX290" t="s">
        <v>2742</v>
      </c>
      <c r="BY290" t="s">
        <v>2695</v>
      </c>
      <c r="BZ290">
        <v>2</v>
      </c>
    </row>
    <row r="291" spans="1:78" x14ac:dyDescent="0.25">
      <c r="A291" s="1">
        <v>44936</v>
      </c>
      <c r="B291" t="s">
        <v>2288</v>
      </c>
      <c r="C291" t="s">
        <v>392</v>
      </c>
      <c r="E291">
        <v>9</v>
      </c>
      <c r="F291" t="s">
        <v>76</v>
      </c>
      <c r="G291">
        <v>123.87</v>
      </c>
      <c r="H291">
        <v>0</v>
      </c>
      <c r="I291">
        <v>0</v>
      </c>
      <c r="J291">
        <v>8.67</v>
      </c>
      <c r="K291">
        <v>132.54</v>
      </c>
      <c r="L291" t="s">
        <v>77</v>
      </c>
      <c r="P291" t="s">
        <v>393</v>
      </c>
      <c r="Q291" t="s">
        <v>394</v>
      </c>
      <c r="R291" t="s">
        <v>80</v>
      </c>
      <c r="S291" t="s">
        <v>80</v>
      </c>
      <c r="T291" t="s">
        <v>80</v>
      </c>
      <c r="U291" t="s">
        <v>80</v>
      </c>
      <c r="V291" t="s">
        <v>80</v>
      </c>
      <c r="W291" t="s">
        <v>2289</v>
      </c>
      <c r="X291" s="1">
        <v>44937</v>
      </c>
      <c r="Y291">
        <v>103.39</v>
      </c>
      <c r="Z291" t="s">
        <v>82</v>
      </c>
      <c r="AA291" t="str">
        <f t="shared" si="8"/>
        <v>1003</v>
      </c>
      <c r="AB291" t="s">
        <v>119</v>
      </c>
      <c r="AC291" t="s">
        <v>2296</v>
      </c>
      <c r="AD291" t="s">
        <v>2297</v>
      </c>
      <c r="AE291" t="str">
        <f>"14111530"</f>
        <v>14111530</v>
      </c>
      <c r="AF291" t="s">
        <v>213</v>
      </c>
      <c r="AG291" t="s">
        <v>214</v>
      </c>
      <c r="AH291" t="s">
        <v>215</v>
      </c>
      <c r="AI291" t="s">
        <v>2168</v>
      </c>
      <c r="AJ291" t="s">
        <v>1322</v>
      </c>
      <c r="AK291" t="s">
        <v>1323</v>
      </c>
      <c r="AL291" t="s">
        <v>2298</v>
      </c>
      <c r="AN291" t="s">
        <v>2299</v>
      </c>
      <c r="AO291" t="s">
        <v>2299</v>
      </c>
      <c r="AP291" t="s">
        <v>92</v>
      </c>
      <c r="AR291">
        <v>18.29</v>
      </c>
      <c r="AS291">
        <v>10.48</v>
      </c>
      <c r="AT291">
        <v>1</v>
      </c>
      <c r="AU291">
        <v>10.48</v>
      </c>
      <c r="AV291">
        <v>0</v>
      </c>
      <c r="AX291">
        <v>0.73</v>
      </c>
      <c r="AY291">
        <v>11.21</v>
      </c>
      <c r="BA291" t="s">
        <v>93</v>
      </c>
      <c r="BC291" t="s">
        <v>93</v>
      </c>
      <c r="BD291" t="s">
        <v>128</v>
      </c>
      <c r="BE291">
        <v>7.81</v>
      </c>
      <c r="BF291" s="2">
        <v>0.42699999999999999</v>
      </c>
      <c r="BI291" t="s">
        <v>80</v>
      </c>
      <c r="BM291" t="s">
        <v>94</v>
      </c>
      <c r="BN291" t="s">
        <v>95</v>
      </c>
      <c r="BP291" t="s">
        <v>405</v>
      </c>
      <c r="BR291" t="s">
        <v>130</v>
      </c>
      <c r="BT291" t="s">
        <v>131</v>
      </c>
      <c r="BU291" t="s">
        <v>132</v>
      </c>
      <c r="BV291" t="str">
        <f>"98109"</f>
        <v>98109</v>
      </c>
      <c r="BW291">
        <v>893</v>
      </c>
      <c r="BX291" t="s">
        <v>2742</v>
      </c>
      <c r="BY291" t="s">
        <v>2695</v>
      </c>
      <c r="BZ291">
        <v>2</v>
      </c>
    </row>
    <row r="292" spans="1:78" x14ac:dyDescent="0.25">
      <c r="A292" s="1">
        <v>44936</v>
      </c>
      <c r="B292" t="s">
        <v>2288</v>
      </c>
      <c r="C292" t="s">
        <v>392</v>
      </c>
      <c r="E292">
        <v>9</v>
      </c>
      <c r="F292" t="s">
        <v>76</v>
      </c>
      <c r="G292">
        <v>123.87</v>
      </c>
      <c r="H292">
        <v>0</v>
      </c>
      <c r="I292">
        <v>0</v>
      </c>
      <c r="J292">
        <v>8.67</v>
      </c>
      <c r="K292">
        <v>132.54</v>
      </c>
      <c r="L292" t="s">
        <v>77</v>
      </c>
      <c r="P292" t="s">
        <v>393</v>
      </c>
      <c r="Q292" t="s">
        <v>394</v>
      </c>
      <c r="R292" t="s">
        <v>80</v>
      </c>
      <c r="S292" t="s">
        <v>80</v>
      </c>
      <c r="T292" t="s">
        <v>80</v>
      </c>
      <c r="U292" t="s">
        <v>80</v>
      </c>
      <c r="V292" t="s">
        <v>80</v>
      </c>
      <c r="W292" t="s">
        <v>2289</v>
      </c>
      <c r="X292" s="1">
        <v>44937</v>
      </c>
      <c r="Y292">
        <v>103.39</v>
      </c>
      <c r="Z292" t="s">
        <v>82</v>
      </c>
      <c r="AA292" t="str">
        <f t="shared" si="8"/>
        <v>1003</v>
      </c>
      <c r="AB292" t="s">
        <v>119</v>
      </c>
      <c r="AC292" t="s">
        <v>2300</v>
      </c>
      <c r="AD292" t="s">
        <v>2301</v>
      </c>
      <c r="AE292" t="str">
        <f>"44121708"</f>
        <v>44121708</v>
      </c>
      <c r="AF292" t="s">
        <v>108</v>
      </c>
      <c r="AG292" t="s">
        <v>556</v>
      </c>
      <c r="AH292" t="s">
        <v>590</v>
      </c>
      <c r="AI292" t="s">
        <v>1939</v>
      </c>
      <c r="AK292" t="s">
        <v>2302</v>
      </c>
      <c r="AL292" t="s">
        <v>794</v>
      </c>
      <c r="AO292" t="s">
        <v>794</v>
      </c>
      <c r="AP292" t="s">
        <v>92</v>
      </c>
      <c r="AR292">
        <v>13.89</v>
      </c>
      <c r="AS292">
        <v>13.89</v>
      </c>
      <c r="AT292">
        <v>1</v>
      </c>
      <c r="AU292">
        <v>13.89</v>
      </c>
      <c r="AV292">
        <v>0</v>
      </c>
      <c r="AX292">
        <v>0.97</v>
      </c>
      <c r="AY292">
        <v>14.86</v>
      </c>
      <c r="BA292" t="s">
        <v>93</v>
      </c>
      <c r="BC292" t="s">
        <v>93</v>
      </c>
      <c r="BD292" t="s">
        <v>128</v>
      </c>
      <c r="BI292" t="s">
        <v>80</v>
      </c>
      <c r="BM292" t="s">
        <v>94</v>
      </c>
      <c r="BN292" t="s">
        <v>95</v>
      </c>
      <c r="BP292" t="s">
        <v>405</v>
      </c>
      <c r="BR292" t="s">
        <v>794</v>
      </c>
      <c r="BT292" t="s">
        <v>679</v>
      </c>
      <c r="BU292" t="s">
        <v>523</v>
      </c>
      <c r="BV292" t="str">
        <f>"315314"</f>
        <v>315314</v>
      </c>
      <c r="BW292">
        <v>893</v>
      </c>
      <c r="BX292" t="s">
        <v>2742</v>
      </c>
      <c r="BY292" t="s">
        <v>2695</v>
      </c>
      <c r="BZ292">
        <v>2</v>
      </c>
    </row>
    <row r="293" spans="1:78" x14ac:dyDescent="0.25">
      <c r="A293" s="1">
        <v>44936</v>
      </c>
      <c r="B293" t="s">
        <v>2288</v>
      </c>
      <c r="C293" t="s">
        <v>392</v>
      </c>
      <c r="E293">
        <v>9</v>
      </c>
      <c r="F293" t="s">
        <v>76</v>
      </c>
      <c r="G293">
        <v>123.87</v>
      </c>
      <c r="H293">
        <v>0</v>
      </c>
      <c r="I293">
        <v>0</v>
      </c>
      <c r="J293">
        <v>8.67</v>
      </c>
      <c r="K293">
        <v>132.54</v>
      </c>
      <c r="L293" t="s">
        <v>77</v>
      </c>
      <c r="P293" t="s">
        <v>393</v>
      </c>
      <c r="Q293" t="s">
        <v>394</v>
      </c>
      <c r="R293" t="s">
        <v>80</v>
      </c>
      <c r="S293" t="s">
        <v>80</v>
      </c>
      <c r="T293" t="s">
        <v>80</v>
      </c>
      <c r="U293" t="s">
        <v>80</v>
      </c>
      <c r="V293" t="s">
        <v>80</v>
      </c>
      <c r="W293" t="s">
        <v>2289</v>
      </c>
      <c r="X293" s="1">
        <v>44937</v>
      </c>
      <c r="Y293">
        <v>103.39</v>
      </c>
      <c r="Z293" t="s">
        <v>82</v>
      </c>
      <c r="AA293" t="str">
        <f t="shared" si="8"/>
        <v>1003</v>
      </c>
      <c r="AB293" t="s">
        <v>119</v>
      </c>
      <c r="AC293" t="s">
        <v>2303</v>
      </c>
      <c r="AD293" t="s">
        <v>2304</v>
      </c>
      <c r="AE293" t="str">
        <f>"44122012"</f>
        <v>44122012</v>
      </c>
      <c r="AF293" t="s">
        <v>108</v>
      </c>
      <c r="AG293" t="s">
        <v>556</v>
      </c>
      <c r="AH293" t="s">
        <v>771</v>
      </c>
      <c r="AI293" t="s">
        <v>772</v>
      </c>
      <c r="AK293" t="s">
        <v>2305</v>
      </c>
      <c r="AL293" t="s">
        <v>2305</v>
      </c>
      <c r="AN293" t="s">
        <v>2306</v>
      </c>
      <c r="AO293" t="s">
        <v>2307</v>
      </c>
      <c r="AP293" t="s">
        <v>92</v>
      </c>
      <c r="AR293">
        <v>39.950000000000003</v>
      </c>
      <c r="AS293">
        <v>23.95</v>
      </c>
      <c r="AT293">
        <v>1</v>
      </c>
      <c r="AU293">
        <v>23.95</v>
      </c>
      <c r="AV293">
        <v>0</v>
      </c>
      <c r="AX293">
        <v>1.68</v>
      </c>
      <c r="AY293">
        <v>25.63</v>
      </c>
      <c r="BA293" t="s">
        <v>93</v>
      </c>
      <c r="BC293" t="s">
        <v>93</v>
      </c>
      <c r="BI293" t="s">
        <v>80</v>
      </c>
      <c r="BM293" t="s">
        <v>94</v>
      </c>
      <c r="BN293" t="s">
        <v>95</v>
      </c>
      <c r="BP293" t="s">
        <v>405</v>
      </c>
      <c r="BR293" t="s">
        <v>2308</v>
      </c>
      <c r="BS293" t="s">
        <v>113</v>
      </c>
      <c r="BT293" t="s">
        <v>2309</v>
      </c>
      <c r="BU293" t="s">
        <v>1347</v>
      </c>
      <c r="BV293" t="str">
        <f>"94928"</f>
        <v>94928</v>
      </c>
      <c r="BW293">
        <v>893</v>
      </c>
      <c r="BX293" t="s">
        <v>2742</v>
      </c>
      <c r="BY293" t="s">
        <v>2695</v>
      </c>
      <c r="BZ293">
        <v>2</v>
      </c>
    </row>
    <row r="294" spans="1:78" x14ac:dyDescent="0.25">
      <c r="A294" s="1">
        <v>44936</v>
      </c>
      <c r="B294" t="s">
        <v>2288</v>
      </c>
      <c r="C294" t="s">
        <v>392</v>
      </c>
      <c r="E294">
        <v>9</v>
      </c>
      <c r="F294" t="s">
        <v>76</v>
      </c>
      <c r="G294">
        <v>123.87</v>
      </c>
      <c r="H294">
        <v>0</v>
      </c>
      <c r="I294">
        <v>0</v>
      </c>
      <c r="J294">
        <v>8.67</v>
      </c>
      <c r="K294">
        <v>132.54</v>
      </c>
      <c r="L294" t="s">
        <v>77</v>
      </c>
      <c r="P294" t="s">
        <v>393</v>
      </c>
      <c r="Q294" t="s">
        <v>394</v>
      </c>
      <c r="R294" t="s">
        <v>80</v>
      </c>
      <c r="S294" t="s">
        <v>80</v>
      </c>
      <c r="T294" t="s">
        <v>80</v>
      </c>
      <c r="U294" t="s">
        <v>80</v>
      </c>
      <c r="V294" t="s">
        <v>80</v>
      </c>
      <c r="W294" t="s">
        <v>2310</v>
      </c>
      <c r="X294" s="1">
        <v>44939</v>
      </c>
      <c r="Y294">
        <v>29.15</v>
      </c>
      <c r="Z294" t="s">
        <v>82</v>
      </c>
      <c r="AA294" t="str">
        <f t="shared" si="8"/>
        <v>1003</v>
      </c>
      <c r="AB294" t="s">
        <v>119</v>
      </c>
      <c r="AC294" t="s">
        <v>1289</v>
      </c>
      <c r="AD294" t="s">
        <v>1290</v>
      </c>
      <c r="AE294" t="str">
        <f>"44122000"</f>
        <v>44122000</v>
      </c>
      <c r="AF294" t="s">
        <v>108</v>
      </c>
      <c r="AG294" t="s">
        <v>556</v>
      </c>
      <c r="AH294" t="s">
        <v>771</v>
      </c>
      <c r="AI294" t="s">
        <v>771</v>
      </c>
      <c r="AJ294" t="s">
        <v>613</v>
      </c>
      <c r="AK294" t="s">
        <v>176</v>
      </c>
      <c r="AL294" t="s">
        <v>176</v>
      </c>
      <c r="AN294" t="s">
        <v>1291</v>
      </c>
      <c r="AO294" t="s">
        <v>1291</v>
      </c>
      <c r="AP294" t="s">
        <v>92</v>
      </c>
      <c r="AR294">
        <v>26.99</v>
      </c>
      <c r="AS294">
        <v>27.24</v>
      </c>
      <c r="AT294">
        <v>1</v>
      </c>
      <c r="AU294">
        <v>27.24</v>
      </c>
      <c r="AV294">
        <v>0</v>
      </c>
      <c r="AX294">
        <v>1.91</v>
      </c>
      <c r="AY294">
        <v>29.15</v>
      </c>
      <c r="BA294" t="s">
        <v>93</v>
      </c>
      <c r="BC294" t="s">
        <v>93</v>
      </c>
      <c r="BD294" t="s">
        <v>128</v>
      </c>
      <c r="BI294" t="s">
        <v>80</v>
      </c>
      <c r="BM294" t="s">
        <v>94</v>
      </c>
      <c r="BN294" t="s">
        <v>95</v>
      </c>
      <c r="BP294" t="s">
        <v>405</v>
      </c>
      <c r="BR294" t="s">
        <v>130</v>
      </c>
      <c r="BT294" t="s">
        <v>131</v>
      </c>
      <c r="BU294" t="s">
        <v>132</v>
      </c>
      <c r="BV294" t="str">
        <f>"98109"</f>
        <v>98109</v>
      </c>
      <c r="BW294">
        <v>893</v>
      </c>
      <c r="BX294" t="s">
        <v>2742</v>
      </c>
      <c r="BY294" t="s">
        <v>2695</v>
      </c>
      <c r="BZ294">
        <v>2</v>
      </c>
    </row>
    <row r="295" spans="1:78" x14ac:dyDescent="0.25">
      <c r="A295" s="1">
        <v>44936</v>
      </c>
      <c r="B295" t="s">
        <v>2311</v>
      </c>
      <c r="C295" t="s">
        <v>100</v>
      </c>
      <c r="E295">
        <v>3</v>
      </c>
      <c r="F295" t="s">
        <v>76</v>
      </c>
      <c r="G295">
        <v>32.97</v>
      </c>
      <c r="H295">
        <v>0</v>
      </c>
      <c r="I295">
        <v>0</v>
      </c>
      <c r="J295">
        <v>3.21</v>
      </c>
      <c r="K295">
        <v>36.18</v>
      </c>
      <c r="L295" t="s">
        <v>77</v>
      </c>
      <c r="P295" t="s">
        <v>597</v>
      </c>
      <c r="Q295" t="s">
        <v>598</v>
      </c>
      <c r="R295" t="s">
        <v>80</v>
      </c>
      <c r="S295" t="s">
        <v>80</v>
      </c>
      <c r="T295" t="s">
        <v>80</v>
      </c>
      <c r="U295" t="s">
        <v>80</v>
      </c>
      <c r="V295" t="s">
        <v>80</v>
      </c>
      <c r="W295" t="s">
        <v>2312</v>
      </c>
      <c r="X295" s="1">
        <v>44936</v>
      </c>
      <c r="Y295">
        <v>36.18</v>
      </c>
      <c r="Z295" t="s">
        <v>82</v>
      </c>
      <c r="AA295" t="str">
        <f t="shared" si="8"/>
        <v>1003</v>
      </c>
      <c r="AB295" t="s">
        <v>2313</v>
      </c>
      <c r="AC295" t="s">
        <v>2314</v>
      </c>
      <c r="AD295" t="s">
        <v>2315</v>
      </c>
      <c r="AE295" t="str">
        <f>"39111610"</f>
        <v>39111610</v>
      </c>
      <c r="AF295" t="s">
        <v>181</v>
      </c>
      <c r="AG295" t="s">
        <v>602</v>
      </c>
      <c r="AH295" t="s">
        <v>603</v>
      </c>
      <c r="AI295" t="s">
        <v>604</v>
      </c>
      <c r="AK295" t="s">
        <v>2316</v>
      </c>
      <c r="AL295" t="s">
        <v>2317</v>
      </c>
      <c r="AN295" t="s">
        <v>2318</v>
      </c>
      <c r="AO295" t="s">
        <v>2318</v>
      </c>
      <c r="AP295" t="s">
        <v>92</v>
      </c>
      <c r="AR295">
        <v>29.99</v>
      </c>
      <c r="AS295">
        <v>10.99</v>
      </c>
      <c r="AT295">
        <v>3</v>
      </c>
      <c r="AU295">
        <v>32.97</v>
      </c>
      <c r="AV295">
        <v>0</v>
      </c>
      <c r="AX295">
        <v>3.21</v>
      </c>
      <c r="AY295">
        <v>36.18</v>
      </c>
      <c r="BA295" t="s">
        <v>93</v>
      </c>
      <c r="BC295" t="s">
        <v>93</v>
      </c>
      <c r="BI295" t="s">
        <v>80</v>
      </c>
      <c r="BM295" t="s">
        <v>94</v>
      </c>
      <c r="BN295" t="s">
        <v>95</v>
      </c>
      <c r="BP295" t="s">
        <v>609</v>
      </c>
      <c r="BR295" t="s">
        <v>2319</v>
      </c>
      <c r="BS295" t="s">
        <v>113</v>
      </c>
      <c r="BT295" t="s">
        <v>2320</v>
      </c>
      <c r="BU295" t="s">
        <v>115</v>
      </c>
      <c r="BV295" t="str">
        <f>"91770"</f>
        <v>91770</v>
      </c>
      <c r="BW295">
        <v>812</v>
      </c>
      <c r="BX295" t="s">
        <v>2748</v>
      </c>
      <c r="BY295" t="s">
        <v>2628</v>
      </c>
      <c r="BZ295">
        <v>2</v>
      </c>
    </row>
    <row r="296" spans="1:78" x14ac:dyDescent="0.25">
      <c r="A296" s="1">
        <v>44936</v>
      </c>
      <c r="B296" t="s">
        <v>2321</v>
      </c>
      <c r="C296" t="s">
        <v>392</v>
      </c>
      <c r="E296">
        <v>1</v>
      </c>
      <c r="F296" t="s">
        <v>76</v>
      </c>
      <c r="G296">
        <v>19.989999999999998</v>
      </c>
      <c r="H296">
        <v>0</v>
      </c>
      <c r="I296">
        <v>0</v>
      </c>
      <c r="J296">
        <v>1.4</v>
      </c>
      <c r="K296">
        <v>21.39</v>
      </c>
      <c r="L296" t="s">
        <v>77</v>
      </c>
      <c r="P296" t="s">
        <v>887</v>
      </c>
      <c r="Q296" t="s">
        <v>888</v>
      </c>
      <c r="R296" t="s">
        <v>80</v>
      </c>
      <c r="S296" t="s">
        <v>80</v>
      </c>
      <c r="T296" t="s">
        <v>80</v>
      </c>
      <c r="U296" t="s">
        <v>80</v>
      </c>
      <c r="V296" t="s">
        <v>80</v>
      </c>
      <c r="W296" t="s">
        <v>2322</v>
      </c>
      <c r="X296" s="1">
        <v>44940</v>
      </c>
      <c r="Y296">
        <v>21.39</v>
      </c>
      <c r="Z296" t="s">
        <v>82</v>
      </c>
      <c r="AA296" t="str">
        <f t="shared" si="8"/>
        <v>1003</v>
      </c>
      <c r="AB296" t="s">
        <v>638</v>
      </c>
      <c r="AC296" t="s">
        <v>2323</v>
      </c>
      <c r="AD296" t="s">
        <v>2324</v>
      </c>
      <c r="AE296" t="str">
        <f>"60141000"</f>
        <v>60141000</v>
      </c>
      <c r="AF296" t="s">
        <v>349</v>
      </c>
      <c r="AG296" t="s">
        <v>350</v>
      </c>
      <c r="AH296" t="s">
        <v>351</v>
      </c>
      <c r="AI296" t="s">
        <v>351</v>
      </c>
      <c r="AK296" t="s">
        <v>918</v>
      </c>
      <c r="AL296" t="s">
        <v>918</v>
      </c>
      <c r="AO296" t="s">
        <v>2325</v>
      </c>
      <c r="AP296" t="s">
        <v>92</v>
      </c>
      <c r="AR296">
        <v>12.99</v>
      </c>
      <c r="AS296">
        <v>19.989999999999998</v>
      </c>
      <c r="AT296">
        <v>1</v>
      </c>
      <c r="AU296">
        <v>19.989999999999998</v>
      </c>
      <c r="AV296">
        <v>0</v>
      </c>
      <c r="AX296">
        <v>1.4</v>
      </c>
      <c r="AY296">
        <v>21.39</v>
      </c>
      <c r="BA296" t="s">
        <v>93</v>
      </c>
      <c r="BC296" t="s">
        <v>93</v>
      </c>
      <c r="BI296" t="s">
        <v>80</v>
      </c>
      <c r="BM296" t="s">
        <v>94</v>
      </c>
      <c r="BN296" t="s">
        <v>95</v>
      </c>
      <c r="BP296" t="s">
        <v>895</v>
      </c>
      <c r="BR296" t="s">
        <v>920</v>
      </c>
      <c r="BT296" t="s">
        <v>275</v>
      </c>
      <c r="BU296" t="s">
        <v>98</v>
      </c>
      <c r="BV296" t="str">
        <f>"518110"</f>
        <v>518110</v>
      </c>
      <c r="BW296">
        <v>823</v>
      </c>
      <c r="BX296">
        <v>300</v>
      </c>
      <c r="BY296" t="s">
        <v>2645</v>
      </c>
      <c r="BZ296">
        <v>2</v>
      </c>
    </row>
    <row r="297" spans="1:78" x14ac:dyDescent="0.25">
      <c r="A297" s="1">
        <v>44936</v>
      </c>
      <c r="B297" t="s">
        <v>2326</v>
      </c>
      <c r="C297" t="s">
        <v>392</v>
      </c>
      <c r="E297">
        <v>6</v>
      </c>
      <c r="F297" t="s">
        <v>76</v>
      </c>
      <c r="G297">
        <v>86.94</v>
      </c>
      <c r="H297">
        <v>0</v>
      </c>
      <c r="I297">
        <v>0</v>
      </c>
      <c r="J297">
        <v>6.09</v>
      </c>
      <c r="K297">
        <v>93.03</v>
      </c>
      <c r="L297" t="s">
        <v>77</v>
      </c>
      <c r="P297" t="s">
        <v>887</v>
      </c>
      <c r="Q297" t="s">
        <v>888</v>
      </c>
      <c r="R297" t="s">
        <v>80</v>
      </c>
      <c r="S297" t="s">
        <v>80</v>
      </c>
      <c r="T297" t="s">
        <v>80</v>
      </c>
      <c r="U297" t="s">
        <v>80</v>
      </c>
      <c r="V297" t="s">
        <v>80</v>
      </c>
      <c r="W297" t="s">
        <v>2327</v>
      </c>
      <c r="X297" s="1">
        <v>44936</v>
      </c>
      <c r="Y297">
        <v>93.03</v>
      </c>
      <c r="Z297" t="s">
        <v>82</v>
      </c>
      <c r="AA297" t="str">
        <f t="shared" si="8"/>
        <v>1003</v>
      </c>
      <c r="AB297" t="s">
        <v>346</v>
      </c>
      <c r="AC297" t="s">
        <v>2328</v>
      </c>
      <c r="AD297" t="s">
        <v>2329</v>
      </c>
      <c r="AE297" t="str">
        <f>"60000000"</f>
        <v>60000000</v>
      </c>
      <c r="AF297" t="s">
        <v>349</v>
      </c>
      <c r="AG297" t="s">
        <v>349</v>
      </c>
      <c r="AH297" t="s">
        <v>349</v>
      </c>
      <c r="AI297" t="s">
        <v>349</v>
      </c>
      <c r="AK297" t="s">
        <v>2330</v>
      </c>
      <c r="AL297" t="s">
        <v>2330</v>
      </c>
      <c r="AO297" t="s">
        <v>2331</v>
      </c>
      <c r="AP297" t="s">
        <v>92</v>
      </c>
      <c r="AR297">
        <v>9.99</v>
      </c>
      <c r="AS297">
        <v>9.99</v>
      </c>
      <c r="AT297">
        <v>1</v>
      </c>
      <c r="AU297">
        <v>9.99</v>
      </c>
      <c r="AV297">
        <v>0</v>
      </c>
      <c r="AX297">
        <v>0.7</v>
      </c>
      <c r="AY297">
        <v>10.69</v>
      </c>
      <c r="BA297" t="s">
        <v>93</v>
      </c>
      <c r="BC297" t="s">
        <v>93</v>
      </c>
      <c r="BI297" t="s">
        <v>80</v>
      </c>
      <c r="BM297" t="s">
        <v>94</v>
      </c>
      <c r="BN297" t="s">
        <v>95</v>
      </c>
      <c r="BP297" t="s">
        <v>895</v>
      </c>
      <c r="BR297" t="s">
        <v>2330</v>
      </c>
      <c r="BT297" t="s">
        <v>1395</v>
      </c>
      <c r="BU297" t="s">
        <v>523</v>
      </c>
      <c r="BV297" t="str">
        <f>"322002"</f>
        <v>322002</v>
      </c>
      <c r="BW297">
        <v>823</v>
      </c>
      <c r="BX297">
        <v>300</v>
      </c>
      <c r="BY297" t="s">
        <v>2645</v>
      </c>
      <c r="BZ297">
        <v>2</v>
      </c>
    </row>
    <row r="298" spans="1:78" x14ac:dyDescent="0.25">
      <c r="A298" s="1">
        <v>44936</v>
      </c>
      <c r="B298" t="s">
        <v>2326</v>
      </c>
      <c r="C298" t="s">
        <v>392</v>
      </c>
      <c r="E298">
        <v>6</v>
      </c>
      <c r="F298" t="s">
        <v>76</v>
      </c>
      <c r="G298">
        <v>86.94</v>
      </c>
      <c r="H298">
        <v>0</v>
      </c>
      <c r="I298">
        <v>0</v>
      </c>
      <c r="J298">
        <v>6.09</v>
      </c>
      <c r="K298">
        <v>93.03</v>
      </c>
      <c r="L298" t="s">
        <v>77</v>
      </c>
      <c r="P298" t="s">
        <v>887</v>
      </c>
      <c r="Q298" t="s">
        <v>888</v>
      </c>
      <c r="R298" t="s">
        <v>80</v>
      </c>
      <c r="S298" t="s">
        <v>80</v>
      </c>
      <c r="T298" t="s">
        <v>80</v>
      </c>
      <c r="U298" t="s">
        <v>80</v>
      </c>
      <c r="V298" t="s">
        <v>80</v>
      </c>
      <c r="W298" t="s">
        <v>2327</v>
      </c>
      <c r="X298" s="1">
        <v>44936</v>
      </c>
      <c r="Y298">
        <v>93.03</v>
      </c>
      <c r="Z298" t="s">
        <v>82</v>
      </c>
      <c r="AA298" t="str">
        <f t="shared" si="8"/>
        <v>1003</v>
      </c>
      <c r="AB298" t="s">
        <v>268</v>
      </c>
      <c r="AC298" t="s">
        <v>2332</v>
      </c>
      <c r="AD298" t="s">
        <v>2333</v>
      </c>
      <c r="AE298" t="str">
        <f>"52121604"</f>
        <v>52121604</v>
      </c>
      <c r="AF298" t="s">
        <v>684</v>
      </c>
      <c r="AG298" t="s">
        <v>892</v>
      </c>
      <c r="AH298" t="s">
        <v>893</v>
      </c>
      <c r="AI298" t="s">
        <v>894</v>
      </c>
      <c r="AK298" t="s">
        <v>2334</v>
      </c>
      <c r="AL298" t="s">
        <v>2334</v>
      </c>
      <c r="AP298" t="s">
        <v>92</v>
      </c>
      <c r="AR298">
        <v>19.989999999999998</v>
      </c>
      <c r="AS298">
        <v>19.989999999999998</v>
      </c>
      <c r="AT298">
        <v>1</v>
      </c>
      <c r="AU298">
        <v>19.989999999999998</v>
      </c>
      <c r="AV298">
        <v>0</v>
      </c>
      <c r="AX298">
        <v>1.4</v>
      </c>
      <c r="AY298">
        <v>21.39</v>
      </c>
      <c r="BA298" t="s">
        <v>93</v>
      </c>
      <c r="BC298" t="s">
        <v>93</v>
      </c>
      <c r="BI298" t="s">
        <v>80</v>
      </c>
      <c r="BM298" t="s">
        <v>94</v>
      </c>
      <c r="BN298" t="s">
        <v>95</v>
      </c>
      <c r="BP298" t="s">
        <v>895</v>
      </c>
      <c r="BR298" t="s">
        <v>2334</v>
      </c>
      <c r="BT298" t="s">
        <v>2335</v>
      </c>
      <c r="BU298" t="s">
        <v>2336</v>
      </c>
      <c r="BV298" t="str">
        <f>"450000"</f>
        <v>450000</v>
      </c>
      <c r="BW298">
        <v>823</v>
      </c>
      <c r="BX298">
        <v>300</v>
      </c>
      <c r="BY298" t="s">
        <v>2645</v>
      </c>
      <c r="BZ298">
        <v>2</v>
      </c>
    </row>
    <row r="299" spans="1:78" x14ac:dyDescent="0.25">
      <c r="A299" s="1">
        <v>44936</v>
      </c>
      <c r="B299" t="s">
        <v>2326</v>
      </c>
      <c r="C299" t="s">
        <v>392</v>
      </c>
      <c r="E299">
        <v>6</v>
      </c>
      <c r="F299" t="s">
        <v>76</v>
      </c>
      <c r="G299">
        <v>86.94</v>
      </c>
      <c r="H299">
        <v>0</v>
      </c>
      <c r="I299">
        <v>0</v>
      </c>
      <c r="J299">
        <v>6.09</v>
      </c>
      <c r="K299">
        <v>93.03</v>
      </c>
      <c r="L299" t="s">
        <v>77</v>
      </c>
      <c r="P299" t="s">
        <v>887</v>
      </c>
      <c r="Q299" t="s">
        <v>888</v>
      </c>
      <c r="R299" t="s">
        <v>80</v>
      </c>
      <c r="S299" t="s">
        <v>80</v>
      </c>
      <c r="T299" t="s">
        <v>80</v>
      </c>
      <c r="U299" t="s">
        <v>80</v>
      </c>
      <c r="V299" t="s">
        <v>80</v>
      </c>
      <c r="W299" t="s">
        <v>2327</v>
      </c>
      <c r="X299" s="1">
        <v>44936</v>
      </c>
      <c r="Y299">
        <v>93.03</v>
      </c>
      <c r="Z299" t="s">
        <v>82</v>
      </c>
      <c r="AA299" t="str">
        <f t="shared" si="8"/>
        <v>1003</v>
      </c>
      <c r="AB299" t="s">
        <v>346</v>
      </c>
      <c r="AC299" t="s">
        <v>2337</v>
      </c>
      <c r="AD299" t="s">
        <v>2338</v>
      </c>
      <c r="AE299" t="str">
        <f>"54100000"</f>
        <v>54100000</v>
      </c>
      <c r="AF299" t="s">
        <v>382</v>
      </c>
      <c r="AG299" t="s">
        <v>2339</v>
      </c>
      <c r="AH299" t="s">
        <v>2339</v>
      </c>
      <c r="AI299" t="s">
        <v>2339</v>
      </c>
      <c r="AK299" t="s">
        <v>2340</v>
      </c>
      <c r="AL299" t="s">
        <v>2340</v>
      </c>
      <c r="AN299" t="s">
        <v>2341</v>
      </c>
      <c r="AO299" t="s">
        <v>2341</v>
      </c>
      <c r="AP299" t="s">
        <v>92</v>
      </c>
      <c r="AR299">
        <v>12.99</v>
      </c>
      <c r="AS299">
        <v>12.99</v>
      </c>
      <c r="AT299">
        <v>2</v>
      </c>
      <c r="AU299">
        <v>25.98</v>
      </c>
      <c r="AV299">
        <v>0</v>
      </c>
      <c r="AX299">
        <v>1.82</v>
      </c>
      <c r="AY299">
        <v>27.8</v>
      </c>
      <c r="BA299" t="s">
        <v>93</v>
      </c>
      <c r="BC299" t="s">
        <v>93</v>
      </c>
      <c r="BI299" t="s">
        <v>80</v>
      </c>
      <c r="BM299" t="s">
        <v>94</v>
      </c>
      <c r="BN299" t="s">
        <v>95</v>
      </c>
      <c r="BP299" t="s">
        <v>895</v>
      </c>
      <c r="BR299" t="s">
        <v>2342</v>
      </c>
      <c r="BT299" t="s">
        <v>1699</v>
      </c>
      <c r="BU299" t="s">
        <v>1700</v>
      </c>
      <c r="BV299" t="str">
        <f>"230601"</f>
        <v>230601</v>
      </c>
      <c r="BW299">
        <v>823</v>
      </c>
      <c r="BX299">
        <v>300</v>
      </c>
      <c r="BY299" t="s">
        <v>2645</v>
      </c>
      <c r="BZ299">
        <v>2</v>
      </c>
    </row>
    <row r="300" spans="1:78" x14ac:dyDescent="0.25">
      <c r="A300" s="1">
        <v>44936</v>
      </c>
      <c r="B300" t="s">
        <v>2326</v>
      </c>
      <c r="C300" t="s">
        <v>392</v>
      </c>
      <c r="E300">
        <v>6</v>
      </c>
      <c r="F300" t="s">
        <v>76</v>
      </c>
      <c r="G300">
        <v>86.94</v>
      </c>
      <c r="H300">
        <v>0</v>
      </c>
      <c r="I300">
        <v>0</v>
      </c>
      <c r="J300">
        <v>6.09</v>
      </c>
      <c r="K300">
        <v>93.03</v>
      </c>
      <c r="L300" t="s">
        <v>77</v>
      </c>
      <c r="P300" t="s">
        <v>887</v>
      </c>
      <c r="Q300" t="s">
        <v>888</v>
      </c>
      <c r="R300" t="s">
        <v>80</v>
      </c>
      <c r="S300" t="s">
        <v>80</v>
      </c>
      <c r="T300" t="s">
        <v>80</v>
      </c>
      <c r="U300" t="s">
        <v>80</v>
      </c>
      <c r="V300" t="s">
        <v>80</v>
      </c>
      <c r="W300" t="s">
        <v>2327</v>
      </c>
      <c r="X300" s="1">
        <v>44936</v>
      </c>
      <c r="Y300">
        <v>93.03</v>
      </c>
      <c r="Z300" t="s">
        <v>82</v>
      </c>
      <c r="AA300" t="str">
        <f t="shared" si="8"/>
        <v>1003</v>
      </c>
      <c r="AB300" t="s">
        <v>346</v>
      </c>
      <c r="AC300" t="s">
        <v>1430</v>
      </c>
      <c r="AD300" t="s">
        <v>1431</v>
      </c>
      <c r="AE300" t="str">
        <f>"44000000"</f>
        <v>44000000</v>
      </c>
      <c r="AF300" t="s">
        <v>108</v>
      </c>
      <c r="AG300" t="s">
        <v>108</v>
      </c>
      <c r="AH300" t="s">
        <v>108</v>
      </c>
      <c r="AI300" t="s">
        <v>108</v>
      </c>
      <c r="AK300" t="s">
        <v>1432</v>
      </c>
      <c r="AL300" t="s">
        <v>1432</v>
      </c>
      <c r="AO300" t="s">
        <v>1433</v>
      </c>
      <c r="AP300" t="s">
        <v>92</v>
      </c>
      <c r="AR300">
        <v>13.99</v>
      </c>
      <c r="AS300">
        <v>16.989999999999998</v>
      </c>
      <c r="AT300">
        <v>1</v>
      </c>
      <c r="AU300">
        <v>16.989999999999998</v>
      </c>
      <c r="AV300">
        <v>0</v>
      </c>
      <c r="AX300">
        <v>1.19</v>
      </c>
      <c r="AY300">
        <v>18.18</v>
      </c>
      <c r="BA300" t="s">
        <v>93</v>
      </c>
      <c r="BC300" t="s">
        <v>93</v>
      </c>
      <c r="BI300" t="s">
        <v>80</v>
      </c>
      <c r="BM300" t="s">
        <v>94</v>
      </c>
      <c r="BN300" t="s">
        <v>95</v>
      </c>
      <c r="BP300" t="s">
        <v>895</v>
      </c>
      <c r="BR300" t="s">
        <v>1434</v>
      </c>
      <c r="BT300" t="s">
        <v>483</v>
      </c>
      <c r="BU300" t="s">
        <v>484</v>
      </c>
      <c r="BV300" t="str">
        <f>"230000"</f>
        <v>230000</v>
      </c>
      <c r="BW300">
        <v>823</v>
      </c>
      <c r="BX300">
        <v>300</v>
      </c>
      <c r="BY300" t="s">
        <v>2645</v>
      </c>
      <c r="BZ300">
        <v>2</v>
      </c>
    </row>
    <row r="301" spans="1:78" x14ac:dyDescent="0.25">
      <c r="A301" s="1">
        <v>44936</v>
      </c>
      <c r="B301" t="s">
        <v>2326</v>
      </c>
      <c r="C301" t="s">
        <v>392</v>
      </c>
      <c r="E301">
        <v>6</v>
      </c>
      <c r="F301" t="s">
        <v>76</v>
      </c>
      <c r="G301">
        <v>86.94</v>
      </c>
      <c r="H301">
        <v>0</v>
      </c>
      <c r="I301">
        <v>0</v>
      </c>
      <c r="J301">
        <v>6.09</v>
      </c>
      <c r="K301">
        <v>93.03</v>
      </c>
      <c r="L301" t="s">
        <v>77</v>
      </c>
      <c r="P301" t="s">
        <v>887</v>
      </c>
      <c r="Q301" t="s">
        <v>888</v>
      </c>
      <c r="R301" t="s">
        <v>80</v>
      </c>
      <c r="S301" t="s">
        <v>80</v>
      </c>
      <c r="T301" t="s">
        <v>80</v>
      </c>
      <c r="U301" t="s">
        <v>80</v>
      </c>
      <c r="V301" t="s">
        <v>80</v>
      </c>
      <c r="W301" t="s">
        <v>2327</v>
      </c>
      <c r="X301" s="1">
        <v>44936</v>
      </c>
      <c r="Y301">
        <v>93.03</v>
      </c>
      <c r="Z301" t="s">
        <v>82</v>
      </c>
      <c r="AA301" t="str">
        <f t="shared" si="8"/>
        <v>1003</v>
      </c>
      <c r="AB301" t="s">
        <v>1464</v>
      </c>
      <c r="AC301" t="s">
        <v>2343</v>
      </c>
      <c r="AD301" t="s">
        <v>2344</v>
      </c>
      <c r="AE301" t="str">
        <f>"60121606"</f>
        <v>60121606</v>
      </c>
      <c r="AF301" t="s">
        <v>349</v>
      </c>
      <c r="AG301" t="s">
        <v>472</v>
      </c>
      <c r="AH301" t="s">
        <v>1679</v>
      </c>
      <c r="AI301" t="s">
        <v>1680</v>
      </c>
      <c r="AK301" t="s">
        <v>2345</v>
      </c>
      <c r="AL301" t="s">
        <v>2345</v>
      </c>
      <c r="AO301" t="s">
        <v>2346</v>
      </c>
      <c r="AP301" t="s">
        <v>92</v>
      </c>
      <c r="AR301">
        <v>13.99</v>
      </c>
      <c r="AS301">
        <v>13.99</v>
      </c>
      <c r="AT301">
        <v>1</v>
      </c>
      <c r="AU301">
        <v>13.99</v>
      </c>
      <c r="AV301">
        <v>0</v>
      </c>
      <c r="AX301">
        <v>0.98</v>
      </c>
      <c r="AY301">
        <v>14.97</v>
      </c>
      <c r="BA301" t="s">
        <v>93</v>
      </c>
      <c r="BC301" t="s">
        <v>93</v>
      </c>
      <c r="BI301" t="s">
        <v>80</v>
      </c>
      <c r="BM301" t="s">
        <v>94</v>
      </c>
      <c r="BN301" t="s">
        <v>95</v>
      </c>
      <c r="BP301" t="s">
        <v>895</v>
      </c>
      <c r="BR301" t="s">
        <v>2345</v>
      </c>
      <c r="BT301" t="s">
        <v>2335</v>
      </c>
      <c r="BU301" t="s">
        <v>2336</v>
      </c>
      <c r="BV301" t="str">
        <f>"450000"</f>
        <v>450000</v>
      </c>
      <c r="BW301">
        <v>823</v>
      </c>
      <c r="BX301">
        <v>300</v>
      </c>
      <c r="BY301" t="s">
        <v>2645</v>
      </c>
      <c r="BZ301">
        <v>2</v>
      </c>
    </row>
    <row r="302" spans="1:78" x14ac:dyDescent="0.25">
      <c r="A302" s="1">
        <v>44935</v>
      </c>
      <c r="B302" t="s">
        <v>2347</v>
      </c>
      <c r="C302" t="s">
        <v>341</v>
      </c>
      <c r="D302" t="s">
        <v>2348</v>
      </c>
      <c r="E302">
        <v>3</v>
      </c>
      <c r="F302" t="s">
        <v>76</v>
      </c>
      <c r="G302">
        <v>17.22</v>
      </c>
      <c r="H302">
        <v>0</v>
      </c>
      <c r="I302">
        <v>0</v>
      </c>
      <c r="J302">
        <v>1.63</v>
      </c>
      <c r="K302">
        <v>18.850000000000001</v>
      </c>
      <c r="L302" t="s">
        <v>77</v>
      </c>
      <c r="P302" t="s">
        <v>543</v>
      </c>
      <c r="Q302" t="s">
        <v>544</v>
      </c>
      <c r="R302" t="s">
        <v>80</v>
      </c>
      <c r="S302" t="s">
        <v>80</v>
      </c>
      <c r="T302" t="s">
        <v>80</v>
      </c>
      <c r="U302" t="s">
        <v>80</v>
      </c>
      <c r="V302" t="s">
        <v>80</v>
      </c>
      <c r="W302" t="s">
        <v>2349</v>
      </c>
      <c r="X302" s="1">
        <v>44936</v>
      </c>
      <c r="Y302">
        <v>18.850000000000001</v>
      </c>
      <c r="Z302" t="s">
        <v>82</v>
      </c>
      <c r="AA302" t="str">
        <f t="shared" si="8"/>
        <v>1003</v>
      </c>
      <c r="AB302" t="s">
        <v>119</v>
      </c>
      <c r="AC302" t="s">
        <v>2350</v>
      </c>
      <c r="AD302" t="s">
        <v>2351</v>
      </c>
      <c r="AE302" t="str">
        <f>"44122105"</f>
        <v>44122105</v>
      </c>
      <c r="AF302" t="s">
        <v>108</v>
      </c>
      <c r="AG302" t="s">
        <v>556</v>
      </c>
      <c r="AH302" t="s">
        <v>934</v>
      </c>
      <c r="AI302" t="s">
        <v>935</v>
      </c>
      <c r="AK302" t="s">
        <v>126</v>
      </c>
      <c r="AL302" t="s">
        <v>126</v>
      </c>
      <c r="AN302" t="str">
        <f>"99010"</f>
        <v>99010</v>
      </c>
      <c r="AO302" t="str">
        <f>"99010"</f>
        <v>99010</v>
      </c>
      <c r="AP302" t="s">
        <v>92</v>
      </c>
      <c r="AR302">
        <v>5.7</v>
      </c>
      <c r="AS302">
        <v>5.7</v>
      </c>
      <c r="AT302">
        <v>2</v>
      </c>
      <c r="AU302">
        <v>11.4</v>
      </c>
      <c r="AV302">
        <v>0</v>
      </c>
      <c r="AX302">
        <v>1.08</v>
      </c>
      <c r="AY302">
        <v>12.48</v>
      </c>
      <c r="BA302" t="s">
        <v>93</v>
      </c>
      <c r="BC302" t="s">
        <v>93</v>
      </c>
      <c r="BD302" t="s">
        <v>2295</v>
      </c>
      <c r="BI302" t="s">
        <v>80</v>
      </c>
      <c r="BM302" t="s">
        <v>550</v>
      </c>
      <c r="BN302" t="s">
        <v>95</v>
      </c>
      <c r="BP302" t="s">
        <v>387</v>
      </c>
      <c r="BR302" t="s">
        <v>130</v>
      </c>
      <c r="BT302" t="s">
        <v>131</v>
      </c>
      <c r="BU302" t="s">
        <v>132</v>
      </c>
      <c r="BV302" t="str">
        <f>"98109"</f>
        <v>98109</v>
      </c>
      <c r="BW302">
        <v>1</v>
      </c>
      <c r="BX302" t="s">
        <v>2741</v>
      </c>
      <c r="BY302" t="s">
        <v>2573</v>
      </c>
      <c r="BZ302">
        <v>2</v>
      </c>
    </row>
    <row r="303" spans="1:78" x14ac:dyDescent="0.25">
      <c r="A303" s="1">
        <v>44935</v>
      </c>
      <c r="B303" t="s">
        <v>2347</v>
      </c>
      <c r="C303" t="s">
        <v>341</v>
      </c>
      <c r="D303" t="s">
        <v>2348</v>
      </c>
      <c r="E303">
        <v>3</v>
      </c>
      <c r="F303" t="s">
        <v>76</v>
      </c>
      <c r="G303">
        <v>17.22</v>
      </c>
      <c r="H303">
        <v>0</v>
      </c>
      <c r="I303">
        <v>0</v>
      </c>
      <c r="J303">
        <v>1.63</v>
      </c>
      <c r="K303">
        <v>18.850000000000001</v>
      </c>
      <c r="L303" t="s">
        <v>77</v>
      </c>
      <c r="P303" t="s">
        <v>543</v>
      </c>
      <c r="Q303" t="s">
        <v>544</v>
      </c>
      <c r="R303" t="s">
        <v>80</v>
      </c>
      <c r="S303" t="s">
        <v>80</v>
      </c>
      <c r="T303" t="s">
        <v>80</v>
      </c>
      <c r="U303" t="s">
        <v>80</v>
      </c>
      <c r="V303" t="s">
        <v>80</v>
      </c>
      <c r="W303" t="s">
        <v>2349</v>
      </c>
      <c r="X303" s="1">
        <v>44936</v>
      </c>
      <c r="Y303">
        <v>18.850000000000001</v>
      </c>
      <c r="Z303" t="s">
        <v>82</v>
      </c>
      <c r="AA303" t="str">
        <f t="shared" si="8"/>
        <v>1003</v>
      </c>
      <c r="AB303" t="s">
        <v>119</v>
      </c>
      <c r="AC303" t="s">
        <v>1818</v>
      </c>
      <c r="AD303" t="s">
        <v>1819</v>
      </c>
      <c r="AE303" t="str">
        <f>"55121600"</f>
        <v>55121600</v>
      </c>
      <c r="AF303" t="s">
        <v>195</v>
      </c>
      <c r="AG303" t="s">
        <v>196</v>
      </c>
      <c r="AH303" t="s">
        <v>197</v>
      </c>
      <c r="AI303" t="s">
        <v>197</v>
      </c>
      <c r="AJ303" t="s">
        <v>1820</v>
      </c>
      <c r="AK303" t="s">
        <v>1821</v>
      </c>
      <c r="AL303" t="s">
        <v>1822</v>
      </c>
      <c r="AN303" t="str">
        <f>"8593"</f>
        <v>8593</v>
      </c>
      <c r="AO303" t="str">
        <f>"8593"</f>
        <v>8593</v>
      </c>
      <c r="AP303" t="s">
        <v>92</v>
      </c>
      <c r="AR303">
        <v>8.39</v>
      </c>
      <c r="AS303">
        <v>5.82</v>
      </c>
      <c r="AT303">
        <v>1</v>
      </c>
      <c r="AU303">
        <v>5.82</v>
      </c>
      <c r="AV303">
        <v>0</v>
      </c>
      <c r="AX303">
        <v>0.55000000000000004</v>
      </c>
      <c r="AY303">
        <v>6.37</v>
      </c>
      <c r="BA303" t="s">
        <v>93</v>
      </c>
      <c r="BC303" t="s">
        <v>93</v>
      </c>
      <c r="BD303" t="s">
        <v>128</v>
      </c>
      <c r="BE303">
        <v>2.57</v>
      </c>
      <c r="BF303" s="2">
        <v>0.30630000000000002</v>
      </c>
      <c r="BI303" t="s">
        <v>80</v>
      </c>
      <c r="BM303" t="s">
        <v>550</v>
      </c>
      <c r="BN303" t="s">
        <v>95</v>
      </c>
      <c r="BP303" t="s">
        <v>387</v>
      </c>
      <c r="BR303" t="s">
        <v>130</v>
      </c>
      <c r="BT303" t="s">
        <v>131</v>
      </c>
      <c r="BU303" t="s">
        <v>132</v>
      </c>
      <c r="BV303" t="str">
        <f>"98109"</f>
        <v>98109</v>
      </c>
      <c r="BW303">
        <v>1</v>
      </c>
      <c r="BX303" t="s">
        <v>2741</v>
      </c>
      <c r="BY303" t="s">
        <v>2573</v>
      </c>
      <c r="BZ303">
        <v>2</v>
      </c>
    </row>
    <row r="304" spans="1:78" x14ac:dyDescent="0.25">
      <c r="A304" s="1">
        <v>44935</v>
      </c>
      <c r="B304" t="s">
        <v>2352</v>
      </c>
      <c r="C304" t="s">
        <v>283</v>
      </c>
      <c r="E304">
        <v>1</v>
      </c>
      <c r="F304" t="s">
        <v>76</v>
      </c>
      <c r="G304">
        <v>43.12</v>
      </c>
      <c r="H304">
        <v>0</v>
      </c>
      <c r="I304">
        <v>0</v>
      </c>
      <c r="J304">
        <v>0</v>
      </c>
      <c r="K304">
        <v>43.12</v>
      </c>
      <c r="L304" t="s">
        <v>77</v>
      </c>
      <c r="P304" t="s">
        <v>284</v>
      </c>
      <c r="Q304" t="s">
        <v>285</v>
      </c>
      <c r="R304" t="s">
        <v>80</v>
      </c>
      <c r="S304" t="s">
        <v>80</v>
      </c>
      <c r="T304" t="s">
        <v>80</v>
      </c>
      <c r="U304" t="s">
        <v>80</v>
      </c>
      <c r="V304" t="s">
        <v>80</v>
      </c>
      <c r="W304" t="s">
        <v>2353</v>
      </c>
      <c r="X304" s="1">
        <v>44938</v>
      </c>
      <c r="Y304">
        <v>43.12</v>
      </c>
      <c r="Z304" t="s">
        <v>82</v>
      </c>
      <c r="AA304" t="str">
        <f t="shared" si="8"/>
        <v>1003</v>
      </c>
      <c r="AB304" t="s">
        <v>320</v>
      </c>
      <c r="AC304" t="s">
        <v>1630</v>
      </c>
      <c r="AD304" t="s">
        <v>1631</v>
      </c>
      <c r="AE304" t="str">
        <f>"50201706"</f>
        <v>50201706</v>
      </c>
      <c r="AF304" t="s">
        <v>323</v>
      </c>
      <c r="AG304" t="s">
        <v>332</v>
      </c>
      <c r="AH304" t="s">
        <v>333</v>
      </c>
      <c r="AI304" t="s">
        <v>334</v>
      </c>
      <c r="AJ304" t="s">
        <v>1632</v>
      </c>
      <c r="AK304" t="s">
        <v>1633</v>
      </c>
      <c r="AL304" t="s">
        <v>1634</v>
      </c>
      <c r="AN304" t="str">
        <f>"5000202614"</f>
        <v>5000202614</v>
      </c>
      <c r="AO304" t="s">
        <v>1635</v>
      </c>
      <c r="AP304" t="s">
        <v>92</v>
      </c>
      <c r="AR304">
        <v>49.99</v>
      </c>
      <c r="AS304">
        <v>43.12</v>
      </c>
      <c r="AT304">
        <v>1</v>
      </c>
      <c r="AU304">
        <v>43.12</v>
      </c>
      <c r="AV304">
        <v>0</v>
      </c>
      <c r="AX304">
        <v>0</v>
      </c>
      <c r="AY304">
        <v>43.12</v>
      </c>
      <c r="BA304" t="s">
        <v>93</v>
      </c>
      <c r="BC304" t="s">
        <v>93</v>
      </c>
      <c r="BI304" t="s">
        <v>80</v>
      </c>
      <c r="BM304" t="s">
        <v>94</v>
      </c>
      <c r="BN304" t="s">
        <v>95</v>
      </c>
      <c r="BP304" t="s">
        <v>302</v>
      </c>
      <c r="BR304" t="s">
        <v>130</v>
      </c>
      <c r="BT304" t="s">
        <v>131</v>
      </c>
      <c r="BU304" t="s">
        <v>132</v>
      </c>
      <c r="BV304" t="str">
        <f>"98109"</f>
        <v>98109</v>
      </c>
      <c r="BW304">
        <v>902</v>
      </c>
      <c r="BX304" t="s">
        <v>2736</v>
      </c>
      <c r="BY304" t="s">
        <v>2707</v>
      </c>
      <c r="BZ304">
        <v>2</v>
      </c>
    </row>
    <row r="305" spans="1:78" x14ac:dyDescent="0.25">
      <c r="A305" s="1">
        <v>44935</v>
      </c>
      <c r="B305" t="s">
        <v>2354</v>
      </c>
      <c r="C305" t="s">
        <v>283</v>
      </c>
      <c r="E305">
        <v>1</v>
      </c>
      <c r="F305" t="s">
        <v>76</v>
      </c>
      <c r="G305">
        <v>55.97</v>
      </c>
      <c r="H305">
        <v>0</v>
      </c>
      <c r="I305">
        <v>0</v>
      </c>
      <c r="J305">
        <v>0</v>
      </c>
      <c r="K305">
        <v>55.97</v>
      </c>
      <c r="L305" t="s">
        <v>77</v>
      </c>
      <c r="P305" t="s">
        <v>284</v>
      </c>
      <c r="Q305" t="s">
        <v>285</v>
      </c>
      <c r="R305" t="s">
        <v>80</v>
      </c>
      <c r="S305" t="s">
        <v>80</v>
      </c>
      <c r="T305" t="s">
        <v>80</v>
      </c>
      <c r="U305" t="s">
        <v>80</v>
      </c>
      <c r="V305" t="s">
        <v>80</v>
      </c>
      <c r="W305" t="s">
        <v>2355</v>
      </c>
      <c r="X305" s="1">
        <v>44935</v>
      </c>
      <c r="Y305">
        <v>55.97</v>
      </c>
      <c r="Z305" t="s">
        <v>82</v>
      </c>
      <c r="AA305" t="str">
        <f t="shared" si="8"/>
        <v>1003</v>
      </c>
      <c r="AB305" t="s">
        <v>320</v>
      </c>
      <c r="AC305" t="s">
        <v>2356</v>
      </c>
      <c r="AD305" t="s">
        <v>2357</v>
      </c>
      <c r="AE305" t="str">
        <f>"50201706"</f>
        <v>50201706</v>
      </c>
      <c r="AF305" t="s">
        <v>323</v>
      </c>
      <c r="AG305" t="s">
        <v>332</v>
      </c>
      <c r="AH305" t="s">
        <v>333</v>
      </c>
      <c r="AI305" t="s">
        <v>334</v>
      </c>
      <c r="AJ305" t="s">
        <v>2358</v>
      </c>
      <c r="AK305" t="s">
        <v>2359</v>
      </c>
      <c r="AL305" t="s">
        <v>2360</v>
      </c>
      <c r="AN305" t="str">
        <f>"40762111189941"</f>
        <v>40762111189941</v>
      </c>
      <c r="AO305" t="str">
        <f>"10099555095729"</f>
        <v>10099555095729</v>
      </c>
      <c r="AP305" t="s">
        <v>92</v>
      </c>
      <c r="AR305">
        <v>77.989999999999995</v>
      </c>
      <c r="AS305">
        <v>55.97</v>
      </c>
      <c r="AT305">
        <v>1</v>
      </c>
      <c r="AU305">
        <v>55.97</v>
      </c>
      <c r="AV305">
        <v>0</v>
      </c>
      <c r="AX305">
        <v>0</v>
      </c>
      <c r="AY305">
        <v>55.97</v>
      </c>
      <c r="BA305" t="s">
        <v>93</v>
      </c>
      <c r="BC305" t="s">
        <v>93</v>
      </c>
      <c r="BI305" t="s">
        <v>80</v>
      </c>
      <c r="BM305" t="s">
        <v>94</v>
      </c>
      <c r="BN305" t="s">
        <v>95</v>
      </c>
      <c r="BP305" t="s">
        <v>302</v>
      </c>
      <c r="BR305" t="s">
        <v>338</v>
      </c>
      <c r="BT305" t="s">
        <v>131</v>
      </c>
      <c r="BU305" t="s">
        <v>339</v>
      </c>
      <c r="BV305" t="str">
        <f>"98109"</f>
        <v>98109</v>
      </c>
      <c r="BW305">
        <v>902</v>
      </c>
      <c r="BX305" t="s">
        <v>2736</v>
      </c>
      <c r="BY305" t="s">
        <v>2707</v>
      </c>
      <c r="BZ305">
        <v>2</v>
      </c>
    </row>
    <row r="306" spans="1:78" x14ac:dyDescent="0.25">
      <c r="A306" s="1">
        <v>44935</v>
      </c>
      <c r="B306" t="s">
        <v>2361</v>
      </c>
      <c r="C306" t="s">
        <v>189</v>
      </c>
      <c r="E306">
        <v>2</v>
      </c>
      <c r="F306" t="s">
        <v>76</v>
      </c>
      <c r="G306">
        <v>29.04</v>
      </c>
      <c r="H306">
        <v>0</v>
      </c>
      <c r="I306">
        <v>0</v>
      </c>
      <c r="J306">
        <v>2.4</v>
      </c>
      <c r="K306">
        <v>31.44</v>
      </c>
      <c r="L306" t="s">
        <v>77</v>
      </c>
      <c r="P306" t="s">
        <v>307</v>
      </c>
      <c r="Q306" t="s">
        <v>308</v>
      </c>
      <c r="R306" t="s">
        <v>80</v>
      </c>
      <c r="S306" t="s">
        <v>80</v>
      </c>
      <c r="T306" t="s">
        <v>80</v>
      </c>
      <c r="U306" t="s">
        <v>80</v>
      </c>
      <c r="V306" t="s">
        <v>80</v>
      </c>
      <c r="W306" t="s">
        <v>2362</v>
      </c>
      <c r="X306" s="1">
        <v>44936</v>
      </c>
      <c r="Y306">
        <v>31.44</v>
      </c>
      <c r="Z306" t="s">
        <v>82</v>
      </c>
      <c r="AA306" t="str">
        <f t="shared" si="8"/>
        <v>1003</v>
      </c>
      <c r="AB306" t="s">
        <v>119</v>
      </c>
      <c r="AC306" t="s">
        <v>2363</v>
      </c>
      <c r="AD306" t="s">
        <v>2364</v>
      </c>
      <c r="AE306" t="str">
        <f>"44121704"</f>
        <v>44121704</v>
      </c>
      <c r="AF306" t="s">
        <v>108</v>
      </c>
      <c r="AG306" t="s">
        <v>556</v>
      </c>
      <c r="AH306" t="s">
        <v>590</v>
      </c>
      <c r="AI306" t="s">
        <v>759</v>
      </c>
      <c r="AJ306" t="s">
        <v>2365</v>
      </c>
      <c r="AK306" t="s">
        <v>2366</v>
      </c>
      <c r="AL306" t="s">
        <v>2366</v>
      </c>
      <c r="AN306" t="str">
        <f>"21910"</f>
        <v>21910</v>
      </c>
      <c r="AO306" t="str">
        <f>"21910"</f>
        <v>21910</v>
      </c>
      <c r="AP306" t="s">
        <v>92</v>
      </c>
      <c r="AR306">
        <v>14.52</v>
      </c>
      <c r="AS306">
        <v>14.52</v>
      </c>
      <c r="AT306">
        <v>2</v>
      </c>
      <c r="AU306">
        <v>29.04</v>
      </c>
      <c r="AV306">
        <v>0</v>
      </c>
      <c r="AX306">
        <v>2.4</v>
      </c>
      <c r="AY306">
        <v>31.44</v>
      </c>
      <c r="BA306" t="s">
        <v>93</v>
      </c>
      <c r="BC306" t="s">
        <v>93</v>
      </c>
      <c r="BI306" t="s">
        <v>80</v>
      </c>
      <c r="BM306" t="s">
        <v>94</v>
      </c>
      <c r="BN306" t="s">
        <v>95</v>
      </c>
      <c r="BP306" t="s">
        <v>314</v>
      </c>
      <c r="BR306" t="s">
        <v>338</v>
      </c>
      <c r="BT306" t="s">
        <v>131</v>
      </c>
      <c r="BU306" t="s">
        <v>339</v>
      </c>
      <c r="BV306" t="str">
        <f>"98109"</f>
        <v>98109</v>
      </c>
      <c r="BW306">
        <v>868</v>
      </c>
      <c r="BX306" t="s">
        <v>2738</v>
      </c>
      <c r="BY306" t="s">
        <v>2665</v>
      </c>
      <c r="BZ306">
        <v>2</v>
      </c>
    </row>
    <row r="307" spans="1:78" x14ac:dyDescent="0.25">
      <c r="A307" s="1">
        <v>44932</v>
      </c>
      <c r="B307" t="s">
        <v>2367</v>
      </c>
      <c r="C307" t="s">
        <v>100</v>
      </c>
      <c r="D307" t="s">
        <v>2368</v>
      </c>
      <c r="E307">
        <v>2</v>
      </c>
      <c r="F307" t="s">
        <v>76</v>
      </c>
      <c r="G307">
        <v>114.98</v>
      </c>
      <c r="H307">
        <v>0</v>
      </c>
      <c r="I307">
        <v>0</v>
      </c>
      <c r="J307">
        <v>11.21</v>
      </c>
      <c r="K307">
        <v>126.19</v>
      </c>
      <c r="L307" t="s">
        <v>77</v>
      </c>
      <c r="P307" t="s">
        <v>208</v>
      </c>
      <c r="Q307" t="s">
        <v>209</v>
      </c>
      <c r="R307" t="s">
        <v>80</v>
      </c>
      <c r="S307" t="s">
        <v>80</v>
      </c>
      <c r="T307" t="s">
        <v>80</v>
      </c>
      <c r="U307" t="s">
        <v>80</v>
      </c>
      <c r="V307" t="s">
        <v>80</v>
      </c>
      <c r="W307" t="s">
        <v>2369</v>
      </c>
      <c r="X307" s="1">
        <v>44934</v>
      </c>
      <c r="Y307">
        <v>126.19</v>
      </c>
      <c r="Z307" t="s">
        <v>82</v>
      </c>
      <c r="AA307" t="str">
        <f t="shared" si="8"/>
        <v>1003</v>
      </c>
      <c r="AB307" t="s">
        <v>168</v>
      </c>
      <c r="AC307" t="s">
        <v>2370</v>
      </c>
      <c r="AD307" t="s">
        <v>2371</v>
      </c>
      <c r="AE307" t="str">
        <f>"47121701"</f>
        <v>47121701</v>
      </c>
      <c r="AF307" t="s">
        <v>144</v>
      </c>
      <c r="AG307" t="s">
        <v>617</v>
      </c>
      <c r="AH307" t="s">
        <v>1777</v>
      </c>
      <c r="AI307" t="s">
        <v>1778</v>
      </c>
      <c r="AK307" t="s">
        <v>1779</v>
      </c>
      <c r="AL307" t="s">
        <v>1779</v>
      </c>
      <c r="AN307" t="s">
        <v>2372</v>
      </c>
      <c r="AO307" t="s">
        <v>2372</v>
      </c>
      <c r="AP307" t="s">
        <v>92</v>
      </c>
      <c r="AR307">
        <v>56.99</v>
      </c>
      <c r="AS307">
        <v>49.99</v>
      </c>
      <c r="AT307">
        <v>1</v>
      </c>
      <c r="AU307">
        <v>49.99</v>
      </c>
      <c r="AV307">
        <v>0</v>
      </c>
      <c r="AX307">
        <v>4.87</v>
      </c>
      <c r="AY307">
        <v>54.86</v>
      </c>
      <c r="BA307" t="s">
        <v>93</v>
      </c>
      <c r="BC307" t="s">
        <v>93</v>
      </c>
      <c r="BD307" t="s">
        <v>128</v>
      </c>
      <c r="BE307">
        <v>7</v>
      </c>
      <c r="BF307" s="2">
        <v>0.12280000000000001</v>
      </c>
      <c r="BI307" t="s">
        <v>80</v>
      </c>
      <c r="BM307" t="s">
        <v>94</v>
      </c>
      <c r="BN307" t="s">
        <v>95</v>
      </c>
      <c r="BP307" t="s">
        <v>643</v>
      </c>
      <c r="BR307" t="s">
        <v>1779</v>
      </c>
      <c r="BS307" t="s">
        <v>1780</v>
      </c>
      <c r="BT307" t="s">
        <v>1781</v>
      </c>
      <c r="BU307" t="s">
        <v>115</v>
      </c>
      <c r="BV307" t="str">
        <f>"90071"</f>
        <v>90071</v>
      </c>
      <c r="BW307">
        <v>811</v>
      </c>
      <c r="BX307" t="s">
        <v>2749</v>
      </c>
      <c r="BY307" t="s">
        <v>2626</v>
      </c>
      <c r="BZ307">
        <v>1</v>
      </c>
    </row>
    <row r="308" spans="1:78" x14ac:dyDescent="0.25">
      <c r="A308" s="1">
        <v>44932</v>
      </c>
      <c r="B308" t="s">
        <v>2367</v>
      </c>
      <c r="C308" t="s">
        <v>100</v>
      </c>
      <c r="D308" t="s">
        <v>2368</v>
      </c>
      <c r="E308">
        <v>2</v>
      </c>
      <c r="F308" t="s">
        <v>76</v>
      </c>
      <c r="G308">
        <v>114.98</v>
      </c>
      <c r="H308">
        <v>0</v>
      </c>
      <c r="I308">
        <v>0</v>
      </c>
      <c r="J308">
        <v>11.21</v>
      </c>
      <c r="K308">
        <v>126.19</v>
      </c>
      <c r="L308" t="s">
        <v>77</v>
      </c>
      <c r="P308" t="s">
        <v>208</v>
      </c>
      <c r="Q308" t="s">
        <v>209</v>
      </c>
      <c r="R308" t="s">
        <v>80</v>
      </c>
      <c r="S308" t="s">
        <v>80</v>
      </c>
      <c r="T308" t="s">
        <v>80</v>
      </c>
      <c r="U308" t="s">
        <v>80</v>
      </c>
      <c r="V308" t="s">
        <v>80</v>
      </c>
      <c r="W308" t="s">
        <v>2369</v>
      </c>
      <c r="X308" s="1">
        <v>44934</v>
      </c>
      <c r="Y308">
        <v>126.19</v>
      </c>
      <c r="Z308" t="s">
        <v>82</v>
      </c>
      <c r="AA308" t="str">
        <f t="shared" si="8"/>
        <v>1003</v>
      </c>
      <c r="AB308" t="s">
        <v>119</v>
      </c>
      <c r="AC308" t="s">
        <v>2373</v>
      </c>
      <c r="AD308" t="s">
        <v>2374</v>
      </c>
      <c r="AE308" t="str">
        <f>"44111515"</f>
        <v>44111515</v>
      </c>
      <c r="AF308" t="s">
        <v>108</v>
      </c>
      <c r="AG308" t="s">
        <v>122</v>
      </c>
      <c r="AH308" t="s">
        <v>123</v>
      </c>
      <c r="AI308" t="s">
        <v>1125</v>
      </c>
      <c r="AJ308" t="s">
        <v>1126</v>
      </c>
      <c r="AK308" t="s">
        <v>1127</v>
      </c>
      <c r="AL308" t="s">
        <v>154</v>
      </c>
      <c r="AN308" t="str">
        <f>"0071304"</f>
        <v>0071304</v>
      </c>
      <c r="AO308" t="str">
        <f>"0071304"</f>
        <v>0071304</v>
      </c>
      <c r="AP308" t="s">
        <v>92</v>
      </c>
      <c r="AR308">
        <v>64.989999999999995</v>
      </c>
      <c r="AS308">
        <v>64.989999999999995</v>
      </c>
      <c r="AT308">
        <v>1</v>
      </c>
      <c r="AU308">
        <v>64.989999999999995</v>
      </c>
      <c r="AV308">
        <v>0</v>
      </c>
      <c r="AX308">
        <v>6.34</v>
      </c>
      <c r="AY308">
        <v>71.33</v>
      </c>
      <c r="BA308" t="s">
        <v>93</v>
      </c>
      <c r="BC308" t="s">
        <v>93</v>
      </c>
      <c r="BI308" t="s">
        <v>80</v>
      </c>
      <c r="BM308" t="s">
        <v>94</v>
      </c>
      <c r="BN308" t="s">
        <v>95</v>
      </c>
      <c r="BP308" t="s">
        <v>643</v>
      </c>
      <c r="BR308" t="s">
        <v>338</v>
      </c>
      <c r="BT308" t="s">
        <v>131</v>
      </c>
      <c r="BU308" t="s">
        <v>339</v>
      </c>
      <c r="BV308" t="str">
        <f>"98109"</f>
        <v>98109</v>
      </c>
      <c r="BW308">
        <v>811</v>
      </c>
      <c r="BX308" t="s">
        <v>2749</v>
      </c>
      <c r="BY308" t="s">
        <v>2626</v>
      </c>
      <c r="BZ308">
        <v>1</v>
      </c>
    </row>
    <row r="309" spans="1:78" x14ac:dyDescent="0.25">
      <c r="A309" s="1">
        <v>44932</v>
      </c>
      <c r="B309" t="s">
        <v>2375</v>
      </c>
      <c r="C309" t="s">
        <v>283</v>
      </c>
      <c r="E309">
        <v>3</v>
      </c>
      <c r="F309" t="s">
        <v>76</v>
      </c>
      <c r="G309">
        <v>126.54</v>
      </c>
      <c r="H309">
        <v>0</v>
      </c>
      <c r="I309">
        <v>0</v>
      </c>
      <c r="J309">
        <v>0</v>
      </c>
      <c r="K309">
        <v>126.54</v>
      </c>
      <c r="L309" t="s">
        <v>77</v>
      </c>
      <c r="P309" t="s">
        <v>284</v>
      </c>
      <c r="Q309" t="s">
        <v>285</v>
      </c>
      <c r="R309" t="s">
        <v>80</v>
      </c>
      <c r="S309" t="s">
        <v>80</v>
      </c>
      <c r="T309" t="s">
        <v>80</v>
      </c>
      <c r="U309" t="s">
        <v>80</v>
      </c>
      <c r="V309" t="s">
        <v>80</v>
      </c>
      <c r="W309" t="s">
        <v>2376</v>
      </c>
      <c r="X309" s="1">
        <v>44934</v>
      </c>
      <c r="Y309">
        <v>126.54</v>
      </c>
      <c r="Z309" t="s">
        <v>82</v>
      </c>
      <c r="AA309" t="str">
        <f t="shared" si="8"/>
        <v>1003</v>
      </c>
      <c r="AB309" t="s">
        <v>320</v>
      </c>
      <c r="AC309" t="s">
        <v>2377</v>
      </c>
      <c r="AD309" t="s">
        <v>2378</v>
      </c>
      <c r="AE309" t="str">
        <f>"50201706"</f>
        <v>50201706</v>
      </c>
      <c r="AF309" t="s">
        <v>323</v>
      </c>
      <c r="AG309" t="s">
        <v>332</v>
      </c>
      <c r="AH309" t="s">
        <v>333</v>
      </c>
      <c r="AI309" t="s">
        <v>334</v>
      </c>
      <c r="AJ309" t="s">
        <v>2379</v>
      </c>
      <c r="AK309" t="s">
        <v>2380</v>
      </c>
      <c r="AL309" t="s">
        <v>2380</v>
      </c>
      <c r="AN309" t="str">
        <f>"510435"</f>
        <v>510435</v>
      </c>
      <c r="AO309" t="str">
        <f>"510435"</f>
        <v>510435</v>
      </c>
      <c r="AP309" t="s">
        <v>92</v>
      </c>
      <c r="AR309">
        <v>50.99</v>
      </c>
      <c r="AS309">
        <v>40.299999999999997</v>
      </c>
      <c r="AT309">
        <v>1</v>
      </c>
      <c r="AU309">
        <v>40.299999999999997</v>
      </c>
      <c r="AV309">
        <v>0</v>
      </c>
      <c r="AX309">
        <v>0</v>
      </c>
      <c r="AY309">
        <v>40.299999999999997</v>
      </c>
      <c r="BA309" t="s">
        <v>93</v>
      </c>
      <c r="BC309" t="s">
        <v>93</v>
      </c>
      <c r="BI309" t="s">
        <v>80</v>
      </c>
      <c r="BM309" t="s">
        <v>94</v>
      </c>
      <c r="BN309" t="s">
        <v>95</v>
      </c>
      <c r="BP309" t="s">
        <v>299</v>
      </c>
      <c r="BR309" t="s">
        <v>338</v>
      </c>
      <c r="BT309" t="s">
        <v>131</v>
      </c>
      <c r="BU309" t="s">
        <v>339</v>
      </c>
      <c r="BV309" t="str">
        <f>"98109"</f>
        <v>98109</v>
      </c>
      <c r="BW309">
        <v>877</v>
      </c>
      <c r="BX309" t="s">
        <v>2735</v>
      </c>
      <c r="BY309" t="s">
        <v>2669</v>
      </c>
      <c r="BZ309">
        <v>1</v>
      </c>
    </row>
    <row r="310" spans="1:78" x14ac:dyDescent="0.25">
      <c r="A310" s="1">
        <v>44932</v>
      </c>
      <c r="B310" t="s">
        <v>2375</v>
      </c>
      <c r="C310" t="s">
        <v>283</v>
      </c>
      <c r="E310">
        <v>3</v>
      </c>
      <c r="F310" t="s">
        <v>76</v>
      </c>
      <c r="G310">
        <v>126.54</v>
      </c>
      <c r="H310">
        <v>0</v>
      </c>
      <c r="I310">
        <v>0</v>
      </c>
      <c r="J310">
        <v>0</v>
      </c>
      <c r="K310">
        <v>126.54</v>
      </c>
      <c r="L310" t="s">
        <v>77</v>
      </c>
      <c r="P310" t="s">
        <v>284</v>
      </c>
      <c r="Q310" t="s">
        <v>285</v>
      </c>
      <c r="R310" t="s">
        <v>80</v>
      </c>
      <c r="S310" t="s">
        <v>80</v>
      </c>
      <c r="T310" t="s">
        <v>80</v>
      </c>
      <c r="U310" t="s">
        <v>80</v>
      </c>
      <c r="V310" t="s">
        <v>80</v>
      </c>
      <c r="W310" t="s">
        <v>2376</v>
      </c>
      <c r="X310" s="1">
        <v>44934</v>
      </c>
      <c r="Y310">
        <v>126.54</v>
      </c>
      <c r="Z310" t="s">
        <v>82</v>
      </c>
      <c r="AA310" t="str">
        <f t="shared" si="8"/>
        <v>1003</v>
      </c>
      <c r="AB310" t="s">
        <v>320</v>
      </c>
      <c r="AC310" t="s">
        <v>1630</v>
      </c>
      <c r="AD310" t="s">
        <v>1631</v>
      </c>
      <c r="AE310" t="str">
        <f>"50201706"</f>
        <v>50201706</v>
      </c>
      <c r="AF310" t="s">
        <v>323</v>
      </c>
      <c r="AG310" t="s">
        <v>332</v>
      </c>
      <c r="AH310" t="s">
        <v>333</v>
      </c>
      <c r="AI310" t="s">
        <v>334</v>
      </c>
      <c r="AJ310" t="s">
        <v>1632</v>
      </c>
      <c r="AK310" t="s">
        <v>1633</v>
      </c>
      <c r="AL310" t="s">
        <v>1634</v>
      </c>
      <c r="AN310" t="str">
        <f>"5000202614"</f>
        <v>5000202614</v>
      </c>
      <c r="AO310" t="s">
        <v>1635</v>
      </c>
      <c r="AP310" t="s">
        <v>92</v>
      </c>
      <c r="AR310">
        <v>49.99</v>
      </c>
      <c r="AS310">
        <v>43.12</v>
      </c>
      <c r="AT310">
        <v>2</v>
      </c>
      <c r="AU310">
        <v>86.24</v>
      </c>
      <c r="AV310">
        <v>0</v>
      </c>
      <c r="AX310">
        <v>0</v>
      </c>
      <c r="AY310">
        <v>86.24</v>
      </c>
      <c r="BA310" t="s">
        <v>93</v>
      </c>
      <c r="BC310" t="s">
        <v>93</v>
      </c>
      <c r="BI310" t="s">
        <v>80</v>
      </c>
      <c r="BM310" t="s">
        <v>94</v>
      </c>
      <c r="BN310" t="s">
        <v>95</v>
      </c>
      <c r="BP310" t="s">
        <v>299</v>
      </c>
      <c r="BR310" t="s">
        <v>338</v>
      </c>
      <c r="BT310" t="s">
        <v>131</v>
      </c>
      <c r="BU310" t="s">
        <v>339</v>
      </c>
      <c r="BV310" t="str">
        <f>"98109"</f>
        <v>98109</v>
      </c>
      <c r="BW310">
        <v>877</v>
      </c>
      <c r="BX310" t="s">
        <v>2735</v>
      </c>
      <c r="BY310" t="s">
        <v>2669</v>
      </c>
      <c r="BZ310">
        <v>1</v>
      </c>
    </row>
    <row r="311" spans="1:78" x14ac:dyDescent="0.25">
      <c r="A311" s="1">
        <v>44932</v>
      </c>
      <c r="B311" t="s">
        <v>2381</v>
      </c>
      <c r="C311" t="s">
        <v>100</v>
      </c>
      <c r="D311" t="s">
        <v>2382</v>
      </c>
      <c r="E311">
        <v>1</v>
      </c>
      <c r="F311" t="s">
        <v>76</v>
      </c>
      <c r="G311">
        <v>46.7</v>
      </c>
      <c r="H311">
        <v>0</v>
      </c>
      <c r="I311">
        <v>0</v>
      </c>
      <c r="J311">
        <v>4.4400000000000004</v>
      </c>
      <c r="K311">
        <v>51.14</v>
      </c>
      <c r="L311" t="s">
        <v>77</v>
      </c>
      <c r="P311" t="s">
        <v>102</v>
      </c>
      <c r="Q311" t="s">
        <v>103</v>
      </c>
      <c r="R311" t="s">
        <v>80</v>
      </c>
      <c r="S311" t="s">
        <v>80</v>
      </c>
      <c r="T311" t="s">
        <v>80</v>
      </c>
      <c r="U311" t="s">
        <v>80</v>
      </c>
      <c r="V311" t="s">
        <v>80</v>
      </c>
      <c r="W311" t="s">
        <v>2383</v>
      </c>
      <c r="X311" s="1">
        <v>44933</v>
      </c>
      <c r="Y311">
        <v>51.14</v>
      </c>
      <c r="Z311" t="s">
        <v>82</v>
      </c>
      <c r="AA311" t="str">
        <f t="shared" si="8"/>
        <v>1003</v>
      </c>
      <c r="AB311" t="s">
        <v>168</v>
      </c>
      <c r="AC311" t="s">
        <v>2384</v>
      </c>
      <c r="AD311" t="s">
        <v>2385</v>
      </c>
      <c r="AE311" t="str">
        <f>"47131800"</f>
        <v>47131800</v>
      </c>
      <c r="AF311" t="s">
        <v>144</v>
      </c>
      <c r="AG311" t="s">
        <v>145</v>
      </c>
      <c r="AH311" t="s">
        <v>261</v>
      </c>
      <c r="AI311" t="s">
        <v>261</v>
      </c>
      <c r="AJ311" t="s">
        <v>2386</v>
      </c>
      <c r="AK311" t="s">
        <v>732</v>
      </c>
      <c r="AL311" t="s">
        <v>732</v>
      </c>
      <c r="AN311" t="s">
        <v>2387</v>
      </c>
      <c r="AO311" t="s">
        <v>2387</v>
      </c>
      <c r="AP311" t="s">
        <v>92</v>
      </c>
      <c r="AR311">
        <v>39.96</v>
      </c>
      <c r="AS311">
        <v>46.7</v>
      </c>
      <c r="AT311">
        <v>1</v>
      </c>
      <c r="AU311">
        <v>46.7</v>
      </c>
      <c r="AV311">
        <v>0</v>
      </c>
      <c r="AX311">
        <v>4.4400000000000004</v>
      </c>
      <c r="AY311">
        <v>51.14</v>
      </c>
      <c r="BA311" t="s">
        <v>93</v>
      </c>
      <c r="BC311" t="s">
        <v>93</v>
      </c>
      <c r="BI311" t="s">
        <v>80</v>
      </c>
      <c r="BM311" t="s">
        <v>427</v>
      </c>
      <c r="BN311" t="s">
        <v>95</v>
      </c>
      <c r="BP311" t="s">
        <v>387</v>
      </c>
      <c r="BR311" t="s">
        <v>2388</v>
      </c>
      <c r="BS311" t="s">
        <v>538</v>
      </c>
      <c r="BT311" t="s">
        <v>2389</v>
      </c>
      <c r="BU311" t="s">
        <v>115</v>
      </c>
      <c r="BV311" t="str">
        <f>"94533"</f>
        <v>94533</v>
      </c>
      <c r="BW311">
        <v>1</v>
      </c>
      <c r="BX311" t="s">
        <v>2741</v>
      </c>
      <c r="BY311" t="s">
        <v>2573</v>
      </c>
      <c r="BZ311">
        <v>1</v>
      </c>
    </row>
    <row r="312" spans="1:78" x14ac:dyDescent="0.25">
      <c r="A312" s="1">
        <v>44932</v>
      </c>
      <c r="B312" t="s">
        <v>2390</v>
      </c>
      <c r="C312" t="s">
        <v>100</v>
      </c>
      <c r="D312" t="s">
        <v>2382</v>
      </c>
      <c r="E312">
        <v>4</v>
      </c>
      <c r="F312" t="s">
        <v>76</v>
      </c>
      <c r="G312">
        <v>53.14</v>
      </c>
      <c r="H312">
        <v>0</v>
      </c>
      <c r="I312">
        <v>0</v>
      </c>
      <c r="J312">
        <v>5.05</v>
      </c>
      <c r="K312">
        <v>58.19</v>
      </c>
      <c r="L312" t="s">
        <v>77</v>
      </c>
      <c r="P312" t="s">
        <v>102</v>
      </c>
      <c r="Q312" t="s">
        <v>103</v>
      </c>
      <c r="R312" t="s">
        <v>80</v>
      </c>
      <c r="S312" t="s">
        <v>80</v>
      </c>
      <c r="T312" t="s">
        <v>80</v>
      </c>
      <c r="U312" t="s">
        <v>80</v>
      </c>
      <c r="V312" t="s">
        <v>80</v>
      </c>
      <c r="W312" t="s">
        <v>2391</v>
      </c>
      <c r="X312" s="1">
        <v>44934</v>
      </c>
      <c r="Y312">
        <v>58.19</v>
      </c>
      <c r="Z312" t="s">
        <v>82</v>
      </c>
      <c r="AA312" t="str">
        <f t="shared" si="8"/>
        <v>1003</v>
      </c>
      <c r="AB312" t="s">
        <v>168</v>
      </c>
      <c r="AC312" t="s">
        <v>2392</v>
      </c>
      <c r="AD312" t="s">
        <v>2393</v>
      </c>
      <c r="AE312" t="str">
        <f>"47131502"</f>
        <v>47131502</v>
      </c>
      <c r="AF312" t="s">
        <v>144</v>
      </c>
      <c r="AG312" t="s">
        <v>145</v>
      </c>
      <c r="AH312" t="s">
        <v>729</v>
      </c>
      <c r="AI312" t="s">
        <v>730</v>
      </c>
      <c r="AJ312" t="s">
        <v>2394</v>
      </c>
      <c r="AK312" t="s">
        <v>2395</v>
      </c>
      <c r="AL312" t="s">
        <v>2396</v>
      </c>
      <c r="AN312" t="str">
        <f>"10044600600335"</f>
        <v>10044600600335</v>
      </c>
      <c r="AO312" t="str">
        <f>"10044600600335"</f>
        <v>10044600600335</v>
      </c>
      <c r="AP312" t="s">
        <v>92</v>
      </c>
      <c r="AR312">
        <v>15.05</v>
      </c>
      <c r="AS312">
        <v>10.49</v>
      </c>
      <c r="AT312">
        <v>1</v>
      </c>
      <c r="AU312">
        <v>10.49</v>
      </c>
      <c r="AV312">
        <v>0</v>
      </c>
      <c r="AX312">
        <v>1</v>
      </c>
      <c r="AY312">
        <v>11.49</v>
      </c>
      <c r="BA312" t="s">
        <v>93</v>
      </c>
      <c r="BC312" t="s">
        <v>93</v>
      </c>
      <c r="BI312" t="s">
        <v>80</v>
      </c>
      <c r="BM312" t="s">
        <v>427</v>
      </c>
      <c r="BN312" t="s">
        <v>95</v>
      </c>
      <c r="BP312" t="s">
        <v>387</v>
      </c>
      <c r="BR312" t="s">
        <v>338</v>
      </c>
      <c r="BT312" t="s">
        <v>131</v>
      </c>
      <c r="BU312" t="s">
        <v>339</v>
      </c>
      <c r="BV312" t="str">
        <f>"98109"</f>
        <v>98109</v>
      </c>
      <c r="BW312">
        <v>1</v>
      </c>
      <c r="BX312" t="s">
        <v>2741</v>
      </c>
      <c r="BY312" t="s">
        <v>2573</v>
      </c>
      <c r="BZ312">
        <v>1</v>
      </c>
    </row>
    <row r="313" spans="1:78" x14ac:dyDescent="0.25">
      <c r="A313" s="1">
        <v>44932</v>
      </c>
      <c r="B313" t="s">
        <v>2390</v>
      </c>
      <c r="C313" t="s">
        <v>100</v>
      </c>
      <c r="D313" t="s">
        <v>2382</v>
      </c>
      <c r="E313">
        <v>4</v>
      </c>
      <c r="F313" t="s">
        <v>76</v>
      </c>
      <c r="G313">
        <v>53.14</v>
      </c>
      <c r="H313">
        <v>0</v>
      </c>
      <c r="I313">
        <v>0</v>
      </c>
      <c r="J313">
        <v>5.05</v>
      </c>
      <c r="K313">
        <v>58.19</v>
      </c>
      <c r="L313" t="s">
        <v>77</v>
      </c>
      <c r="P313" t="s">
        <v>102</v>
      </c>
      <c r="Q313" t="s">
        <v>103</v>
      </c>
      <c r="R313" t="s">
        <v>80</v>
      </c>
      <c r="S313" t="s">
        <v>80</v>
      </c>
      <c r="T313" t="s">
        <v>80</v>
      </c>
      <c r="U313" t="s">
        <v>80</v>
      </c>
      <c r="V313" t="s">
        <v>80</v>
      </c>
      <c r="W313" t="s">
        <v>2391</v>
      </c>
      <c r="X313" s="1">
        <v>44934</v>
      </c>
      <c r="Y313">
        <v>58.19</v>
      </c>
      <c r="Z313" t="s">
        <v>82</v>
      </c>
      <c r="AA313" t="str">
        <f t="shared" si="8"/>
        <v>1003</v>
      </c>
      <c r="AB313" t="s">
        <v>119</v>
      </c>
      <c r="AC313" t="s">
        <v>2397</v>
      </c>
      <c r="AD313" t="s">
        <v>2398</v>
      </c>
      <c r="AE313" t="str">
        <f>"44122011"</f>
        <v>44122011</v>
      </c>
      <c r="AF313" t="s">
        <v>108</v>
      </c>
      <c r="AG313" t="s">
        <v>556</v>
      </c>
      <c r="AH313" t="s">
        <v>771</v>
      </c>
      <c r="AI313" t="s">
        <v>2399</v>
      </c>
      <c r="AJ313" t="s">
        <v>613</v>
      </c>
      <c r="AK313" t="s">
        <v>176</v>
      </c>
      <c r="AL313" t="s">
        <v>176</v>
      </c>
      <c r="AN313" t="s">
        <v>2400</v>
      </c>
      <c r="AO313" t="s">
        <v>2400</v>
      </c>
      <c r="AP313" t="s">
        <v>92</v>
      </c>
      <c r="AR313">
        <v>16.09</v>
      </c>
      <c r="AS313">
        <v>13.6</v>
      </c>
      <c r="AT313">
        <v>2</v>
      </c>
      <c r="AU313">
        <v>27.2</v>
      </c>
      <c r="AV313">
        <v>0</v>
      </c>
      <c r="AX313">
        <v>2.58</v>
      </c>
      <c r="AY313">
        <v>29.78</v>
      </c>
      <c r="BA313" t="s">
        <v>93</v>
      </c>
      <c r="BC313" t="s">
        <v>93</v>
      </c>
      <c r="BI313" t="s">
        <v>80</v>
      </c>
      <c r="BM313" t="s">
        <v>427</v>
      </c>
      <c r="BN313" t="s">
        <v>95</v>
      </c>
      <c r="BP313" t="s">
        <v>387</v>
      </c>
      <c r="BR313" t="s">
        <v>338</v>
      </c>
      <c r="BT313" t="s">
        <v>131</v>
      </c>
      <c r="BU313" t="s">
        <v>339</v>
      </c>
      <c r="BV313" t="str">
        <f>"98109"</f>
        <v>98109</v>
      </c>
      <c r="BW313">
        <v>1</v>
      </c>
      <c r="BX313" t="s">
        <v>2741</v>
      </c>
      <c r="BY313" t="s">
        <v>2573</v>
      </c>
      <c r="BZ313">
        <v>1</v>
      </c>
    </row>
    <row r="314" spans="1:78" x14ac:dyDescent="0.25">
      <c r="A314" s="1">
        <v>44932</v>
      </c>
      <c r="B314" t="s">
        <v>2390</v>
      </c>
      <c r="C314" t="s">
        <v>100</v>
      </c>
      <c r="D314" t="s">
        <v>2382</v>
      </c>
      <c r="E314">
        <v>4</v>
      </c>
      <c r="F314" t="s">
        <v>76</v>
      </c>
      <c r="G314">
        <v>53.14</v>
      </c>
      <c r="H314">
        <v>0</v>
      </c>
      <c r="I314">
        <v>0</v>
      </c>
      <c r="J314">
        <v>5.05</v>
      </c>
      <c r="K314">
        <v>58.19</v>
      </c>
      <c r="L314" t="s">
        <v>77</v>
      </c>
      <c r="P314" t="s">
        <v>102</v>
      </c>
      <c r="Q314" t="s">
        <v>103</v>
      </c>
      <c r="R314" t="s">
        <v>80</v>
      </c>
      <c r="S314" t="s">
        <v>80</v>
      </c>
      <c r="T314" t="s">
        <v>80</v>
      </c>
      <c r="U314" t="s">
        <v>80</v>
      </c>
      <c r="V314" t="s">
        <v>80</v>
      </c>
      <c r="W314" t="s">
        <v>2391</v>
      </c>
      <c r="X314" s="1">
        <v>44934</v>
      </c>
      <c r="Y314">
        <v>58.19</v>
      </c>
      <c r="Z314" t="s">
        <v>82</v>
      </c>
      <c r="AA314" t="str">
        <f t="shared" si="8"/>
        <v>1003</v>
      </c>
      <c r="AB314" t="s">
        <v>168</v>
      </c>
      <c r="AC314" t="s">
        <v>2401</v>
      </c>
      <c r="AD314" t="s">
        <v>2402</v>
      </c>
      <c r="AE314" t="str">
        <f>"47130000"</f>
        <v>47130000</v>
      </c>
      <c r="AF314" t="s">
        <v>144</v>
      </c>
      <c r="AG314" t="s">
        <v>145</v>
      </c>
      <c r="AH314" t="s">
        <v>145</v>
      </c>
      <c r="AI314" t="s">
        <v>145</v>
      </c>
      <c r="AJ314" t="s">
        <v>2403</v>
      </c>
      <c r="AK314" t="s">
        <v>2395</v>
      </c>
      <c r="AL314" t="s">
        <v>2396</v>
      </c>
      <c r="AN314" t="str">
        <f>"32386"</f>
        <v>32386</v>
      </c>
      <c r="AO314" t="str">
        <f>"10044600323869"</f>
        <v>10044600323869</v>
      </c>
      <c r="AP314" t="s">
        <v>92</v>
      </c>
      <c r="AR314">
        <v>20.69</v>
      </c>
      <c r="AS314">
        <v>15.45</v>
      </c>
      <c r="AT314">
        <v>1</v>
      </c>
      <c r="AU314">
        <v>15.45</v>
      </c>
      <c r="AV314">
        <v>0</v>
      </c>
      <c r="AX314">
        <v>1.47</v>
      </c>
      <c r="AY314">
        <v>16.920000000000002</v>
      </c>
      <c r="BA314" t="s">
        <v>93</v>
      </c>
      <c r="BC314" t="s">
        <v>93</v>
      </c>
      <c r="BI314" t="s">
        <v>80</v>
      </c>
      <c r="BM314" t="s">
        <v>427</v>
      </c>
      <c r="BN314" t="s">
        <v>95</v>
      </c>
      <c r="BP314" t="s">
        <v>387</v>
      </c>
      <c r="BR314" t="s">
        <v>338</v>
      </c>
      <c r="BT314" t="s">
        <v>131</v>
      </c>
      <c r="BU314" t="s">
        <v>339</v>
      </c>
      <c r="BV314" t="str">
        <f>"98109"</f>
        <v>98109</v>
      </c>
      <c r="BW314">
        <v>1</v>
      </c>
      <c r="BX314" t="s">
        <v>2741</v>
      </c>
      <c r="BY314" t="s">
        <v>2573</v>
      </c>
      <c r="BZ314">
        <v>1</v>
      </c>
    </row>
    <row r="315" spans="1:78" x14ac:dyDescent="0.25">
      <c r="A315" s="1">
        <v>44932</v>
      </c>
      <c r="B315" t="s">
        <v>2404</v>
      </c>
      <c r="C315" t="s">
        <v>283</v>
      </c>
      <c r="E315">
        <v>4</v>
      </c>
      <c r="F315" t="s">
        <v>76</v>
      </c>
      <c r="G315">
        <v>42.48</v>
      </c>
      <c r="H315">
        <v>0</v>
      </c>
      <c r="I315">
        <v>0</v>
      </c>
      <c r="J315">
        <v>4.24</v>
      </c>
      <c r="K315">
        <v>46.72</v>
      </c>
      <c r="L315" t="s">
        <v>77</v>
      </c>
      <c r="P315" t="s">
        <v>284</v>
      </c>
      <c r="Q315" t="s">
        <v>285</v>
      </c>
      <c r="R315" t="s">
        <v>80</v>
      </c>
      <c r="S315" t="s">
        <v>80</v>
      </c>
      <c r="T315" t="s">
        <v>80</v>
      </c>
      <c r="U315" t="s">
        <v>80</v>
      </c>
      <c r="V315" t="s">
        <v>80</v>
      </c>
      <c r="W315" t="s">
        <v>2405</v>
      </c>
      <c r="X315" s="1">
        <v>44934</v>
      </c>
      <c r="Y315">
        <v>46.72</v>
      </c>
      <c r="Z315" t="s">
        <v>82</v>
      </c>
      <c r="AA315" t="str">
        <f t="shared" si="8"/>
        <v>1003</v>
      </c>
      <c r="AB315" t="s">
        <v>168</v>
      </c>
      <c r="AC315" t="s">
        <v>2406</v>
      </c>
      <c r="AD315" t="s">
        <v>2407</v>
      </c>
      <c r="AE315" t="str">
        <f>"47131502"</f>
        <v>47131502</v>
      </c>
      <c r="AF315" t="s">
        <v>144</v>
      </c>
      <c r="AG315" t="s">
        <v>145</v>
      </c>
      <c r="AH315" t="s">
        <v>729</v>
      </c>
      <c r="AI315" t="s">
        <v>730</v>
      </c>
      <c r="AJ315" t="s">
        <v>2408</v>
      </c>
      <c r="AK315" t="s">
        <v>2409</v>
      </c>
      <c r="AL315" t="s">
        <v>2410</v>
      </c>
      <c r="AN315" t="s">
        <v>2411</v>
      </c>
      <c r="AO315" t="s">
        <v>2411</v>
      </c>
      <c r="AP315" t="s">
        <v>92</v>
      </c>
      <c r="AR315">
        <v>11.99</v>
      </c>
      <c r="AS315">
        <v>10.62</v>
      </c>
      <c r="AT315">
        <v>4</v>
      </c>
      <c r="AU315">
        <v>42.48</v>
      </c>
      <c r="AV315">
        <v>0</v>
      </c>
      <c r="AX315">
        <v>4.24</v>
      </c>
      <c r="AY315">
        <v>46.72</v>
      </c>
      <c r="BA315" t="s">
        <v>93</v>
      </c>
      <c r="BC315" t="s">
        <v>93</v>
      </c>
      <c r="BD315" t="s">
        <v>128</v>
      </c>
      <c r="BE315">
        <v>1.37</v>
      </c>
      <c r="BF315" s="2">
        <v>0.1143</v>
      </c>
      <c r="BI315" t="s">
        <v>80</v>
      </c>
      <c r="BM315" t="s">
        <v>94</v>
      </c>
      <c r="BN315" t="s">
        <v>95</v>
      </c>
      <c r="BP315" t="s">
        <v>305</v>
      </c>
      <c r="BR315" t="s">
        <v>130</v>
      </c>
      <c r="BT315" t="s">
        <v>131</v>
      </c>
      <c r="BU315" t="s">
        <v>132</v>
      </c>
      <c r="BV315" t="str">
        <f>"98109"</f>
        <v>98109</v>
      </c>
      <c r="BW315">
        <v>880</v>
      </c>
      <c r="BX315" t="s">
        <v>2737</v>
      </c>
      <c r="BY315" t="s">
        <v>2675</v>
      </c>
      <c r="BZ315">
        <v>1</v>
      </c>
    </row>
    <row r="316" spans="1:78" x14ac:dyDescent="0.25">
      <c r="A316" s="1">
        <v>44932</v>
      </c>
      <c r="B316" t="s">
        <v>2412</v>
      </c>
      <c r="C316" t="s">
        <v>283</v>
      </c>
      <c r="E316">
        <v>2</v>
      </c>
      <c r="F316" t="s">
        <v>76</v>
      </c>
      <c r="G316">
        <v>19.78</v>
      </c>
      <c r="H316">
        <v>0</v>
      </c>
      <c r="I316">
        <v>0</v>
      </c>
      <c r="J316">
        <v>1.98</v>
      </c>
      <c r="K316">
        <v>21.76</v>
      </c>
      <c r="L316" t="s">
        <v>77</v>
      </c>
      <c r="P316" t="s">
        <v>284</v>
      </c>
      <c r="Q316" t="s">
        <v>285</v>
      </c>
      <c r="R316" t="s">
        <v>80</v>
      </c>
      <c r="S316" t="s">
        <v>80</v>
      </c>
      <c r="T316" t="s">
        <v>80</v>
      </c>
      <c r="U316" t="s">
        <v>80</v>
      </c>
      <c r="V316" t="s">
        <v>80</v>
      </c>
      <c r="W316" t="s">
        <v>2413</v>
      </c>
      <c r="X316" s="1">
        <v>44934</v>
      </c>
      <c r="Y316">
        <v>21.76</v>
      </c>
      <c r="Z316" t="s">
        <v>82</v>
      </c>
      <c r="AA316" t="str">
        <f t="shared" ref="AA316:AA337" si="9">"1003"</f>
        <v>1003</v>
      </c>
      <c r="AB316" t="s">
        <v>105</v>
      </c>
      <c r="AC316" t="s">
        <v>2414</v>
      </c>
      <c r="AD316" t="s">
        <v>2415</v>
      </c>
      <c r="AE316" t="str">
        <f>"43202222"</f>
        <v>43202222</v>
      </c>
      <c r="AF316" t="s">
        <v>86</v>
      </c>
      <c r="AG316" t="s">
        <v>87</v>
      </c>
      <c r="AH316" t="s">
        <v>827</v>
      </c>
      <c r="AI316" t="s">
        <v>828</v>
      </c>
      <c r="AK316" t="s">
        <v>2416</v>
      </c>
      <c r="AL316" t="s">
        <v>2416</v>
      </c>
      <c r="AN316" t="s">
        <v>2417</v>
      </c>
      <c r="AO316" t="str">
        <f>"606682478962"</f>
        <v>606682478962</v>
      </c>
      <c r="AP316" t="s">
        <v>92</v>
      </c>
      <c r="AR316">
        <v>11.99</v>
      </c>
      <c r="AS316">
        <v>9.89</v>
      </c>
      <c r="AT316">
        <v>2</v>
      </c>
      <c r="AU316">
        <v>19.78</v>
      </c>
      <c r="AV316">
        <v>0</v>
      </c>
      <c r="AX316">
        <v>1.98</v>
      </c>
      <c r="AY316">
        <v>21.76</v>
      </c>
      <c r="BA316" t="s">
        <v>93</v>
      </c>
      <c r="BC316" t="s">
        <v>93</v>
      </c>
      <c r="BD316" t="s">
        <v>128</v>
      </c>
      <c r="BE316">
        <v>2.1</v>
      </c>
      <c r="BF316" s="2">
        <v>0.17510000000000001</v>
      </c>
      <c r="BI316" t="s">
        <v>80</v>
      </c>
      <c r="BM316" t="s">
        <v>94</v>
      </c>
      <c r="BN316" t="s">
        <v>95</v>
      </c>
      <c r="BP316" t="s">
        <v>305</v>
      </c>
      <c r="BR316" t="s">
        <v>2418</v>
      </c>
      <c r="BT316" t="s">
        <v>2419</v>
      </c>
      <c r="BU316" t="s">
        <v>1934</v>
      </c>
      <c r="BV316" t="str">
        <f>"518000"</f>
        <v>518000</v>
      </c>
      <c r="BW316">
        <v>880</v>
      </c>
      <c r="BX316" t="s">
        <v>2737</v>
      </c>
      <c r="BY316" t="s">
        <v>2675</v>
      </c>
      <c r="BZ316">
        <v>1</v>
      </c>
    </row>
    <row r="317" spans="1:78" x14ac:dyDescent="0.25">
      <c r="A317" s="1">
        <v>44932</v>
      </c>
      <c r="B317" t="s">
        <v>2420</v>
      </c>
      <c r="C317" t="s">
        <v>283</v>
      </c>
      <c r="E317">
        <v>1</v>
      </c>
      <c r="F317" t="s">
        <v>76</v>
      </c>
      <c r="G317">
        <v>99.99</v>
      </c>
      <c r="H317">
        <v>0</v>
      </c>
      <c r="I317">
        <v>0</v>
      </c>
      <c r="J317">
        <v>10.3</v>
      </c>
      <c r="K317">
        <v>110.29</v>
      </c>
      <c r="L317" t="s">
        <v>77</v>
      </c>
      <c r="P317" t="s">
        <v>284</v>
      </c>
      <c r="Q317" t="s">
        <v>285</v>
      </c>
      <c r="R317" t="s">
        <v>80</v>
      </c>
      <c r="S317" t="s">
        <v>80</v>
      </c>
      <c r="T317" t="s">
        <v>80</v>
      </c>
      <c r="U317" t="s">
        <v>80</v>
      </c>
      <c r="V317" t="s">
        <v>80</v>
      </c>
      <c r="W317" t="s">
        <v>2421</v>
      </c>
      <c r="X317" s="1">
        <v>44932</v>
      </c>
      <c r="Y317">
        <v>110.29</v>
      </c>
      <c r="Z317" t="s">
        <v>82</v>
      </c>
      <c r="AA317" t="str">
        <f t="shared" si="9"/>
        <v>1003</v>
      </c>
      <c r="AB317" t="s">
        <v>2422</v>
      </c>
      <c r="AC317" t="s">
        <v>2423</v>
      </c>
      <c r="AD317" t="s">
        <v>2424</v>
      </c>
      <c r="AE317" t="str">
        <f>"52161512"</f>
        <v>52161512</v>
      </c>
      <c r="AF317" t="s">
        <v>684</v>
      </c>
      <c r="AG317" t="s">
        <v>1541</v>
      </c>
      <c r="AH317" t="s">
        <v>1542</v>
      </c>
      <c r="AI317" t="s">
        <v>2425</v>
      </c>
      <c r="AJ317" t="s">
        <v>2426</v>
      </c>
      <c r="AK317" t="s">
        <v>2427</v>
      </c>
      <c r="AL317" t="s">
        <v>2427</v>
      </c>
      <c r="AN317" t="s">
        <v>2428</v>
      </c>
      <c r="AO317" t="s">
        <v>2428</v>
      </c>
      <c r="AP317" t="s">
        <v>92</v>
      </c>
      <c r="AR317">
        <v>179.95</v>
      </c>
      <c r="AS317">
        <v>99.99</v>
      </c>
      <c r="AT317">
        <v>1</v>
      </c>
      <c r="AU317">
        <v>99.99</v>
      </c>
      <c r="AV317">
        <v>0</v>
      </c>
      <c r="AX317">
        <v>10.3</v>
      </c>
      <c r="AY317">
        <v>110.29</v>
      </c>
      <c r="BA317" t="s">
        <v>93</v>
      </c>
      <c r="BC317" t="s">
        <v>93</v>
      </c>
      <c r="BI317" t="s">
        <v>80</v>
      </c>
      <c r="BM317" t="s">
        <v>94</v>
      </c>
      <c r="BN317" t="s">
        <v>95</v>
      </c>
      <c r="BP317" t="s">
        <v>294</v>
      </c>
      <c r="BR317" t="s">
        <v>2429</v>
      </c>
      <c r="BS317" t="s">
        <v>250</v>
      </c>
      <c r="BT317" t="s">
        <v>2430</v>
      </c>
      <c r="BU317" t="s">
        <v>2431</v>
      </c>
      <c r="BV317" t="str">
        <f>"01851"</f>
        <v>01851</v>
      </c>
      <c r="BW317">
        <v>879</v>
      </c>
      <c r="BX317" t="s">
        <v>2734</v>
      </c>
      <c r="BY317" t="s">
        <v>2673</v>
      </c>
      <c r="BZ317">
        <v>1</v>
      </c>
    </row>
    <row r="318" spans="1:78" x14ac:dyDescent="0.25">
      <c r="A318" s="1">
        <v>44932</v>
      </c>
      <c r="B318" t="s">
        <v>2432</v>
      </c>
      <c r="C318" t="s">
        <v>283</v>
      </c>
      <c r="E318">
        <v>1</v>
      </c>
      <c r="F318" t="s">
        <v>76</v>
      </c>
      <c r="G318">
        <v>70.569999999999993</v>
      </c>
      <c r="H318">
        <v>0</v>
      </c>
      <c r="I318">
        <v>0</v>
      </c>
      <c r="J318">
        <v>7.06</v>
      </c>
      <c r="K318">
        <v>77.63</v>
      </c>
      <c r="L318" t="s">
        <v>77</v>
      </c>
      <c r="P318" t="s">
        <v>284</v>
      </c>
      <c r="Q318" t="s">
        <v>285</v>
      </c>
      <c r="R318" t="s">
        <v>80</v>
      </c>
      <c r="S318" t="s">
        <v>80</v>
      </c>
      <c r="T318" t="s">
        <v>80</v>
      </c>
      <c r="U318" t="s">
        <v>80</v>
      </c>
      <c r="V318" t="s">
        <v>80</v>
      </c>
      <c r="W318" t="s">
        <v>2433</v>
      </c>
      <c r="X318" s="1">
        <v>44936</v>
      </c>
      <c r="Y318">
        <v>77.63</v>
      </c>
      <c r="Z318" t="s">
        <v>82</v>
      </c>
      <c r="AA318" t="str">
        <f t="shared" si="9"/>
        <v>1003</v>
      </c>
      <c r="AB318" t="s">
        <v>653</v>
      </c>
      <c r="AC318" t="s">
        <v>2434</v>
      </c>
      <c r="AD318" t="s">
        <v>2435</v>
      </c>
      <c r="AE318" t="str">
        <f>"56000000"</f>
        <v>56000000</v>
      </c>
      <c r="AF318" t="s">
        <v>159</v>
      </c>
      <c r="AG318" t="s">
        <v>159</v>
      </c>
      <c r="AH318" t="s">
        <v>159</v>
      </c>
      <c r="AI318" t="s">
        <v>159</v>
      </c>
      <c r="AJ318" t="s">
        <v>2436</v>
      </c>
      <c r="AK318" t="s">
        <v>2437</v>
      </c>
      <c r="AL318" t="s">
        <v>2437</v>
      </c>
      <c r="AN318" t="s">
        <v>2438</v>
      </c>
      <c r="AO318" t="s">
        <v>2439</v>
      </c>
      <c r="AP318" t="s">
        <v>92</v>
      </c>
      <c r="AR318">
        <v>89.99</v>
      </c>
      <c r="AS318">
        <v>70.569999999999993</v>
      </c>
      <c r="AT318">
        <v>1</v>
      </c>
      <c r="AU318">
        <v>70.569999999999993</v>
      </c>
      <c r="AV318">
        <v>0</v>
      </c>
      <c r="AX318">
        <v>7.06</v>
      </c>
      <c r="AY318">
        <v>77.63</v>
      </c>
      <c r="BA318" t="s">
        <v>93</v>
      </c>
      <c r="BC318" t="s">
        <v>93</v>
      </c>
      <c r="BI318" t="s">
        <v>80</v>
      </c>
      <c r="BM318" t="s">
        <v>94</v>
      </c>
      <c r="BN318" t="s">
        <v>95</v>
      </c>
      <c r="BP318" t="s">
        <v>305</v>
      </c>
      <c r="BR318" t="s">
        <v>338</v>
      </c>
      <c r="BT318" t="s">
        <v>131</v>
      </c>
      <c r="BU318" t="s">
        <v>339</v>
      </c>
      <c r="BV318" t="str">
        <f>"98109"</f>
        <v>98109</v>
      </c>
      <c r="BW318">
        <v>880</v>
      </c>
      <c r="BX318" t="s">
        <v>2737</v>
      </c>
      <c r="BY318" t="s">
        <v>2675</v>
      </c>
      <c r="BZ318">
        <v>1</v>
      </c>
    </row>
    <row r="319" spans="1:78" x14ac:dyDescent="0.25">
      <c r="A319" s="1">
        <v>44932</v>
      </c>
      <c r="B319" t="s">
        <v>2440</v>
      </c>
      <c r="C319" t="s">
        <v>283</v>
      </c>
      <c r="E319">
        <v>2</v>
      </c>
      <c r="F319" t="s">
        <v>76</v>
      </c>
      <c r="G319">
        <v>141.13999999999999</v>
      </c>
      <c r="H319">
        <v>0</v>
      </c>
      <c r="I319">
        <v>0</v>
      </c>
      <c r="J319">
        <v>14.12</v>
      </c>
      <c r="K319">
        <v>155.26</v>
      </c>
      <c r="L319" t="s">
        <v>77</v>
      </c>
      <c r="P319" t="s">
        <v>284</v>
      </c>
      <c r="Q319" t="s">
        <v>285</v>
      </c>
      <c r="R319" t="s">
        <v>80</v>
      </c>
      <c r="S319" t="s">
        <v>80</v>
      </c>
      <c r="T319" t="s">
        <v>80</v>
      </c>
      <c r="U319" t="s">
        <v>80</v>
      </c>
      <c r="V319" t="s">
        <v>80</v>
      </c>
      <c r="W319" t="s">
        <v>2441</v>
      </c>
      <c r="X319" s="1">
        <v>44936</v>
      </c>
      <c r="Y319">
        <v>155.26</v>
      </c>
      <c r="Z319" t="s">
        <v>82</v>
      </c>
      <c r="AA319" t="str">
        <f t="shared" si="9"/>
        <v>1003</v>
      </c>
      <c r="AB319" t="s">
        <v>653</v>
      </c>
      <c r="AC319" t="s">
        <v>2434</v>
      </c>
      <c r="AD319" t="s">
        <v>2435</v>
      </c>
      <c r="AE319" t="str">
        <f>"56000000"</f>
        <v>56000000</v>
      </c>
      <c r="AF319" t="s">
        <v>159</v>
      </c>
      <c r="AG319" t="s">
        <v>159</v>
      </c>
      <c r="AH319" t="s">
        <v>159</v>
      </c>
      <c r="AI319" t="s">
        <v>159</v>
      </c>
      <c r="AJ319" t="s">
        <v>2436</v>
      </c>
      <c r="AK319" t="s">
        <v>2437</v>
      </c>
      <c r="AL319" t="s">
        <v>2437</v>
      </c>
      <c r="AN319" t="s">
        <v>2438</v>
      </c>
      <c r="AO319" t="s">
        <v>2439</v>
      </c>
      <c r="AP319" t="s">
        <v>92</v>
      </c>
      <c r="AR319">
        <v>89.99</v>
      </c>
      <c r="AS319">
        <v>70.569999999999993</v>
      </c>
      <c r="AT319">
        <v>2</v>
      </c>
      <c r="AU319">
        <v>141.13999999999999</v>
      </c>
      <c r="AV319">
        <v>0</v>
      </c>
      <c r="AX319">
        <v>14.12</v>
      </c>
      <c r="AY319">
        <v>155.26</v>
      </c>
      <c r="BA319" t="s">
        <v>93</v>
      </c>
      <c r="BC319" t="s">
        <v>93</v>
      </c>
      <c r="BI319" t="s">
        <v>80</v>
      </c>
      <c r="BM319" t="s">
        <v>94</v>
      </c>
      <c r="BN319" t="s">
        <v>95</v>
      </c>
      <c r="BP319" t="s">
        <v>305</v>
      </c>
      <c r="BR319" t="s">
        <v>338</v>
      </c>
      <c r="BT319" t="s">
        <v>131</v>
      </c>
      <c r="BU319" t="s">
        <v>339</v>
      </c>
      <c r="BV319" t="str">
        <f>"98109"</f>
        <v>98109</v>
      </c>
      <c r="BW319">
        <v>880</v>
      </c>
      <c r="BX319" t="s">
        <v>2737</v>
      </c>
      <c r="BY319" t="s">
        <v>2675</v>
      </c>
      <c r="BZ319">
        <v>1</v>
      </c>
    </row>
    <row r="320" spans="1:78" x14ac:dyDescent="0.25">
      <c r="A320" s="1">
        <v>44932</v>
      </c>
      <c r="B320" t="s">
        <v>2442</v>
      </c>
      <c r="C320" t="s">
        <v>189</v>
      </c>
      <c r="E320">
        <v>3</v>
      </c>
      <c r="F320" t="s">
        <v>76</v>
      </c>
      <c r="G320">
        <v>132.18</v>
      </c>
      <c r="H320">
        <v>0</v>
      </c>
      <c r="I320">
        <v>0</v>
      </c>
      <c r="J320">
        <v>0</v>
      </c>
      <c r="K320">
        <v>132.18</v>
      </c>
      <c r="L320" t="s">
        <v>77</v>
      </c>
      <c r="P320" t="s">
        <v>307</v>
      </c>
      <c r="Q320" t="s">
        <v>308</v>
      </c>
      <c r="R320" t="s">
        <v>80</v>
      </c>
      <c r="S320" t="s">
        <v>80</v>
      </c>
      <c r="T320" t="s">
        <v>80</v>
      </c>
      <c r="U320" t="s">
        <v>80</v>
      </c>
      <c r="V320" t="s">
        <v>80</v>
      </c>
      <c r="W320" t="s">
        <v>2443</v>
      </c>
      <c r="X320" s="1">
        <v>44934</v>
      </c>
      <c r="Y320">
        <v>132.18</v>
      </c>
      <c r="Z320" t="s">
        <v>82</v>
      </c>
      <c r="AA320" t="str">
        <f t="shared" si="9"/>
        <v>1003</v>
      </c>
      <c r="AB320" t="s">
        <v>320</v>
      </c>
      <c r="AC320" t="s">
        <v>1638</v>
      </c>
      <c r="AD320" t="s">
        <v>1639</v>
      </c>
      <c r="AE320" t="str">
        <f>"50201700"</f>
        <v>50201700</v>
      </c>
      <c r="AF320" t="s">
        <v>323</v>
      </c>
      <c r="AG320" t="s">
        <v>332</v>
      </c>
      <c r="AH320" t="s">
        <v>333</v>
      </c>
      <c r="AI320" t="s">
        <v>333</v>
      </c>
      <c r="AJ320" t="s">
        <v>1640</v>
      </c>
      <c r="AK320" t="s">
        <v>1641</v>
      </c>
      <c r="AL320" t="s">
        <v>1642</v>
      </c>
      <c r="AN320" t="str">
        <f>"11000443"</f>
        <v>11000443</v>
      </c>
      <c r="AO320" t="str">
        <f>"11000443"</f>
        <v>11000443</v>
      </c>
      <c r="AP320" t="s">
        <v>92</v>
      </c>
      <c r="AR320">
        <v>44.06</v>
      </c>
      <c r="AS320">
        <v>44.06</v>
      </c>
      <c r="AT320">
        <v>3</v>
      </c>
      <c r="AU320">
        <v>132.18</v>
      </c>
      <c r="AV320">
        <v>0</v>
      </c>
      <c r="AX320">
        <v>0</v>
      </c>
      <c r="AY320">
        <v>132.18</v>
      </c>
      <c r="BA320" t="s">
        <v>93</v>
      </c>
      <c r="BC320" t="s">
        <v>93</v>
      </c>
      <c r="BI320" t="s">
        <v>80</v>
      </c>
      <c r="BM320" t="s">
        <v>94</v>
      </c>
      <c r="BN320" t="s">
        <v>95</v>
      </c>
      <c r="BP320" t="s">
        <v>314</v>
      </c>
      <c r="BR320" t="s">
        <v>130</v>
      </c>
      <c r="BT320" t="s">
        <v>131</v>
      </c>
      <c r="BU320" t="s">
        <v>132</v>
      </c>
      <c r="BV320" t="str">
        <f>"98109"</f>
        <v>98109</v>
      </c>
      <c r="BW320">
        <v>868</v>
      </c>
      <c r="BX320" t="s">
        <v>2738</v>
      </c>
      <c r="BY320" t="s">
        <v>2665</v>
      </c>
      <c r="BZ320">
        <v>1</v>
      </c>
    </row>
    <row r="321" spans="1:78" x14ac:dyDescent="0.25">
      <c r="A321" s="1">
        <v>44931</v>
      </c>
      <c r="B321" t="s">
        <v>2444</v>
      </c>
      <c r="C321" t="s">
        <v>100</v>
      </c>
      <c r="D321" t="s">
        <v>2445</v>
      </c>
      <c r="E321">
        <v>1</v>
      </c>
      <c r="F321" t="s">
        <v>76</v>
      </c>
      <c r="G321">
        <v>179.99</v>
      </c>
      <c r="H321">
        <v>0</v>
      </c>
      <c r="I321">
        <v>0</v>
      </c>
      <c r="J321">
        <v>15.75</v>
      </c>
      <c r="K321">
        <v>195.74</v>
      </c>
      <c r="L321" t="s">
        <v>77</v>
      </c>
      <c r="P321" t="s">
        <v>208</v>
      </c>
      <c r="Q321" t="s">
        <v>209</v>
      </c>
      <c r="R321" t="s">
        <v>80</v>
      </c>
      <c r="S321" t="s">
        <v>80</v>
      </c>
      <c r="T321" t="s">
        <v>80</v>
      </c>
      <c r="U321" t="s">
        <v>80</v>
      </c>
      <c r="V321" t="s">
        <v>80</v>
      </c>
      <c r="W321" t="s">
        <v>2446</v>
      </c>
      <c r="X321" s="1">
        <v>44934</v>
      </c>
      <c r="Y321">
        <v>195.74</v>
      </c>
      <c r="Z321" t="s">
        <v>82</v>
      </c>
      <c r="AA321" t="str">
        <f t="shared" si="9"/>
        <v>1003</v>
      </c>
      <c r="AB321" t="s">
        <v>133</v>
      </c>
      <c r="AC321" t="s">
        <v>2447</v>
      </c>
      <c r="AD321" t="s">
        <v>2448</v>
      </c>
      <c r="AE321" t="str">
        <f>"41000000"</f>
        <v>41000000</v>
      </c>
      <c r="AF321" t="s">
        <v>2449</v>
      </c>
      <c r="AG321" t="s">
        <v>2449</v>
      </c>
      <c r="AH321" t="s">
        <v>2449</v>
      </c>
      <c r="AI321" t="s">
        <v>2449</v>
      </c>
      <c r="AK321" t="s">
        <v>2450</v>
      </c>
      <c r="AL321" t="s">
        <v>2451</v>
      </c>
      <c r="AN321" t="s">
        <v>2452</v>
      </c>
      <c r="AO321" t="s">
        <v>2452</v>
      </c>
      <c r="AP321" t="s">
        <v>92</v>
      </c>
      <c r="AR321">
        <v>179.99</v>
      </c>
      <c r="AS321">
        <v>179.99</v>
      </c>
      <c r="AT321">
        <v>1</v>
      </c>
      <c r="AU321">
        <v>179.99</v>
      </c>
      <c r="AV321">
        <v>0</v>
      </c>
      <c r="AX321">
        <v>15.75</v>
      </c>
      <c r="AY321">
        <v>195.74</v>
      </c>
      <c r="BA321" t="s">
        <v>93</v>
      </c>
      <c r="BC321" t="s">
        <v>93</v>
      </c>
      <c r="BI321" t="s">
        <v>80</v>
      </c>
      <c r="BM321" t="s">
        <v>94</v>
      </c>
      <c r="BN321" t="s">
        <v>95</v>
      </c>
      <c r="BP321" t="s">
        <v>2453</v>
      </c>
      <c r="BR321" t="s">
        <v>2454</v>
      </c>
      <c r="BT321" t="s">
        <v>2455</v>
      </c>
      <c r="BU321" t="s">
        <v>2456</v>
      </c>
      <c r="BV321" t="str">
        <f>"518000"</f>
        <v>518000</v>
      </c>
      <c r="BW321">
        <v>890</v>
      </c>
      <c r="BX321" t="s">
        <v>2757</v>
      </c>
      <c r="BY321" t="s">
        <v>2689</v>
      </c>
      <c r="BZ321">
        <v>1</v>
      </c>
    </row>
    <row r="322" spans="1:78" x14ac:dyDescent="0.25">
      <c r="A322" s="1">
        <v>44931</v>
      </c>
      <c r="B322" t="s">
        <v>2457</v>
      </c>
      <c r="C322" t="s">
        <v>100</v>
      </c>
      <c r="D322" t="s">
        <v>2458</v>
      </c>
      <c r="E322">
        <v>3</v>
      </c>
      <c r="F322" t="s">
        <v>76</v>
      </c>
      <c r="G322">
        <v>83.85</v>
      </c>
      <c r="H322">
        <v>0</v>
      </c>
      <c r="I322">
        <v>0</v>
      </c>
      <c r="J322">
        <v>8.17</v>
      </c>
      <c r="K322">
        <v>92.02</v>
      </c>
      <c r="L322" t="s">
        <v>77</v>
      </c>
      <c r="P322" t="s">
        <v>208</v>
      </c>
      <c r="Q322" t="s">
        <v>209</v>
      </c>
      <c r="R322" t="s">
        <v>80</v>
      </c>
      <c r="S322" t="s">
        <v>80</v>
      </c>
      <c r="T322" t="s">
        <v>80</v>
      </c>
      <c r="U322" t="s">
        <v>80</v>
      </c>
      <c r="V322" t="s">
        <v>80</v>
      </c>
      <c r="W322" t="s">
        <v>2459</v>
      </c>
      <c r="X322" s="1">
        <v>44934</v>
      </c>
      <c r="Y322">
        <v>26.18</v>
      </c>
      <c r="Z322" t="s">
        <v>82</v>
      </c>
      <c r="AA322" t="str">
        <f t="shared" si="9"/>
        <v>1003</v>
      </c>
      <c r="AB322" t="s">
        <v>168</v>
      </c>
      <c r="AC322" t="s">
        <v>2204</v>
      </c>
      <c r="AD322" t="s">
        <v>2205</v>
      </c>
      <c r="AE322" t="str">
        <f>"26111702"</f>
        <v>26111702</v>
      </c>
      <c r="AF322" t="s">
        <v>171</v>
      </c>
      <c r="AG322" t="s">
        <v>172</v>
      </c>
      <c r="AH322" t="s">
        <v>173</v>
      </c>
      <c r="AI322" t="s">
        <v>174</v>
      </c>
      <c r="AJ322" t="s">
        <v>175</v>
      </c>
      <c r="AK322" t="s">
        <v>176</v>
      </c>
      <c r="AL322" t="s">
        <v>176</v>
      </c>
      <c r="AN322" t="s">
        <v>2206</v>
      </c>
      <c r="AO322" t="s">
        <v>2207</v>
      </c>
      <c r="AP322" t="s">
        <v>92</v>
      </c>
      <c r="AR322">
        <v>9.0299999999999994</v>
      </c>
      <c r="AS322">
        <v>9.89</v>
      </c>
      <c r="AT322">
        <v>1</v>
      </c>
      <c r="AU322">
        <v>9.89</v>
      </c>
      <c r="AV322">
        <v>0</v>
      </c>
      <c r="AX322">
        <v>0.96</v>
      </c>
      <c r="AY322">
        <v>10.85</v>
      </c>
      <c r="BA322" t="s">
        <v>93</v>
      </c>
      <c r="BC322" t="s">
        <v>93</v>
      </c>
      <c r="BI322" t="s">
        <v>80</v>
      </c>
      <c r="BM322" t="s">
        <v>94</v>
      </c>
      <c r="BN322" t="s">
        <v>95</v>
      </c>
      <c r="BP322" t="s">
        <v>643</v>
      </c>
      <c r="BR322" t="s">
        <v>338</v>
      </c>
      <c r="BT322" t="s">
        <v>131</v>
      </c>
      <c r="BU322" t="s">
        <v>339</v>
      </c>
      <c r="BV322" t="str">
        <f>"98109"</f>
        <v>98109</v>
      </c>
      <c r="BW322">
        <v>811</v>
      </c>
      <c r="BX322" t="s">
        <v>2749</v>
      </c>
      <c r="BY322" t="s">
        <v>2626</v>
      </c>
      <c r="BZ322">
        <v>1</v>
      </c>
    </row>
    <row r="323" spans="1:78" x14ac:dyDescent="0.25">
      <c r="A323" s="1">
        <v>44931</v>
      </c>
      <c r="B323" t="s">
        <v>2457</v>
      </c>
      <c r="C323" t="s">
        <v>100</v>
      </c>
      <c r="D323" t="s">
        <v>2458</v>
      </c>
      <c r="E323">
        <v>3</v>
      </c>
      <c r="F323" t="s">
        <v>76</v>
      </c>
      <c r="G323">
        <v>83.85</v>
      </c>
      <c r="H323">
        <v>0</v>
      </c>
      <c r="I323">
        <v>0</v>
      </c>
      <c r="J323">
        <v>8.17</v>
      </c>
      <c r="K323">
        <v>92.02</v>
      </c>
      <c r="L323" t="s">
        <v>77</v>
      </c>
      <c r="P323" t="s">
        <v>208</v>
      </c>
      <c r="Q323" t="s">
        <v>209</v>
      </c>
      <c r="R323" t="s">
        <v>80</v>
      </c>
      <c r="S323" t="s">
        <v>80</v>
      </c>
      <c r="T323" t="s">
        <v>80</v>
      </c>
      <c r="U323" t="s">
        <v>80</v>
      </c>
      <c r="V323" t="s">
        <v>80</v>
      </c>
      <c r="W323" t="s">
        <v>2459</v>
      </c>
      <c r="X323" s="1">
        <v>44934</v>
      </c>
      <c r="Y323">
        <v>26.18</v>
      </c>
      <c r="Z323" t="s">
        <v>82</v>
      </c>
      <c r="AA323" t="str">
        <f t="shared" si="9"/>
        <v>1003</v>
      </c>
      <c r="AB323" t="s">
        <v>119</v>
      </c>
      <c r="AC323" t="s">
        <v>2460</v>
      </c>
      <c r="AD323" t="s">
        <v>2461</v>
      </c>
      <c r="AE323" t="str">
        <f>"55121611"</f>
        <v>55121611</v>
      </c>
      <c r="AF323" t="s">
        <v>195</v>
      </c>
      <c r="AG323" t="s">
        <v>196</v>
      </c>
      <c r="AH323" t="s">
        <v>197</v>
      </c>
      <c r="AI323" t="s">
        <v>1114</v>
      </c>
      <c r="AK323" t="s">
        <v>2462</v>
      </c>
      <c r="AL323" t="s">
        <v>2462</v>
      </c>
      <c r="AN323" t="s">
        <v>2463</v>
      </c>
      <c r="AO323" t="s">
        <v>2464</v>
      </c>
      <c r="AP323" t="s">
        <v>92</v>
      </c>
      <c r="AR323">
        <v>15.99</v>
      </c>
      <c r="AS323">
        <v>13.97</v>
      </c>
      <c r="AT323">
        <v>1</v>
      </c>
      <c r="AU323">
        <v>13.97</v>
      </c>
      <c r="AV323">
        <v>0</v>
      </c>
      <c r="AX323">
        <v>1.36</v>
      </c>
      <c r="AY323">
        <v>15.33</v>
      </c>
      <c r="BA323" t="s">
        <v>93</v>
      </c>
      <c r="BC323" t="s">
        <v>93</v>
      </c>
      <c r="BD323" t="s">
        <v>128</v>
      </c>
      <c r="BE323">
        <v>2.02</v>
      </c>
      <c r="BF323" s="2">
        <v>0.1263</v>
      </c>
      <c r="BI323" t="s">
        <v>80</v>
      </c>
      <c r="BM323" t="s">
        <v>94</v>
      </c>
      <c r="BN323" t="s">
        <v>95</v>
      </c>
      <c r="BP323" t="s">
        <v>643</v>
      </c>
      <c r="BR323" t="s">
        <v>2462</v>
      </c>
      <c r="BT323" t="s">
        <v>2465</v>
      </c>
      <c r="BU323" t="s">
        <v>296</v>
      </c>
      <c r="BV323" t="str">
        <f>"519070"</f>
        <v>519070</v>
      </c>
      <c r="BW323">
        <v>811</v>
      </c>
      <c r="BX323" t="s">
        <v>2749</v>
      </c>
      <c r="BY323" t="s">
        <v>2626</v>
      </c>
      <c r="BZ323">
        <v>1</v>
      </c>
    </row>
    <row r="324" spans="1:78" x14ac:dyDescent="0.25">
      <c r="A324" s="1">
        <v>44931</v>
      </c>
      <c r="B324" t="s">
        <v>2457</v>
      </c>
      <c r="C324" t="s">
        <v>100</v>
      </c>
      <c r="D324" t="s">
        <v>2458</v>
      </c>
      <c r="E324">
        <v>3</v>
      </c>
      <c r="F324" t="s">
        <v>76</v>
      </c>
      <c r="G324">
        <v>83.85</v>
      </c>
      <c r="H324">
        <v>0</v>
      </c>
      <c r="I324">
        <v>0</v>
      </c>
      <c r="J324">
        <v>8.17</v>
      </c>
      <c r="K324">
        <v>92.02</v>
      </c>
      <c r="L324" t="s">
        <v>77</v>
      </c>
      <c r="P324" t="s">
        <v>208</v>
      </c>
      <c r="Q324" t="s">
        <v>209</v>
      </c>
      <c r="R324" t="s">
        <v>80</v>
      </c>
      <c r="S324" t="s">
        <v>80</v>
      </c>
      <c r="T324" t="s">
        <v>80</v>
      </c>
      <c r="U324" t="s">
        <v>80</v>
      </c>
      <c r="V324" t="s">
        <v>80</v>
      </c>
      <c r="W324" t="s">
        <v>2466</v>
      </c>
      <c r="X324" s="1">
        <v>44935</v>
      </c>
      <c r="Y324">
        <v>65.84</v>
      </c>
      <c r="Z324" t="s">
        <v>82</v>
      </c>
      <c r="AA324" t="str">
        <f t="shared" si="9"/>
        <v>1003</v>
      </c>
      <c r="AB324" t="s">
        <v>268</v>
      </c>
      <c r="AC324" t="s">
        <v>2467</v>
      </c>
      <c r="AD324" t="s">
        <v>2468</v>
      </c>
      <c r="AE324" t="str">
        <f>"30191500"</f>
        <v>30191500</v>
      </c>
      <c r="AF324" t="s">
        <v>2469</v>
      </c>
      <c r="AG324" t="s">
        <v>2470</v>
      </c>
      <c r="AH324" t="s">
        <v>2471</v>
      </c>
      <c r="AI324" t="s">
        <v>2471</v>
      </c>
      <c r="AK324" t="s">
        <v>2472</v>
      </c>
      <c r="AL324" t="s">
        <v>2472</v>
      </c>
      <c r="AN324" t="s">
        <v>2473</v>
      </c>
      <c r="AO324" t="s">
        <v>2473</v>
      </c>
      <c r="AP324" t="s">
        <v>92</v>
      </c>
      <c r="AR324">
        <v>69.989999999999995</v>
      </c>
      <c r="AS324">
        <v>59.99</v>
      </c>
      <c r="AT324">
        <v>1</v>
      </c>
      <c r="AU324">
        <v>59.99</v>
      </c>
      <c r="AV324">
        <v>0</v>
      </c>
      <c r="AX324">
        <v>5.85</v>
      </c>
      <c r="AY324">
        <v>65.84</v>
      </c>
      <c r="BA324" t="s">
        <v>93</v>
      </c>
      <c r="BC324" t="s">
        <v>93</v>
      </c>
      <c r="BI324" t="s">
        <v>80</v>
      </c>
      <c r="BM324" t="s">
        <v>94</v>
      </c>
      <c r="BN324" t="s">
        <v>95</v>
      </c>
      <c r="BP324" t="s">
        <v>643</v>
      </c>
      <c r="BR324" t="s">
        <v>2474</v>
      </c>
      <c r="BT324" t="s">
        <v>2475</v>
      </c>
      <c r="BU324" t="s">
        <v>1032</v>
      </c>
      <c r="BV324" t="str">
        <f>"321302"</f>
        <v>321302</v>
      </c>
      <c r="BW324">
        <v>811</v>
      </c>
      <c r="BX324" t="s">
        <v>2749</v>
      </c>
      <c r="BY324" t="s">
        <v>2626</v>
      </c>
      <c r="BZ324">
        <v>1</v>
      </c>
    </row>
    <row r="325" spans="1:78" x14ac:dyDescent="0.25">
      <c r="A325" s="1">
        <v>44931</v>
      </c>
      <c r="B325" t="s">
        <v>2476</v>
      </c>
      <c r="C325" t="s">
        <v>100</v>
      </c>
      <c r="D325" t="s">
        <v>2458</v>
      </c>
      <c r="E325">
        <v>1</v>
      </c>
      <c r="F325" t="s">
        <v>76</v>
      </c>
      <c r="G325">
        <v>5.99</v>
      </c>
      <c r="H325">
        <v>0</v>
      </c>
      <c r="I325">
        <v>0</v>
      </c>
      <c r="J325">
        <v>0.57999999999999996</v>
      </c>
      <c r="K325">
        <v>6.57</v>
      </c>
      <c r="L325" t="s">
        <v>77</v>
      </c>
      <c r="P325" t="s">
        <v>208</v>
      </c>
      <c r="Q325" t="s">
        <v>209</v>
      </c>
      <c r="R325" t="s">
        <v>80</v>
      </c>
      <c r="S325" t="s">
        <v>80</v>
      </c>
      <c r="T325" t="s">
        <v>80</v>
      </c>
      <c r="U325" t="s">
        <v>80</v>
      </c>
      <c r="V325" t="s">
        <v>80</v>
      </c>
      <c r="W325" t="s">
        <v>2477</v>
      </c>
      <c r="X325" s="1">
        <v>44935</v>
      </c>
      <c r="Y325">
        <v>6.57</v>
      </c>
      <c r="Z325" t="s">
        <v>82</v>
      </c>
      <c r="AA325" t="str">
        <f t="shared" si="9"/>
        <v>1003</v>
      </c>
      <c r="AB325" t="s">
        <v>119</v>
      </c>
      <c r="AC325" t="s">
        <v>2478</v>
      </c>
      <c r="AD325" t="s">
        <v>2479</v>
      </c>
      <c r="AE325" t="str">
        <f>"44121704"</f>
        <v>44121704</v>
      </c>
      <c r="AF325" t="s">
        <v>108</v>
      </c>
      <c r="AG325" t="s">
        <v>556</v>
      </c>
      <c r="AH325" t="s">
        <v>590</v>
      </c>
      <c r="AI325" t="s">
        <v>759</v>
      </c>
      <c r="AK325" t="s">
        <v>2480</v>
      </c>
      <c r="AL325" t="s">
        <v>2480</v>
      </c>
      <c r="AO325" t="s">
        <v>2481</v>
      </c>
      <c r="AP325" t="s">
        <v>92</v>
      </c>
      <c r="AR325">
        <v>5.99</v>
      </c>
      <c r="AS325">
        <v>5.99</v>
      </c>
      <c r="AT325">
        <v>1</v>
      </c>
      <c r="AU325">
        <v>5.99</v>
      </c>
      <c r="AV325">
        <v>0</v>
      </c>
      <c r="AX325">
        <v>0.57999999999999996</v>
      </c>
      <c r="AY325">
        <v>6.57</v>
      </c>
      <c r="BA325" t="s">
        <v>93</v>
      </c>
      <c r="BC325" t="s">
        <v>93</v>
      </c>
      <c r="BI325" t="s">
        <v>80</v>
      </c>
      <c r="BM325" t="s">
        <v>94</v>
      </c>
      <c r="BN325" t="s">
        <v>95</v>
      </c>
      <c r="BP325" t="s">
        <v>643</v>
      </c>
      <c r="BR325" t="s">
        <v>2480</v>
      </c>
      <c r="BT325" t="s">
        <v>2482</v>
      </c>
      <c r="BU325" t="s">
        <v>944</v>
      </c>
      <c r="BV325" t="str">
        <f>"351100"</f>
        <v>351100</v>
      </c>
      <c r="BW325">
        <v>811</v>
      </c>
      <c r="BX325" t="s">
        <v>2749</v>
      </c>
      <c r="BY325" t="s">
        <v>2626</v>
      </c>
      <c r="BZ325">
        <v>1</v>
      </c>
    </row>
    <row r="326" spans="1:78" x14ac:dyDescent="0.25">
      <c r="A326" s="1">
        <v>44931</v>
      </c>
      <c r="B326" t="s">
        <v>2483</v>
      </c>
      <c r="C326" t="s">
        <v>100</v>
      </c>
      <c r="D326" t="s">
        <v>2484</v>
      </c>
      <c r="E326">
        <v>1</v>
      </c>
      <c r="F326" t="s">
        <v>76</v>
      </c>
      <c r="G326">
        <v>16.25</v>
      </c>
      <c r="H326">
        <v>0</v>
      </c>
      <c r="I326">
        <v>0</v>
      </c>
      <c r="J326">
        <v>1.58</v>
      </c>
      <c r="K326">
        <v>17.829999999999998</v>
      </c>
      <c r="L326" t="s">
        <v>77</v>
      </c>
      <c r="P326" t="s">
        <v>208</v>
      </c>
      <c r="Q326" t="s">
        <v>209</v>
      </c>
      <c r="R326" t="s">
        <v>80</v>
      </c>
      <c r="S326" t="s">
        <v>80</v>
      </c>
      <c r="T326" t="s">
        <v>80</v>
      </c>
      <c r="U326" t="s">
        <v>80</v>
      </c>
      <c r="V326" t="s">
        <v>80</v>
      </c>
      <c r="W326" t="s">
        <v>2485</v>
      </c>
      <c r="X326" s="1">
        <v>44932</v>
      </c>
      <c r="Y326">
        <v>17.829999999999998</v>
      </c>
      <c r="Z326" t="s">
        <v>82</v>
      </c>
      <c r="AA326" t="str">
        <f t="shared" si="9"/>
        <v>1003</v>
      </c>
      <c r="AB326" t="s">
        <v>168</v>
      </c>
      <c r="AC326" t="s">
        <v>2486</v>
      </c>
      <c r="AD326" t="s">
        <v>2487</v>
      </c>
      <c r="AE326" t="str">
        <f>"47131502"</f>
        <v>47131502</v>
      </c>
      <c r="AF326" t="s">
        <v>144</v>
      </c>
      <c r="AG326" t="s">
        <v>145</v>
      </c>
      <c r="AH326" t="s">
        <v>729</v>
      </c>
      <c r="AI326" t="s">
        <v>730</v>
      </c>
      <c r="AJ326" t="s">
        <v>2488</v>
      </c>
      <c r="AK326" t="s">
        <v>732</v>
      </c>
      <c r="AL326" t="s">
        <v>733</v>
      </c>
      <c r="AO326" t="s">
        <v>2489</v>
      </c>
      <c r="AP326" t="s">
        <v>92</v>
      </c>
      <c r="AR326">
        <v>64.569999999999993</v>
      </c>
      <c r="AS326">
        <v>16.25</v>
      </c>
      <c r="AT326">
        <v>1</v>
      </c>
      <c r="AU326">
        <v>16.25</v>
      </c>
      <c r="AV326">
        <v>0</v>
      </c>
      <c r="AX326">
        <v>1.58</v>
      </c>
      <c r="AY326">
        <v>17.829999999999998</v>
      </c>
      <c r="BA326" t="s">
        <v>93</v>
      </c>
      <c r="BC326" t="s">
        <v>93</v>
      </c>
      <c r="BI326" t="s">
        <v>80</v>
      </c>
      <c r="BM326" t="s">
        <v>94</v>
      </c>
      <c r="BN326" t="s">
        <v>95</v>
      </c>
      <c r="BP326" t="s">
        <v>609</v>
      </c>
      <c r="BR326" t="s">
        <v>2490</v>
      </c>
      <c r="BW326">
        <v>812</v>
      </c>
      <c r="BX326" t="s">
        <v>2748</v>
      </c>
      <c r="BY326" t="s">
        <v>2628</v>
      </c>
      <c r="BZ326">
        <v>1</v>
      </c>
    </row>
    <row r="327" spans="1:78" x14ac:dyDescent="0.25">
      <c r="A327" s="1">
        <v>44931</v>
      </c>
      <c r="B327" t="s">
        <v>2491</v>
      </c>
      <c r="C327" t="s">
        <v>283</v>
      </c>
      <c r="E327">
        <v>1</v>
      </c>
      <c r="F327" t="s">
        <v>76</v>
      </c>
      <c r="G327">
        <v>57.99</v>
      </c>
      <c r="H327">
        <v>0</v>
      </c>
      <c r="I327">
        <v>0</v>
      </c>
      <c r="J327">
        <v>5.86</v>
      </c>
      <c r="K327">
        <v>63.85</v>
      </c>
      <c r="L327" t="s">
        <v>77</v>
      </c>
      <c r="P327" t="s">
        <v>284</v>
      </c>
      <c r="Q327" t="s">
        <v>285</v>
      </c>
      <c r="R327" t="s">
        <v>80</v>
      </c>
      <c r="S327" t="s">
        <v>80</v>
      </c>
      <c r="T327" t="s">
        <v>80</v>
      </c>
      <c r="U327" t="s">
        <v>80</v>
      </c>
      <c r="V327" t="s">
        <v>80</v>
      </c>
      <c r="W327" t="s">
        <v>2492</v>
      </c>
      <c r="X327" s="1">
        <v>44934</v>
      </c>
      <c r="Y327">
        <v>63.85</v>
      </c>
      <c r="Z327" t="s">
        <v>82</v>
      </c>
      <c r="AA327" t="str">
        <f t="shared" si="9"/>
        <v>1003</v>
      </c>
      <c r="AB327" t="s">
        <v>133</v>
      </c>
      <c r="AC327" t="s">
        <v>1775</v>
      </c>
      <c r="AD327" t="s">
        <v>1776</v>
      </c>
      <c r="AE327" t="str">
        <f>"47121701"</f>
        <v>47121701</v>
      </c>
      <c r="AF327" t="s">
        <v>144</v>
      </c>
      <c r="AG327" t="s">
        <v>617</v>
      </c>
      <c r="AH327" t="s">
        <v>1777</v>
      </c>
      <c r="AI327" t="s">
        <v>1778</v>
      </c>
      <c r="AK327" t="s">
        <v>1779</v>
      </c>
      <c r="AP327" t="s">
        <v>92</v>
      </c>
      <c r="AR327">
        <v>81.12</v>
      </c>
      <c r="AS327">
        <v>57.99</v>
      </c>
      <c r="AT327">
        <v>1</v>
      </c>
      <c r="AU327">
        <v>57.99</v>
      </c>
      <c r="AV327">
        <v>0</v>
      </c>
      <c r="AX327">
        <v>5.86</v>
      </c>
      <c r="AY327">
        <v>63.85</v>
      </c>
      <c r="BA327" t="s">
        <v>93</v>
      </c>
      <c r="BC327" t="s">
        <v>93</v>
      </c>
      <c r="BI327" t="s">
        <v>80</v>
      </c>
      <c r="BM327" t="s">
        <v>94</v>
      </c>
      <c r="BN327" t="s">
        <v>95</v>
      </c>
      <c r="BP327" t="s">
        <v>299</v>
      </c>
      <c r="BR327" t="s">
        <v>1779</v>
      </c>
      <c r="BS327" t="s">
        <v>1780</v>
      </c>
      <c r="BT327" t="s">
        <v>1781</v>
      </c>
      <c r="BU327" t="s">
        <v>115</v>
      </c>
      <c r="BV327" t="str">
        <f>"90071"</f>
        <v>90071</v>
      </c>
      <c r="BW327">
        <v>877</v>
      </c>
      <c r="BX327" t="s">
        <v>2735</v>
      </c>
      <c r="BY327" t="s">
        <v>2669</v>
      </c>
      <c r="BZ327">
        <v>1</v>
      </c>
    </row>
    <row r="328" spans="1:78" x14ac:dyDescent="0.25">
      <c r="A328" s="1">
        <v>44931</v>
      </c>
      <c r="B328" t="s">
        <v>2493</v>
      </c>
      <c r="C328" t="s">
        <v>283</v>
      </c>
      <c r="E328">
        <v>1</v>
      </c>
      <c r="F328" t="s">
        <v>76</v>
      </c>
      <c r="G328">
        <v>27.99</v>
      </c>
      <c r="H328">
        <v>0</v>
      </c>
      <c r="I328">
        <v>0</v>
      </c>
      <c r="J328">
        <v>2.83</v>
      </c>
      <c r="K328">
        <v>30.82</v>
      </c>
      <c r="L328" t="s">
        <v>77</v>
      </c>
      <c r="P328" t="s">
        <v>284</v>
      </c>
      <c r="Q328" t="s">
        <v>285</v>
      </c>
      <c r="R328" t="s">
        <v>80</v>
      </c>
      <c r="S328" t="s">
        <v>80</v>
      </c>
      <c r="T328" t="s">
        <v>80</v>
      </c>
      <c r="U328" t="s">
        <v>80</v>
      </c>
      <c r="V328" t="s">
        <v>80</v>
      </c>
      <c r="W328" t="s">
        <v>2494</v>
      </c>
      <c r="X328" s="1">
        <v>44934</v>
      </c>
      <c r="Y328">
        <v>30.82</v>
      </c>
      <c r="Z328" t="s">
        <v>82</v>
      </c>
      <c r="AA328" t="str">
        <f t="shared" si="9"/>
        <v>1003</v>
      </c>
      <c r="AB328" t="s">
        <v>268</v>
      </c>
      <c r="AC328" t="s">
        <v>2495</v>
      </c>
      <c r="AD328" t="s">
        <v>2496</v>
      </c>
      <c r="AE328" t="str">
        <f>"53121600"</f>
        <v>53121600</v>
      </c>
      <c r="AF328" t="s">
        <v>1134</v>
      </c>
      <c r="AG328" t="s">
        <v>1391</v>
      </c>
      <c r="AH328" t="s">
        <v>1392</v>
      </c>
      <c r="AI328" t="s">
        <v>1392</v>
      </c>
      <c r="AK328" t="s">
        <v>2497</v>
      </c>
      <c r="AL328" t="s">
        <v>2497</v>
      </c>
      <c r="AO328" t="s">
        <v>2498</v>
      </c>
      <c r="AP328" t="s">
        <v>92</v>
      </c>
      <c r="AR328">
        <v>27.99</v>
      </c>
      <c r="AS328">
        <v>27.99</v>
      </c>
      <c r="AT328">
        <v>1</v>
      </c>
      <c r="AU328">
        <v>27.99</v>
      </c>
      <c r="AV328">
        <v>0</v>
      </c>
      <c r="AX328">
        <v>2.83</v>
      </c>
      <c r="AY328">
        <v>30.82</v>
      </c>
      <c r="BA328" t="s">
        <v>93</v>
      </c>
      <c r="BC328" t="s">
        <v>93</v>
      </c>
      <c r="BI328" t="s">
        <v>80</v>
      </c>
      <c r="BM328" t="s">
        <v>94</v>
      </c>
      <c r="BN328" t="s">
        <v>95</v>
      </c>
      <c r="BP328" t="s">
        <v>299</v>
      </c>
      <c r="BR328" t="s">
        <v>2499</v>
      </c>
      <c r="BT328" t="s">
        <v>483</v>
      </c>
      <c r="BU328" t="s">
        <v>484</v>
      </c>
      <c r="BV328" t="str">
        <f>"230000"</f>
        <v>230000</v>
      </c>
      <c r="BW328">
        <v>877</v>
      </c>
      <c r="BX328" t="s">
        <v>2735</v>
      </c>
      <c r="BY328" t="s">
        <v>2669</v>
      </c>
      <c r="BZ328">
        <v>1</v>
      </c>
    </row>
    <row r="329" spans="1:78" x14ac:dyDescent="0.25">
      <c r="A329" s="1">
        <v>44931</v>
      </c>
      <c r="B329" t="s">
        <v>2500</v>
      </c>
      <c r="C329" t="s">
        <v>189</v>
      </c>
      <c r="E329">
        <v>3</v>
      </c>
      <c r="F329" t="s">
        <v>76</v>
      </c>
      <c r="G329">
        <v>50.94</v>
      </c>
      <c r="H329">
        <v>0</v>
      </c>
      <c r="I329">
        <v>0</v>
      </c>
      <c r="J329">
        <v>4.2</v>
      </c>
      <c r="K329">
        <v>55.14</v>
      </c>
      <c r="L329" t="s">
        <v>77</v>
      </c>
      <c r="P329" t="s">
        <v>307</v>
      </c>
      <c r="Q329" t="s">
        <v>308</v>
      </c>
      <c r="R329" t="s">
        <v>80</v>
      </c>
      <c r="S329" t="s">
        <v>80</v>
      </c>
      <c r="T329" t="s">
        <v>80</v>
      </c>
      <c r="U329" t="s">
        <v>80</v>
      </c>
      <c r="V329" t="s">
        <v>80</v>
      </c>
      <c r="W329" t="s">
        <v>2501</v>
      </c>
      <c r="X329" s="1">
        <v>44931</v>
      </c>
      <c r="Y329">
        <v>55.14</v>
      </c>
      <c r="Z329" t="s">
        <v>82</v>
      </c>
      <c r="AA329" t="str">
        <f t="shared" si="9"/>
        <v>1003</v>
      </c>
      <c r="AB329" t="s">
        <v>133</v>
      </c>
      <c r="AC329" t="s">
        <v>2502</v>
      </c>
      <c r="AD329" t="s">
        <v>2503</v>
      </c>
      <c r="AE329" t="str">
        <f>"46181507"</f>
        <v>46181507</v>
      </c>
      <c r="AF329" t="s">
        <v>451</v>
      </c>
      <c r="AG329" t="s">
        <v>580</v>
      </c>
      <c r="AH329" t="s">
        <v>1361</v>
      </c>
      <c r="AI329" t="s">
        <v>1362</v>
      </c>
      <c r="AK329" t="s">
        <v>1476</v>
      </c>
      <c r="AL329" t="s">
        <v>1476</v>
      </c>
      <c r="AO329" t="s">
        <v>2504</v>
      </c>
      <c r="AP329" t="s">
        <v>92</v>
      </c>
      <c r="AR329">
        <v>16.98</v>
      </c>
      <c r="AS329">
        <v>16.98</v>
      </c>
      <c r="AT329">
        <v>3</v>
      </c>
      <c r="AU329">
        <v>50.94</v>
      </c>
      <c r="AV329">
        <v>0</v>
      </c>
      <c r="AX329">
        <v>4.2</v>
      </c>
      <c r="AY329">
        <v>55.14</v>
      </c>
      <c r="BA329" t="s">
        <v>93</v>
      </c>
      <c r="BC329" t="s">
        <v>93</v>
      </c>
      <c r="BI329" t="s">
        <v>80</v>
      </c>
      <c r="BM329" t="s">
        <v>94</v>
      </c>
      <c r="BN329" t="s">
        <v>95</v>
      </c>
      <c r="BP329" t="s">
        <v>314</v>
      </c>
      <c r="BR329" t="s">
        <v>1476</v>
      </c>
      <c r="BW329">
        <v>868</v>
      </c>
      <c r="BX329" t="s">
        <v>2738</v>
      </c>
      <c r="BY329" t="s">
        <v>2665</v>
      </c>
      <c r="BZ329">
        <v>1</v>
      </c>
    </row>
    <row r="330" spans="1:78" x14ac:dyDescent="0.25">
      <c r="A330" s="1">
        <v>44930</v>
      </c>
      <c r="B330" t="s">
        <v>2505</v>
      </c>
      <c r="C330" t="s">
        <v>100</v>
      </c>
      <c r="D330" t="s">
        <v>2506</v>
      </c>
      <c r="E330">
        <v>2</v>
      </c>
      <c r="F330" t="s">
        <v>76</v>
      </c>
      <c r="G330">
        <v>29.98</v>
      </c>
      <c r="H330">
        <v>0</v>
      </c>
      <c r="I330">
        <v>0</v>
      </c>
      <c r="J330">
        <v>2.1</v>
      </c>
      <c r="K330">
        <v>32.08</v>
      </c>
      <c r="L330" t="s">
        <v>77</v>
      </c>
      <c r="P330" t="s">
        <v>102</v>
      </c>
      <c r="Q330" t="s">
        <v>103</v>
      </c>
      <c r="R330" t="s">
        <v>80</v>
      </c>
      <c r="S330" t="s">
        <v>80</v>
      </c>
      <c r="T330" t="s">
        <v>80</v>
      </c>
      <c r="U330" t="s">
        <v>80</v>
      </c>
      <c r="V330" t="s">
        <v>80</v>
      </c>
      <c r="W330" t="s">
        <v>2507</v>
      </c>
      <c r="X330" s="1">
        <v>44931</v>
      </c>
      <c r="Y330">
        <v>32.08</v>
      </c>
      <c r="Z330" t="s">
        <v>82</v>
      </c>
      <c r="AA330" t="str">
        <f t="shared" si="9"/>
        <v>1003</v>
      </c>
      <c r="AB330" t="s">
        <v>133</v>
      </c>
      <c r="AC330" t="s">
        <v>2508</v>
      </c>
      <c r="AD330" t="s">
        <v>2509</v>
      </c>
      <c r="AE330" t="str">
        <f>"39121703"</f>
        <v>39121703</v>
      </c>
      <c r="AF330" t="s">
        <v>181</v>
      </c>
      <c r="AG330" t="s">
        <v>182</v>
      </c>
      <c r="AH330" t="s">
        <v>806</v>
      </c>
      <c r="AI330" t="s">
        <v>807</v>
      </c>
      <c r="AK330" t="s">
        <v>2510</v>
      </c>
      <c r="AL330" t="s">
        <v>2510</v>
      </c>
      <c r="AN330" t="s">
        <v>2511</v>
      </c>
      <c r="AP330" t="s">
        <v>92</v>
      </c>
      <c r="AR330">
        <v>25.99</v>
      </c>
      <c r="AS330">
        <v>14.99</v>
      </c>
      <c r="AT330">
        <v>2</v>
      </c>
      <c r="AU330">
        <v>29.98</v>
      </c>
      <c r="AV330">
        <v>0</v>
      </c>
      <c r="AX330">
        <v>2.1</v>
      </c>
      <c r="AY330">
        <v>32.08</v>
      </c>
      <c r="BA330" t="s">
        <v>93</v>
      </c>
      <c r="BC330" t="s">
        <v>93</v>
      </c>
      <c r="BI330" t="s">
        <v>80</v>
      </c>
      <c r="BM330" t="s">
        <v>94</v>
      </c>
      <c r="BN330" t="s">
        <v>95</v>
      </c>
      <c r="BP330" t="s">
        <v>405</v>
      </c>
      <c r="BR330" t="s">
        <v>2512</v>
      </c>
      <c r="BT330" t="s">
        <v>2513</v>
      </c>
      <c r="BU330" t="s">
        <v>1858</v>
      </c>
      <c r="BV330" t="str">
        <f>"322000"</f>
        <v>322000</v>
      </c>
      <c r="BW330">
        <v>893</v>
      </c>
      <c r="BX330" t="s">
        <v>2742</v>
      </c>
      <c r="BY330" t="s">
        <v>2695</v>
      </c>
      <c r="BZ330">
        <v>1</v>
      </c>
    </row>
    <row r="331" spans="1:78" x14ac:dyDescent="0.25">
      <c r="A331" s="1">
        <v>44930</v>
      </c>
      <c r="B331" t="s">
        <v>2514</v>
      </c>
      <c r="C331" t="s">
        <v>392</v>
      </c>
      <c r="E331">
        <v>5</v>
      </c>
      <c r="F331" t="s">
        <v>76</v>
      </c>
      <c r="G331">
        <v>460</v>
      </c>
      <c r="H331">
        <v>0</v>
      </c>
      <c r="I331">
        <v>0</v>
      </c>
      <c r="J331">
        <v>32.200000000000003</v>
      </c>
      <c r="K331">
        <v>492.2</v>
      </c>
      <c r="L331" t="s">
        <v>77</v>
      </c>
      <c r="M331" t="s">
        <v>224</v>
      </c>
      <c r="P331" t="s">
        <v>393</v>
      </c>
      <c r="Q331" t="s">
        <v>394</v>
      </c>
      <c r="R331" t="s">
        <v>80</v>
      </c>
      <c r="S331" t="s">
        <v>80</v>
      </c>
      <c r="T331" t="s">
        <v>80</v>
      </c>
      <c r="U331" t="s">
        <v>80</v>
      </c>
      <c r="V331" t="s">
        <v>80</v>
      </c>
      <c r="W331" t="s">
        <v>2515</v>
      </c>
      <c r="X331" s="1">
        <v>44931</v>
      </c>
      <c r="Y331">
        <v>492.2</v>
      </c>
      <c r="Z331" t="s">
        <v>82</v>
      </c>
      <c r="AA331" t="str">
        <f t="shared" si="9"/>
        <v>1003</v>
      </c>
      <c r="AB331" t="s">
        <v>2516</v>
      </c>
      <c r="AC331" t="s">
        <v>2517</v>
      </c>
      <c r="AD331" t="s">
        <v>2518</v>
      </c>
      <c r="AE331" t="str">
        <f>"40161502"</f>
        <v>40161502</v>
      </c>
      <c r="AF331" t="s">
        <v>1224</v>
      </c>
      <c r="AG331" t="s">
        <v>2519</v>
      </c>
      <c r="AH331" t="s">
        <v>2520</v>
      </c>
      <c r="AI331" t="s">
        <v>2521</v>
      </c>
      <c r="AJ331" t="s">
        <v>2522</v>
      </c>
      <c r="AK331" t="s">
        <v>2523</v>
      </c>
      <c r="AL331" t="s">
        <v>2523</v>
      </c>
      <c r="AN331" t="s">
        <v>2524</v>
      </c>
      <c r="AO331" t="s">
        <v>2524</v>
      </c>
      <c r="AP331" t="s">
        <v>92</v>
      </c>
      <c r="AR331">
        <v>99.99</v>
      </c>
      <c r="AS331">
        <v>92</v>
      </c>
      <c r="AT331">
        <v>5</v>
      </c>
      <c r="AU331">
        <v>460</v>
      </c>
      <c r="AV331">
        <v>0</v>
      </c>
      <c r="AX331">
        <v>32.200000000000003</v>
      </c>
      <c r="AY331">
        <v>492.2</v>
      </c>
      <c r="BA331" t="s">
        <v>93</v>
      </c>
      <c r="BC331" t="s">
        <v>93</v>
      </c>
      <c r="BI331" t="s">
        <v>80</v>
      </c>
      <c r="BM331" t="s">
        <v>94</v>
      </c>
      <c r="BN331" t="s">
        <v>95</v>
      </c>
      <c r="BP331" t="s">
        <v>405</v>
      </c>
      <c r="BR331" t="s">
        <v>338</v>
      </c>
      <c r="BT331" t="s">
        <v>131</v>
      </c>
      <c r="BU331" t="s">
        <v>339</v>
      </c>
      <c r="BV331" t="str">
        <f>"98109"</f>
        <v>98109</v>
      </c>
      <c r="BW331">
        <v>893</v>
      </c>
      <c r="BX331" t="s">
        <v>2742</v>
      </c>
      <c r="BY331" t="s">
        <v>2695</v>
      </c>
      <c r="BZ331">
        <v>1</v>
      </c>
    </row>
    <row r="332" spans="1:78" x14ac:dyDescent="0.25">
      <c r="A332" s="1">
        <v>44930</v>
      </c>
      <c r="B332" t="s">
        <v>2525</v>
      </c>
      <c r="C332" t="s">
        <v>283</v>
      </c>
      <c r="E332">
        <v>3</v>
      </c>
      <c r="F332" t="s">
        <v>76</v>
      </c>
      <c r="G332">
        <v>68.7</v>
      </c>
      <c r="H332">
        <v>0</v>
      </c>
      <c r="I332">
        <v>0</v>
      </c>
      <c r="J332">
        <v>6.93</v>
      </c>
      <c r="K332">
        <v>75.63</v>
      </c>
      <c r="L332" t="s">
        <v>77</v>
      </c>
      <c r="P332" t="s">
        <v>284</v>
      </c>
      <c r="Q332" t="s">
        <v>285</v>
      </c>
      <c r="R332" t="s">
        <v>80</v>
      </c>
      <c r="S332" t="s">
        <v>80</v>
      </c>
      <c r="T332" t="s">
        <v>80</v>
      </c>
      <c r="U332" t="s">
        <v>80</v>
      </c>
      <c r="V332" t="s">
        <v>80</v>
      </c>
      <c r="W332" t="s">
        <v>2526</v>
      </c>
      <c r="X332" s="1">
        <v>44934</v>
      </c>
      <c r="Y332">
        <v>75.63</v>
      </c>
      <c r="Z332" t="s">
        <v>82</v>
      </c>
      <c r="AA332" t="str">
        <f t="shared" si="9"/>
        <v>1003</v>
      </c>
      <c r="AB332" t="s">
        <v>119</v>
      </c>
      <c r="AC332" t="s">
        <v>2527</v>
      </c>
      <c r="AD332" t="s">
        <v>2528</v>
      </c>
      <c r="AE332" t="str">
        <f>"44112000"</f>
        <v>44112000</v>
      </c>
      <c r="AF332" t="s">
        <v>108</v>
      </c>
      <c r="AG332" t="s">
        <v>122</v>
      </c>
      <c r="AH332" t="s">
        <v>568</v>
      </c>
      <c r="AI332" t="s">
        <v>568</v>
      </c>
      <c r="AK332" t="s">
        <v>2529</v>
      </c>
      <c r="AL332" t="s">
        <v>2529</v>
      </c>
      <c r="AO332" t="s">
        <v>2530</v>
      </c>
      <c r="AP332" t="s">
        <v>92</v>
      </c>
      <c r="AR332">
        <v>39.99</v>
      </c>
      <c r="AS332">
        <v>22.9</v>
      </c>
      <c r="AT332">
        <v>3</v>
      </c>
      <c r="AU332">
        <v>68.7</v>
      </c>
      <c r="AV332">
        <v>0</v>
      </c>
      <c r="AX332">
        <v>6.93</v>
      </c>
      <c r="AY332">
        <v>75.63</v>
      </c>
      <c r="BA332" t="s">
        <v>93</v>
      </c>
      <c r="BC332" t="s">
        <v>93</v>
      </c>
      <c r="BD332" t="s">
        <v>128</v>
      </c>
      <c r="BE332">
        <v>17.09</v>
      </c>
      <c r="BF332" s="2">
        <v>0.4274</v>
      </c>
      <c r="BI332" t="s">
        <v>80</v>
      </c>
      <c r="BM332" t="s">
        <v>94</v>
      </c>
      <c r="BN332" t="s">
        <v>95</v>
      </c>
      <c r="BP332" t="s">
        <v>299</v>
      </c>
      <c r="BR332" t="s">
        <v>2531</v>
      </c>
      <c r="BS332" t="s">
        <v>113</v>
      </c>
      <c r="BT332" t="s">
        <v>2532</v>
      </c>
      <c r="BU332" t="s">
        <v>1612</v>
      </c>
      <c r="BV332" t="str">
        <f>"33764"</f>
        <v>33764</v>
      </c>
      <c r="BW332">
        <v>877</v>
      </c>
      <c r="BX332" t="s">
        <v>2735</v>
      </c>
      <c r="BY332" t="s">
        <v>2669</v>
      </c>
      <c r="BZ332">
        <v>1</v>
      </c>
    </row>
    <row r="333" spans="1:78" x14ac:dyDescent="0.25">
      <c r="A333" s="1">
        <v>44929</v>
      </c>
      <c r="B333" t="s">
        <v>2533</v>
      </c>
      <c r="C333" t="s">
        <v>100</v>
      </c>
      <c r="D333" t="s">
        <v>2534</v>
      </c>
      <c r="E333">
        <v>1</v>
      </c>
      <c r="F333" t="s">
        <v>76</v>
      </c>
      <c r="G333">
        <v>55.96</v>
      </c>
      <c r="H333">
        <v>0</v>
      </c>
      <c r="I333">
        <v>0</v>
      </c>
      <c r="J333">
        <v>3.92</v>
      </c>
      <c r="K333">
        <v>59.88</v>
      </c>
      <c r="L333" t="s">
        <v>77</v>
      </c>
      <c r="P333" t="s">
        <v>102</v>
      </c>
      <c r="Q333" t="s">
        <v>103</v>
      </c>
      <c r="R333" t="s">
        <v>80</v>
      </c>
      <c r="S333" t="s">
        <v>80</v>
      </c>
      <c r="T333" t="s">
        <v>80</v>
      </c>
      <c r="U333" t="s">
        <v>80</v>
      </c>
      <c r="V333" t="s">
        <v>80</v>
      </c>
      <c r="W333" t="s">
        <v>2535</v>
      </c>
      <c r="X333" s="1">
        <v>44931</v>
      </c>
      <c r="Y333">
        <v>59.88</v>
      </c>
      <c r="Z333" t="s">
        <v>82</v>
      </c>
      <c r="AA333" t="str">
        <f t="shared" si="9"/>
        <v>1003</v>
      </c>
      <c r="AB333" t="s">
        <v>168</v>
      </c>
      <c r="AC333" t="s">
        <v>2536</v>
      </c>
      <c r="AD333" t="s">
        <v>2537</v>
      </c>
      <c r="AE333" t="str">
        <f>"47131800"</f>
        <v>47131800</v>
      </c>
      <c r="AF333" t="s">
        <v>144</v>
      </c>
      <c r="AG333" t="s">
        <v>145</v>
      </c>
      <c r="AH333" t="s">
        <v>261</v>
      </c>
      <c r="AI333" t="s">
        <v>261</v>
      </c>
      <c r="AJ333" t="s">
        <v>2386</v>
      </c>
      <c r="AK333" t="s">
        <v>732</v>
      </c>
      <c r="AL333" t="s">
        <v>2538</v>
      </c>
      <c r="AN333" t="str">
        <f>"1"</f>
        <v>1</v>
      </c>
      <c r="AO333" t="str">
        <f>"1"</f>
        <v>1</v>
      </c>
      <c r="AP333" t="s">
        <v>92</v>
      </c>
      <c r="AR333">
        <v>83.64</v>
      </c>
      <c r="AS333">
        <v>55.96</v>
      </c>
      <c r="AT333">
        <v>1</v>
      </c>
      <c r="AU333">
        <v>55.96</v>
      </c>
      <c r="AV333">
        <v>0</v>
      </c>
      <c r="AX333">
        <v>3.92</v>
      </c>
      <c r="AY333">
        <v>59.88</v>
      </c>
      <c r="BA333" t="s">
        <v>93</v>
      </c>
      <c r="BC333" t="s">
        <v>93</v>
      </c>
      <c r="BI333" t="s">
        <v>80</v>
      </c>
      <c r="BM333" t="s">
        <v>94</v>
      </c>
      <c r="BN333" t="s">
        <v>95</v>
      </c>
      <c r="BP333" t="s">
        <v>1169</v>
      </c>
      <c r="BR333" t="s">
        <v>130</v>
      </c>
      <c r="BT333" t="s">
        <v>131</v>
      </c>
      <c r="BU333" t="s">
        <v>132</v>
      </c>
      <c r="BV333" t="str">
        <f>"98109"</f>
        <v>98109</v>
      </c>
      <c r="BW333">
        <v>810</v>
      </c>
      <c r="BX333" t="s">
        <v>2752</v>
      </c>
      <c r="BY333" t="s">
        <v>2624</v>
      </c>
      <c r="BZ333">
        <v>1</v>
      </c>
    </row>
    <row r="334" spans="1:78" x14ac:dyDescent="0.25">
      <c r="A334" s="1">
        <v>44929</v>
      </c>
      <c r="B334" t="s">
        <v>2539</v>
      </c>
      <c r="C334" t="s">
        <v>392</v>
      </c>
      <c r="E334">
        <v>4</v>
      </c>
      <c r="F334" t="s">
        <v>76</v>
      </c>
      <c r="G334">
        <v>154.9</v>
      </c>
      <c r="H334">
        <v>0</v>
      </c>
      <c r="I334">
        <v>0</v>
      </c>
      <c r="J334">
        <v>10.83</v>
      </c>
      <c r="K334">
        <v>165.73</v>
      </c>
      <c r="L334" t="s">
        <v>77</v>
      </c>
      <c r="P334" t="s">
        <v>418</v>
      </c>
      <c r="Q334" t="s">
        <v>419</v>
      </c>
      <c r="R334" t="s">
        <v>80</v>
      </c>
      <c r="S334" t="s">
        <v>80</v>
      </c>
      <c r="T334" t="s">
        <v>80</v>
      </c>
      <c r="U334" t="s">
        <v>80</v>
      </c>
      <c r="V334" t="s">
        <v>80</v>
      </c>
      <c r="W334" t="s">
        <v>2540</v>
      </c>
      <c r="X334" s="1">
        <v>44932</v>
      </c>
      <c r="Y334">
        <v>165.73</v>
      </c>
      <c r="Z334" t="s">
        <v>82</v>
      </c>
      <c r="AA334" t="str">
        <f t="shared" si="9"/>
        <v>1003</v>
      </c>
      <c r="AB334" t="s">
        <v>119</v>
      </c>
      <c r="AC334" t="s">
        <v>2541</v>
      </c>
      <c r="AD334" t="s">
        <v>2542</v>
      </c>
      <c r="AE334" t="str">
        <f>"14111514"</f>
        <v>14111514</v>
      </c>
      <c r="AF334" t="s">
        <v>213</v>
      </c>
      <c r="AG334" t="s">
        <v>214</v>
      </c>
      <c r="AH334" t="s">
        <v>215</v>
      </c>
      <c r="AI334" t="s">
        <v>631</v>
      </c>
      <c r="AJ334" t="s">
        <v>175</v>
      </c>
      <c r="AK334" t="s">
        <v>176</v>
      </c>
      <c r="AL334" t="s">
        <v>176</v>
      </c>
      <c r="AN334" t="str">
        <f>"192233043098"</f>
        <v>192233043098</v>
      </c>
      <c r="AO334" t="str">
        <f>"192233043098"</f>
        <v>192233043098</v>
      </c>
      <c r="AP334" t="s">
        <v>92</v>
      </c>
      <c r="AR334">
        <v>19.989999999999998</v>
      </c>
      <c r="AS334">
        <v>9.43</v>
      </c>
      <c r="AT334">
        <v>1</v>
      </c>
      <c r="AU334">
        <v>9.43</v>
      </c>
      <c r="AV334">
        <v>0</v>
      </c>
      <c r="AX334">
        <v>0.66</v>
      </c>
      <c r="AY334">
        <v>10.09</v>
      </c>
      <c r="BA334" t="s">
        <v>93</v>
      </c>
      <c r="BC334" t="s">
        <v>93</v>
      </c>
      <c r="BI334" t="s">
        <v>80</v>
      </c>
      <c r="BM334" t="s">
        <v>94</v>
      </c>
      <c r="BN334" t="s">
        <v>95</v>
      </c>
      <c r="BP334" t="s">
        <v>428</v>
      </c>
      <c r="BR334" t="s">
        <v>338</v>
      </c>
      <c r="BT334" t="s">
        <v>131</v>
      </c>
      <c r="BU334" t="s">
        <v>339</v>
      </c>
      <c r="BV334" t="str">
        <f>"98109"</f>
        <v>98109</v>
      </c>
      <c r="BW334">
        <v>894</v>
      </c>
      <c r="BX334" t="s">
        <v>2744</v>
      </c>
      <c r="BY334" t="s">
        <v>2697</v>
      </c>
      <c r="BZ334">
        <v>1</v>
      </c>
    </row>
    <row r="335" spans="1:78" x14ac:dyDescent="0.25">
      <c r="A335" s="1">
        <v>44929</v>
      </c>
      <c r="B335" t="s">
        <v>2539</v>
      </c>
      <c r="C335" t="s">
        <v>392</v>
      </c>
      <c r="E335">
        <v>4</v>
      </c>
      <c r="F335" t="s">
        <v>76</v>
      </c>
      <c r="G335">
        <v>154.9</v>
      </c>
      <c r="H335">
        <v>0</v>
      </c>
      <c r="I335">
        <v>0</v>
      </c>
      <c r="J335">
        <v>10.83</v>
      </c>
      <c r="K335">
        <v>165.73</v>
      </c>
      <c r="L335" t="s">
        <v>77</v>
      </c>
      <c r="P335" t="s">
        <v>418</v>
      </c>
      <c r="Q335" t="s">
        <v>419</v>
      </c>
      <c r="R335" t="s">
        <v>80</v>
      </c>
      <c r="S335" t="s">
        <v>80</v>
      </c>
      <c r="T335" t="s">
        <v>80</v>
      </c>
      <c r="U335" t="s">
        <v>80</v>
      </c>
      <c r="V335" t="s">
        <v>80</v>
      </c>
      <c r="W335" t="s">
        <v>2540</v>
      </c>
      <c r="X335" s="1">
        <v>44932</v>
      </c>
      <c r="Y335">
        <v>165.73</v>
      </c>
      <c r="Z335" t="s">
        <v>82</v>
      </c>
      <c r="AA335" t="str">
        <f t="shared" si="9"/>
        <v>1003</v>
      </c>
      <c r="AB335" t="s">
        <v>133</v>
      </c>
      <c r="AC335" t="s">
        <v>2543</v>
      </c>
      <c r="AD335" t="s">
        <v>2544</v>
      </c>
      <c r="AE335" t="str">
        <f>"46171508"</f>
        <v>46171508</v>
      </c>
      <c r="AF335" t="s">
        <v>451</v>
      </c>
      <c r="AG335" t="s">
        <v>452</v>
      </c>
      <c r="AH335" t="s">
        <v>453</v>
      </c>
      <c r="AI335" t="s">
        <v>2545</v>
      </c>
      <c r="AK335" t="s">
        <v>2546</v>
      </c>
      <c r="AL335" t="s">
        <v>2546</v>
      </c>
      <c r="AO335" t="s">
        <v>2547</v>
      </c>
      <c r="AP335" t="s">
        <v>92</v>
      </c>
      <c r="AR335">
        <v>60</v>
      </c>
      <c r="AS335">
        <v>48.49</v>
      </c>
      <c r="AT335">
        <v>3</v>
      </c>
      <c r="AU335">
        <v>145.47</v>
      </c>
      <c r="AV335">
        <v>0</v>
      </c>
      <c r="AX335">
        <v>10.17</v>
      </c>
      <c r="AY335">
        <v>155.63999999999999</v>
      </c>
      <c r="BA335" t="s">
        <v>93</v>
      </c>
      <c r="BC335" t="s">
        <v>93</v>
      </c>
      <c r="BI335" t="s">
        <v>80</v>
      </c>
      <c r="BM335" t="s">
        <v>94</v>
      </c>
      <c r="BN335" t="s">
        <v>95</v>
      </c>
      <c r="BP335" t="s">
        <v>428</v>
      </c>
      <c r="BR335" t="s">
        <v>2548</v>
      </c>
      <c r="BT335" t="s">
        <v>2549</v>
      </c>
      <c r="BU335" t="s">
        <v>2550</v>
      </c>
      <c r="BV335" t="str">
        <f>"314408"</f>
        <v>314408</v>
      </c>
      <c r="BW335">
        <v>894</v>
      </c>
      <c r="BX335" t="s">
        <v>2744</v>
      </c>
      <c r="BY335" t="s">
        <v>2697</v>
      </c>
      <c r="BZ335">
        <v>1</v>
      </c>
    </row>
    <row r="336" spans="1:78" x14ac:dyDescent="0.25">
      <c r="A336" s="1">
        <v>44929</v>
      </c>
      <c r="B336" t="s">
        <v>2551</v>
      </c>
      <c r="C336" t="s">
        <v>189</v>
      </c>
      <c r="E336">
        <v>2</v>
      </c>
      <c r="F336" t="s">
        <v>76</v>
      </c>
      <c r="G336">
        <v>44.34</v>
      </c>
      <c r="H336">
        <v>0</v>
      </c>
      <c r="I336">
        <v>0</v>
      </c>
      <c r="J336">
        <v>3.66</v>
      </c>
      <c r="K336">
        <v>48</v>
      </c>
      <c r="L336" t="s">
        <v>77</v>
      </c>
      <c r="P336" t="s">
        <v>190</v>
      </c>
      <c r="Q336" t="s">
        <v>191</v>
      </c>
      <c r="R336" t="s">
        <v>80</v>
      </c>
      <c r="S336" t="s">
        <v>80</v>
      </c>
      <c r="T336" t="s">
        <v>80</v>
      </c>
      <c r="U336" t="s">
        <v>80</v>
      </c>
      <c r="V336" t="s">
        <v>80</v>
      </c>
      <c r="W336" t="s">
        <v>2552</v>
      </c>
      <c r="X336" s="1">
        <v>44929</v>
      </c>
      <c r="Y336">
        <v>48</v>
      </c>
      <c r="Z336" t="s">
        <v>82</v>
      </c>
      <c r="AA336" t="str">
        <f t="shared" si="9"/>
        <v>1003</v>
      </c>
      <c r="AB336" t="s">
        <v>119</v>
      </c>
      <c r="AC336" t="s">
        <v>2553</v>
      </c>
      <c r="AD336" t="s">
        <v>2554</v>
      </c>
      <c r="AE336" t="str">
        <f>"44102002"</f>
        <v>44102002</v>
      </c>
      <c r="AF336" t="s">
        <v>108</v>
      </c>
      <c r="AG336" t="s">
        <v>109</v>
      </c>
      <c r="AH336" t="s">
        <v>489</v>
      </c>
      <c r="AI336" t="s">
        <v>490</v>
      </c>
      <c r="AJ336" t="s">
        <v>2555</v>
      </c>
      <c r="AK336" t="s">
        <v>2556</v>
      </c>
      <c r="AL336" t="s">
        <v>2556</v>
      </c>
      <c r="AN336" t="s">
        <v>2557</v>
      </c>
      <c r="AO336" t="s">
        <v>2557</v>
      </c>
      <c r="AP336" t="s">
        <v>92</v>
      </c>
      <c r="AR336">
        <v>29.99</v>
      </c>
      <c r="AS336">
        <v>22.17</v>
      </c>
      <c r="AT336">
        <v>2</v>
      </c>
      <c r="AU336">
        <v>44.34</v>
      </c>
      <c r="AV336">
        <v>0</v>
      </c>
      <c r="AX336">
        <v>3.66</v>
      </c>
      <c r="AY336">
        <v>48</v>
      </c>
      <c r="BA336" t="s">
        <v>93</v>
      </c>
      <c r="BC336" t="s">
        <v>93</v>
      </c>
      <c r="BD336" t="s">
        <v>128</v>
      </c>
      <c r="BE336">
        <v>7.82</v>
      </c>
      <c r="BF336" s="2">
        <v>0.26079999999999998</v>
      </c>
      <c r="BI336" t="s">
        <v>80</v>
      </c>
      <c r="BM336" t="s">
        <v>94</v>
      </c>
      <c r="BN336" t="s">
        <v>95</v>
      </c>
      <c r="BP336" t="s">
        <v>2558</v>
      </c>
      <c r="BR336" t="s">
        <v>130</v>
      </c>
      <c r="BT336" t="s">
        <v>131</v>
      </c>
      <c r="BU336" t="s">
        <v>132</v>
      </c>
      <c r="BV336" t="str">
        <f>"98109"</f>
        <v>98109</v>
      </c>
      <c r="BW336">
        <v>869</v>
      </c>
      <c r="BX336" t="s">
        <v>2758</v>
      </c>
      <c r="BY336" t="s">
        <v>2667</v>
      </c>
      <c r="BZ336">
        <v>1</v>
      </c>
    </row>
    <row r="337" spans="1:78" x14ac:dyDescent="0.25">
      <c r="A337" s="1">
        <v>44929</v>
      </c>
      <c r="B337" t="s">
        <v>2559</v>
      </c>
      <c r="C337" t="s">
        <v>392</v>
      </c>
      <c r="E337">
        <v>4</v>
      </c>
      <c r="F337" t="s">
        <v>76</v>
      </c>
      <c r="G337">
        <v>39.96</v>
      </c>
      <c r="H337">
        <v>0</v>
      </c>
      <c r="I337">
        <v>0</v>
      </c>
      <c r="J337">
        <v>2.8</v>
      </c>
      <c r="K337">
        <v>42.76</v>
      </c>
      <c r="L337" t="s">
        <v>77</v>
      </c>
      <c r="P337" t="s">
        <v>1006</v>
      </c>
      <c r="Q337" t="s">
        <v>1007</v>
      </c>
      <c r="R337" t="s">
        <v>80</v>
      </c>
      <c r="S337" t="s">
        <v>80</v>
      </c>
      <c r="T337" t="s">
        <v>80</v>
      </c>
      <c r="U337" t="s">
        <v>80</v>
      </c>
      <c r="V337" t="s">
        <v>80</v>
      </c>
      <c r="W337" t="s">
        <v>2560</v>
      </c>
      <c r="X337" s="1">
        <v>44929</v>
      </c>
      <c r="Y337">
        <v>42.76</v>
      </c>
      <c r="Z337" t="s">
        <v>82</v>
      </c>
      <c r="AA337" t="str">
        <f t="shared" si="9"/>
        <v>1003</v>
      </c>
      <c r="AB337" t="s">
        <v>119</v>
      </c>
      <c r="AC337" t="s">
        <v>2561</v>
      </c>
      <c r="AD337" t="s">
        <v>2562</v>
      </c>
      <c r="AE337" t="str">
        <f>"44121604"</f>
        <v>44121604</v>
      </c>
      <c r="AF337" t="s">
        <v>108</v>
      </c>
      <c r="AG337" t="s">
        <v>556</v>
      </c>
      <c r="AH337" t="s">
        <v>983</v>
      </c>
      <c r="AI337" t="s">
        <v>2563</v>
      </c>
      <c r="AK337" t="s">
        <v>2564</v>
      </c>
      <c r="AL337" t="s">
        <v>2565</v>
      </c>
      <c r="AN337" t="s">
        <v>2566</v>
      </c>
      <c r="AO337" t="s">
        <v>2567</v>
      </c>
      <c r="AP337" t="s">
        <v>92</v>
      </c>
      <c r="AR337">
        <v>18.989999999999998</v>
      </c>
      <c r="AS337">
        <v>9.99</v>
      </c>
      <c r="AT337">
        <v>4</v>
      </c>
      <c r="AU337">
        <v>39.96</v>
      </c>
      <c r="AV337">
        <v>0</v>
      </c>
      <c r="AX337">
        <v>2.8</v>
      </c>
      <c r="AY337">
        <v>42.76</v>
      </c>
      <c r="BA337" t="s">
        <v>93</v>
      </c>
      <c r="BC337" t="s">
        <v>93</v>
      </c>
      <c r="BD337" t="s">
        <v>128</v>
      </c>
      <c r="BE337">
        <v>9</v>
      </c>
      <c r="BF337" s="2">
        <v>0.47389999999999999</v>
      </c>
      <c r="BI337" t="s">
        <v>80</v>
      </c>
      <c r="BM337" t="s">
        <v>94</v>
      </c>
      <c r="BN337" t="s">
        <v>95</v>
      </c>
      <c r="BP337" t="s">
        <v>1014</v>
      </c>
      <c r="BR337" t="s">
        <v>2568</v>
      </c>
      <c r="BS337" t="s">
        <v>538</v>
      </c>
      <c r="BT337" t="s">
        <v>2569</v>
      </c>
      <c r="BU337" t="s">
        <v>1605</v>
      </c>
      <c r="BV337" t="str">
        <f>"53005"</f>
        <v>53005</v>
      </c>
      <c r="BW337">
        <v>804</v>
      </c>
      <c r="BX337" t="s">
        <v>2751</v>
      </c>
      <c r="BY337" t="s">
        <v>2614</v>
      </c>
      <c r="BZ337">
        <v>1</v>
      </c>
    </row>
  </sheetData>
  <autoFilter ref="A1:BZ33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workbookViewId="0">
      <selection activeCell="B1" sqref="B1"/>
    </sheetView>
  </sheetViews>
  <sheetFormatPr defaultRowHeight="15" x14ac:dyDescent="0.25"/>
  <cols>
    <col min="1" max="1" width="12.7109375" style="6" bestFit="1" customWidth="1"/>
    <col min="2" max="2" width="31.7109375" bestFit="1" customWidth="1"/>
    <col min="3" max="3" width="75.28515625" bestFit="1" customWidth="1"/>
  </cols>
  <sheetData>
    <row r="1" spans="1:3" x14ac:dyDescent="0.25">
      <c r="A1" s="5" t="s">
        <v>2570</v>
      </c>
      <c r="B1" t="s">
        <v>2571</v>
      </c>
      <c r="C1" t="s">
        <v>2572</v>
      </c>
    </row>
    <row r="2" spans="1:3" x14ac:dyDescent="0.25">
      <c r="A2" s="6">
        <v>1</v>
      </c>
      <c r="B2" t="s">
        <v>2573</v>
      </c>
      <c r="C2" t="s">
        <v>2574</v>
      </c>
    </row>
    <row r="3" spans="1:3" x14ac:dyDescent="0.25">
      <c r="A3" s="6">
        <v>101</v>
      </c>
      <c r="B3" t="s">
        <v>2575</v>
      </c>
      <c r="C3" t="s">
        <v>2576</v>
      </c>
    </row>
    <row r="4" spans="1:3" x14ac:dyDescent="0.25">
      <c r="A4" s="6">
        <v>106</v>
      </c>
      <c r="B4" t="s">
        <v>2577</v>
      </c>
      <c r="C4" t="s">
        <v>2578</v>
      </c>
    </row>
    <row r="5" spans="1:3" x14ac:dyDescent="0.25">
      <c r="A5" s="6">
        <v>107</v>
      </c>
      <c r="B5" t="s">
        <v>2579</v>
      </c>
      <c r="C5" t="s">
        <v>2580</v>
      </c>
    </row>
    <row r="6" spans="1:3" x14ac:dyDescent="0.25">
      <c r="A6" s="6">
        <v>108</v>
      </c>
      <c r="B6" t="s">
        <v>2581</v>
      </c>
      <c r="C6" t="s">
        <v>2582</v>
      </c>
    </row>
    <row r="7" spans="1:3" x14ac:dyDescent="0.25">
      <c r="A7" s="6">
        <v>109</v>
      </c>
      <c r="B7" t="s">
        <v>2583</v>
      </c>
      <c r="C7" t="s">
        <v>2584</v>
      </c>
    </row>
    <row r="8" spans="1:3" x14ac:dyDescent="0.25">
      <c r="A8" s="6">
        <v>110</v>
      </c>
      <c r="B8" t="s">
        <v>2585</v>
      </c>
      <c r="C8" t="s">
        <v>2586</v>
      </c>
    </row>
    <row r="9" spans="1:3" x14ac:dyDescent="0.25">
      <c r="A9" s="6">
        <v>111</v>
      </c>
      <c r="B9" t="s">
        <v>2587</v>
      </c>
      <c r="C9" t="s">
        <v>2588</v>
      </c>
    </row>
    <row r="10" spans="1:3" x14ac:dyDescent="0.25">
      <c r="A10" s="6">
        <v>112</v>
      </c>
      <c r="B10" t="s">
        <v>2589</v>
      </c>
      <c r="C10" t="s">
        <v>2590</v>
      </c>
    </row>
    <row r="11" spans="1:3" x14ac:dyDescent="0.25">
      <c r="A11" s="6">
        <v>116</v>
      </c>
      <c r="B11" t="s">
        <v>2591</v>
      </c>
      <c r="C11" t="s">
        <v>2592</v>
      </c>
    </row>
    <row r="12" spans="1:3" x14ac:dyDescent="0.25">
      <c r="A12" s="6">
        <v>120</v>
      </c>
      <c r="B12" t="s">
        <v>2593</v>
      </c>
      <c r="C12" t="s">
        <v>2594</v>
      </c>
    </row>
    <row r="13" spans="1:3" x14ac:dyDescent="0.25">
      <c r="A13" s="6">
        <v>128</v>
      </c>
      <c r="B13" t="s">
        <v>2595</v>
      </c>
      <c r="C13" t="s">
        <v>2596</v>
      </c>
    </row>
    <row r="14" spans="1:3" x14ac:dyDescent="0.25">
      <c r="A14" s="6">
        <v>130</v>
      </c>
      <c r="B14" t="s">
        <v>2597</v>
      </c>
      <c r="C14" t="s">
        <v>2598</v>
      </c>
    </row>
    <row r="15" spans="1:3" x14ac:dyDescent="0.25">
      <c r="A15" s="6">
        <v>148</v>
      </c>
      <c r="B15" t="s">
        <v>2599</v>
      </c>
      <c r="C15" t="s">
        <v>2600</v>
      </c>
    </row>
    <row r="16" spans="1:3" x14ac:dyDescent="0.25">
      <c r="A16" s="6">
        <v>189</v>
      </c>
      <c r="B16" t="s">
        <v>2601</v>
      </c>
      <c r="C16" t="s">
        <v>2602</v>
      </c>
    </row>
    <row r="17" spans="1:3" x14ac:dyDescent="0.25">
      <c r="A17" s="6">
        <v>194</v>
      </c>
      <c r="B17" t="s">
        <v>2603</v>
      </c>
      <c r="C17" t="s">
        <v>2604</v>
      </c>
    </row>
    <row r="18" spans="1:3" x14ac:dyDescent="0.25">
      <c r="A18" s="6">
        <v>195</v>
      </c>
      <c r="B18" t="s">
        <v>2605</v>
      </c>
      <c r="C18" t="s">
        <v>2606</v>
      </c>
    </row>
    <row r="19" spans="1:3" x14ac:dyDescent="0.25">
      <c r="A19" s="6">
        <v>197</v>
      </c>
      <c r="B19" t="s">
        <v>2607</v>
      </c>
      <c r="C19" t="s">
        <v>2608</v>
      </c>
    </row>
    <row r="20" spans="1:3" x14ac:dyDescent="0.25">
      <c r="A20" s="6">
        <v>705</v>
      </c>
      <c r="B20" t="s">
        <v>2609</v>
      </c>
    </row>
    <row r="21" spans="1:3" x14ac:dyDescent="0.25">
      <c r="A21" s="6">
        <v>802</v>
      </c>
      <c r="B21" t="s">
        <v>2610</v>
      </c>
      <c r="C21" t="s">
        <v>2611</v>
      </c>
    </row>
    <row r="22" spans="1:3" x14ac:dyDescent="0.25">
      <c r="A22" s="6">
        <v>803</v>
      </c>
      <c r="B22" t="s">
        <v>2612</v>
      </c>
      <c r="C22" t="s">
        <v>2613</v>
      </c>
    </row>
    <row r="23" spans="1:3" x14ac:dyDescent="0.25">
      <c r="A23" s="6">
        <v>804</v>
      </c>
      <c r="B23" t="s">
        <v>2614</v>
      </c>
      <c r="C23" t="s">
        <v>2615</v>
      </c>
    </row>
    <row r="24" spans="1:3" x14ac:dyDescent="0.25">
      <c r="A24" s="6">
        <v>805</v>
      </c>
      <c r="B24" t="s">
        <v>2616</v>
      </c>
      <c r="C24" t="s">
        <v>2617</v>
      </c>
    </row>
    <row r="25" spans="1:3" x14ac:dyDescent="0.25">
      <c r="A25" s="6">
        <v>806</v>
      </c>
      <c r="B25" t="s">
        <v>2618</v>
      </c>
      <c r="C25" t="s">
        <v>2619</v>
      </c>
    </row>
    <row r="26" spans="1:3" x14ac:dyDescent="0.25">
      <c r="A26" s="6">
        <v>807</v>
      </c>
      <c r="B26" t="s">
        <v>2620</v>
      </c>
      <c r="C26" t="s">
        <v>2621</v>
      </c>
    </row>
    <row r="27" spans="1:3" x14ac:dyDescent="0.25">
      <c r="A27" s="6">
        <v>809</v>
      </c>
      <c r="B27" t="s">
        <v>2622</v>
      </c>
      <c r="C27" t="s">
        <v>2623</v>
      </c>
    </row>
    <row r="28" spans="1:3" x14ac:dyDescent="0.25">
      <c r="A28" s="6">
        <v>810</v>
      </c>
      <c r="B28" t="s">
        <v>2624</v>
      </c>
      <c r="C28" t="s">
        <v>2625</v>
      </c>
    </row>
    <row r="29" spans="1:3" x14ac:dyDescent="0.25">
      <c r="A29" s="6">
        <v>811</v>
      </c>
      <c r="B29" t="s">
        <v>2626</v>
      </c>
      <c r="C29" t="s">
        <v>2627</v>
      </c>
    </row>
    <row r="30" spans="1:3" x14ac:dyDescent="0.25">
      <c r="A30" s="6">
        <v>812</v>
      </c>
      <c r="B30" t="s">
        <v>2628</v>
      </c>
      <c r="C30" t="s">
        <v>2629</v>
      </c>
    </row>
    <row r="31" spans="1:3" x14ac:dyDescent="0.25">
      <c r="A31" s="6">
        <v>813</v>
      </c>
      <c r="B31" t="s">
        <v>2630</v>
      </c>
      <c r="C31" t="s">
        <v>2631</v>
      </c>
    </row>
    <row r="32" spans="1:3" x14ac:dyDescent="0.25">
      <c r="A32" s="6">
        <v>814</v>
      </c>
      <c r="B32" t="s">
        <v>2632</v>
      </c>
      <c r="C32" t="s">
        <v>2633</v>
      </c>
    </row>
    <row r="33" spans="1:3" x14ac:dyDescent="0.25">
      <c r="A33" s="6">
        <v>815</v>
      </c>
      <c r="B33" t="s">
        <v>2634</v>
      </c>
      <c r="C33" t="s">
        <v>2635</v>
      </c>
    </row>
    <row r="34" spans="1:3" x14ac:dyDescent="0.25">
      <c r="A34" s="6">
        <v>817</v>
      </c>
      <c r="B34" t="s">
        <v>2636</v>
      </c>
    </row>
    <row r="35" spans="1:3" x14ac:dyDescent="0.25">
      <c r="A35" s="6">
        <v>818</v>
      </c>
      <c r="B35" t="s">
        <v>2573</v>
      </c>
      <c r="C35" t="s">
        <v>2574</v>
      </c>
    </row>
    <row r="36" spans="1:3" x14ac:dyDescent="0.25">
      <c r="A36" s="6">
        <v>819</v>
      </c>
      <c r="B36" t="s">
        <v>2637</v>
      </c>
      <c r="C36" t="s">
        <v>2638</v>
      </c>
    </row>
    <row r="37" spans="1:3" x14ac:dyDescent="0.25">
      <c r="A37" s="6">
        <v>820</v>
      </c>
      <c r="B37" t="s">
        <v>2639</v>
      </c>
      <c r="C37" t="s">
        <v>2640</v>
      </c>
    </row>
    <row r="38" spans="1:3" x14ac:dyDescent="0.25">
      <c r="A38" s="6">
        <v>821</v>
      </c>
      <c r="B38" t="s">
        <v>2641</v>
      </c>
      <c r="C38" t="s">
        <v>2642</v>
      </c>
    </row>
    <row r="39" spans="1:3" x14ac:dyDescent="0.25">
      <c r="A39" s="6">
        <v>822</v>
      </c>
      <c r="B39" t="s">
        <v>2643</v>
      </c>
      <c r="C39" t="s">
        <v>2644</v>
      </c>
    </row>
    <row r="40" spans="1:3" x14ac:dyDescent="0.25">
      <c r="A40" s="6">
        <v>823</v>
      </c>
      <c r="B40" t="s">
        <v>2645</v>
      </c>
      <c r="C40" t="s">
        <v>2646</v>
      </c>
    </row>
    <row r="41" spans="1:3" x14ac:dyDescent="0.25">
      <c r="A41" s="6">
        <v>824</v>
      </c>
      <c r="B41" t="s">
        <v>2647</v>
      </c>
      <c r="C41" t="s">
        <v>2648</v>
      </c>
    </row>
    <row r="42" spans="1:3" x14ac:dyDescent="0.25">
      <c r="A42" s="6">
        <v>825</v>
      </c>
      <c r="B42" t="s">
        <v>2649</v>
      </c>
      <c r="C42" t="s">
        <v>2650</v>
      </c>
    </row>
    <row r="43" spans="1:3" x14ac:dyDescent="0.25">
      <c r="A43" s="6">
        <v>826</v>
      </c>
      <c r="B43" t="s">
        <v>2651</v>
      </c>
      <c r="C43" t="s">
        <v>2652</v>
      </c>
    </row>
    <row r="44" spans="1:3" x14ac:dyDescent="0.25">
      <c r="A44" s="6">
        <v>827</v>
      </c>
      <c r="B44" t="s">
        <v>2653</v>
      </c>
      <c r="C44" t="s">
        <v>2654</v>
      </c>
    </row>
    <row r="45" spans="1:3" x14ac:dyDescent="0.25">
      <c r="A45" s="6">
        <v>828</v>
      </c>
      <c r="B45" t="s">
        <v>2655</v>
      </c>
      <c r="C45" t="s">
        <v>2656</v>
      </c>
    </row>
    <row r="46" spans="1:3" x14ac:dyDescent="0.25">
      <c r="A46" s="6">
        <v>838</v>
      </c>
      <c r="B46" t="s">
        <v>2657</v>
      </c>
      <c r="C46" t="s">
        <v>2658</v>
      </c>
    </row>
    <row r="47" spans="1:3" x14ac:dyDescent="0.25">
      <c r="A47" s="6">
        <v>839</v>
      </c>
      <c r="B47" t="s">
        <v>2659</v>
      </c>
      <c r="C47" t="s">
        <v>2660</v>
      </c>
    </row>
    <row r="48" spans="1:3" x14ac:dyDescent="0.25">
      <c r="A48" s="6">
        <v>848</v>
      </c>
      <c r="B48" t="s">
        <v>2661</v>
      </c>
      <c r="C48" t="s">
        <v>2662</v>
      </c>
    </row>
    <row r="49" spans="1:3" x14ac:dyDescent="0.25">
      <c r="A49" s="6">
        <v>858</v>
      </c>
      <c r="B49" t="s">
        <v>2663</v>
      </c>
      <c r="C49" t="s">
        <v>2664</v>
      </c>
    </row>
    <row r="50" spans="1:3" x14ac:dyDescent="0.25">
      <c r="A50" s="6">
        <v>868</v>
      </c>
      <c r="B50" t="s">
        <v>2665</v>
      </c>
      <c r="C50" t="s">
        <v>2666</v>
      </c>
    </row>
    <row r="51" spans="1:3" x14ac:dyDescent="0.25">
      <c r="A51" s="6">
        <v>869</v>
      </c>
      <c r="B51" t="s">
        <v>2667</v>
      </c>
      <c r="C51" t="s">
        <v>2668</v>
      </c>
    </row>
    <row r="52" spans="1:3" x14ac:dyDescent="0.25">
      <c r="A52" s="6">
        <v>877</v>
      </c>
      <c r="B52" t="s">
        <v>2669</v>
      </c>
      <c r="C52" t="s">
        <v>2670</v>
      </c>
    </row>
    <row r="53" spans="1:3" x14ac:dyDescent="0.25">
      <c r="A53" s="6">
        <v>878</v>
      </c>
      <c r="B53" t="s">
        <v>2671</v>
      </c>
      <c r="C53" t="s">
        <v>2672</v>
      </c>
    </row>
    <row r="54" spans="1:3" x14ac:dyDescent="0.25">
      <c r="A54" s="6">
        <v>879</v>
      </c>
      <c r="B54" t="s">
        <v>2673</v>
      </c>
      <c r="C54" t="s">
        <v>2674</v>
      </c>
    </row>
    <row r="55" spans="1:3" x14ac:dyDescent="0.25">
      <c r="A55" s="6">
        <v>880</v>
      </c>
      <c r="B55" t="s">
        <v>2675</v>
      </c>
      <c r="C55" t="s">
        <v>2676</v>
      </c>
    </row>
    <row r="56" spans="1:3" x14ac:dyDescent="0.25">
      <c r="A56" s="6">
        <v>881</v>
      </c>
      <c r="B56" t="s">
        <v>2677</v>
      </c>
      <c r="C56" t="s">
        <v>2678</v>
      </c>
    </row>
    <row r="57" spans="1:3" x14ac:dyDescent="0.25">
      <c r="A57" s="6">
        <v>882</v>
      </c>
      <c r="B57" t="s">
        <v>2679</v>
      </c>
      <c r="C57" t="s">
        <v>2680</v>
      </c>
    </row>
    <row r="58" spans="1:3" x14ac:dyDescent="0.25">
      <c r="A58" s="6">
        <v>884</v>
      </c>
      <c r="B58" t="s">
        <v>2681</v>
      </c>
      <c r="C58" t="s">
        <v>2682</v>
      </c>
    </row>
    <row r="59" spans="1:3" x14ac:dyDescent="0.25">
      <c r="A59" s="6">
        <v>887</v>
      </c>
      <c r="B59" t="s">
        <v>2683</v>
      </c>
      <c r="C59" t="s">
        <v>2684</v>
      </c>
    </row>
    <row r="60" spans="1:3" x14ac:dyDescent="0.25">
      <c r="A60" s="6">
        <v>888</v>
      </c>
      <c r="B60" t="s">
        <v>2685</v>
      </c>
      <c r="C60" t="s">
        <v>2686</v>
      </c>
    </row>
    <row r="61" spans="1:3" x14ac:dyDescent="0.25">
      <c r="A61" s="6">
        <v>889</v>
      </c>
      <c r="B61" t="s">
        <v>2687</v>
      </c>
      <c r="C61" t="s">
        <v>2688</v>
      </c>
    </row>
    <row r="62" spans="1:3" x14ac:dyDescent="0.25">
      <c r="A62" s="6">
        <v>890</v>
      </c>
      <c r="B62" t="s">
        <v>2689</v>
      </c>
      <c r="C62" t="s">
        <v>2690</v>
      </c>
    </row>
    <row r="63" spans="1:3" x14ac:dyDescent="0.25">
      <c r="A63" s="6">
        <v>891</v>
      </c>
      <c r="B63" t="s">
        <v>2691</v>
      </c>
      <c r="C63" t="s">
        <v>2692</v>
      </c>
    </row>
    <row r="64" spans="1:3" x14ac:dyDescent="0.25">
      <c r="A64" s="6">
        <v>892</v>
      </c>
      <c r="B64" t="s">
        <v>2693</v>
      </c>
      <c r="C64" t="s">
        <v>2694</v>
      </c>
    </row>
    <row r="65" spans="1:3" x14ac:dyDescent="0.25">
      <c r="A65" s="6">
        <v>893</v>
      </c>
      <c r="B65" t="s">
        <v>2695</v>
      </c>
      <c r="C65" t="s">
        <v>2696</v>
      </c>
    </row>
    <row r="66" spans="1:3" x14ac:dyDescent="0.25">
      <c r="A66" s="6">
        <v>894</v>
      </c>
      <c r="B66" t="s">
        <v>2697</v>
      </c>
      <c r="C66" t="s">
        <v>2698</v>
      </c>
    </row>
    <row r="67" spans="1:3" x14ac:dyDescent="0.25">
      <c r="A67" s="6">
        <v>895</v>
      </c>
      <c r="B67" t="s">
        <v>2699</v>
      </c>
      <c r="C67" t="s">
        <v>2700</v>
      </c>
    </row>
    <row r="68" spans="1:3" x14ac:dyDescent="0.25">
      <c r="A68" s="6">
        <v>897</v>
      </c>
      <c r="B68" t="s">
        <v>2701</v>
      </c>
      <c r="C68" t="s">
        <v>2702</v>
      </c>
    </row>
    <row r="69" spans="1:3" x14ac:dyDescent="0.25">
      <c r="A69" s="6">
        <v>898</v>
      </c>
      <c r="B69" t="s">
        <v>2703</v>
      </c>
      <c r="C69" t="s">
        <v>2704</v>
      </c>
    </row>
    <row r="70" spans="1:3" x14ac:dyDescent="0.25">
      <c r="A70" s="6">
        <v>901</v>
      </c>
      <c r="B70" t="s">
        <v>2705</v>
      </c>
      <c r="C70" t="s">
        <v>2706</v>
      </c>
    </row>
    <row r="71" spans="1:3" x14ac:dyDescent="0.25">
      <c r="A71" s="6">
        <v>902</v>
      </c>
      <c r="B71" t="s">
        <v>2707</v>
      </c>
      <c r="C71" t="s">
        <v>2708</v>
      </c>
    </row>
    <row r="72" spans="1:3" x14ac:dyDescent="0.25">
      <c r="A72" s="6">
        <v>904</v>
      </c>
      <c r="B72" t="s">
        <v>2709</v>
      </c>
      <c r="C72" t="s">
        <v>2710</v>
      </c>
    </row>
    <row r="73" spans="1:3" x14ac:dyDescent="0.25">
      <c r="A73" s="6">
        <v>905</v>
      </c>
      <c r="B73" t="s">
        <v>2711</v>
      </c>
      <c r="C73" t="s">
        <v>2712</v>
      </c>
    </row>
    <row r="74" spans="1:3" x14ac:dyDescent="0.25">
      <c r="A74" s="6">
        <v>906</v>
      </c>
      <c r="B74" t="s">
        <v>2713</v>
      </c>
      <c r="C74" t="s">
        <v>2714</v>
      </c>
    </row>
    <row r="75" spans="1:3" x14ac:dyDescent="0.25">
      <c r="A75" s="6">
        <v>907</v>
      </c>
      <c r="B75" t="s">
        <v>2715</v>
      </c>
      <c r="C75" t="s">
        <v>2716</v>
      </c>
    </row>
    <row r="76" spans="1:3" x14ac:dyDescent="0.25">
      <c r="A76" s="6">
        <v>908</v>
      </c>
      <c r="B76" t="s">
        <v>2717</v>
      </c>
      <c r="C76" t="s">
        <v>2718</v>
      </c>
    </row>
    <row r="77" spans="1:3" x14ac:dyDescent="0.25">
      <c r="A77" s="6">
        <v>909</v>
      </c>
      <c r="B77" t="s">
        <v>2719</v>
      </c>
      <c r="C77" t="s">
        <v>2720</v>
      </c>
    </row>
    <row r="78" spans="1:3" x14ac:dyDescent="0.25">
      <c r="A78" s="6">
        <v>920</v>
      </c>
      <c r="B78" t="s">
        <v>2721</v>
      </c>
      <c r="C78" t="s">
        <v>2722</v>
      </c>
    </row>
    <row r="79" spans="1:3" x14ac:dyDescent="0.25">
      <c r="A79" s="6">
        <v>931</v>
      </c>
      <c r="B79" t="s">
        <v>2723</v>
      </c>
      <c r="C79" t="s">
        <v>2724</v>
      </c>
    </row>
    <row r="80" spans="1:3" x14ac:dyDescent="0.25">
      <c r="A80" s="6" t="s">
        <v>2725</v>
      </c>
      <c r="B80" t="s">
        <v>2726</v>
      </c>
      <c r="C80" t="s">
        <v>2727</v>
      </c>
    </row>
  </sheetData>
  <autoFilter ref="A1:C80">
    <sortState xmlns:xlrd2="http://schemas.microsoft.com/office/spreadsheetml/2017/richdata2" ref="A2:C80">
      <sortCondition ref="A1:A80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Mandy Zhang</cp:lastModifiedBy>
  <dcterms:created xsi:type="dcterms:W3CDTF">2023-02-11T00:14:19Z</dcterms:created>
  <dcterms:modified xsi:type="dcterms:W3CDTF">2023-02-11T00:45:07Z</dcterms:modified>
</cp:coreProperties>
</file>