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402"/>
  <sheetViews>
    <sheetView workbookViewId="0">
      <selection activeCell="A1" sqref="A1"/>
    </sheetView>
  </sheetViews>
  <sheetFormatPr baseColWidth="8" defaultRowHeight="15"/>
  <sheetData>
    <row r="1">
      <c r="A1" s="1" t="inlineStr">
        <is>
          <t>No</t>
        </is>
      </c>
      <c r="B1" s="1" t="inlineStr">
        <is>
          <t>Part Type</t>
        </is>
      </c>
      <c r="C1" s="1" t="inlineStr">
        <is>
          <t>Part Number</t>
        </is>
      </c>
      <c r="D1" s="1" t="inlineStr">
        <is>
          <t>Title</t>
        </is>
      </c>
      <c r="E1" s="1" t="inlineStr">
        <is>
          <t>Subtitle</t>
        </is>
      </c>
      <c r="F1" s="1" t="inlineStr">
        <is>
          <t>OEM</t>
        </is>
      </c>
      <c r="G1" s="1" t="inlineStr">
        <is>
          <t>Vehicle W/o Engine</t>
        </is>
      </c>
      <c r="H1" s="1" t="inlineStr">
        <is>
          <t>Vehicle W/ Engine</t>
        </is>
      </c>
      <c r="I1" s="1" t="inlineStr">
        <is>
          <t>Json_Info</t>
        </is>
      </c>
      <c r="J1" s="1" t="inlineStr">
        <is>
          <t>Url</t>
        </is>
      </c>
      <c r="K1" s="1" t="inlineStr">
        <is>
          <t>Picture</t>
        </is>
      </c>
      <c r="L1" s="1" t="inlineStr">
        <is>
          <t>productDeskExternalKey</t>
        </is>
      </c>
      <c r="M1" s="1" t="inlineStr">
        <is>
          <t>Package Contents</t>
        </is>
      </c>
      <c r="N1" s="1" t="inlineStr">
        <is>
          <t>E-Waste</t>
        </is>
      </c>
      <c r="O1" s="1" t="inlineStr">
        <is>
          <t>Product Condition</t>
        </is>
      </c>
      <c r="P1" s="1" t="inlineStr">
        <is>
          <t>Mounting Hole Quantity</t>
        </is>
      </c>
      <c r="Q1" s="1" t="inlineStr">
        <is>
          <t>Terminal Type</t>
        </is>
      </c>
      <c r="R1" s="1" t="inlineStr">
        <is>
          <t>Mounting Type</t>
        </is>
      </c>
      <c r="S1" s="1" t="inlineStr">
        <is>
          <t>Weight PG</t>
        </is>
      </c>
      <c r="T1" s="1" t="inlineStr">
        <is>
          <t>Washer Pump Included</t>
        </is>
      </c>
      <c r="U1" s="1" t="inlineStr">
        <is>
          <t>Warranty Info</t>
        </is>
      </c>
      <c r="V1" s="1" t="inlineStr">
        <is>
          <t>Sustainable Choice</t>
        </is>
      </c>
      <c r="W1" s="1" t="inlineStr">
        <is>
          <t>Lifecycle Status</t>
        </is>
      </c>
      <c r="X1" s="1" t="inlineStr">
        <is>
          <t>Application Summary</t>
        </is>
      </c>
      <c r="Y1" s="1" t="inlineStr">
        <is>
          <t>ItemLevelGTIN</t>
        </is>
      </c>
      <c r="Z1" s="1" t="inlineStr">
        <is>
          <t>_addonCardone</t>
        </is>
      </c>
      <c r="AA1" s="1" t="inlineStr">
        <is>
          <t>Eligible for R&amp;R Service</t>
        </is>
      </c>
      <c r="AB1" s="1" t="inlineStr">
        <is>
          <t>Design Upgrade</t>
        </is>
      </c>
      <c r="AC1" s="1" t="inlineStr">
        <is>
          <t>Lifetime Warranty</t>
        </is>
      </c>
    </row>
    <row r="2">
      <c r="A2" t="inlineStr">
        <is>
          <t>1</t>
        </is>
      </c>
      <c r="B2" t="inlineStr">
        <is>
          <t>Windshield Wiper Motor</t>
        </is>
      </c>
      <c r="C2" t="inlineStr">
        <is>
          <t>40-1000</t>
        </is>
      </c>
      <c r="D2" t="inlineStr">
        <is>
          <t>Windshield Wiper Motor - 40-1000</t>
        </is>
      </c>
      <c r="E2" t="inlineStr">
        <is>
          <t>CARDONE Reman</t>
        </is>
      </c>
      <c r="F2" t="inlineStr">
        <is>
          <t>22154913;22110039</t>
        </is>
      </c>
      <c r="G2" t="inlineStr">
        <is>
          <t>Chevrolet Camaro 1993-1998
Pontiac Firebird 1993-1998</t>
        </is>
      </c>
      <c r="H2" t="inlineStr">
        <is>
          <t>Chevrolet Camaro 1993-1995 3.4L V6 207cid
Chevrolet Camaro 1993-1998 5.7L V8 350cid
Chevrolet Camaro 1995-1998 3.8L V6 231cid
Pontiac Firebird 1993-1995 3.4L V6 207cid
Pontiac Firebird 1993-1998 5.7L V8 350cid
Pontiac Firebird 1995-1998 3.8L V6 231cid</t>
        </is>
      </c>
      <c r="I2" t="inlineStr">
        <is>
          <t>{"0": {"productDeskExternalKey": "CPCX|40-1000"}, "1": {"Package Contents": "Wiper Motor; Instruction Sheet"}, "2": {"E-Waste": "Yes"}, "3": {"Product Condition": "Remanufactured"}, "4": {"Mounting Hole Quantity": "3"}, "5": {"Terminal Type": "Blade"}, "6": {"Mounting Type": "Eyelet; Grommet"}, "7": {"Weight PG": "5.9000"}, "8": {"Washer Pump Included": "No"}, "9": {"Part Type": "Windshield Wiper Motor"}, "10": {"Warranty Info": "1 Year/18,000 Mile"}, "11": {"Sustainable Choice": "Yes"}, "12": {"Lifecycle Status": "Available to Order"}, "13": {"Application Summary": "Chevrolet Camaro 1998-93; Pontiac Firebird 1998-93"}, "14": {"ItemLevelGTIN": "00082617338332"}, "15": {"_addonCardone": "40-1000::98271:100085:306"}, "16": {"Eligible for R&amp;R Service": "Yes"}}</t>
        </is>
      </c>
      <c r="J2" t="inlineStr">
        <is>
          <t>https://www.cardone.com/product/windshield-wiper-motor-40-1000</t>
        </is>
      </c>
      <c r="K2">
        <f>DISPIMG("ID_3E9701B6C79446139E24D980FCCD7AE4",1)</f>
        <v/>
      </c>
      <c r="L2" t="inlineStr">
        <is>
          <t>CPCX|40-1000</t>
        </is>
      </c>
      <c r="M2" t="inlineStr">
        <is>
          <t>Wiper Motor; Instruction Sheet</t>
        </is>
      </c>
      <c r="N2" t="inlineStr">
        <is>
          <t>Yes</t>
        </is>
      </c>
      <c r="O2" t="inlineStr">
        <is>
          <t>Remanufactured</t>
        </is>
      </c>
      <c r="P2" t="inlineStr">
        <is>
          <t>3</t>
        </is>
      </c>
      <c r="Q2" t="inlineStr">
        <is>
          <t>Blade</t>
        </is>
      </c>
      <c r="R2" t="inlineStr">
        <is>
          <t>Eyelet; Grommet</t>
        </is>
      </c>
      <c r="S2" t="inlineStr">
        <is>
          <t>5.9000</t>
        </is>
      </c>
      <c r="T2" t="inlineStr">
        <is>
          <t>No</t>
        </is>
      </c>
      <c r="U2" t="inlineStr">
        <is>
          <t>1 Year/18,000 Mile</t>
        </is>
      </c>
      <c r="V2" t="inlineStr">
        <is>
          <t>Yes</t>
        </is>
      </c>
      <c r="W2" t="inlineStr">
        <is>
          <t>Available to Order</t>
        </is>
      </c>
      <c r="X2" t="inlineStr">
        <is>
          <t>Chevrolet Camaro 1998-93; Pontiac Firebird 1998-93</t>
        </is>
      </c>
      <c r="Y2" t="inlineStr">
        <is>
          <t>00082617338332</t>
        </is>
      </c>
      <c r="Z2" t="inlineStr">
        <is>
          <t>40-1000::98271:100085:306</t>
        </is>
      </c>
      <c r="AA2" t="inlineStr">
        <is>
          <t>Yes</t>
        </is>
      </c>
      <c r="AB2" t="inlineStr"/>
      <c r="AC2" t="inlineStr"/>
    </row>
    <row r="3">
      <c r="A3" t="inlineStr">
        <is>
          <t>2</t>
        </is>
      </c>
      <c r="B3" t="inlineStr">
        <is>
          <t>Windshield Wiper Motor</t>
        </is>
      </c>
      <c r="C3" t="inlineStr">
        <is>
          <t>40-10000</t>
        </is>
      </c>
      <c r="D3" t="inlineStr">
        <is>
          <t>Windshield Wiper Motor - 40-10000</t>
        </is>
      </c>
      <c r="E3" t="inlineStr">
        <is>
          <t>CARDONE Reman</t>
        </is>
      </c>
      <c r="F3" t="inlineStr">
        <is>
          <t>15943193</t>
        </is>
      </c>
      <c r="G3" t="inlineStr"/>
      <c r="H3" t="inlineStr"/>
      <c r="I3" t="inlineStr">
        <is>
          <t>{"0": {"productDeskExternalKey": "CPCX|40-10000"}, "1": {"Package Contents": "Wiper Motor; Instruction Sheet"}, "2": {"E-Waste": "Yes"}, "3": {"Product Condition": "Remanufactured"}, "4": {"Mounting Hole Quantity": "3"}, "5": {"Terminal Type": "Blade"}, "6": {"Mounting Type": "Grommet"}, "7": {"Weight PG": "3.0000"}, "8": {"Washer Pump Included": "No"}, "9": {"Part Type": "Windshield Wiper Motor"}, "10": {"Warranty Info": "1 Year/18,000 Mile"}, "11": {"Sustainable Choice": "Yes"}, "12": {"Lifecycle Status": "Available to Order"}, "13": {"Application Summary": "Hummer H3 2010-06"}, "14": {"ItemLevelGTIN": "00082617827195"}, "15": {"_addonCardone": "40-10000::98271:100090:306"}, "16": {"Eligible for R&amp;R Service": "Yes"}}</t>
        </is>
      </c>
      <c r="J3" t="inlineStr">
        <is>
          <t>https://www.cardone.com/product/windshield-wiper-motor-40-10000</t>
        </is>
      </c>
      <c r="K3">
        <f>DISPIMG("ID_36944ADF4EE3417E8A786EA1F7CFF0A1",1)</f>
        <v/>
      </c>
      <c r="L3" t="inlineStr">
        <is>
          <t>CPCX|40-10000</t>
        </is>
      </c>
      <c r="M3" t="inlineStr">
        <is>
          <t>Wiper Motor; Instruction Sheet</t>
        </is>
      </c>
      <c r="N3" t="inlineStr">
        <is>
          <t>Yes</t>
        </is>
      </c>
      <c r="O3" t="inlineStr">
        <is>
          <t>Remanufactured</t>
        </is>
      </c>
      <c r="P3" t="inlineStr">
        <is>
          <t>3</t>
        </is>
      </c>
      <c r="Q3" t="inlineStr">
        <is>
          <t>Blade</t>
        </is>
      </c>
      <c r="R3" t="inlineStr">
        <is>
          <t>Grommet</t>
        </is>
      </c>
      <c r="S3" t="inlineStr">
        <is>
          <t>3.0000</t>
        </is>
      </c>
      <c r="T3" t="inlineStr">
        <is>
          <t>No</t>
        </is>
      </c>
      <c r="U3" t="inlineStr">
        <is>
          <t>1 Year/18,000 Mile</t>
        </is>
      </c>
      <c r="V3" t="inlineStr">
        <is>
          <t>Yes</t>
        </is>
      </c>
      <c r="W3" t="inlineStr">
        <is>
          <t>Available to Order</t>
        </is>
      </c>
      <c r="X3" t="inlineStr">
        <is>
          <t>Hummer H3 2010-06</t>
        </is>
      </c>
      <c r="Y3" t="inlineStr">
        <is>
          <t>00082617827195</t>
        </is>
      </c>
      <c r="Z3" t="inlineStr">
        <is>
          <t>40-10000::98271:100090:306</t>
        </is>
      </c>
      <c r="AA3" t="inlineStr">
        <is>
          <t>Yes</t>
        </is>
      </c>
      <c r="AB3" t="inlineStr"/>
      <c r="AC3" t="inlineStr"/>
    </row>
    <row r="4">
      <c r="A4" t="inlineStr">
        <is>
          <t>3</t>
        </is>
      </c>
      <c r="B4" t="inlineStr">
        <is>
          <t>Windshield Wiper Motor</t>
        </is>
      </c>
      <c r="C4" t="inlineStr">
        <is>
          <t>40-10005</t>
        </is>
      </c>
      <c r="D4" t="inlineStr">
        <is>
          <t>Windshield Wiper Motor - 40-10005</t>
        </is>
      </c>
      <c r="E4" t="inlineStr">
        <is>
          <t>CARDONE Reman</t>
        </is>
      </c>
      <c r="F4" t="inlineStr">
        <is>
          <t>76505SZTG01</t>
        </is>
      </c>
      <c r="G4" t="inlineStr">
        <is>
          <t>Cadillac CTS 2008-2015
Cadillac Escalade 2015-2022
Cadillac Escalade ESV 2015-2022
Chevrolet Silverado 1500 2007-2010
Chevrolet Silverado 2500 HD 2007-2010
Chevrolet Silverado 3500 HD 2007-2010
Chevrolet Suburban 2015-2022
Chevrolet Suburban 3500 HD 2016-2018
Chevrolet Tahoe 2015-2022
GMC Sierra 1500 2008-2010
GMC Sierra 2500 HD 2008-2010
GMC Sierra 3500 HD 2008-2010
GMC Yukon 2015-2022
GMC Yukon XL 2015-2022</t>
        </is>
      </c>
      <c r="H4" t="inlineStr">
        <is>
          <t>Cadillac CTS 2008-2014 3.6L V6 217cid
Cadillac CTS 2009-2015 6.2L V8 376cid
Cadillac CTS 2010-2014 3L V6 182cid
Cadillac CTS 2014 2L L4 122cid
Cadillac Escalade 2015-2022 6.2L V8 376cid
Cadillac Escalade 2021-2022 3L L6 183cid
Cadillac Escalade ESV 2015-2022 6.2L V8 376cid
Cadillac Escalade ESV 2021-2022 3L L6 183cid
Chevrolet Silverado 1500 2007-2010 4.3L V6 262cid
Chevrolet Silverado 1500 2007-2010 4.8L V8 294cid
Chevrolet Silverado 1500 2007-2010 5.3L V8 325cid
Chevrolet Silverado 1500 2007-2010 6L V8 364cid
Chevrolet Silverado 1500 2009-2010 6.2L V8 376cid
Chevrolet Silverado 2500 HD 2007-2010 6.6L V8 403cid
Chevrolet Silverado 2500 HD 2007-2010 6L V8 364cid
Chevrolet Silverado 3500 HD 2007-2010 6.6L V8 403cid
Chevrolet Silverado 3500 HD 2007-2010 6L V8 364cid
Chevrolet Suburban 2015-2022 5.3L V8 325cid
Chevrolet Suburban 2016-2018 6L V8 364cid
Chevrolet Suburban 2019-2022 6.2L V8 376cid
Chevrolet Suburban 2021-2022 3L L6 183cid
Chevrolet Suburban 3500 HD 2016-2018 6L V8 364cid
Chevrolet Tahoe 2015-2022 5.3L V8 325cid
Chevrolet Tahoe 2018-2022 6.2L V8 376cid
Chevrolet Tahoe 2021-2022 3L L6 183cid
GMC Sierra 1500 2008-2010 4.3L V6 262cid
GMC Sierra 1500 2008-2010 4.8L V8 294cid
GMC Sierra 1500 2008-2010 5.3L V8 325cid
GMC Sierra 1500 2008-2010 6.2L V8 376cid
GMC Sierra 1500 2008-2010 6L V8 364cid
GMC Sierra 2500 HD 2008-2010 6.6L V8 403cid
GMC Sierra 2500 HD 2008-2010 6L V8 364cid
GMC Sierra 3500 HD 2008-2010 6.6L V8 403cid
GMC Sierra 3500 HD 2008-2010 6L V8 364cid
GMC Yukon 2015-2022 5.3L V8 325cid
GMC Yukon 2015-2022 6.2L V8 376cid
GMC Yukon 2021-2022 3L L6 183cid
GMC Yukon XL 2015-2022 5.3L V8 325cid
GMC Yukon XL 2015-2022 6.2L V8 376cid
GMC Yukon XL 2021-2022 3L L6 183cid</t>
        </is>
      </c>
      <c r="I4" t="inlineStr">
        <is>
          <t>{"0": {"productDeskExternalKey": "CPCX|40-10005"}, "1": {"Package Contents": "Wiper Motor; Instruction Sheet"}, "2": {"E-Waste": "Yes"}, "3": {"Product Condition": "Remanufactured"}, "4": {"Mounting Hole Quantity": "3"}, "5": {"Terminal Type": "Blade"}, "6": {"Mounting Type": "Direct Bolt"}, "7": {"Weight PG": "2.4500"}, "8": {"Washer Pump Included": "No"}, "9": {"Part Type": "Windshield Wiper Motor"}, "10": {"Warranty Info": "1 Year/18,000 Mile"}, "11": {"Sustainable Choice": "Yes"}, "12": {"Lifecycle Status": "Available to Order"}, "13": {"ItemLevelGTIN": "00082617836975"}, "14": {"_addonCardone": "40-10005::98271:100141:306"}, "15": {"Eligible for R&amp;R Service": "Yes"}}</t>
        </is>
      </c>
      <c r="J4" t="inlineStr">
        <is>
          <t>https://www.cardone.com/product/windshield-wiper-motor-40-10005</t>
        </is>
      </c>
      <c r="K4">
        <f>DISPIMG("ID_E3A88F85FD784F7F80DD245045609439",1)</f>
        <v/>
      </c>
      <c r="L4" t="inlineStr">
        <is>
          <t>CPCX|40-10005</t>
        </is>
      </c>
      <c r="M4" t="inlineStr">
        <is>
          <t>Wiper Motor; Instruction Sheet</t>
        </is>
      </c>
      <c r="N4" t="inlineStr">
        <is>
          <t>Yes</t>
        </is>
      </c>
      <c r="O4" t="inlineStr">
        <is>
          <t>Remanufactured</t>
        </is>
      </c>
      <c r="P4" t="inlineStr">
        <is>
          <t>3</t>
        </is>
      </c>
      <c r="Q4" t="inlineStr">
        <is>
          <t>Blade</t>
        </is>
      </c>
      <c r="R4" t="inlineStr">
        <is>
          <t>Direct Bolt</t>
        </is>
      </c>
      <c r="S4" t="inlineStr">
        <is>
          <t>2.4500</t>
        </is>
      </c>
      <c r="T4" t="inlineStr">
        <is>
          <t>No</t>
        </is>
      </c>
      <c r="U4" t="inlineStr">
        <is>
          <t>1 Year/18,000 Mile</t>
        </is>
      </c>
      <c r="V4" t="inlineStr">
        <is>
          <t>Yes</t>
        </is>
      </c>
      <c r="W4" t="inlineStr">
        <is>
          <t>Available to Order</t>
        </is>
      </c>
      <c r="X4" t="inlineStr"/>
      <c r="Y4" t="inlineStr">
        <is>
          <t>00082617836975</t>
        </is>
      </c>
      <c r="Z4" t="inlineStr">
        <is>
          <t>40-10005::98271:100141:306</t>
        </is>
      </c>
      <c r="AA4" t="inlineStr">
        <is>
          <t>Yes</t>
        </is>
      </c>
      <c r="AB4" t="inlineStr"/>
      <c r="AC4" t="inlineStr"/>
    </row>
    <row r="5">
      <c r="A5" t="inlineStr">
        <is>
          <t>4</t>
        </is>
      </c>
      <c r="B5" t="inlineStr">
        <is>
          <t>Windshield Wiper Motor</t>
        </is>
      </c>
      <c r="C5" t="inlineStr">
        <is>
          <t>40-10006</t>
        </is>
      </c>
      <c r="D5" t="inlineStr">
        <is>
          <t>Windshield Wiper Motor - 40-10006</t>
        </is>
      </c>
      <c r="E5" t="inlineStr">
        <is>
          <t>CARDONE Reman</t>
        </is>
      </c>
      <c r="F5" t="inlineStr">
        <is>
          <t>25864153;25795300</t>
        </is>
      </c>
      <c r="G5" t="inlineStr">
        <is>
          <t>Buick Enclave 2008-2017</t>
        </is>
      </c>
      <c r="H5" t="inlineStr">
        <is>
          <t>Buick Enclave 2008-2017 3.6L V6 217cid</t>
        </is>
      </c>
      <c r="I5" t="inlineStr">
        <is>
          <t>{"0": {"productDeskExternalKey": "CPCX|40-10006"},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"Buick Enclave 2017-08"}, "14": {"ItemLevelGTIN": "00082617836982"}, "15": {"_addonCardone": "40-10006::98271:100144:306"}, "16": {"Eligible for R&amp;R Service": "Yes"}}</t>
        </is>
      </c>
      <c r="J5" t="inlineStr">
        <is>
          <t>https://www.cardone.com/product/windshield-wiper-motor-40-10006</t>
        </is>
      </c>
      <c r="K5">
        <f>DISPIMG("ID_A69ECDA6E5DE4379842A2DDF1FFD06EA",1)</f>
        <v/>
      </c>
      <c r="L5" t="inlineStr">
        <is>
          <t>CPCX|40-10006</t>
        </is>
      </c>
      <c r="M5" t="inlineStr">
        <is>
          <t>Wiper Motor; Instruction Sheet</t>
        </is>
      </c>
      <c r="N5" t="inlineStr">
        <is>
          <t>Yes</t>
        </is>
      </c>
      <c r="O5" t="inlineStr">
        <is>
          <t>Remanufactured</t>
        </is>
      </c>
      <c r="P5" t="inlineStr">
        <is>
          <t>3</t>
        </is>
      </c>
      <c r="Q5" t="inlineStr">
        <is>
          <t>Blade</t>
        </is>
      </c>
      <c r="R5" t="inlineStr">
        <is>
          <t>Grommet</t>
        </is>
      </c>
      <c r="S5" t="inlineStr">
        <is>
          <t>2.0000</t>
        </is>
      </c>
      <c r="T5" t="inlineStr">
        <is>
          <t>No</t>
        </is>
      </c>
      <c r="U5" t="inlineStr">
        <is>
          <t>1 Year/18,000 Mile</t>
        </is>
      </c>
      <c r="V5" t="inlineStr">
        <is>
          <t>Yes</t>
        </is>
      </c>
      <c r="W5" t="inlineStr">
        <is>
          <t>Available to Order</t>
        </is>
      </c>
      <c r="X5" t="inlineStr">
        <is>
          <t>Buick Enclave 2017-08</t>
        </is>
      </c>
      <c r="Y5" t="inlineStr">
        <is>
          <t>00082617836982</t>
        </is>
      </c>
      <c r="Z5" t="inlineStr">
        <is>
          <t>40-10006::98271:100144:306</t>
        </is>
      </c>
      <c r="AA5" t="inlineStr">
        <is>
          <t>Yes</t>
        </is>
      </c>
      <c r="AB5" t="inlineStr"/>
      <c r="AC5" t="inlineStr"/>
    </row>
    <row r="6">
      <c r="A6" t="inlineStr">
        <is>
          <t>5</t>
        </is>
      </c>
      <c r="B6" t="inlineStr">
        <is>
          <t>Windshield Wiper Motor</t>
        </is>
      </c>
      <c r="C6" t="inlineStr">
        <is>
          <t>40-10007</t>
        </is>
      </c>
      <c r="D6" t="inlineStr">
        <is>
          <t>Windshield Wiper Motor - 40-10007</t>
        </is>
      </c>
      <c r="E6" t="inlineStr">
        <is>
          <t>CARDONE Reman</t>
        </is>
      </c>
      <c r="F6" t="inlineStr">
        <is>
          <t>15252854</t>
        </is>
      </c>
      <c r="G6" t="inlineStr">
        <is>
          <t>Chevrolet Malibu 2005-2007</t>
        </is>
      </c>
      <c r="H6" t="inlineStr">
        <is>
          <t>Chevrolet Malibu 2005-2007 2.2L L4 134cid
Chevrolet Malibu 2005-2007 3.5L V6 213cid
Chevrolet Malibu 2006-2007 3.9L V6 237cid</t>
        </is>
      </c>
      <c r="I6" t="inlineStr">
        <is>
          <t>{"0": {"productDeskExternalKey": "CPCX|40-10007"}, "1": {"Package Contents": "Wiper Motor; Instruction Sheet"}, "2": {"E-Waste": "Yes"}, "3": {"Product Condition": "Remanufactured"}, "4": {"Mounting Hole Quantity": "3"}, "5": {"Terminal Type": "Blade"}, "6": {"Mounting Type": "Grommet"}, "7": {"Weight PG": "2.1000"}, "8": {"Washer Pump Included": "No"}, "9": {"Part Type": "Windshield Wiper Motor"}, "10": {"Warranty Info": "1 Year/18,000 Mile"}, "11": {"Sustainable Choice": "Yes"}, "12": {"Lifecycle Status": "Available to Order"}, "13": {"Application Summary": "Chevrolet Malibu 2007-05"}, "14": {"ItemLevelGTIN": "00082617837002"}, "15": {"_addonCardone": "40-10007::98271:100148:306"}, "16": {"Eligible for R&amp;R Service": "Yes"}}</t>
        </is>
      </c>
      <c r="J6" t="inlineStr">
        <is>
          <t>https://www.cardone.com/product/windshield-wiper-motor-40-10007</t>
        </is>
      </c>
      <c r="K6">
        <f>DISPIMG("ID_1FBD12CF08CE4BE382D8C2591514E30F",1)</f>
        <v/>
      </c>
      <c r="L6" t="inlineStr">
        <is>
          <t>CPCX|40-10007</t>
        </is>
      </c>
      <c r="M6" t="inlineStr">
        <is>
          <t>Wiper Motor; Instruction Sheet</t>
        </is>
      </c>
      <c r="N6" t="inlineStr">
        <is>
          <t>Yes</t>
        </is>
      </c>
      <c r="O6" t="inlineStr">
        <is>
          <t>Remanufactured</t>
        </is>
      </c>
      <c r="P6" t="inlineStr">
        <is>
          <t>3</t>
        </is>
      </c>
      <c r="Q6" t="inlineStr">
        <is>
          <t>Blade</t>
        </is>
      </c>
      <c r="R6" t="inlineStr">
        <is>
          <t>Grommet</t>
        </is>
      </c>
      <c r="S6" t="inlineStr">
        <is>
          <t>2.1000</t>
        </is>
      </c>
      <c r="T6" t="inlineStr">
        <is>
          <t>No</t>
        </is>
      </c>
      <c r="U6" t="inlineStr">
        <is>
          <t>1 Year/18,000 Mile</t>
        </is>
      </c>
      <c r="V6" t="inlineStr">
        <is>
          <t>Yes</t>
        </is>
      </c>
      <c r="W6" t="inlineStr">
        <is>
          <t>Available to Order</t>
        </is>
      </c>
      <c r="X6" t="inlineStr">
        <is>
          <t>Chevrolet Malibu 2007-05</t>
        </is>
      </c>
      <c r="Y6" t="inlineStr">
        <is>
          <t>00082617837002</t>
        </is>
      </c>
      <c r="Z6" t="inlineStr">
        <is>
          <t>40-10007::98271:100148:306</t>
        </is>
      </c>
      <c r="AA6" t="inlineStr">
        <is>
          <t>Yes</t>
        </is>
      </c>
      <c r="AB6" t="inlineStr"/>
      <c r="AC6" t="inlineStr"/>
    </row>
    <row r="7">
      <c r="A7" t="inlineStr">
        <is>
          <t>6</t>
        </is>
      </c>
      <c r="B7" t="inlineStr">
        <is>
          <t>Windshield Wiper Motor</t>
        </is>
      </c>
      <c r="C7" t="inlineStr">
        <is>
          <t>40-10009</t>
        </is>
      </c>
      <c r="D7" t="inlineStr">
        <is>
          <t>Windshield Wiper Motor - 40-10009</t>
        </is>
      </c>
      <c r="E7" t="inlineStr">
        <is>
          <t>CARDONE Reman</t>
        </is>
      </c>
      <c r="F7" t="inlineStr">
        <is>
          <t>12463052</t>
        </is>
      </c>
      <c r="G7" t="inlineStr">
        <is>
          <t>Chevrolet Suburban 1500 2000
Chevrolet Suburban 2500 2000
GMC Yukon XL 1500 2000
GMC Yukon XL 2500 2000</t>
        </is>
      </c>
      <c r="H7" t="inlineStr">
        <is>
          <t>Chevrolet Suburban 1500 2000 5.3L V8 325cid
Chevrolet Suburban 1500 2000 5.7L V8 350cid
Chevrolet Suburban 2500 2000 6L V8 364cid
GMC Yukon XL 1500 2000 5.3L V8 325cid
GMC Yukon XL 2500 2000 6L V8 364cid</t>
        </is>
      </c>
      <c r="I7" t="inlineStr">
        <is>
          <t>{"0": {"productDeskExternalKey": "CPCX|40-10009"}, "1": {"E-Waste": "Yes"}, "2": {"Product Condition": "Remanufactured"}, "3": {"Weight PG": "3.5800"}, "4": {"Part Type": "Windshield Wiper Motor"}, "5": {"Warranty Info": "1 Year/18,000 Mile"}, "6": {"Sustainable Choice": "Yes"}, "7": {"Lifecycle Status": "Available to Order"}, "8": {"Application Summary": "Chevrolet Suburban 1500 2000, Suburban 2500 2000; GMC Yukon XL 1500 2000, Yukon XL 2500 2000"}, "9": {"ItemLevelGTIN": "00082617837040"}, "10": {"_addonCardone": "40-10009::98271:100152:306"}, "11": {"Eligible for R&amp;R Service": "Yes"}}</t>
        </is>
      </c>
      <c r="J7" t="inlineStr">
        <is>
          <t>https://www.cardone.com/product/windshield-wiper-motor-40-10009</t>
        </is>
      </c>
      <c r="K7">
        <f>DISPIMG("ID_D1E2333B431442B9991F81A7F4CCB27B",1)</f>
        <v/>
      </c>
      <c r="L7" t="inlineStr">
        <is>
          <t>CPCX|40-10009</t>
        </is>
      </c>
      <c r="M7" t="inlineStr"/>
      <c r="N7" t="inlineStr">
        <is>
          <t>Yes</t>
        </is>
      </c>
      <c r="O7" t="inlineStr">
        <is>
          <t>Remanufactured</t>
        </is>
      </c>
      <c r="P7" t="inlineStr"/>
      <c r="Q7" t="inlineStr"/>
      <c r="R7" t="inlineStr"/>
      <c r="S7" t="inlineStr">
        <is>
          <t>3.5800</t>
        </is>
      </c>
      <c r="T7" t="inlineStr"/>
      <c r="U7" t="inlineStr">
        <is>
          <t>1 Year/18,000 Mile</t>
        </is>
      </c>
      <c r="V7" t="inlineStr">
        <is>
          <t>Yes</t>
        </is>
      </c>
      <c r="W7" t="inlineStr">
        <is>
          <t>Available to Order</t>
        </is>
      </c>
      <c r="X7" t="inlineStr">
        <is>
          <t>Chevrolet Suburban 1500 2000, Suburban 2500 2000; GMC Yukon XL 1500 2000, Yukon XL 2500 2000</t>
        </is>
      </c>
      <c r="Y7" t="inlineStr">
        <is>
          <t>00082617837040</t>
        </is>
      </c>
      <c r="Z7" t="inlineStr">
        <is>
          <t>40-10009::98271:100152:306</t>
        </is>
      </c>
      <c r="AA7" t="inlineStr">
        <is>
          <t>Yes</t>
        </is>
      </c>
      <c r="AB7" t="inlineStr"/>
      <c r="AC7" t="inlineStr"/>
    </row>
    <row r="8">
      <c r="A8" t="inlineStr">
        <is>
          <t>7</t>
        </is>
      </c>
      <c r="B8" t="inlineStr">
        <is>
          <t>Windshield Wiper Motor</t>
        </is>
      </c>
      <c r="C8" t="inlineStr">
        <is>
          <t>40-1001</t>
        </is>
      </c>
      <c r="D8" t="inlineStr">
        <is>
          <t>Windshield Wiper Motor - 40-1001</t>
        </is>
      </c>
      <c r="E8" t="inlineStr">
        <is>
          <t>CARDONE Reman</t>
        </is>
      </c>
      <c r="F8" t="inlineStr">
        <is>
          <t>8511002051</t>
        </is>
      </c>
      <c r="G8" t="inlineStr">
        <is>
          <t>Chevrolet Prizm 1998-2002
Geo Prizm 1993-1997
Toyota Corolla 1998-2002</t>
        </is>
      </c>
      <c r="H8" t="inlineStr">
        <is>
          <t>Chevrolet Prizm 1998-2002 1.8L L4 1794cc
Geo Prizm 1993-1997 1.6L L4 98cid
Geo Prizm 1993-1997 1.8L L4 107cid
Toyota Corolla 1998-2002 1.8L L4 1794cc</t>
        </is>
      </c>
      <c r="I8" t="inlineStr">
        <is>
          <t>{"0": {"productDeskExternalKey": "CPCX|40-1001"}, "1": {"Package Contents": "Wiper Motor; Instruction Sheet"}, "2": {"E-Waste": "Yes"}, "3": {"Product Condition": "Remanufactured"}, "4": {"Mounting Hole Quantity": "4"}, "5": {"Terminal Type": "Blade"}, "6": {"Mounting Type": "Grommet"}, "7": {"Weight PG": "3.1200"}, "8": {"Washer Pump Included": "No"}, "9": {"Part Type": "Windshield Wiper Motor"}, "10": {"Warranty Info": "1 Year/18,000 Mile"}, "11": {"Sustainable Choice": "Yes"}, "12": {"Lifecycle Status": "Available to Order"}, "13": {"Application Summary": "Chevrolet Prizm 2002-98; Geo Prizm 1997-93; Toyota Corolla 2002-98"}, "14": {"ItemLevelGTIN": "00082617370516"}, "15": {"_addonCardone": "40-1001::98271:100155:306"}, "16": {"Eligible for R&amp;R Service": "Yes"}}</t>
        </is>
      </c>
      <c r="J8" t="inlineStr">
        <is>
          <t>https://www.cardone.com/product/windshield-wiper-motor-40-1001</t>
        </is>
      </c>
      <c r="K8">
        <f>DISPIMG("ID_91E6E67B4D4B4A2EB5DDA55F9D4FC988",1)</f>
        <v/>
      </c>
      <c r="L8" t="inlineStr">
        <is>
          <t>CPCX|40-1001</t>
        </is>
      </c>
      <c r="M8" t="inlineStr">
        <is>
          <t>Wiper Motor; Instruction Sheet</t>
        </is>
      </c>
      <c r="N8" t="inlineStr">
        <is>
          <t>Yes</t>
        </is>
      </c>
      <c r="O8" t="inlineStr">
        <is>
          <t>Remanufactured</t>
        </is>
      </c>
      <c r="P8" t="inlineStr">
        <is>
          <t>4</t>
        </is>
      </c>
      <c r="Q8" t="inlineStr">
        <is>
          <t>Blade</t>
        </is>
      </c>
      <c r="R8" t="inlineStr">
        <is>
          <t>Grommet</t>
        </is>
      </c>
      <c r="S8" t="inlineStr">
        <is>
          <t>3.1200</t>
        </is>
      </c>
      <c r="T8" t="inlineStr">
        <is>
          <t>No</t>
        </is>
      </c>
      <c r="U8" t="inlineStr">
        <is>
          <t>1 Year/18,000 Mile</t>
        </is>
      </c>
      <c r="V8" t="inlineStr">
        <is>
          <t>Yes</t>
        </is>
      </c>
      <c r="W8" t="inlineStr">
        <is>
          <t>Available to Order</t>
        </is>
      </c>
      <c r="X8" t="inlineStr">
        <is>
          <t>Chevrolet Prizm 2002-98; Geo Prizm 1997-93; Toyota Corolla 2002-98</t>
        </is>
      </c>
      <c r="Y8" t="inlineStr">
        <is>
          <t>00082617370516</t>
        </is>
      </c>
      <c r="Z8" t="inlineStr">
        <is>
          <t>40-1001::98271:100155:306</t>
        </is>
      </c>
      <c r="AA8" t="inlineStr">
        <is>
          <t>Yes</t>
        </is>
      </c>
      <c r="AB8" t="inlineStr"/>
      <c r="AC8" t="inlineStr"/>
    </row>
    <row r="9">
      <c r="A9" t="inlineStr">
        <is>
          <t>8</t>
        </is>
      </c>
      <c r="B9" t="inlineStr">
        <is>
          <t>Windshield Wiper Motor</t>
        </is>
      </c>
      <c r="C9" t="inlineStr">
        <is>
          <t>40-10013</t>
        </is>
      </c>
      <c r="D9" t="inlineStr">
        <is>
          <t>Windshield Wiper Motor - 40-10013</t>
        </is>
      </c>
      <c r="E9" t="inlineStr">
        <is>
          <t>CARDONE Reman</t>
        </is>
      </c>
      <c r="F9" t="inlineStr">
        <is>
          <t>20829042;96673024;96673047</t>
        </is>
      </c>
      <c r="G9" t="inlineStr">
        <is>
          <t>Chevrolet Captiva Sport 2008-2015
Saturn Vue 2008-2010</t>
        </is>
      </c>
      <c r="H9" t="inlineStr">
        <is>
          <t>Chevrolet Captiva Sport 2008-2010 2.4L L4 147cid
Chevrolet Captiva Sport 2008-2010 3.6L V6 217cid
Chevrolet Captiva Sport 2011-2015 2.4L L4 145cid
Chevrolet Captiva Sport 2011-2015 3L V6 182cid
Chevrolet Captiva Sport 2014 3L L6 2985cc
Saturn Vue 2008-2010 2.4L L4 145cid
Saturn Vue 2008-2010 3.5L V6 213cid
Saturn Vue 2008-2010 3.6L V6 217cid</t>
        </is>
      </c>
      <c r="I9" t="inlineStr">
        <is>
          <t>{"0": {"productDeskExternalKey": "CPCX|40-10013"}, "1": {"Package Contents": "Wiper Motor; Instruction Sheet"}, "2": {"E-Waste": "Yes"}, "3": {"Product Condition": "Remanufactured"}, "4": {"Mounting Hole Quantity": "4"}, "5": {"Terminal Type": "Blade"}, "6": {"Mounting Type": "Direct Bolt; Grommet"}, "7": {"Weight PG": "3.2000"}, "8": {"Washer Pump Included": "No"}, "9": {"Part Type": "Windshield Wiper Motor"}, "10": {"Warranty Info": "1 Year/18,000 Mile"}, "11": {"Sustainable Choice": "Yes"}, "12": {"Lifecycle Status": "Available to Order"}, "13": {"Application Summary": "Chevrolet Captiva Sport 2015-08; Saturn Vue 2010-08"}, "14": {"ItemLevelGTIN": "00082617843348"}, "15": {"_addonCardone": "40-10013::98271:100159:306"}, "16": {"Eligible for R&amp;R Service": "Yes"}}</t>
        </is>
      </c>
      <c r="J9" t="inlineStr">
        <is>
          <t>https://www.cardone.com/product/windshield-wiper-motor-40-10013</t>
        </is>
      </c>
      <c r="K9">
        <f>DISPIMG("ID_B712EA1E5C7249FA87831D076A432793",1)</f>
        <v/>
      </c>
      <c r="L9" t="inlineStr">
        <is>
          <t>CPCX|40-10013</t>
        </is>
      </c>
      <c r="M9" t="inlineStr">
        <is>
          <t>Wiper Motor; Instruction Sheet</t>
        </is>
      </c>
      <c r="N9" t="inlineStr">
        <is>
          <t>Yes</t>
        </is>
      </c>
      <c r="O9" t="inlineStr">
        <is>
          <t>Remanufactured</t>
        </is>
      </c>
      <c r="P9" t="inlineStr">
        <is>
          <t>4</t>
        </is>
      </c>
      <c r="Q9" t="inlineStr">
        <is>
          <t>Blade</t>
        </is>
      </c>
      <c r="R9" t="inlineStr">
        <is>
          <t>Direct Bolt; Grommet</t>
        </is>
      </c>
      <c r="S9" t="inlineStr">
        <is>
          <t>3.2000</t>
        </is>
      </c>
      <c r="T9" t="inlineStr">
        <is>
          <t>No</t>
        </is>
      </c>
      <c r="U9" t="inlineStr">
        <is>
          <t>1 Year/18,000 Mile</t>
        </is>
      </c>
      <c r="V9" t="inlineStr">
        <is>
          <t>Yes</t>
        </is>
      </c>
      <c r="W9" t="inlineStr">
        <is>
          <t>Available to Order</t>
        </is>
      </c>
      <c r="X9" t="inlineStr">
        <is>
          <t>Chevrolet Captiva Sport 2015-08; Saturn Vue 2010-08</t>
        </is>
      </c>
      <c r="Y9" t="inlineStr">
        <is>
          <t>00082617843348</t>
        </is>
      </c>
      <c r="Z9" t="inlineStr">
        <is>
          <t>40-10013::98271:100159:306</t>
        </is>
      </c>
      <c r="AA9" t="inlineStr">
        <is>
          <t>Yes</t>
        </is>
      </c>
      <c r="AB9" t="inlineStr"/>
      <c r="AC9" t="inlineStr"/>
    </row>
    <row r="10">
      <c r="A10" t="inlineStr">
        <is>
          <t>9</t>
        </is>
      </c>
      <c r="B10" t="inlineStr">
        <is>
          <t>Windshield Wiper Motor</t>
        </is>
      </c>
      <c r="C10" t="inlineStr">
        <is>
          <t>40-10014</t>
        </is>
      </c>
      <c r="D10" t="inlineStr">
        <is>
          <t>Windshield Wiper Motor - 40-10014</t>
        </is>
      </c>
      <c r="E10" t="inlineStr">
        <is>
          <t>CARDONE Reman</t>
        </is>
      </c>
      <c r="F10" t="inlineStr">
        <is>
          <t>25963804;96673001</t>
        </is>
      </c>
      <c r="G10" t="inlineStr">
        <is>
          <t>Chevrolet Captiva Sport 2008-2010
Saturn Vue 2008-2010</t>
        </is>
      </c>
      <c r="H10" t="inlineStr">
        <is>
          <t>Chevrolet Captiva Sport 2008-2010 2.4L L4 147cid
Chevrolet Captiva Sport 2008-2010 3.6L V6 217cid
Saturn Vue 2008-2010 2.4L L4 145cid
Saturn Vue 2008-2010 3.5L V6 213cid
Saturn Vue 2008-2010 3.6L V6 217cid</t>
        </is>
      </c>
      <c r="I10" t="inlineStr">
        <is>
          <t>{"0": {"productDeskExternalKey": "CPCX|40-10014"}, "1": {"Package Contents": "Wiper Motor; Instruction Sheet"}, "2": {"E-Waste": "Yes"}, "3": {"Product Condition": "Remanufactured"}, "4": {"Mounting Hole Quantity": "3"}, "5": {"Terminal Type": "Blade"}, "6": {"Mounting Type": "Grommet"}, "7": {"Weight PG": "2.3000"}, "8": {"Washer Pump Included": "No"}, "9": {"Part Type": "Windshield Wiper Motor"}, "10": {"Warranty Info": "1 Year/18,000 Mile"}, "11": {"Sustainable Choice": "Yes"}, "12": {"Lifecycle Status": "Available to Order"}, "13": {"Application Summary": "Chevrolet Captiva Sport 2010-08; Saturn Vue 2010-08"}, "14": {"ItemLevelGTIN": "00082617843379"}, "15": {"_addonCardone": "40-10014::98271:100162:306"}, "16": {"Eligible for R&amp;R Service": "Yes"}}</t>
        </is>
      </c>
      <c r="J10" t="inlineStr">
        <is>
          <t>https://www.cardone.com/product/windshield-wiper-motor-40-10014</t>
        </is>
      </c>
      <c r="K10">
        <f>DISPIMG("ID_1B768D34B0044FF2ACFDBCE97D1C32FC",1)</f>
        <v/>
      </c>
      <c r="L10" t="inlineStr">
        <is>
          <t>CPCX|40-10014</t>
        </is>
      </c>
      <c r="M10" t="inlineStr">
        <is>
          <t>Wiper Motor; Instruction Sheet</t>
        </is>
      </c>
      <c r="N10" t="inlineStr">
        <is>
          <t>Yes</t>
        </is>
      </c>
      <c r="O10" t="inlineStr">
        <is>
          <t>Remanufactured</t>
        </is>
      </c>
      <c r="P10" t="inlineStr">
        <is>
          <t>3</t>
        </is>
      </c>
      <c r="Q10" t="inlineStr">
        <is>
          <t>Blade</t>
        </is>
      </c>
      <c r="R10" t="inlineStr">
        <is>
          <t>Grommet</t>
        </is>
      </c>
      <c r="S10" t="inlineStr">
        <is>
          <t>2.3000</t>
        </is>
      </c>
      <c r="T10" t="inlineStr">
        <is>
          <t>No</t>
        </is>
      </c>
      <c r="U10" t="inlineStr">
        <is>
          <t>1 Year/18,000 Mile</t>
        </is>
      </c>
      <c r="V10" t="inlineStr">
        <is>
          <t>Yes</t>
        </is>
      </c>
      <c r="W10" t="inlineStr">
        <is>
          <t>Available to Order</t>
        </is>
      </c>
      <c r="X10" t="inlineStr">
        <is>
          <t>Chevrolet Captiva Sport 2010-08; Saturn Vue 2010-08</t>
        </is>
      </c>
      <c r="Y10" t="inlineStr">
        <is>
          <t>00082617843379</t>
        </is>
      </c>
      <c r="Z10" t="inlineStr">
        <is>
          <t>40-10014::98271:100162:306</t>
        </is>
      </c>
      <c r="AA10" t="inlineStr">
        <is>
          <t>Yes</t>
        </is>
      </c>
      <c r="AB10" t="inlineStr"/>
      <c r="AC10" t="inlineStr"/>
    </row>
    <row r="11">
      <c r="A11" t="inlineStr">
        <is>
          <t>10</t>
        </is>
      </c>
      <c r="B11" t="inlineStr">
        <is>
          <t>Windshield Wiper Motor</t>
        </is>
      </c>
      <c r="C11" t="inlineStr">
        <is>
          <t>40-10015</t>
        </is>
      </c>
      <c r="D11" t="inlineStr">
        <is>
          <t>Windshield Wiper Motor - 40-10015</t>
        </is>
      </c>
      <c r="E11" t="inlineStr">
        <is>
          <t>CARDONE Reman</t>
        </is>
      </c>
      <c r="F11" t="inlineStr">
        <is>
          <t>96061630</t>
        </is>
      </c>
      <c r="G11" t="inlineStr">
        <is>
          <t>Geo Metro 1989-1994
Pontiac Firefly 1989-1994</t>
        </is>
      </c>
      <c r="H11" t="inlineStr">
        <is>
          <t>Geo Metro 1989-1994 1L L3 61cid
Geo Metro 1992-1994 1.3L L4 79cid
Pontiac Firefly 1989-1994 1L L3 61cid
Pontiac Firefly 1994 1.3L L4 79cid</t>
        </is>
      </c>
      <c r="I11" t="inlineStr">
        <is>
          <t>{"0": {"productDeskExternalKey": "CPCX|40-10015"},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"Geo Metro 1994-89; Pontiac Firefly 1994 1991-89"}, "14": {"ItemLevelGTIN": "00082617844581"}, "15": {"_addonCardone": "40-10015::98271:100166:306"}, "16": {"Eligible for R&amp;R Service": "Yes"}}</t>
        </is>
      </c>
      <c r="J11" t="inlineStr">
        <is>
          <t>https://www.cardone.com/product/windshield-wiper-motor-40-10015</t>
        </is>
      </c>
      <c r="K11">
        <f>DISPIMG("ID_497D19118B014CEC9B0394F671E906E4",1)</f>
        <v/>
      </c>
      <c r="L11" t="inlineStr">
        <is>
          <t>CPCX|40-10015</t>
        </is>
      </c>
      <c r="M11" t="inlineStr">
        <is>
          <t>Wiper Motor; Instruction Sheet</t>
        </is>
      </c>
      <c r="N11" t="inlineStr">
        <is>
          <t>Yes</t>
        </is>
      </c>
      <c r="O11" t="inlineStr">
        <is>
          <t>Remanufactured</t>
        </is>
      </c>
      <c r="P11" t="inlineStr">
        <is>
          <t>3</t>
        </is>
      </c>
      <c r="Q11" t="inlineStr">
        <is>
          <t>Blade</t>
        </is>
      </c>
      <c r="R11" t="inlineStr">
        <is>
          <t>Grommet</t>
        </is>
      </c>
      <c r="S11" t="inlineStr">
        <is>
          <t>2.5000</t>
        </is>
      </c>
      <c r="T11" t="inlineStr">
        <is>
          <t>No</t>
        </is>
      </c>
      <c r="U11" t="inlineStr">
        <is>
          <t>1 Year/18,000 Mile</t>
        </is>
      </c>
      <c r="V11" t="inlineStr">
        <is>
          <t>Yes</t>
        </is>
      </c>
      <c r="W11" t="inlineStr">
        <is>
          <t>Available to Order</t>
        </is>
      </c>
      <c r="X11" t="inlineStr">
        <is>
          <t>Geo Metro 1994-89; Pontiac Firefly 1994 1991-89</t>
        </is>
      </c>
      <c r="Y11" t="inlineStr">
        <is>
          <t>00082617844581</t>
        </is>
      </c>
      <c r="Z11" t="inlineStr">
        <is>
          <t>40-10015::98271:100166:306</t>
        </is>
      </c>
      <c r="AA11" t="inlineStr">
        <is>
          <t>Yes</t>
        </is>
      </c>
      <c r="AB11" t="inlineStr"/>
      <c r="AC11" t="inlineStr"/>
    </row>
    <row r="12">
      <c r="A12" t="inlineStr">
        <is>
          <t>11</t>
        </is>
      </c>
      <c r="B12" t="inlineStr">
        <is>
          <t>Windshield Wiper Motor</t>
        </is>
      </c>
      <c r="C12" t="inlineStr">
        <is>
          <t>40-10016</t>
        </is>
      </c>
      <c r="D12" t="inlineStr">
        <is>
          <t>Windshield Wiper Motor - 40-10016</t>
        </is>
      </c>
      <c r="E12" t="inlineStr">
        <is>
          <t>CARDONE Reman</t>
        </is>
      </c>
      <c r="F12" t="inlineStr">
        <is>
          <t>88958406</t>
        </is>
      </c>
      <c r="G12" t="inlineStr">
        <is>
          <t>Cadillac Escalade 2005-2007
Cadillac Escalade ESV 2005-2007
Cadillac Escalade EXT 2005-2007
Chevrolet Avalanche 1500 2005-2006
Chevrolet Avalanche 2007
Chevrolet Avalanche 2500 2005-2006
Chevrolet Silverado 1500 2005-2006
Chevrolet Silverado 1500 Classic 2007
Chevrolet Silverado 1500 HD 2005-2006
Chevrolet Silverado 1500 HD Classic 2007
Chevrolet Silverado 2500 HD 2005-2006
Chevrolet Silverado 2500 HD Classic 2007
Chevrolet Silverado 3500 2005-2006
Chevrolet Silverado 3500 Classic 2007
Chevrolet Suburban 1500 2005-2007
Chevrolet Suburban 2500 2005-2007
Chevrolet Tahoe 2005-2007
GMC Sierra 1500 2005-2007
GMC Sierra 1500 Classic 2007
GMC Sierra 1500 HD 2005-2006
GMC Sierra 1500 HD Classic 2007
GMC Sierra 2500 HD 2005-2007
GMC Sierra 2500 HD Classic 2007
GMC Sierra 3500 2005-2006
GMC Sierra 3500 Classic 2007
GMC Sierra 3500 HD 2007
GMC Yukon 2005-2007
GMC Yukon XL 1500 2005-2007
GMC Yukon XL 2500 2005-2007</t>
        </is>
      </c>
      <c r="H12" t="inlineStr">
        <is>
          <t>Cadillac Escalade 2005 5.3L V8 325cid
Cadillac Escalade 2005-2006 6L V8 364cid
Cadillac Escalade 2007 6.2L V8 376cid
Cadillac Escalade ESV 2005-2006 6L V8 364cid
Cadillac Escalade ESV 2007 6.2L V8 376cid
Cadillac Escalade EXT 2005-2006 6L V8 364cid
Cadillac Escalade EXT 2007 6.2L V8 376cid
Chevrolet Avalanche 1500 2005-2006 5.3L V8 325cid
Chevrolet Avalanche 2007 5.3L V8 325cid
Chevrolet Avalanche 2007 6L V8 364cid
Chevrolet Avalanche 2500 2005-2006 8.1L V8 496cid
Chevrolet Silverado 1500 2005-2006 4.3L V6 262cid
Chevrolet Silverado 1500 2005-2006 4.8L V8 294cid
Chevrolet Silverado 1500 2005-2006 5.3L V8 325cid
Chevrolet Silverado 1500 2005-2006 6L V8 364cid
Chevrolet Silverado 1500 Classic 2007 4.3L V6 262cid
Chevrolet Silverado 1500 Classic 2007 4.8L V8 294cid
Chevrolet Silverado 1500 Classic 2007 5.3L V8 325cid
Chevrolet Silverado 1500 Classic 2007 6L V8 364cid
Chevrolet Silverado 1500 HD 2005-2006 6L V8 364cid
Chevrolet Silverado 1500 HD Classic 2007 6L V8 364cid
Chevrolet Silverado 2500 HD 2005-2006 6.6L V8 403cid
Chevrolet Silverado 2500 HD 2005-2006 6L V8 364cid
Chevrolet Silverado 2500 HD 2005-2006 8.1L V8 496cid
Chevrolet Silverado 2500 HD Classic 2007 6.6L V8 403cid
Chevrolet Silverado 2500 HD Classic 2007 6L V8 364cid
Chevrolet Silverado 2500 HD Classic 2007 8.1L V8 496cid
Chevrolet Silverado 3500 2005-2006 5.7L V8 350cid
Chevrolet Silverado 3500 2005-2006 6.6L V8 403cid
Chevrolet Silverado 3500 2005-2006 6L V8 364cid
Chevrolet Silverado 3500 2005-2006 8.1L V8 496cid
Chevrolet Silverado 3500 Classic 2007 6.6L V8 403cid
Chevrolet Silverado 3500 Classic 2007 6L V8 364cid
Chevrolet Silverado 3500 Classic 2007 8.1L V8 496cid
Chevrolet Suburban 1500 2005-2007 5.3L V8 325cid
Chevrolet Suburban 1500 2006-2007 6L V8 364cid
Chevrolet Suburban 2500 2005-2006 8.1L V8 496cid
Chevrolet Suburban 2500 2005-2007 6L V8 364cid
Chevrolet Tahoe 2005-2007 4.8L V8 294cid
Chevrolet Tahoe 2005-2007 5.3L V8 325cid
GMC Sierra 1500 2005-2007 4.3L V6 262cid
GMC Sierra 1500 2005-2007 4.8L V8 294cid
GMC Sierra 1500 2005-2007 5.3L V8 325cid
GMC Sierra 1500 2005-2007 6L V8 364cid
GMC Sierra 1500 2007 6.2L V8 376cid
GMC Sierra 1500 Classic 2007 4.3L V6 262cid
GMC Sierra 1500 Classic 2007 4.8L V8 294cid
GMC Sierra 1500 Classic 2007 5.3L V8 325cid
GMC Sierra 1500 Classic 2007 6L V8 364cid
GMC Sierra 1500 HD 2005-2006 6L V8 364cid
GMC Sierra 1500 HD Classic 2007 6L V8 364cid
GMC Sierra 2500 HD 2005-2006 8.1L V8 496cid
GMC Sierra 2500 HD 2005-2007 6.6L V8 403cid
GMC Sierra 2500 HD 2005-2007 6L V8 364cid
GMC Sierra 2500 HD Classic 2007 6.6L V8 403cid
GMC Sierra 2500 HD Classic 2007 6L V8 364cid
GMC Sierra 2500 HD Classic 2007 8.1L V8 496cid
GMC Sierra 3500 2005-2006 6.6L V8 403cid
GMC Sierra 3500 2005-2006 6L V8 364cid
GMC Sierra 3500 2005-2006 8.1L V8 496cid
GMC Sierra 3500 Classic 2007 6.6L V8 403cid
GMC Sierra 3500 Classic 2007 6L V8 364cid
GMC Sierra 3500 Classic 2007 8.1L V8 496cid
GMC Sierra 3500 HD 2007 6.6L V8 403cid
GMC Sierra 3500 HD 2007 6L V8 364cid
GMC Yukon 2005-2006 6L V8 364cid
GMC Yukon 2005-2007 4.8L V8 294cid
GMC Yukon 2005-2007 5.3L V8 325cid
GMC Yukon 2007 6.2L V8 376cid
GMC Yukon XL 1500 2005-2007 5.3L V8 325cid
GMC Yukon XL 1500 2005-2007 6L V8 364cid
GMC Yukon XL 1500 2007 6.2L V8 376cid
GMC Yukon XL 2500 2005-2006 8.1L V8 496cid
GMC Yukon XL 2500 2005-2007 6L V8 364cid</t>
        </is>
      </c>
      <c r="I12" t="inlineStr">
        <is>
          <t>{"0": {"productDeskExternalKey": "CPCX|40-10016"}, "1": {"Package Contents": "Wiper Motor; Instruction Sheet"}, "2": {"E-Waste": "Yes"}, "3": {"Product Condition": "Remanufactured"}, "4": {"Mounting Hole Quantity": "3"}, "5": {"Terminal Type": "Blade"}, "6": {"Mounting Type": "Direct Bolt; Grommet"}, "7": {"Weight PG": "3.0000"}, "8": {"Washer Pump Included": "No"}, "9": {"Part Type": "Windshield Wiper Motor"}, "10": {"Warranty Info": "1 Year/18,000 Mile"}, "11": {"Sustainable Choice": "Yes"}, "12": {"Lifecycle Status": "Available to Order"}, "13": {"ItemLevelGTIN": "00082617845212"}, "14": {"_addonCardone": "40-10016::98271:100171:306"}, "15": {"Eligible for R&amp;R Service": "Yes"}}</t>
        </is>
      </c>
      <c r="J12" t="inlineStr">
        <is>
          <t>https://www.cardone.com/product/windshield-wiper-motor-40-10016</t>
        </is>
      </c>
      <c r="K12">
        <f>DISPIMG("ID_C557F79EC8DE45C999300003C3A3586A",1)</f>
        <v/>
      </c>
      <c r="L12" t="inlineStr">
        <is>
          <t>CPCX|40-10016</t>
        </is>
      </c>
      <c r="M12" t="inlineStr">
        <is>
          <t>Wiper Motor; Instruction Sheet</t>
        </is>
      </c>
      <c r="N12" t="inlineStr">
        <is>
          <t>Yes</t>
        </is>
      </c>
      <c r="O12" t="inlineStr">
        <is>
          <t>Remanufactured</t>
        </is>
      </c>
      <c r="P12" t="inlineStr">
        <is>
          <t>3</t>
        </is>
      </c>
      <c r="Q12" t="inlineStr">
        <is>
          <t>Blade</t>
        </is>
      </c>
      <c r="R12" t="inlineStr">
        <is>
          <t>Direct Bolt; Grommet</t>
        </is>
      </c>
      <c r="S12" t="inlineStr">
        <is>
          <t>3.0000</t>
        </is>
      </c>
      <c r="T12" t="inlineStr">
        <is>
          <t>No</t>
        </is>
      </c>
      <c r="U12" t="inlineStr">
        <is>
          <t>1 Year/18,000 Mile</t>
        </is>
      </c>
      <c r="V12" t="inlineStr">
        <is>
          <t>Yes</t>
        </is>
      </c>
      <c r="W12" t="inlineStr">
        <is>
          <t>Available to Order</t>
        </is>
      </c>
      <c r="X12" t="inlineStr"/>
      <c r="Y12" t="inlineStr">
        <is>
          <t>00082617845212</t>
        </is>
      </c>
      <c r="Z12" t="inlineStr">
        <is>
          <t>40-10016::98271:100171:306</t>
        </is>
      </c>
      <c r="AA12" t="inlineStr">
        <is>
          <t>Yes</t>
        </is>
      </c>
      <c r="AB12" t="inlineStr"/>
      <c r="AC12" t="inlineStr"/>
    </row>
    <row r="13">
      <c r="A13" t="inlineStr">
        <is>
          <t>12</t>
        </is>
      </c>
      <c r="B13" t="inlineStr">
        <is>
          <t>Windshield Wiper Motor</t>
        </is>
      </c>
      <c r="C13" t="inlineStr">
        <is>
          <t>40-10019</t>
        </is>
      </c>
      <c r="D13" t="inlineStr">
        <is>
          <t>Windshield Wiper Motor - 40-10019</t>
        </is>
      </c>
      <c r="E13" t="inlineStr">
        <is>
          <t>CARDONE Reman</t>
        </is>
      </c>
      <c r="F13" t="inlineStr">
        <is>
          <t>93179057</t>
        </is>
      </c>
      <c r="G13" t="inlineStr">
        <is>
          <t>Chevrolet Astra 2008
Saturn Astra 2008</t>
        </is>
      </c>
      <c r="H13" t="inlineStr">
        <is>
          <t>Chevrolet Astra 2008 1.8L L4 110cid
Chevrolet Astra 2008 2L L4 122cid
Saturn Astra 2008 1.8L L4 110cid</t>
        </is>
      </c>
      <c r="I13" t="inlineStr">
        <is>
          <t>{"0": {"productDeskExternalKey": "CPCX|40-10019"},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"Chevrolet Astra 2008; Saturn Astra 2008"}, "14": {"ItemLevelGTIN": "00082617864268"}, "15": {"_addonCardone": "40-10019::98271:100176:306"}, "16": {"Eligible for R&amp;R Service": "Yes"}}</t>
        </is>
      </c>
      <c r="J13" t="inlineStr">
        <is>
          <t>https://www.cardone.com/product/windshield-wiper-motor-40-10019</t>
        </is>
      </c>
      <c r="K13">
        <f>DISPIMG("ID_CB53373041E34FDC96ECB8598B499552",1)</f>
        <v/>
      </c>
      <c r="L13" t="inlineStr">
        <is>
          <t>CPCX|40-10019</t>
        </is>
      </c>
      <c r="M13" t="inlineStr">
        <is>
          <t>Wiper Motor; Instruction Sheet</t>
        </is>
      </c>
      <c r="N13" t="inlineStr">
        <is>
          <t>Yes</t>
        </is>
      </c>
      <c r="O13" t="inlineStr">
        <is>
          <t>Remanufactured</t>
        </is>
      </c>
      <c r="P13" t="inlineStr">
        <is>
          <t>3</t>
        </is>
      </c>
      <c r="Q13" t="inlineStr">
        <is>
          <t>Blade</t>
        </is>
      </c>
      <c r="R13" t="inlineStr">
        <is>
          <t>Grommet</t>
        </is>
      </c>
      <c r="S13" t="inlineStr">
        <is>
          <t>2.0000</t>
        </is>
      </c>
      <c r="T13" t="inlineStr">
        <is>
          <t>No</t>
        </is>
      </c>
      <c r="U13" t="inlineStr">
        <is>
          <t>1 Year/18,000 Mile</t>
        </is>
      </c>
      <c r="V13" t="inlineStr">
        <is>
          <t>Yes</t>
        </is>
      </c>
      <c r="W13" t="inlineStr">
        <is>
          <t>Available to Order</t>
        </is>
      </c>
      <c r="X13" t="inlineStr">
        <is>
          <t>Chevrolet Astra 2008; Saturn Astra 2008</t>
        </is>
      </c>
      <c r="Y13" t="inlineStr">
        <is>
          <t>00082617864268</t>
        </is>
      </c>
      <c r="Z13" t="inlineStr">
        <is>
          <t>40-10019::98271:100176:306</t>
        </is>
      </c>
      <c r="AA13" t="inlineStr">
        <is>
          <t>Yes</t>
        </is>
      </c>
      <c r="AB13" t="inlineStr"/>
      <c r="AC13" t="inlineStr"/>
    </row>
    <row r="14">
      <c r="A14" t="inlineStr">
        <is>
          <t>13</t>
        </is>
      </c>
      <c r="B14" t="inlineStr">
        <is>
          <t>Windshield Wiper Motor</t>
        </is>
      </c>
      <c r="C14" t="inlineStr">
        <is>
          <t>40-1002</t>
        </is>
      </c>
      <c r="D14" t="inlineStr">
        <is>
          <t>Windshield Wiper Motor - 40-1002</t>
        </is>
      </c>
      <c r="E14" t="inlineStr">
        <is>
          <t>CARDONE Reman</t>
        </is>
      </c>
      <c r="F14" t="inlineStr">
        <is>
          <t>22138298</t>
        </is>
      </c>
      <c r="G14" t="inlineStr">
        <is>
          <t>Buick Regal 1994-1996
Chevrolet Lumina 1994
Oldsmobile Cutlass Supreme 1994-1997
Pontiac Grand Prix 1994-1996</t>
        </is>
      </c>
      <c r="H14" t="inlineStr">
        <is>
          <t>Buick Regal 1994-1996 3.1L V6 189cid
Buick Regal 1994-1996 3.8L V6 231cid
Chevrolet Lumina 1994 3.1L V6 189cid
Chevrolet Lumina 1994 3.4L V6 207cid
Oldsmobile Cutlass Supreme 1994-1996 3.4L V6 207cid
Oldsmobile Cutlass Supreme 1994-1997 3.1L V6 189cid
Pontiac Grand Prix 1994-1996 3.1L V6 189cid
Pontiac Grand Prix 1994-1996 3.4L V6 207cid</t>
        </is>
      </c>
      <c r="I14" t="inlineStr">
        <is>
          <t>{"0": {"productDeskExternalKey": "CPCX|40-1002"}, "1": {"Package Contents": "Wiper Motor; Instruction Sheet"}, "2": {"E-Waste": "Yes"}, "3": {"Product Condition": "Remanufactured"}, "4": {"Mounting Hole Quantity": "4"}, "5": {"Terminal Type": "Blade"}, "6": {"Mounting Type": "Direct Bolt"}, "7": {"Weight PG": "4.3200"}, "8": {"Washer Pump Included": "No"}, "9": {"Part Type": "Windshield Wiper Motor"}, "10": {"Warranty Info": "1 Year/18,000 Mile"}, "11": {"Sustainable Choice": "Yes"}, "12": {"Lifecycle Status": "Available to Order"}, "13": {"Application Summary": "Buick Regal 1996-94; Chevrolet Lumina 1994; Oldsmobile Cutlass Supreme 1997-94; Pontiac Grand Prix 1996-94"}, "14": {"ItemLevelGTIN": "00082617370523"}, "15": {"_addonCardone": "40-1002::98271:100184:306"}, "16": {"Eligible for R&amp;R Service": "Yes"}}</t>
        </is>
      </c>
      <c r="J14" t="inlineStr">
        <is>
          <t>https://www.cardone.com/product/windshield-wiper-motor-40-1002</t>
        </is>
      </c>
      <c r="K14">
        <f>DISPIMG("ID_0E1680DD3F114B01AFBD25D1F07286FC",1)</f>
        <v/>
      </c>
      <c r="L14" t="inlineStr">
        <is>
          <t>CPCX|40-1002</t>
        </is>
      </c>
      <c r="M14" t="inlineStr">
        <is>
          <t>Wiper Motor; Instruction Sheet</t>
        </is>
      </c>
      <c r="N14" t="inlineStr">
        <is>
          <t>Yes</t>
        </is>
      </c>
      <c r="O14" t="inlineStr">
        <is>
          <t>Remanufactured</t>
        </is>
      </c>
      <c r="P14" t="inlineStr">
        <is>
          <t>4</t>
        </is>
      </c>
      <c r="Q14" t="inlineStr">
        <is>
          <t>Blade</t>
        </is>
      </c>
      <c r="R14" t="inlineStr">
        <is>
          <t>Direct Bolt</t>
        </is>
      </c>
      <c r="S14" t="inlineStr">
        <is>
          <t>4.3200</t>
        </is>
      </c>
      <c r="T14" t="inlineStr">
        <is>
          <t>No</t>
        </is>
      </c>
      <c r="U14" t="inlineStr">
        <is>
          <t>1 Year/18,000 Mile</t>
        </is>
      </c>
      <c r="V14" t="inlineStr">
        <is>
          <t>Yes</t>
        </is>
      </c>
      <c r="W14" t="inlineStr">
        <is>
          <t>Available to Order</t>
        </is>
      </c>
      <c r="X14" t="inlineStr">
        <is>
          <t>Buick Regal 1996-94; Chevrolet Lumina 1994; Oldsmobile Cutlass Supreme 1997-94; Pontiac Grand Prix 1996-94</t>
        </is>
      </c>
      <c r="Y14" t="inlineStr">
        <is>
          <t>00082617370523</t>
        </is>
      </c>
      <c r="Z14" t="inlineStr">
        <is>
          <t>40-1002::98271:100184:306</t>
        </is>
      </c>
      <c r="AA14" t="inlineStr">
        <is>
          <t>Yes</t>
        </is>
      </c>
      <c r="AB14" t="inlineStr"/>
      <c r="AC14" t="inlineStr"/>
    </row>
    <row r="15">
      <c r="A15" t="inlineStr">
        <is>
          <t>14</t>
        </is>
      </c>
      <c r="B15" t="inlineStr">
        <is>
          <t>Windshield Wiper Motor</t>
        </is>
      </c>
      <c r="C15" t="inlineStr">
        <is>
          <t>40-10020</t>
        </is>
      </c>
      <c r="D15" t="inlineStr">
        <is>
          <t>Windshield Wiper Motor - 40-10020</t>
        </is>
      </c>
      <c r="E15" t="inlineStr">
        <is>
          <t>CARDONE Reman</t>
        </is>
      </c>
      <c r="F15" t="inlineStr">
        <is>
          <t>92273050;92293743</t>
        </is>
      </c>
      <c r="G15" t="inlineStr">
        <is>
          <t>Chevrolet Caprice 2013-2017
Chevrolet SS 2014-2017
Pontiac G8 2008-2009</t>
        </is>
      </c>
      <c r="H15" t="inlineStr">
        <is>
          <t>Chevrolet Caprice 2013-2017 3.6L V6 217cid
Chevrolet Caprice 2013-2017 6L V8 364cid
Chevrolet SS 2014-2017 6.2L V8 376cid
Pontiac G8 2008-2009 3.6L V6 217cid
Pontiac G8 2008-2009 6L V8 364cid
Pontiac G8 2009 6.2L V8 376cid</t>
        </is>
      </c>
      <c r="I15" t="inlineStr">
        <is>
          <t>{"0": {"productDeskExternalKey": "CPCX|40-10020"},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"Chevrolet Caprice 2017-13, SS 2017-14; Pontiac G8 2009-08"}, "14": {"ItemLevelGTIN": "00082617864275"}, "15": {"_addonCardone": "40-10020::98271:100189:306"}, "16": {"Eligible for R&amp;R Service": "Yes"}}</t>
        </is>
      </c>
      <c r="J15" t="inlineStr">
        <is>
          <t>https://www.cardone.com/product/windshield-wiper-motor-40-10020</t>
        </is>
      </c>
      <c r="K15">
        <f>DISPIMG("ID_B1A81F57318C40C08483BC492D440AB7",1)</f>
        <v/>
      </c>
      <c r="L15" t="inlineStr">
        <is>
          <t>CPCX|40-10020</t>
        </is>
      </c>
      <c r="M15" t="inlineStr">
        <is>
          <t>Wiper Motor; Instruction Sheet</t>
        </is>
      </c>
      <c r="N15" t="inlineStr">
        <is>
          <t>Yes</t>
        </is>
      </c>
      <c r="O15" t="inlineStr">
        <is>
          <t>Remanufactured</t>
        </is>
      </c>
      <c r="P15" t="inlineStr">
        <is>
          <t>3</t>
        </is>
      </c>
      <c r="Q15" t="inlineStr">
        <is>
          <t>Blade</t>
        </is>
      </c>
      <c r="R15" t="inlineStr">
        <is>
          <t>Direct Bolt</t>
        </is>
      </c>
      <c r="S15" t="inlineStr">
        <is>
          <t>2.7500</t>
        </is>
      </c>
      <c r="T15" t="inlineStr">
        <is>
          <t>No</t>
        </is>
      </c>
      <c r="U15" t="inlineStr">
        <is>
          <t>1 Year/18,000 Mile</t>
        </is>
      </c>
      <c r="V15" t="inlineStr">
        <is>
          <t>Yes</t>
        </is>
      </c>
      <c r="W15" t="inlineStr">
        <is>
          <t>Available to Order</t>
        </is>
      </c>
      <c r="X15" t="inlineStr">
        <is>
          <t>Chevrolet Caprice 2017-13, SS 2017-14; Pontiac G8 2009-08</t>
        </is>
      </c>
      <c r="Y15" t="inlineStr">
        <is>
          <t>00082617864275</t>
        </is>
      </c>
      <c r="Z15" t="inlineStr">
        <is>
          <t>40-10020::98271:100189:306</t>
        </is>
      </c>
      <c r="AA15" t="inlineStr">
        <is>
          <t>Yes</t>
        </is>
      </c>
      <c r="AB15" t="inlineStr"/>
      <c r="AC15" t="inlineStr"/>
    </row>
    <row r="16">
      <c r="A16" t="inlineStr">
        <is>
          <t>15</t>
        </is>
      </c>
      <c r="B16" t="inlineStr">
        <is>
          <t>Windshield Wiper Motor</t>
        </is>
      </c>
      <c r="C16" t="inlineStr">
        <is>
          <t>40-10021</t>
        </is>
      </c>
      <c r="D16" t="inlineStr">
        <is>
          <t>Windshield Wiper Motor - 40-10021</t>
        </is>
      </c>
      <c r="E16" t="inlineStr">
        <is>
          <t>CARDONE Reman</t>
        </is>
      </c>
      <c r="F16" t="inlineStr">
        <is>
          <t>96648776;96850001</t>
        </is>
      </c>
      <c r="G16" t="inlineStr">
        <is>
          <t>Chevrolet Aveo 2007-2018
Pontiac G3 2007-2010
Pontiac Wave 2007-2008
Suzuki Swift+ 2007-2008</t>
        </is>
      </c>
      <c r="H16" t="inlineStr">
        <is>
          <t>Chevrolet Aveo 2007-2018 1.6L L4 98cid
Pontiac G3 2007-2010 1.6L L4 98cid
Pontiac Wave 2007-2008 1.6L L4 98cid
Suzuki Swift+ 2007-2008 1.6L L4 98cid</t>
        </is>
      </c>
      <c r="I16" t="inlineStr">
        <is>
          <t>{"0": {"productDeskExternalKey": "CPCX|40-10021"}, "1": {"Package Contents": "Wiper Motor; Instruction Sheet"}, "2": {"E-Waste": "Yes"}, "3": {"Product Condition": "Remanufactured"}, "4": {"Mounting Hole Quantity": "3"}, "5": {"Terminal Type": "Blade"}, "6": {"Mounting Type": "Direct Bolt; Grommet"}, "7": {"Weight PG": "3.2500"}, "8": {"Washer Pump Included": "No"}, "9": {"Part Type": "Windshield Wiper Motor"}, "10": {"Warranty Info": "1 Year/18,000 Mile"}, "11": {"Sustainable Choice": "Yes"}, "12": {"Lifecycle Status": "Available to Order"}, "13": {"Application Summary": "Chevrolet Aveo 2018-07; Pontiac G3 2010-07, Wave 2008-07; Suzuki Swift+ 2008-07"}, "14": {"ItemLevelGTIN": "00082617866590"}, "15": {"_addonCardone": "40-10021::98271:100195:306"}, "16": {"Eligible for R&amp;R Service": "Yes"}}</t>
        </is>
      </c>
      <c r="J16" t="inlineStr">
        <is>
          <t>https://www.cardone.com/product/windshield-wiper-motor-40-10021</t>
        </is>
      </c>
      <c r="K16">
        <f>DISPIMG("ID_2FB603E00691409DA7F5C90CAAC02AB6",1)</f>
        <v/>
      </c>
      <c r="L16" t="inlineStr">
        <is>
          <t>CPCX|40-10021</t>
        </is>
      </c>
      <c r="M16" t="inlineStr">
        <is>
          <t>Wiper Motor; Instruction Sheet</t>
        </is>
      </c>
      <c r="N16" t="inlineStr">
        <is>
          <t>Yes</t>
        </is>
      </c>
      <c r="O16" t="inlineStr">
        <is>
          <t>Remanufactured</t>
        </is>
      </c>
      <c r="P16" t="inlineStr">
        <is>
          <t>3</t>
        </is>
      </c>
      <c r="Q16" t="inlineStr">
        <is>
          <t>Blade</t>
        </is>
      </c>
      <c r="R16" t="inlineStr">
        <is>
          <t>Direct Bolt; Grommet</t>
        </is>
      </c>
      <c r="S16" t="inlineStr">
        <is>
          <t>3.2500</t>
        </is>
      </c>
      <c r="T16" t="inlineStr">
        <is>
          <t>No</t>
        </is>
      </c>
      <c r="U16" t="inlineStr">
        <is>
          <t>1 Year/18,000 Mile</t>
        </is>
      </c>
      <c r="V16" t="inlineStr">
        <is>
          <t>Yes</t>
        </is>
      </c>
      <c r="W16" t="inlineStr">
        <is>
          <t>Available to Order</t>
        </is>
      </c>
      <c r="X16" t="inlineStr">
        <is>
          <t>Chevrolet Aveo 2018-07; Pontiac G3 2010-07, Wave 2008-07; Suzuki Swift+ 2008-07</t>
        </is>
      </c>
      <c r="Y16" t="inlineStr">
        <is>
          <t>00082617866590</t>
        </is>
      </c>
      <c r="Z16" t="inlineStr">
        <is>
          <t>40-10021::98271:100195:306</t>
        </is>
      </c>
      <c r="AA16" t="inlineStr">
        <is>
          <t>Yes</t>
        </is>
      </c>
      <c r="AB16" t="inlineStr"/>
      <c r="AC16" t="inlineStr"/>
    </row>
    <row r="17">
      <c r="A17" t="inlineStr">
        <is>
          <t>16</t>
        </is>
      </c>
      <c r="B17" t="inlineStr">
        <is>
          <t>Windshield Wiper Motor</t>
        </is>
      </c>
      <c r="C17" t="inlineStr">
        <is>
          <t>40-10022</t>
        </is>
      </c>
      <c r="D17" t="inlineStr">
        <is>
          <t>Windshield Wiper Motor - 40-10022</t>
        </is>
      </c>
      <c r="E17" t="inlineStr">
        <is>
          <t>CARDONE Reman</t>
        </is>
      </c>
      <c r="F17" t="inlineStr">
        <is>
          <t>25895883</t>
        </is>
      </c>
      <c r="G17" t="inlineStr">
        <is>
          <t>Chevrolet Malibu 2009-2012
Pontiac G6 2009-2010
Saturn Aura 2009</t>
        </is>
      </c>
      <c r="H17" t="inlineStr">
        <is>
          <t>Chevrolet Malibu 2009-2010 3.5L V6 213cid
Chevrolet Malibu 2009-2012 2.4L L4 145cid
Chevrolet Malibu 2009-2012 3.6L V6 217cid
Pontiac G6 2009 3.6L V6 217cid
Pontiac G6 2009 3.9L V6 237cid
Pontiac G6 2009-2010 2.4L L4 145cid
Pontiac G6 2009-2010 3.5L V6 213cid
Saturn Aura 2009 2.4L L4 145cid
Saturn Aura 2009 3.6L V6 217cid</t>
        </is>
      </c>
      <c r="I17" t="inlineStr">
        <is>
          <t>{"0": {"productDeskExternalKey": "CPCX|40-10022"}, "1": {"Package Contents": "Wiper Motor; Instruction Sheet"}, "2": {"E-Waste": "Yes"}, "3": {"Product Condition": "Remanufactured"}, "4": {"Mounting Hole Quantity": "3"}, "5": {"Terminal Type": "Blade"}, "6": {"Mounting Type": "Direct Bolt; Grommet"}, "7": {"Weight PG": "3.4000"}, "8": {"Washer Pump Included": "No"}, "9": {"Part Type": "Windshield Wiper Motor"}, "10": {"Warranty Info": "1 Year/18,000 Mile"}, "11": {"Sustainable Choice": "Yes"}, "12": {"Lifecycle Status": "Available to Order"}, "13": {"Application Summary": "Chevrolet Malibu 2012-09; Pontiac G6 2010-09; Saturn Aura 2009"}, "14": {"ItemLevelGTIN": "00082617887267"}, "15": {"_addonCardone": "40-10022::98271:100201:306"}, "16": {"Eligible for R&amp;R Service": "Yes"}}</t>
        </is>
      </c>
      <c r="J17" t="inlineStr">
        <is>
          <t>https://www.cardone.com/product/windshield-wiper-motor-40-10022</t>
        </is>
      </c>
      <c r="K17">
        <f>DISPIMG("ID_87D0AABBA2F44C849C4D6585AB73FDD6",1)</f>
        <v/>
      </c>
      <c r="L17" t="inlineStr">
        <is>
          <t>CPCX|40-10022</t>
        </is>
      </c>
      <c r="M17" t="inlineStr">
        <is>
          <t>Wiper Motor; Instruction Sheet</t>
        </is>
      </c>
      <c r="N17" t="inlineStr">
        <is>
          <t>Yes</t>
        </is>
      </c>
      <c r="O17" t="inlineStr">
        <is>
          <t>Remanufactured</t>
        </is>
      </c>
      <c r="P17" t="inlineStr">
        <is>
          <t>3</t>
        </is>
      </c>
      <c r="Q17" t="inlineStr">
        <is>
          <t>Blade</t>
        </is>
      </c>
      <c r="R17" t="inlineStr">
        <is>
          <t>Direct Bolt; Grommet</t>
        </is>
      </c>
      <c r="S17" t="inlineStr">
        <is>
          <t>3.4000</t>
        </is>
      </c>
      <c r="T17" t="inlineStr">
        <is>
          <t>No</t>
        </is>
      </c>
      <c r="U17" t="inlineStr">
        <is>
          <t>1 Year/18,000 Mile</t>
        </is>
      </c>
      <c r="V17" t="inlineStr">
        <is>
          <t>Yes</t>
        </is>
      </c>
      <c r="W17" t="inlineStr">
        <is>
          <t>Available to Order</t>
        </is>
      </c>
      <c r="X17" t="inlineStr">
        <is>
          <t>Chevrolet Malibu 2012-09; Pontiac G6 2010-09; Saturn Aura 2009</t>
        </is>
      </c>
      <c r="Y17" t="inlineStr">
        <is>
          <t>00082617887267</t>
        </is>
      </c>
      <c r="Z17" t="inlineStr">
        <is>
          <t>40-10022::98271:100201:306</t>
        </is>
      </c>
      <c r="AA17" t="inlineStr">
        <is>
          <t>Yes</t>
        </is>
      </c>
      <c r="AB17" t="inlineStr"/>
      <c r="AC17" t="inlineStr"/>
    </row>
    <row r="18">
      <c r="A18" t="inlineStr">
        <is>
          <t>17</t>
        </is>
      </c>
      <c r="B18" t="inlineStr">
        <is>
          <t>Windshield Wiper Motor</t>
        </is>
      </c>
      <c r="C18" t="inlineStr">
        <is>
          <t>40-10024</t>
        </is>
      </c>
      <c r="D18" t="inlineStr">
        <is>
          <t>Windshield Wiper Motor - 40-10024</t>
        </is>
      </c>
      <c r="E18" t="inlineStr">
        <is>
          <t>CARDONE Reman</t>
        </is>
      </c>
      <c r="F18" t="inlineStr">
        <is>
          <t>15939211;20989144</t>
        </is>
      </c>
      <c r="G18" t="inlineStr">
        <is>
          <t>Chevrolet Traverse 2009-2015</t>
        </is>
      </c>
      <c r="H18" t="inlineStr">
        <is>
          <t>Chevrolet Traverse 2009-2015 3.6L V6 217cid</t>
        </is>
      </c>
      <c r="I18" t="inlineStr">
        <is>
          <t>{"0": {"productDeskExternalKey": "CPCX|40-10024"}, "1": {"Package Contents": "Wiper Motor; Instruction Sheet"}, "2": {"E-Waste": "Yes"}, "3": {"Product Condition": "Remanufactured"}, "4": {"Mounting Hole Quantity": "3"}, "5": {"Terminal Type": "Blade"}, "6": {"Mounting Type": "Grommet"}, "7": {"Weight PG": "2.2500"}, "8": {"Washer Pump Included": "No"}, "9": {"Part Type": "Windshield Wiper Motor"}, "10": {"Warranty Info": "1 Year/18,000 Mile"}, "11": {"Sustainable Choice": "Yes"}, "12": {"Lifecycle Status": "Available to Order"}, "13": {"Application Summary": "Chevrolet Traverse 2015-09"}, "14": {"ItemLevelGTIN": "00082617888837"}, "15": {"_addonCardone": "40-10024::98271:100212:306"}, "16": {"Eligible for R&amp;R Service": "Yes"}}</t>
        </is>
      </c>
      <c r="J18" t="inlineStr">
        <is>
          <t>https://www.cardone.com/product/windshield-wiper-motor-40-10024</t>
        </is>
      </c>
      <c r="K18">
        <f>DISPIMG("ID_E6E7EF076F7B45329180AC2D081E46FB",1)</f>
        <v/>
      </c>
      <c r="L18" t="inlineStr">
        <is>
          <t>CPCX|40-10024</t>
        </is>
      </c>
      <c r="M18" t="inlineStr">
        <is>
          <t>Wiper Motor; Instruction Sheet</t>
        </is>
      </c>
      <c r="N18" t="inlineStr">
        <is>
          <t>Yes</t>
        </is>
      </c>
      <c r="O18" t="inlineStr">
        <is>
          <t>Remanufactured</t>
        </is>
      </c>
      <c r="P18" t="inlineStr">
        <is>
          <t>3</t>
        </is>
      </c>
      <c r="Q18" t="inlineStr">
        <is>
          <t>Blade</t>
        </is>
      </c>
      <c r="R18" t="inlineStr">
        <is>
          <t>Grommet</t>
        </is>
      </c>
      <c r="S18" t="inlineStr">
        <is>
          <t>2.2500</t>
        </is>
      </c>
      <c r="T18" t="inlineStr">
        <is>
          <t>No</t>
        </is>
      </c>
      <c r="U18" t="inlineStr">
        <is>
          <t>1 Year/18,000 Mile</t>
        </is>
      </c>
      <c r="V18" t="inlineStr">
        <is>
          <t>Yes</t>
        </is>
      </c>
      <c r="W18" t="inlineStr">
        <is>
          <t>Available to Order</t>
        </is>
      </c>
      <c r="X18" t="inlineStr">
        <is>
          <t>Chevrolet Traverse 2015-09</t>
        </is>
      </c>
      <c r="Y18" t="inlineStr">
        <is>
          <t>00082617888837</t>
        </is>
      </c>
      <c r="Z18" t="inlineStr">
        <is>
          <t>40-10024::98271:100212:306</t>
        </is>
      </c>
      <c r="AA18" t="inlineStr">
        <is>
          <t>Yes</t>
        </is>
      </c>
      <c r="AB18" t="inlineStr"/>
      <c r="AC18" t="inlineStr"/>
    </row>
    <row r="19">
      <c r="A19" t="inlineStr">
        <is>
          <t>18</t>
        </is>
      </c>
      <c r="B19" t="inlineStr">
        <is>
          <t>Windshield Wiper Motor</t>
        </is>
      </c>
      <c r="C19" t="inlineStr">
        <is>
          <t>40-1003</t>
        </is>
      </c>
      <c r="D19" t="inlineStr">
        <is>
          <t>Windshield Wiper Motor - 40-1003</t>
        </is>
      </c>
      <c r="E19" t="inlineStr">
        <is>
          <t>CARDONE Reman</t>
        </is>
      </c>
      <c r="F19" t="inlineStr">
        <is>
          <t>15746784;22121186;12368704;12494840</t>
        </is>
      </c>
      <c r="G19" t="inlineStr">
        <is>
          <t>Chevrolet Astro 1994-2005
GMC Safari 1994-2005</t>
        </is>
      </c>
      <c r="H19" t="inlineStr">
        <is>
          <t>Chevrolet Astro 1994-2005 4.3L V6 262cid
GMC Safari 1994-2005 4.3L V6 262cid</t>
        </is>
      </c>
      <c r="I19" t="inlineStr">
        <is>
          <t>{"0": {"productDeskExternalKey": "CPCX|40-1003"}, "1": {"Package Contents": "Wiper Motor; Instruction Sheet"}, "2": {"E-Waste": "Yes"}, "3": {"Product Condition": "Remanufactured"}, "4": {"Mounting Hole Quantity": "3"}, "5": {"Terminal Type": "Blade"}, "6": {"Mounting Type": "Direct Bolt"}, "7": {"Weight PG": "3.4200"}, "8": {"Washer Pump Included": "No"}, "9": {"Part Type": "Windshield Wiper Motor"}, "10": {"Warranty Info": "1 Year/18,000 Mile"}, "11": {"Sustainable Choice": "Yes"}, "12": {"Lifecycle Status": "Available to Order"}, "13": {"Application Summary": "Chevrolet Astro 2005-94; GMC Safari 2005-94"}, "14": {"ItemLevelGTIN": "00082617370608"}, "15": {"_addonCardone": "40-1003::98271:100219:306"}, "16": {"Eligible for R&amp;R Service": "Yes"}}</t>
        </is>
      </c>
      <c r="J19" t="inlineStr">
        <is>
          <t>https://www.cardone.com/product/windshield-wiper-motor-40-1003</t>
        </is>
      </c>
      <c r="K19">
        <f>DISPIMG("ID_752212F69E204D94935D603AFF20B7A3",1)</f>
        <v/>
      </c>
      <c r="L19" t="inlineStr">
        <is>
          <t>CPCX|40-1003</t>
        </is>
      </c>
      <c r="M19" t="inlineStr">
        <is>
          <t>Wiper Motor; Instruction Sheet</t>
        </is>
      </c>
      <c r="N19" t="inlineStr">
        <is>
          <t>Yes</t>
        </is>
      </c>
      <c r="O19" t="inlineStr">
        <is>
          <t>Remanufactured</t>
        </is>
      </c>
      <c r="P19" t="inlineStr">
        <is>
          <t>3</t>
        </is>
      </c>
      <c r="Q19" t="inlineStr">
        <is>
          <t>Blade</t>
        </is>
      </c>
      <c r="R19" t="inlineStr">
        <is>
          <t>Direct Bolt</t>
        </is>
      </c>
      <c r="S19" t="inlineStr">
        <is>
          <t>3.4200</t>
        </is>
      </c>
      <c r="T19" t="inlineStr">
        <is>
          <t>No</t>
        </is>
      </c>
      <c r="U19" t="inlineStr">
        <is>
          <t>1 Year/18,000 Mile</t>
        </is>
      </c>
      <c r="V19" t="inlineStr">
        <is>
          <t>Yes</t>
        </is>
      </c>
      <c r="W19" t="inlineStr">
        <is>
          <t>Available to Order</t>
        </is>
      </c>
      <c r="X19" t="inlineStr">
        <is>
          <t>Chevrolet Astro 2005-94; GMC Safari 2005-94</t>
        </is>
      </c>
      <c r="Y19" t="inlineStr">
        <is>
          <t>00082617370608</t>
        </is>
      </c>
      <c r="Z19" t="inlineStr">
        <is>
          <t>40-1003::98271:100219:306</t>
        </is>
      </c>
      <c r="AA19" t="inlineStr">
        <is>
          <t>Yes</t>
        </is>
      </c>
      <c r="AB19" t="inlineStr"/>
      <c r="AC19" t="inlineStr"/>
    </row>
    <row r="20">
      <c r="A20" t="inlineStr">
        <is>
          <t>19</t>
        </is>
      </c>
      <c r="B20" t="inlineStr">
        <is>
          <t>Windshield Wiper Motor</t>
        </is>
      </c>
      <c r="C20" t="inlineStr">
        <is>
          <t>40-10034</t>
        </is>
      </c>
      <c r="D20" t="inlineStr">
        <is>
          <t>Windshield Wiper Motor - 40-10034</t>
        </is>
      </c>
      <c r="E20" t="inlineStr">
        <is>
          <t>CARDONE Reman</t>
        </is>
      </c>
      <c r="F20" t="inlineStr">
        <is>
          <t>25979382</t>
        </is>
      </c>
      <c r="G20" t="inlineStr">
        <is>
          <t>Cadillac SRX 2010-2016</t>
        </is>
      </c>
      <c r="H20" t="inlineStr">
        <is>
          <t>Cadillac SRX 2010-2011 2.8L V6 170cid
Cadillac SRX 2010-2011 3L V6 182cid
Cadillac SRX 2011 3L V6 183cid
Cadillac SRX 2012-2016 3.6L V6 217cid
Cadillac SRX 2014 3.6L V6 220cid</t>
        </is>
      </c>
      <c r="I20" t="inlineStr">
        <is>
          <t>{"0": {"productDeskExternalKey": "CPCX|40-10034"}, "1": {"Package Contents": "Wiper Motor; Instruction Sheet"}, "2": {"E-Waste": "Yes"}, "3": {"Product Condition": "Remanufactured"}, "4": {"Mounting Hole Quantity": "1"}, "5": {"Terminal Type": "Blade"}, "6": {"Mounting Type": "Grommet; Through Hole"}, "7": {"Weight PG": "3.1000"}, "8": {"Washer Pump Included": "No"}, "9": {"Part Type": "Windshield Wiper Motor"}, "10": {"Warranty Info": "1 Year/18,000 Mile"}, "11": {"Sustainable Choice": "Yes"}, "12": {"Lifecycle Status": "Available to Order"}, "13": {"Application Summary": "Cadillac SRX 2016-10"}, "14": {"ItemLevelGTIN": "00082617967075"}, "15": {"_addonCardone": "40-10034::98271:100224:306"}, "16": {"Eligible for R&amp;R Service": "Yes"}}</t>
        </is>
      </c>
      <c r="J20" t="inlineStr">
        <is>
          <t>https://www.cardone.com/product/windshield-wiper-motor-40-10034</t>
        </is>
      </c>
      <c r="K20">
        <f>DISPIMG("ID_ADDE5A1835304D27A1AE8C215CD39F9B",1)</f>
        <v/>
      </c>
      <c r="L20" t="inlineStr">
        <is>
          <t>CPCX|40-10034</t>
        </is>
      </c>
      <c r="M20" t="inlineStr">
        <is>
          <t>Wiper Motor; Instruction Sheet</t>
        </is>
      </c>
      <c r="N20" t="inlineStr">
        <is>
          <t>Yes</t>
        </is>
      </c>
      <c r="O20" t="inlineStr">
        <is>
          <t>Remanufactured</t>
        </is>
      </c>
      <c r="P20" t="inlineStr">
        <is>
          <t>1</t>
        </is>
      </c>
      <c r="Q20" t="inlineStr">
        <is>
          <t>Blade</t>
        </is>
      </c>
      <c r="R20" t="inlineStr">
        <is>
          <t>Grommet; Through Hole</t>
        </is>
      </c>
      <c r="S20" t="inlineStr">
        <is>
          <t>3.1000</t>
        </is>
      </c>
      <c r="T20" t="inlineStr">
        <is>
          <t>No</t>
        </is>
      </c>
      <c r="U20" t="inlineStr">
        <is>
          <t>1 Year/18,000 Mile</t>
        </is>
      </c>
      <c r="V20" t="inlineStr">
        <is>
          <t>Yes</t>
        </is>
      </c>
      <c r="W20" t="inlineStr">
        <is>
          <t>Available to Order</t>
        </is>
      </c>
      <c r="X20" t="inlineStr">
        <is>
          <t>Cadillac SRX 2016-10</t>
        </is>
      </c>
      <c r="Y20" t="inlineStr">
        <is>
          <t>00082617967075</t>
        </is>
      </c>
      <c r="Z20" t="inlineStr">
        <is>
          <t>40-10034::98271:100224:306</t>
        </is>
      </c>
      <c r="AA20" t="inlineStr">
        <is>
          <t>Yes</t>
        </is>
      </c>
      <c r="AB20" t="inlineStr"/>
      <c r="AC20" t="inlineStr"/>
    </row>
    <row r="21">
      <c r="A21" t="inlineStr">
        <is>
          <t>20</t>
        </is>
      </c>
      <c r="B21" t="inlineStr">
        <is>
          <t>Windshield Wiper Motor</t>
        </is>
      </c>
      <c r="C21" t="inlineStr">
        <is>
          <t>40-10035</t>
        </is>
      </c>
      <c r="D21" t="inlineStr">
        <is>
          <t>Windshield Wiper Motor - 40-10035</t>
        </is>
      </c>
      <c r="E21" t="inlineStr">
        <is>
          <t>CARDONE Reman</t>
        </is>
      </c>
      <c r="F21" t="inlineStr">
        <is>
          <t>15949229</t>
        </is>
      </c>
      <c r="G21" t="inlineStr">
        <is>
          <t>Cadillac SRX 2010-2015</t>
        </is>
      </c>
      <c r="H21" t="inlineStr">
        <is>
          <t>Cadillac SRX 2010-2011 2.8L V6 170cid
Cadillac SRX 2010-2011 3L V6 182cid
Cadillac SRX 2011 3L V6 183cid
Cadillac SRX 2012-2015 3.6L V6 217cid
Cadillac SRX 2014 3.6L V6 220cid</t>
        </is>
      </c>
      <c r="I21" t="inlineStr">
        <is>
          <t>{"0": {"productDeskExternalKey": "CPCX|40-10035"}, "1": {"Package Contents": "Wiper Motor; Instruction Sheet"}, "2": {"E-Waste": "Yes"}, "3": {"Product Condition": "Remanufactured"}, "4": {"Mounting Hole Quantity": "3"}, "5": {"Terminal Type": "Blade"}, "6": {"Mounting Type": "Grommet; Through Hole"}, "7": {"Weight PG": "2.4000"}, "8": {"Washer Pump Included": "No"}, "9": {"Part Type": "Windshield Wiper Motor"}, "10": {"Warranty Info": "1 Year/18,000 Mile"}, "11": {"Sustainable Choice": "Yes"}, "12": {"Lifecycle Status": "Available to Order"}, "13": {"Application Summary": "Cadillac SRX 2015-10"}, "14": {"ItemLevelGTIN": "00082617967082"}, "15": {"_addonCardone": "40-10035::98271:100230:306"}, "16": {"Eligible for R&amp;R Service": "Yes"}}</t>
        </is>
      </c>
      <c r="J21" t="inlineStr">
        <is>
          <t>https://www.cardone.com/product/windshield-wiper-motor-40-10035</t>
        </is>
      </c>
      <c r="K21">
        <f>DISPIMG("ID_57350D4D8AE240BF9CA86C42689A9CCC",1)</f>
        <v/>
      </c>
      <c r="L21" t="inlineStr">
        <is>
          <t>CPCX|40-10035</t>
        </is>
      </c>
      <c r="M21" t="inlineStr">
        <is>
          <t>Wiper Motor; Instruction Sheet</t>
        </is>
      </c>
      <c r="N21" t="inlineStr">
        <is>
          <t>Yes</t>
        </is>
      </c>
      <c r="O21" t="inlineStr">
        <is>
          <t>Remanufactured</t>
        </is>
      </c>
      <c r="P21" t="inlineStr">
        <is>
          <t>3</t>
        </is>
      </c>
      <c r="Q21" t="inlineStr">
        <is>
          <t>Blade</t>
        </is>
      </c>
      <c r="R21" t="inlineStr">
        <is>
          <t>Grommet; Through Hole</t>
        </is>
      </c>
      <c r="S21" t="inlineStr">
        <is>
          <t>2.4000</t>
        </is>
      </c>
      <c r="T21" t="inlineStr">
        <is>
          <t>No</t>
        </is>
      </c>
      <c r="U21" t="inlineStr">
        <is>
          <t>1 Year/18,000 Mile</t>
        </is>
      </c>
      <c r="V21" t="inlineStr">
        <is>
          <t>Yes</t>
        </is>
      </c>
      <c r="W21" t="inlineStr">
        <is>
          <t>Available to Order</t>
        </is>
      </c>
      <c r="X21" t="inlineStr">
        <is>
          <t>Cadillac SRX 2015-10</t>
        </is>
      </c>
      <c r="Y21" t="inlineStr">
        <is>
          <t>00082617967082</t>
        </is>
      </c>
      <c r="Z21" t="inlineStr">
        <is>
          <t>40-10035::98271:100230:306</t>
        </is>
      </c>
      <c r="AA21" t="inlineStr">
        <is>
          <t>Yes</t>
        </is>
      </c>
      <c r="AB21" t="inlineStr"/>
      <c r="AC21" t="inlineStr"/>
    </row>
    <row r="22">
      <c r="A22" t="inlineStr">
        <is>
          <t>21</t>
        </is>
      </c>
      <c r="B22" t="inlineStr">
        <is>
          <t>Windshield Wiper Motor</t>
        </is>
      </c>
      <c r="C22" t="inlineStr">
        <is>
          <t>40-10037</t>
        </is>
      </c>
      <c r="D22" t="inlineStr">
        <is>
          <t>Windshield Wiper Motor - 40-10037</t>
        </is>
      </c>
      <c r="E22" t="inlineStr">
        <is>
          <t>CARDONE Reman</t>
        </is>
      </c>
      <c r="F22" t="inlineStr">
        <is>
          <t>22085493</t>
        </is>
      </c>
      <c r="G22" t="inlineStr">
        <is>
          <t>Chevrolet Chevy 1996-2012</t>
        </is>
      </c>
      <c r="H22" t="inlineStr">
        <is>
          <t>Chevrolet Chevy 1996-2002 1.4L L4 85cid
Chevrolet Chevy 1996-2012 1.6L L4 98cid</t>
        </is>
      </c>
      <c r="I22" t="inlineStr">
        <is>
          <t>{"0": {"productDeskExternalKey": "CPCX|40-10037"},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"Chevrolet Chevy 2012-96"}, "14": {"ItemLevelGTIN": "00082617967129"}, "15": {"_addonCardone": "40-10037::98271:100238:306"}, "16": {"Eligible for R&amp;R Service": "Yes"}}</t>
        </is>
      </c>
      <c r="J22" t="inlineStr">
        <is>
          <t>https://www.cardone.com/product/windshield-wiper-motor-40-10037</t>
        </is>
      </c>
      <c r="K22">
        <f>DISPIMG("ID_CFB096CC7B5D408A8C258D84CD9620BF",1)</f>
        <v/>
      </c>
      <c r="L22" t="inlineStr">
        <is>
          <t>CPCX|40-10037</t>
        </is>
      </c>
      <c r="M22" t="inlineStr">
        <is>
          <t>Wiper Motor; Instruction Sheet</t>
        </is>
      </c>
      <c r="N22" t="inlineStr">
        <is>
          <t>Yes</t>
        </is>
      </c>
      <c r="O22" t="inlineStr">
        <is>
          <t>Remanufactured</t>
        </is>
      </c>
      <c r="P22" t="inlineStr">
        <is>
          <t>3</t>
        </is>
      </c>
      <c r="Q22" t="inlineStr">
        <is>
          <t>Blade</t>
        </is>
      </c>
      <c r="R22" t="inlineStr">
        <is>
          <t>Direct Bolt</t>
        </is>
      </c>
      <c r="S22" t="inlineStr">
        <is>
          <t>3.0000</t>
        </is>
      </c>
      <c r="T22" t="inlineStr">
        <is>
          <t>No</t>
        </is>
      </c>
      <c r="U22" t="inlineStr">
        <is>
          <t>1 Year/18,000 Mile</t>
        </is>
      </c>
      <c r="V22" t="inlineStr">
        <is>
          <t>Yes</t>
        </is>
      </c>
      <c r="W22" t="inlineStr">
        <is>
          <t>Available to Order</t>
        </is>
      </c>
      <c r="X22" t="inlineStr">
        <is>
          <t>Chevrolet Chevy 2012-96</t>
        </is>
      </c>
      <c r="Y22" t="inlineStr">
        <is>
          <t>00082617967129</t>
        </is>
      </c>
      <c r="Z22" t="inlineStr">
        <is>
          <t>40-10037::98271:100238:306</t>
        </is>
      </c>
      <c r="AA22" t="inlineStr">
        <is>
          <t>Yes</t>
        </is>
      </c>
      <c r="AB22" t="inlineStr"/>
      <c r="AC22" t="inlineStr"/>
    </row>
    <row r="23">
      <c r="A23" t="inlineStr">
        <is>
          <t>22</t>
        </is>
      </c>
      <c r="B23" t="inlineStr">
        <is>
          <t>Windshield Wiper Motor</t>
        </is>
      </c>
      <c r="C23" t="inlineStr">
        <is>
          <t>40-1004</t>
        </is>
      </c>
      <c r="D23" t="inlineStr">
        <is>
          <t>Windshield Wiper Motor - 40-1004</t>
        </is>
      </c>
      <c r="E23" t="inlineStr">
        <is>
          <t>CARDONE Reman</t>
        </is>
      </c>
      <c r="F23" t="inlineStr">
        <is>
          <t>8221219670</t>
        </is>
      </c>
      <c r="G23" t="inlineStr">
        <is>
          <t>Chevrolet Blazer 1995-1997
Chevrolet S10 1994-1997
GMC Jimmy 1995-1997
GMC Sonoma 1994-1997
Isuzu Hombre 1996-1997
Oldsmobile Bravada 1996-1997</t>
        </is>
      </c>
      <c r="H23" t="inlineStr">
        <is>
          <t>Chevrolet Blazer 1995-1997 4.3L V6 262cid
Chevrolet S10 1994-1997 2.2L L4 134cid
Chevrolet S10 1994-1997 4.3L V6 262cid
Chevrolet S10 1997
GMC Jimmy 1995-1997 4.3L V6 262cid
GMC Sonoma 1994-1997 2.2L L4 134cid
GMC Sonoma 1994-1997 4.3L V6 262cid
Isuzu Hombre 1996-1997 2.2L L4 134cid
Isuzu Hombre 1997 4.3L V6 4294cc
Oldsmobile Bravada 1996-1997 4.3L V6 262cid</t>
        </is>
      </c>
      <c r="I23" t="inlineStr">
        <is>
          <t>{"0": {"productDeskExternalKey": "CPCX|40-1004"}, "1": {"Package Contents": "Wiper Motor; Instruction Sheet"}, "2": {"E-Waste": "Yes"}, "3": {"Product Condition": "Remanufactured"}, "4": {"Mounting Hole Quantity": "3"}, "5": {"Terminal Type": "Blade"}, "6": {"Mounting Type": "Grommet"}, "7": {"Weight PG": "3.3700"}, "8": {"Washer Pump Included": "No"}, "9": {"Part Type": "Windshield Wiper Motor"}, "10": {"Warranty Info": "1 Year/18,000 Mile"}, "11": {"Sustainable Choice": "Yes"}, "12": {"Lifecycle Status": "Available to Order"}, "13": {"Application Summary": "Chevrolet Blazer 1997-95, S10 1997-94; GMC Jimmy 1997-95, Sonoma 1997-94; Isuzu Hombre 1997-96; Oldsmobile Bravada 1997-96"}, "14": {"ItemLevelGTIN": "00082617370592"}, "15": {"_addonCardone": "40-1004::98271:100244:306"}, "16": {"Eligible for R&amp;R Service": "Yes"}}</t>
        </is>
      </c>
      <c r="J23" t="inlineStr">
        <is>
          <t>https://www.cardone.com/product/windshield-wiper-motor-40-1004</t>
        </is>
      </c>
      <c r="K23">
        <f>DISPIMG("ID_B4E430C3434146A2B7BCC116B23D2599",1)</f>
        <v/>
      </c>
      <c r="L23" t="inlineStr">
        <is>
          <t>CPCX|40-1004</t>
        </is>
      </c>
      <c r="M23" t="inlineStr">
        <is>
          <t>Wiper Motor; Instruction Sheet</t>
        </is>
      </c>
      <c r="N23" t="inlineStr">
        <is>
          <t>Yes</t>
        </is>
      </c>
      <c r="O23" t="inlineStr">
        <is>
          <t>Remanufactured</t>
        </is>
      </c>
      <c r="P23" t="inlineStr">
        <is>
          <t>3</t>
        </is>
      </c>
      <c r="Q23" t="inlineStr">
        <is>
          <t>Blade</t>
        </is>
      </c>
      <c r="R23" t="inlineStr">
        <is>
          <t>Grommet</t>
        </is>
      </c>
      <c r="S23" t="inlineStr">
        <is>
          <t>3.3700</t>
        </is>
      </c>
      <c r="T23" t="inlineStr">
        <is>
          <t>No</t>
        </is>
      </c>
      <c r="U23" t="inlineStr">
        <is>
          <t>1 Year/18,000 Mile</t>
        </is>
      </c>
      <c r="V23" t="inlineStr">
        <is>
          <t>Yes</t>
        </is>
      </c>
      <c r="W23" t="inlineStr">
        <is>
          <t>Available to Order</t>
        </is>
      </c>
      <c r="X23" t="inlineStr">
        <is>
          <t>Chevrolet Blazer 1997-95, S10 1997-94; GMC Jimmy 1997-95, Sonoma 1997-94; Isuzu Hombre 1997-96; Oldsmobile Bravada 1997-96</t>
        </is>
      </c>
      <c r="Y23" t="inlineStr">
        <is>
          <t>00082617370592</t>
        </is>
      </c>
      <c r="Z23" t="inlineStr">
        <is>
          <t>40-1004::98271:100244:306</t>
        </is>
      </c>
      <c r="AA23" t="inlineStr">
        <is>
          <t>Yes</t>
        </is>
      </c>
      <c r="AB23" t="inlineStr"/>
      <c r="AC23" t="inlineStr"/>
    </row>
    <row r="24">
      <c r="A24" t="inlineStr">
        <is>
          <t>23</t>
        </is>
      </c>
      <c r="B24" t="inlineStr">
        <is>
          <t>Windshield Wiper Motor</t>
        </is>
      </c>
      <c r="C24" t="inlineStr">
        <is>
          <t>40-1005</t>
        </is>
      </c>
      <c r="D24" t="inlineStr">
        <is>
          <t>Windshield Wiper Motor - 40-1005</t>
        </is>
      </c>
      <c r="E24" t="inlineStr">
        <is>
          <t>CARDONE Reman</t>
        </is>
      </c>
      <c r="F24" t="inlineStr">
        <is>
          <t>15053983;22154965;12494790;12365368</t>
        </is>
      </c>
      <c r="G24" t="inlineStr">
        <is>
          <t>Chevrolet Blazer 1995-2005
GMC Jimmy 1995-2005
Oldsmobile Bravada 1996-2001</t>
        </is>
      </c>
      <c r="H24" t="inlineStr">
        <is>
          <t>Chevrolet Blazer 1995-2005 4.3L V6 262cid
Chevrolet Blazer 2002 4.2L L6 256cid
GMC Jimmy 1995-2003 4.3L V6 262cid
GMC Jimmy 2004-2005 4.3L V6 4294cc
Oldsmobile Bravada 1996-2001 4.3L V6 262cid</t>
        </is>
      </c>
      <c r="I24" t="inlineStr">
        <is>
          <t>{"0": {"productDeskExternalKey": "CPCX|40-1005"}, "1": {"Package Contents": "Wiper Motor; Instruction Sheet"}, "2": {"E-Waste": "Yes"}, "3": {"Product Condition": "Remanufactured"}, "4": {"Mounting Hole Quantity": "3"}, "5": {"Terminal Type": "Blade"}, "6": {"Mounting Type": "Direct Bolt"}, "7": {"Weight PG": "2.8500"}, "8": {"Washer Pump Included": "No"}, "9": {"Part Type": "Windshield Wiper Motor"}, "10": {"Warranty Info": "1 Year/18,000 Mile"}, "11": {"Sustainable Choice": "Yes"}, "12": {"Lifecycle Status": "Available to Order"}, "13": {"Application Summary": "Chevrolet Blazer 2005-95; GMC Jimmy 2005-95; Oldsmobile Bravada 2001-96"}, "14": {"ItemLevelGTIN": "00082617404372"}, "15": {"_addonCardone": "40-1005::98271:100251:306"}, "16": {"Eligible for R&amp;R Service": "Yes"}}</t>
        </is>
      </c>
      <c r="J24" t="inlineStr">
        <is>
          <t>https://www.cardone.com/product/windshield-wiper-motor-40-1005</t>
        </is>
      </c>
      <c r="K24">
        <f>DISPIMG("ID_A1213DB70F37406F9A3C48286C410517",1)</f>
        <v/>
      </c>
      <c r="L24" t="inlineStr">
        <is>
          <t>CPCX|40-1005</t>
        </is>
      </c>
      <c r="M24" t="inlineStr">
        <is>
          <t>Wiper Motor; Instruction Sheet</t>
        </is>
      </c>
      <c r="N24" t="inlineStr">
        <is>
          <t>Yes</t>
        </is>
      </c>
      <c r="O24" t="inlineStr">
        <is>
          <t>Remanufactured</t>
        </is>
      </c>
      <c r="P24" t="inlineStr">
        <is>
          <t>3</t>
        </is>
      </c>
      <c r="Q24" t="inlineStr">
        <is>
          <t>Blade</t>
        </is>
      </c>
      <c r="R24" t="inlineStr">
        <is>
          <t>Direct Bolt</t>
        </is>
      </c>
      <c r="S24" t="inlineStr">
        <is>
          <t>2.8500</t>
        </is>
      </c>
      <c r="T24" t="inlineStr">
        <is>
          <t>No</t>
        </is>
      </c>
      <c r="U24" t="inlineStr">
        <is>
          <t>1 Year/18,000 Mile</t>
        </is>
      </c>
      <c r="V24" t="inlineStr">
        <is>
          <t>Yes</t>
        </is>
      </c>
      <c r="W24" t="inlineStr">
        <is>
          <t>Available to Order</t>
        </is>
      </c>
      <c r="X24" t="inlineStr">
        <is>
          <t>Chevrolet Blazer 2005-95; GMC Jimmy 2005-95; Oldsmobile Bravada 2001-96</t>
        </is>
      </c>
      <c r="Y24" t="inlineStr">
        <is>
          <t>00082617404372</t>
        </is>
      </c>
      <c r="Z24" t="inlineStr">
        <is>
          <t>40-1005::98271:100251:306</t>
        </is>
      </c>
      <c r="AA24" t="inlineStr">
        <is>
          <t>Yes</t>
        </is>
      </c>
      <c r="AB24" t="inlineStr"/>
      <c r="AC24" t="inlineStr"/>
    </row>
    <row r="25">
      <c r="A25" t="inlineStr">
        <is>
          <t>24</t>
        </is>
      </c>
      <c r="B25" t="inlineStr">
        <is>
          <t>Windshield Wiper Motor</t>
        </is>
      </c>
      <c r="C25" t="inlineStr">
        <is>
          <t>40-1006</t>
        </is>
      </c>
      <c r="D25" t="inlineStr">
        <is>
          <t>Windshield Wiper Motor - 40-1006</t>
        </is>
      </c>
      <c r="E25" t="inlineStr">
        <is>
          <t>CARDONE Reman</t>
        </is>
      </c>
      <c r="F25" t="inlineStr">
        <is>
          <t>22137807</t>
        </is>
      </c>
      <c r="G25" t="inlineStr">
        <is>
          <t>Chevrolet Lumina 1995-2001
Chevrolet Monte Carlo 1995-1999</t>
        </is>
      </c>
      <c r="H25" t="inlineStr">
        <is>
          <t>Chevrolet Lumina 1995-1997 3.4L V6 207cid
Chevrolet Lumina 1995-2001 3.1L V6 189cid
Chevrolet Lumina 1998-1999 3.8L V6 231cid
Chevrolet Monte Carlo 1995-1997 3.4L V6 207cid
Chevrolet Monte Carlo 1995-1999 3.1L V6 189cid
Chevrolet Monte Carlo 1998-1999 3.8L V6 231cid</t>
        </is>
      </c>
      <c r="I25" t="inlineStr">
        <is>
          <t>{"0": {"productDeskExternalKey": "CPCX|40-1006"}, "1": {"Package Contents": "Wiper Motor; Instruction Sheet"}, "2": {"E-Waste": "Yes"}, "3": {"Product Condition": "Remanufactured"}, "4": {"Mounting Hole Quantity": "3"}, "5": {"Terminal Type": "Blade"}, "6": {"Mounting Type": "Direct Bolt"}, "7": {"Weight PG": "4.4500"}, "8": {"Washer Pump Included": "No"}, "9": {"Part Type": "Windshield Wiper Motor"}, "10": {"Warranty Info": "1 Year/18,000 Mile"}, "11": {"Sustainable Choice": "Yes"}, "12": {"Lifecycle Status": "Available to Order"}, "13": {"Application Summary": "Chevrolet Lumina 2001-95, Monte Carlo 1999-95"}, "14": {"ItemLevelGTIN": "00082617403849"}, "15": {"_addonCardone": "40-1006::98271:100291:306"}, "16": {"Eligible for R&amp;R Service": "Yes"}}</t>
        </is>
      </c>
      <c r="J25" t="inlineStr">
        <is>
          <t>https://www.cardone.com/product/windshield-wiper-motor-40-1006</t>
        </is>
      </c>
      <c r="K25">
        <f>DISPIMG("ID_BD5E90C1D0ED4A71BAE6DAED2CA4EAAC",1)</f>
        <v/>
      </c>
      <c r="L25" t="inlineStr">
        <is>
          <t>CPCX|40-1006</t>
        </is>
      </c>
      <c r="M25" t="inlineStr">
        <is>
          <t>Wiper Motor; Instruction Sheet</t>
        </is>
      </c>
      <c r="N25" t="inlineStr">
        <is>
          <t>Yes</t>
        </is>
      </c>
      <c r="O25" t="inlineStr">
        <is>
          <t>Remanufactured</t>
        </is>
      </c>
      <c r="P25" t="inlineStr">
        <is>
          <t>3</t>
        </is>
      </c>
      <c r="Q25" t="inlineStr">
        <is>
          <t>Blade</t>
        </is>
      </c>
      <c r="R25" t="inlineStr">
        <is>
          <t>Direct Bolt</t>
        </is>
      </c>
      <c r="S25" t="inlineStr">
        <is>
          <t>4.4500</t>
        </is>
      </c>
      <c r="T25" t="inlineStr">
        <is>
          <t>No</t>
        </is>
      </c>
      <c r="U25" t="inlineStr">
        <is>
          <t>1 Year/18,000 Mile</t>
        </is>
      </c>
      <c r="V25" t="inlineStr">
        <is>
          <t>Yes</t>
        </is>
      </c>
      <c r="W25" t="inlineStr">
        <is>
          <t>Available to Order</t>
        </is>
      </c>
      <c r="X25" t="inlineStr">
        <is>
          <t>Chevrolet Lumina 2001-95, Monte Carlo 1999-95</t>
        </is>
      </c>
      <c r="Y25" t="inlineStr">
        <is>
          <t>00082617403849</t>
        </is>
      </c>
      <c r="Z25" t="inlineStr">
        <is>
          <t>40-1006::98271:100291:306</t>
        </is>
      </c>
      <c r="AA25" t="inlineStr">
        <is>
          <t>Yes</t>
        </is>
      </c>
      <c r="AB25" t="inlineStr"/>
      <c r="AC25" t="inlineStr"/>
    </row>
    <row r="26">
      <c r="A26" t="inlineStr">
        <is>
          <t>25</t>
        </is>
      </c>
      <c r="B26" t="inlineStr">
        <is>
          <t>Windshield Wiper Motor</t>
        </is>
      </c>
      <c r="C26" t="inlineStr">
        <is>
          <t>40-1007</t>
        </is>
      </c>
      <c r="D26" t="inlineStr">
        <is>
          <t>Windshield Wiper Motor - 40-1007</t>
        </is>
      </c>
      <c r="E26" t="inlineStr">
        <is>
          <t>CARDONE Reman</t>
        </is>
      </c>
      <c r="F26" t="inlineStr">
        <is>
          <t>22138775</t>
        </is>
      </c>
      <c r="G26" t="inlineStr">
        <is>
          <t>Chevrolet Lumina APV 1994-1996
Chevrolet Lumina Van 1995-1996
Oldsmobile Silhouette 1994-1996
Pontiac Trans Sport 1994-1996</t>
        </is>
      </c>
      <c r="H26" t="inlineStr">
        <is>
          <t>Chevrolet Lumina APV 1994-1995 3.1L V6 189cid
Chevrolet Lumina APV 1994-1995 3.8L V6 231cid
Chevrolet Lumina APV 1996 3.4L V6 207cid
Chevrolet Lumina Van 1995-1996 3.8L V6 232cid
Oldsmobile Silhouette 1994 3.1L V6 189cid
Oldsmobile Silhouette 1994-1995 3.8L V6 231cid
Oldsmobile Silhouette 1996 3.4L V6 207cid
Pontiac Trans Sport 1994-1995 3.1L V6 189cid
Pontiac Trans Sport 1994-1995 3.8L V6 231cid
Pontiac Trans Sport 1996 3.4L V6 207cid</t>
        </is>
      </c>
      <c r="I26" t="inlineStr">
        <is>
          <t>{"0": {"productDeskExternalKey": "CPCX|40-1007"}, "1": {"Package Contents": "Wiper Motor; Instruction Sheet"}, "2": {"E-Waste": "Yes"}, "3": {"Product Condition": "Remanufactured"}, "4": {"Mounting Hole Quantity": "2"}, "5": {"Terminal Type": "Blade"}, "6": {"Mounting Type": "Grommet"}, "7": {"Weight PG": "2.8500"}, "8": {"Washer Pump Included": "No"}, "9": {"Part Type": "Windshield Wiper Motor"}, "10": {"Warranty Info": "1 Year/18,000 Mile"}, "11": {"Sustainable Choice": "Yes"}, "12": {"Lifecycle Status": "Available to Order"}, "13": {"Application Summary": "Chevrolet Lumina APV 1996-94, Lumina Van 1996-95; Oldsmobile Silhouette 1996-94; Pontiac Trans Sport 1996-94"}, "14": {"ItemLevelGTIN": "00082617486187"}, "15": {"_addonCardone": "40-1007::98271:100296:306"}, "16": {"Eligible for R&amp;R Service": "Yes"}}</t>
        </is>
      </c>
      <c r="J26" t="inlineStr">
        <is>
          <t>https://www.cardone.com/product/windshield-wiper-motor-40-1007</t>
        </is>
      </c>
      <c r="K26">
        <f>DISPIMG("ID_DC40D9B4AEF1485BB06D6C0A3C2866FC",1)</f>
        <v/>
      </c>
      <c r="L26" t="inlineStr">
        <is>
          <t>CPCX|40-1007</t>
        </is>
      </c>
      <c r="M26" t="inlineStr">
        <is>
          <t>Wiper Motor; Instruction Sheet</t>
        </is>
      </c>
      <c r="N26" t="inlineStr">
        <is>
          <t>Yes</t>
        </is>
      </c>
      <c r="O26" t="inlineStr">
        <is>
          <t>Remanufactured</t>
        </is>
      </c>
      <c r="P26" t="inlineStr">
        <is>
          <t>2</t>
        </is>
      </c>
      <c r="Q26" t="inlineStr">
        <is>
          <t>Blade</t>
        </is>
      </c>
      <c r="R26" t="inlineStr">
        <is>
          <t>Grommet</t>
        </is>
      </c>
      <c r="S26" t="inlineStr">
        <is>
          <t>2.8500</t>
        </is>
      </c>
      <c r="T26" t="inlineStr">
        <is>
          <t>No</t>
        </is>
      </c>
      <c r="U26" t="inlineStr">
        <is>
          <t>1 Year/18,000 Mile</t>
        </is>
      </c>
      <c r="V26" t="inlineStr">
        <is>
          <t>Yes</t>
        </is>
      </c>
      <c r="W26" t="inlineStr">
        <is>
          <t>Available to Order</t>
        </is>
      </c>
      <c r="X26" t="inlineStr">
        <is>
          <t>Chevrolet Lumina APV 1996-94, Lumina Van 1996-95; Oldsmobile Silhouette 1996-94; Pontiac Trans Sport 1996-94</t>
        </is>
      </c>
      <c r="Y26" t="inlineStr">
        <is>
          <t>00082617486187</t>
        </is>
      </c>
      <c r="Z26" t="inlineStr">
        <is>
          <t>40-1007::98271:100296:306</t>
        </is>
      </c>
      <c r="AA26" t="inlineStr">
        <is>
          <t>Yes</t>
        </is>
      </c>
      <c r="AB26" t="inlineStr"/>
      <c r="AC26" t="inlineStr"/>
    </row>
    <row r="27">
      <c r="A27" t="inlineStr">
        <is>
          <t>26</t>
        </is>
      </c>
      <c r="B27" t="inlineStr">
        <is>
          <t>Windshield Wiper Motor</t>
        </is>
      </c>
      <c r="C27" t="inlineStr">
        <is>
          <t>40-1008</t>
        </is>
      </c>
      <c r="D27" t="inlineStr">
        <is>
          <t>Windshield Wiper Motor - 40-1008</t>
        </is>
      </c>
      <c r="E27" t="inlineStr">
        <is>
          <t>CARDONE Reman</t>
        </is>
      </c>
      <c r="F27" t="inlineStr">
        <is>
          <t>55154539</t>
        </is>
      </c>
      <c r="G27" t="inlineStr">
        <is>
          <t>Chevrolet S10 Blazer 1989-1994
GMC Jimmy 1992-1994
GMC S15 Jimmy 1989-1991
GMC Typhoon 1992-1993
Jeep Wrangler 1991-1995
Oldsmobile Bravada 1991-1994</t>
        </is>
      </c>
      <c r="H27" t="inlineStr">
        <is>
          <t>Chevrolet S10 Blazer 1989 2.8L V6 173cid
Chevrolet S10 Blazer 1989-1994 4.3L V6 262cid
GMC Jimmy 1992-1994 4.3L V6 262cid
GMC S15 Jimmy 1989 2.8L V6 173cid
GMC S15 Jimmy 1989-1991 4.3L V6 262cid
GMC Typhoon 1992-1993 4.3L V6 262cid
Jeep Wrangler 1991-1995 2.5L L4 150cid
Jeep Wrangler 1991-1995 4L L6 242cid
Oldsmobile Bravada 1991-1994 4.3L V6 262cid</t>
        </is>
      </c>
      <c r="I27" t="inlineStr">
        <is>
          <t>{"0": {"productDeskExternalKey": "CPCX|40-1008"}, "1": {"Package Contents": "Wiper Motor; Instruction Sheet"}, "2": {"E-Waste": "Yes"}, "3": {"Product Condition": "Remanufactured"}, "4": {"Mounting Hole Quantity": "1"}, "5": {"Terminal Type": "Blade"}, "6": {"Mounting Type": "Grommet"}, "7": {"Weight PG": "2.9500"}, "8": {"Washer Pump Included": "No"}, "9": {"Part Type": "Windshield Wiper Motor"}, "10": {"Warranty Info": "1 Year/18,000 Mile"}, "11": {"Sustainable Choice": "Yes"}, "12": {"Lifecycle Status": "Available to Order"}, "13": {"Application Summary": "Chevrolet S10 Blazer 1994-89; GMC Jimmy 1994-92, S15 Jimmy 1991-89, Typhoon 1993-92; Jeep Wrangler 1995-91; Oldsmobile Bravada 1994-91"}, "14": {"ItemLevelGTIN": "00082617457705"}, "15": {"_addonCardone": "40-1008::98384:114532:510"}, "16": {"Eligible for R&amp;R Service": "Yes"}}</t>
        </is>
      </c>
      <c r="J27" t="inlineStr">
        <is>
          <t>https://www.cardone.com/product/windshield-wiper-motor-40-1008</t>
        </is>
      </c>
      <c r="K27">
        <f>DISPIMG("ID_9A51CF795DB947C4B0068290C01769BC",1)</f>
        <v/>
      </c>
      <c r="L27" t="inlineStr">
        <is>
          <t>CPCX|40-1008</t>
        </is>
      </c>
      <c r="M27" t="inlineStr">
        <is>
          <t>Wiper Motor; Instruction Sheet</t>
        </is>
      </c>
      <c r="N27" t="inlineStr">
        <is>
          <t>Yes</t>
        </is>
      </c>
      <c r="O27" t="inlineStr">
        <is>
          <t>Remanufactured</t>
        </is>
      </c>
      <c r="P27" t="inlineStr">
        <is>
          <t>1</t>
        </is>
      </c>
      <c r="Q27" t="inlineStr">
        <is>
          <t>Blade</t>
        </is>
      </c>
      <c r="R27" t="inlineStr">
        <is>
          <t>Grommet</t>
        </is>
      </c>
      <c r="S27" t="inlineStr">
        <is>
          <t>2.9500</t>
        </is>
      </c>
      <c r="T27" t="inlineStr">
        <is>
          <t>No</t>
        </is>
      </c>
      <c r="U27" t="inlineStr">
        <is>
          <t>1 Year/18,000 Mile</t>
        </is>
      </c>
      <c r="V27" t="inlineStr">
        <is>
          <t>Yes</t>
        </is>
      </c>
      <c r="W27" t="inlineStr">
        <is>
          <t>Available to Order</t>
        </is>
      </c>
      <c r="X27" t="inlineStr">
        <is>
          <t>Chevrolet S10 Blazer 1994-89; GMC Jimmy 1994-92, S15 Jimmy 1991-89, Typhoon 1993-92; Jeep Wrangler 1995-91; Oldsmobile Bravada 1994-91</t>
        </is>
      </c>
      <c r="Y27" t="inlineStr">
        <is>
          <t>00082617457705</t>
        </is>
      </c>
      <c r="Z27" t="inlineStr">
        <is>
          <t>40-1008::98384:114532:510</t>
        </is>
      </c>
      <c r="AA27" t="inlineStr">
        <is>
          <t>Yes</t>
        </is>
      </c>
      <c r="AB27" t="inlineStr"/>
      <c r="AC27" t="inlineStr"/>
    </row>
    <row r="28">
      <c r="A28" t="inlineStr">
        <is>
          <t>27</t>
        </is>
      </c>
      <c r="B28" t="inlineStr">
        <is>
          <t>Windshield Wiper Motor</t>
        </is>
      </c>
      <c r="C28" t="inlineStr">
        <is>
          <t>40-1009</t>
        </is>
      </c>
      <c r="D28" t="inlineStr">
        <is>
          <t>Windshield Wiper Motor - 40-1009</t>
        </is>
      </c>
      <c r="E28" t="inlineStr">
        <is>
          <t>CARDONE Reman</t>
        </is>
      </c>
      <c r="F28" t="inlineStr">
        <is>
          <t>12362600;15149302</t>
        </is>
      </c>
      <c r="G28" t="inlineStr">
        <is>
          <t>Chevrolet Astro 1997-2005
GMC Safari 1997-2005</t>
        </is>
      </c>
      <c r="H28" t="inlineStr">
        <is>
          <t>Chevrolet Astro 1997-2005 4.3L V6 262cid
GMC Safari 1997-2005 4.3L V6 262cid</t>
        </is>
      </c>
      <c r="I28" t="inlineStr">
        <is>
          <t>{"0": {"productDeskExternalKey": "CPCX|40-1009"},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"Chevrolet Astro 2005-97; GMC Safari 2005-97"}, "14": {"ItemLevelGTIN": "00082617455404"}, "15": {"_addonCardone": "40-1009::98271:100298:306"}, "16": {"Eligible for R&amp;R Service": "Yes"}}</t>
        </is>
      </c>
      <c r="J28" t="inlineStr">
        <is>
          <t>https://www.cardone.com/product/windshield-wiper-motor-40-1009</t>
        </is>
      </c>
      <c r="K28">
        <f>DISPIMG("ID_0DF929B717DB4D779C94D58D575E065B",1)</f>
        <v/>
      </c>
      <c r="L28" t="inlineStr">
        <is>
          <t>CPCX|40-1009</t>
        </is>
      </c>
      <c r="M28" t="inlineStr">
        <is>
          <t>Wiper Motor; Instruction Sheet</t>
        </is>
      </c>
      <c r="N28" t="inlineStr">
        <is>
          <t>Yes</t>
        </is>
      </c>
      <c r="O28" t="inlineStr">
        <is>
          <t>Remanufactured</t>
        </is>
      </c>
      <c r="P28" t="inlineStr">
        <is>
          <t>3</t>
        </is>
      </c>
      <c r="Q28" t="inlineStr">
        <is>
          <t>Blade</t>
        </is>
      </c>
      <c r="R28" t="inlineStr">
        <is>
          <t>Direct Bolt</t>
        </is>
      </c>
      <c r="S28" t="inlineStr">
        <is>
          <t>2.7500</t>
        </is>
      </c>
      <c r="T28" t="inlineStr">
        <is>
          <t>No</t>
        </is>
      </c>
      <c r="U28" t="inlineStr">
        <is>
          <t>1 Year/18,000 Mile</t>
        </is>
      </c>
      <c r="V28" t="inlineStr">
        <is>
          <t>Yes</t>
        </is>
      </c>
      <c r="W28" t="inlineStr">
        <is>
          <t>Available to Order</t>
        </is>
      </c>
      <c r="X28" t="inlineStr">
        <is>
          <t>Chevrolet Astro 2005-97; GMC Safari 2005-97</t>
        </is>
      </c>
      <c r="Y28" t="inlineStr">
        <is>
          <t>00082617455404</t>
        </is>
      </c>
      <c r="Z28" t="inlineStr">
        <is>
          <t>40-1009::98271:100298:306</t>
        </is>
      </c>
      <c r="AA28" t="inlineStr">
        <is>
          <t>Yes</t>
        </is>
      </c>
      <c r="AB28" t="inlineStr"/>
      <c r="AC28" t="inlineStr"/>
    </row>
    <row r="29">
      <c r="A29" t="inlineStr">
        <is>
          <t>28</t>
        </is>
      </c>
      <c r="B29" t="inlineStr">
        <is>
          <t>Windshield Wiper Motor</t>
        </is>
      </c>
      <c r="C29" t="inlineStr">
        <is>
          <t>40-101</t>
        </is>
      </c>
      <c r="D29" t="inlineStr">
        <is>
          <t>Windshield Wiper Motor - 40-101</t>
        </is>
      </c>
      <c r="E29" t="inlineStr">
        <is>
          <t>CARDONE Reman</t>
        </is>
      </c>
      <c r="F29" t="inlineStr">
        <is>
          <t>21049032;21055768</t>
        </is>
      </c>
      <c r="G29" t="inlineStr">
        <is>
          <t>Saturn SC 1991-1992
Saturn SC1 1993-2000
Saturn SC2 1993-2000
Saturn SL 1991-2000
Saturn SL1 1991-2000
Saturn SL2 1991-2000
Saturn SW1 1993-1999
Saturn SW2 1993-2000</t>
        </is>
      </c>
      <c r="H29" t="inlineStr">
        <is>
          <t>Saturn SC 1991-1992 1.9L L4 116cid
Saturn SC1 1993-2000 1.9L L4 116cid
Saturn SC2 1993-2000 1.9L L4 116cid
Saturn SL 1991-2000 1.9L L4 116cid
Saturn SL1 1991-2000 1.9L L4 116cid
Saturn SL2 1991-2000 1.9L L4 116cid
Saturn SW1 1993-1999 1.9L L4 116cid
Saturn SW2 1993-2000 1.9L L4 116cid</t>
        </is>
      </c>
      <c r="I29" t="inlineStr">
        <is>
          <t>{"0": {"productDeskExternalKey": "CPCX|40-101"}, "1": {"Package Contents": "Wiper Motor; Instruction Sheet"}, "2": {"E-Waste": "Yes"}, "3": {"Product Condition": "Remanufactured"}, "4": {"Mounting Hole Quantity": "3"}, "5": {"Terminal Type": "Blade"}, "6": {"Mounting Type": "Direct Bolt"}, "7": {"Weight PG": "3.5400"}, "8": {"Washer Pump Included": "No"}, "9": {"Part Type": "Windshield Wiper Motor"}, "10": {"Warranty Info": "1 Year/18,000 Mile"}, "11": {"Sustainable Choice": "Yes"}, "12": {"Lifecycle Status": "Available to Order"}, "13": {"Application Summary": "Saturn SC 1992-91, SC1 2000-93, SC2 2000-93, SL 2000-91, SL1 2000-91, SL2 2000-91, SW1 1999-93, SW2 2000-93"}, "14": {"ItemLevelGTIN": "00082617272896"}, "15": {"_addonCardone": "40-101::98271:100302:306"}, "16": {"Eligible for R&amp;R Service": "Yes"}}</t>
        </is>
      </c>
      <c r="J29" t="inlineStr">
        <is>
          <t>https://www.cardone.com/product/windshield-wiper-motor-40-101</t>
        </is>
      </c>
      <c r="K29">
        <f>DISPIMG("ID_3D7FA07A0D014097BEF231096D2CF9B9",1)</f>
        <v/>
      </c>
      <c r="L29" t="inlineStr">
        <is>
          <t>CPCX|40-101</t>
        </is>
      </c>
      <c r="M29" t="inlineStr">
        <is>
          <t>Wiper Motor; Instruction Sheet</t>
        </is>
      </c>
      <c r="N29" t="inlineStr">
        <is>
          <t>Yes</t>
        </is>
      </c>
      <c r="O29" t="inlineStr">
        <is>
          <t>Remanufactured</t>
        </is>
      </c>
      <c r="P29" t="inlineStr">
        <is>
          <t>3</t>
        </is>
      </c>
      <c r="Q29" t="inlineStr">
        <is>
          <t>Blade</t>
        </is>
      </c>
      <c r="R29" t="inlineStr">
        <is>
          <t>Direct Bolt</t>
        </is>
      </c>
      <c r="S29" t="inlineStr">
        <is>
          <t>3.5400</t>
        </is>
      </c>
      <c r="T29" t="inlineStr">
        <is>
          <t>No</t>
        </is>
      </c>
      <c r="U29" t="inlineStr">
        <is>
          <t>1 Year/18,000 Mile</t>
        </is>
      </c>
      <c r="V29" t="inlineStr">
        <is>
          <t>Yes</t>
        </is>
      </c>
      <c r="W29" t="inlineStr">
        <is>
          <t>Available to Order</t>
        </is>
      </c>
      <c r="X29" t="inlineStr">
        <is>
          <t>Saturn SC 1992-91, SC1 2000-93, SC2 2000-93, SL 2000-91, SL1 2000-91, SL2 2000-91, SW1 1999-93, SW2 2000-93</t>
        </is>
      </c>
      <c r="Y29" t="inlineStr">
        <is>
          <t>00082617272896</t>
        </is>
      </c>
      <c r="Z29" t="inlineStr">
        <is>
          <t>40-101::98271:100302:306</t>
        </is>
      </c>
      <c r="AA29" t="inlineStr">
        <is>
          <t>Yes</t>
        </is>
      </c>
      <c r="AB29" t="inlineStr"/>
      <c r="AC29" t="inlineStr"/>
    </row>
    <row r="30">
      <c r="A30" t="inlineStr">
        <is>
          <t>29</t>
        </is>
      </c>
      <c r="B30" t="inlineStr">
        <is>
          <t>Windshield Wiper Motor</t>
        </is>
      </c>
      <c r="C30" t="inlineStr">
        <is>
          <t>40-1010</t>
        </is>
      </c>
      <c r="D30" t="inlineStr">
        <is>
          <t>Windshield Wiper Motor - 40-1010</t>
        </is>
      </c>
      <c r="E30" t="inlineStr">
        <is>
          <t>CARDONE Reman</t>
        </is>
      </c>
      <c r="F30" t="inlineStr">
        <is>
          <t>12363317</t>
        </is>
      </c>
      <c r="G30" t="inlineStr">
        <is>
          <t>Chevrolet Cavalier 1995-1997
Pontiac Sunfire 1995-1997</t>
        </is>
      </c>
      <c r="H30" t="inlineStr">
        <is>
          <t>Chevrolet Cavalier 1995 2.3L L4 138cid
Chevrolet Cavalier 1995-1997 2.2L L4 134cid
Chevrolet Cavalier 1995-1997 2.4L L4 146cid
Pontiac Sunfire 1995 2.3L L4 138cid
Pontiac Sunfire 1995-1997 2.2L L4 134cid
Pontiac Sunfire 1996-1997 2.4L L4 146cid</t>
        </is>
      </c>
      <c r="I30" t="inlineStr">
        <is>
          <t>{"0": {"productDeskExternalKey": "CPCX|40-1010"}, "1": {"Package Contents": "Wiper Motor; Instruction Sheet"}, "2": {"E-Waste": "Yes"}, "3": {"Product Condition": "Remanufactured"}, "4": {"Mounting Hole Quantity": "3"}, "5": {"Terminal Type": "Blade"}, "6": {"Mounting Type": "Direct Bolt"}, "7": {"Weight PG": "3.3000"}, "8": {"Washer Pump Included": "No"}, "9": {"Part Type": "Windshield Wiper Motor"}, "10": {"Warranty Info": "1 Year/18,000 Mile"}, "11": {"Sustainable Choice": "Yes"}, "12": {"Lifecycle Status": "Available to Order"}, "13": {"Application Summary": "Chevrolet Cavalier 1997-95; Pontiac Sunfire 1997-95"}, "14": {"ItemLevelGTIN": "00082617455428"}, "15": {"_addonCardone": "40-1010::98271:100305:306"}, "16": {"Eligible for R&amp;R Service": "Yes"}}</t>
        </is>
      </c>
      <c r="J30" t="inlineStr">
        <is>
          <t>https://www.cardone.com/product/windshield-wiper-motor-40-1010</t>
        </is>
      </c>
      <c r="K30">
        <f>DISPIMG("ID_F06ECDC1838C4D4A9AD400988603A226",1)</f>
        <v/>
      </c>
      <c r="L30" t="inlineStr">
        <is>
          <t>CPCX|40-1010</t>
        </is>
      </c>
      <c r="M30" t="inlineStr">
        <is>
          <t>Wiper Motor; Instruction Sheet</t>
        </is>
      </c>
      <c r="N30" t="inlineStr">
        <is>
          <t>Yes</t>
        </is>
      </c>
      <c r="O30" t="inlineStr">
        <is>
          <t>Remanufactured</t>
        </is>
      </c>
      <c r="P30" t="inlineStr">
        <is>
          <t>3</t>
        </is>
      </c>
      <c r="Q30" t="inlineStr">
        <is>
          <t>Blade</t>
        </is>
      </c>
      <c r="R30" t="inlineStr">
        <is>
          <t>Direct Bolt</t>
        </is>
      </c>
      <c r="S30" t="inlineStr">
        <is>
          <t>3.3000</t>
        </is>
      </c>
      <c r="T30" t="inlineStr">
        <is>
          <t>No</t>
        </is>
      </c>
      <c r="U30" t="inlineStr">
        <is>
          <t>1 Year/18,000 Mile</t>
        </is>
      </c>
      <c r="V30" t="inlineStr">
        <is>
          <t>Yes</t>
        </is>
      </c>
      <c r="W30" t="inlineStr">
        <is>
          <t>Available to Order</t>
        </is>
      </c>
      <c r="X30" t="inlineStr">
        <is>
          <t>Chevrolet Cavalier 1997-95; Pontiac Sunfire 1997-95</t>
        </is>
      </c>
      <c r="Y30" t="inlineStr">
        <is>
          <t>00082617455428</t>
        </is>
      </c>
      <c r="Z30" t="inlineStr">
        <is>
          <t>40-1010::98271:100305:306</t>
        </is>
      </c>
      <c r="AA30" t="inlineStr">
        <is>
          <t>Yes</t>
        </is>
      </c>
      <c r="AB30" t="inlineStr"/>
      <c r="AC30" t="inlineStr"/>
    </row>
    <row r="31">
      <c r="A31" t="inlineStr">
        <is>
          <t>30</t>
        </is>
      </c>
      <c r="B31" t="inlineStr">
        <is>
          <t>Windshield Wiper Motor</t>
        </is>
      </c>
      <c r="C31" t="inlineStr">
        <is>
          <t>40-1011</t>
        </is>
      </c>
      <c r="D31" t="inlineStr">
        <is>
          <t>Windshield Wiper Motor - 40-1011</t>
        </is>
      </c>
      <c r="E31" t="inlineStr">
        <is>
          <t>CARDONE Reman</t>
        </is>
      </c>
      <c r="F31" t="inlineStr">
        <is>
          <t>12363316</t>
        </is>
      </c>
      <c r="G31" t="inlineStr">
        <is>
          <t>Chevrolet Camaro 1999-2002
Pontiac Firebird 1999-2002</t>
        </is>
      </c>
      <c r="H31" t="inlineStr">
        <is>
          <t>Chevrolet Camaro 1999-2002 3.8L V6 231cid
Chevrolet Camaro 1999-2002 5.7L V8 350cid
Pontiac Firebird 1999-2002 3.8L V6 231cid
Pontiac Firebird 1999-2002 5.7L V8 350cid</t>
        </is>
      </c>
      <c r="I31" t="inlineStr">
        <is>
          <t>{"0": {"productDeskExternalKey": "CPCX|40-1011"},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"Chevrolet Camaro 2002-99; Pontiac Firebird 2002-99"}, "14": {"ItemLevelGTIN": "00082617455411"}, "15": {"_addonCardone": "40-1011::98271:100311:306"}, "16": {"Eligible for R&amp;R Service": "Yes"}}</t>
        </is>
      </c>
      <c r="J31" t="inlineStr">
        <is>
          <t>https://www.cardone.com/product/windshield-wiper-motor-40-1011</t>
        </is>
      </c>
      <c r="K31">
        <f>DISPIMG("ID_5B6B1EED08494EF2B49B0C4B5619E3FD",1)</f>
        <v/>
      </c>
      <c r="L31" t="inlineStr">
        <is>
          <t>CPCX|40-1011</t>
        </is>
      </c>
      <c r="M31" t="inlineStr">
        <is>
          <t>Wiper Motor; Instruction Sheet</t>
        </is>
      </c>
      <c r="N31" t="inlineStr">
        <is>
          <t>Yes</t>
        </is>
      </c>
      <c r="O31" t="inlineStr">
        <is>
          <t>Remanufactured</t>
        </is>
      </c>
      <c r="P31" t="inlineStr">
        <is>
          <t>3</t>
        </is>
      </c>
      <c r="Q31" t="inlineStr">
        <is>
          <t>Blade</t>
        </is>
      </c>
      <c r="R31" t="inlineStr">
        <is>
          <t>Direct Bolt</t>
        </is>
      </c>
      <c r="S31" t="inlineStr">
        <is>
          <t>3.5000</t>
        </is>
      </c>
      <c r="T31" t="inlineStr">
        <is>
          <t>No</t>
        </is>
      </c>
      <c r="U31" t="inlineStr">
        <is>
          <t>1 Year/18,000 Mile</t>
        </is>
      </c>
      <c r="V31" t="inlineStr">
        <is>
          <t>Yes</t>
        </is>
      </c>
      <c r="W31" t="inlineStr">
        <is>
          <t>Available to Order</t>
        </is>
      </c>
      <c r="X31" t="inlineStr">
        <is>
          <t>Chevrolet Camaro 2002-99; Pontiac Firebird 2002-99</t>
        </is>
      </c>
      <c r="Y31" t="inlineStr">
        <is>
          <t>00082617455411</t>
        </is>
      </c>
      <c r="Z31" t="inlineStr">
        <is>
          <t>40-1011::98271:100311:306</t>
        </is>
      </c>
      <c r="AA31" t="inlineStr">
        <is>
          <t>Yes</t>
        </is>
      </c>
      <c r="AB31" t="inlineStr"/>
      <c r="AC31" t="inlineStr"/>
    </row>
    <row r="32">
      <c r="A32" t="inlineStr">
        <is>
          <t>31</t>
        </is>
      </c>
      <c r="B32" t="inlineStr">
        <is>
          <t>Windshield Wiper Motor</t>
        </is>
      </c>
      <c r="C32" t="inlineStr">
        <is>
          <t>40-1012</t>
        </is>
      </c>
      <c r="D32" t="inlineStr">
        <is>
          <t>Windshield Wiper Motor - 40-1012</t>
        </is>
      </c>
      <c r="E32" t="inlineStr">
        <is>
          <t>CARDONE Reman</t>
        </is>
      </c>
      <c r="F32" t="inlineStr">
        <is>
          <t>12487575;12494761;22144097</t>
        </is>
      </c>
      <c r="G32" t="inlineStr">
        <is>
          <t>Buick Century 1997-2005
Buick Regal 1997-2004
Chevrolet Impala 2000-2005
Chevrolet Monte Carlo 2000-2005
Oldsmobile Intrigue 1998-2002
Pontiac Grand Prix 1997-2003</t>
        </is>
      </c>
      <c r="H32" t="inlineStr">
        <is>
          <t>Buick Century 1997-2005 3.1L V6 189cid
Buick Regal 1997-2004 3.8L V6 231cid
Chevrolet Impala 2000-2005 3.4L V6 207cid
Chevrolet Impala 2000-2005 3.8L V6 231cid
Chevrolet Monte Carlo 2000-2005 3.4L V6 207cid
Chevrolet Monte Carlo 2000-2005 3.8L V6 231cid
Oldsmobile Intrigue 1998-1999 3.8L V6 231cid
Oldsmobile Intrigue 1999-2002 3.5L V6 214cid
Pontiac Grand Prix 1997-2003 3.1L V6 189cid
Pontiac Grand Prix 1997-2003 3.8L V6 231cid</t>
        </is>
      </c>
      <c r="I32" t="inlineStr">
        <is>
          <t>{"0": {"productDeskExternalKey": "CPCX|40-1012"}, "1": {"Package Contents": "Wiper Motor; Instruction Sheet"}, "2": {"E-Waste": "Yes"}, "3": {"Product Condition": "Remanufactured"}, "4": {"Mounting Hole Quantity": "3"}, "5": {"Terminal Type": "Blade"}, "6": {"Mounting Type": "Direct Bolt"}, "7": {"Weight PG": "3.4500"}, "8": {"Washer Pump Included": "No"}, "9": {"Part Type": "Windshield Wiper Motor"}, "10": {"Warranty Info": "1 Year/18,000 Mile"}, "11": {"Sustainable Choice": "Yes"}, "12": {"Lifecycle Status": "Available to Order"}, "13": {"Application Summary": "Buick Century 2005-97, Regal 2004-97; Chevrolet Impala 2005-00, Monte Carlo 2005-00; Oldsmobile Intrigue 2002-98; Pontiac Grand Prix 2003-97"}, "14": {"ItemLevelGTIN": "00082617455466"}, "15": {"_addonCardone": "40-1012::98271:100316:306"}, "16": {"Eligible for R&amp;R Service": "Yes"}}</t>
        </is>
      </c>
      <c r="J32" t="inlineStr">
        <is>
          <t>https://www.cardone.com/product/windshield-wiper-motor-40-1012</t>
        </is>
      </c>
      <c r="K32">
        <f>DISPIMG("ID_8E9D2C3A978541C2AD8B7B9CFE34CEF1",1)</f>
        <v/>
      </c>
      <c r="L32" t="inlineStr">
        <is>
          <t>CPCX|40-1012</t>
        </is>
      </c>
      <c r="M32" t="inlineStr">
        <is>
          <t>Wiper Motor; Instruction Sheet</t>
        </is>
      </c>
      <c r="N32" t="inlineStr">
        <is>
          <t>Yes</t>
        </is>
      </c>
      <c r="O32" t="inlineStr">
        <is>
          <t>Remanufactured</t>
        </is>
      </c>
      <c r="P32" t="inlineStr">
        <is>
          <t>3</t>
        </is>
      </c>
      <c r="Q32" t="inlineStr">
        <is>
          <t>Blade</t>
        </is>
      </c>
      <c r="R32" t="inlineStr">
        <is>
          <t>Direct Bolt</t>
        </is>
      </c>
      <c r="S32" t="inlineStr">
        <is>
          <t>3.4500</t>
        </is>
      </c>
      <c r="T32" t="inlineStr">
        <is>
          <t>No</t>
        </is>
      </c>
      <c r="U32" t="inlineStr">
        <is>
          <t>1 Year/18,000 Mile</t>
        </is>
      </c>
      <c r="V32" t="inlineStr">
        <is>
          <t>Yes</t>
        </is>
      </c>
      <c r="W32" t="inlineStr">
        <is>
          <t>Available to Order</t>
        </is>
      </c>
      <c r="X32" t="inlineStr">
        <is>
          <t>Buick Century 2005-97, Regal 2004-97; Chevrolet Impala 2005-00, Monte Carlo 2005-00; Oldsmobile Intrigue 2002-98; Pontiac Grand Prix 2003-97</t>
        </is>
      </c>
      <c r="Y32" t="inlineStr">
        <is>
          <t>00082617455466</t>
        </is>
      </c>
      <c r="Z32" t="inlineStr">
        <is>
          <t>40-1012::98271:100316:306</t>
        </is>
      </c>
      <c r="AA32" t="inlineStr">
        <is>
          <t>Yes</t>
        </is>
      </c>
      <c r="AB32" t="inlineStr"/>
      <c r="AC32" t="inlineStr"/>
    </row>
    <row r="33">
      <c r="A33" t="inlineStr">
        <is>
          <t>32</t>
        </is>
      </c>
      <c r="B33" t="inlineStr">
        <is>
          <t>Windshield Wiper Motor</t>
        </is>
      </c>
      <c r="C33" t="inlineStr">
        <is>
          <t>40-1013</t>
        </is>
      </c>
      <c r="D33" t="inlineStr">
        <is>
          <t>Windshield Wiper Motor - 40-1013</t>
        </is>
      </c>
      <c r="E33" t="inlineStr">
        <is>
          <t>CARDONE Reman</t>
        </is>
      </c>
      <c r="F33" t="inlineStr">
        <is>
          <t>8124875860</t>
        </is>
      </c>
      <c r="G33" t="inlineStr">
        <is>
          <t>Chevrolet C4500 Kodiak 2003-2009
Chevrolet C5500 Kodiak 2003-2009
Chevrolet C6500 Kodiak 2003-2009
Chevrolet C7500 Kodiak 2003-2009
Chevrolet C8500 2003-2009
Chevrolet Express 1500 1996-2002
Chevrolet Express 2500 1996-2002
Chevrolet Express 3500 1996-2002
GMC C4500 Topkick 2003-2009
GMC C5500 Topkick 2003-2009
GMC C6500 Topkick 2003-2009
GMC C7500 Topkick 2003-2009
GMC C8500 Topkick 2003-2009
GMC Savana 1500 1996-2002
GMC Savana 2500 1996-2002
GMC Savana 3500 1996-2002
Isuzu HXR 2006</t>
        </is>
      </c>
      <c r="H33" t="inlineStr">
        <is>
          <t>Chevrolet C4500 Kodiak 2003-2009 6.6L V8 403cid
Chevrolet C4500 Kodiak 2003-2009 8.1L V8 496cid
Chevrolet C5500 Kodiak 2003-2009 6.6L V8 403cid
Chevrolet C5500 Kodiak 2003-2009 8.1L V8 496cid
Chevrolet C6500 Kodiak 2003-2009 7.2L L6 441cid
Chevrolet C6500 Kodiak 2003-2009 7.8L L6 475cid
Chevrolet C6500 Kodiak 2003-2009 8.1L V8 496cid
Chevrolet C6500 Kodiak 2005-2007
Chevrolet C7500 Kodiak 2003-2009 7.2L L6 441cid
Chevrolet C7500 Kodiak 2003-2009 7.8L L6 475cid
Chevrolet C7500 Kodiak 2003-2009 8.1L V8 496cid
Chevrolet C8500 2003-2008 7.2L L6 441cid
Chevrolet C8500 2003-2009 7.8L L6 475cid
Chevrolet C8500 2003-2009 8.1L V8 496cid
Chevrolet Express 1500 1996-2002 4.3L V6 262cid
Chevrolet Express 1500 1996-2002 5.7L V8 350cid
Chevrolet Express 1500 1996-2002 5L V8 305cid
Chevrolet Express 2500 1996-2002 4.3L V6 262cid
Chevrolet Express 2500 1996-2002 5.7L V8 350cid
Chevrolet Express 2500 1996-2002 5L V8 305cid
Chevrolet Express 2500 1996-2002 6.5L V8 395cid
Chevrolet Express 3500 1996-2000 7.4L V8 454cid
Chevrolet Express 3500 1996-2002 5.7L V8 350cid
Chevrolet Express 3500 1996-2002 6.5L V8 395cid
Chevrolet Express 3500 1997-1998 4.3L V6 262cid
Chevrolet Express 3500 2001-2002 8.1L V8 496cid
GMC C4500 Topkick 2003-2009 6.6L V8 403cid
GMC C4500 Topkick 2003-2009 8.1L V8 496cid
GMC C5500 Topkick 2003-2009 6.6L V8 403cid
GMC C5500 Topkick 2003-2009 8.1L V8 496cid
GMC C6500 Topkick 2003-2009 7.2L L6 441cid
GMC C6500 Topkick 2003-2009 7.8L L6 475cid
GMC C6500 Topkick 2003-2009 8.1L V8 496cid
GMC C7500 Topkick 2003-2009 7.2L L6 441cid
GMC C7500 Topkick 2003-2009 7.8L L6 475cid
GMC C7500 Topkick 2003-2009 8.1L V8 496cid
GMC C7500 Topkick 2007 4.8L V8 294cid
GMC C8500 Topkick 2003-2009 7.2L L6 441cid
GMC C8500 Topkick 2003-2009 7.8L L6 475cid
GMC C8500 Topkick 2003-2009 8.1L V8 496cid
GMC C8500 Topkick 2007 4.8L V8 294cid
GMC C8500 Topkick 2007 5.3L V8 325cid
GMC Savana 1500 1996-2002 4.3L V6 262cid
GMC Savana 1500 1996-2002 5.7L V8 350cid
GMC Savana 1500 1996-2002 5L V8 305cid
GMC Savana 2500 1996-2002 4.3L V6 262cid
GMC Savana 2500 1996-2002 5.7L V8 350cid
GMC Savana 2500 1996-2002 5L V8 305cid
GMC Savana 2500 1996-2002 6.5L V8 395cid
GMC Savana 3500 1996-2000 7.4L V8 454cid
GMC Savana 3500 1996-2002 5.7L V8 350cid
GMC Savana 3500 1996-2002 6.5L V8 395cid
GMC Savana 3500 1997-2002 4.3L V6 262cid
GMC Savana 3500 2001-2002 8.1L V8 496cid
Isuzu HXR 2006 7.8L L6 475cid</t>
        </is>
      </c>
      <c r="I33" t="inlineStr">
        <is>
          <t>{"0": {"productDeskExternalKey": "CPCX|40-1013"}, "1": {"Package Contents": "Wiper Motor; Instruction Sheet"}, "2": {"E-Waste": "Yes"}, "3": {"Product Condition": "Remanufactured"}, "4": {"Mounting Hole Quantity": "4"}, "5": {"Terminal Type": "Blade"}, "6": {"Mounting Type": "Direct Bolt"}, "7": {"Weight PG": "3.0000"}, "8": {"Washer Pump Included": "No"}, "9": {"Part Type": "Windshield Wiper Motor"}, "10": {"Warranty Info": "1 Year/18,000 Mile"}, "11": {"Sustainable Choice": "Yes"}, "12": {"Lifecycle Status": "Available to Order"}, "13": {"ItemLevelGTIN": "00082617455473"}, "14": {"_addonCardone": "40-1013::98271:100323:306"}, "15": {"Eligible for R&amp;R Service": "Yes"}}</t>
        </is>
      </c>
      <c r="J33" t="inlineStr">
        <is>
          <t>https://www.cardone.com/product/windshield-wiper-motor-40-1013</t>
        </is>
      </c>
      <c r="K33">
        <f>DISPIMG("ID_8DF058B64002415BBCDD31D104C3B859",1)</f>
        <v/>
      </c>
      <c r="L33" t="inlineStr">
        <is>
          <t>CPCX|40-1013</t>
        </is>
      </c>
      <c r="M33" t="inlineStr">
        <is>
          <t>Wiper Motor; Instruction Sheet</t>
        </is>
      </c>
      <c r="N33" t="inlineStr">
        <is>
          <t>Yes</t>
        </is>
      </c>
      <c r="O33" t="inlineStr">
        <is>
          <t>Remanufactured</t>
        </is>
      </c>
      <c r="P33" t="inlineStr">
        <is>
          <t>4</t>
        </is>
      </c>
      <c r="Q33" t="inlineStr">
        <is>
          <t>Blade</t>
        </is>
      </c>
      <c r="R33" t="inlineStr">
        <is>
          <t>Direct Bolt</t>
        </is>
      </c>
      <c r="S33" t="inlineStr">
        <is>
          <t>3.0000</t>
        </is>
      </c>
      <c r="T33" t="inlineStr">
        <is>
          <t>No</t>
        </is>
      </c>
      <c r="U33" t="inlineStr">
        <is>
          <t>1 Year/18,000 Mile</t>
        </is>
      </c>
      <c r="V33" t="inlineStr">
        <is>
          <t>Yes</t>
        </is>
      </c>
      <c r="W33" t="inlineStr">
        <is>
          <t>Available to Order</t>
        </is>
      </c>
      <c r="X33" t="inlineStr"/>
      <c r="Y33" t="inlineStr">
        <is>
          <t>00082617455473</t>
        </is>
      </c>
      <c r="Z33" t="inlineStr">
        <is>
          <t>40-1013::98271:100323:306</t>
        </is>
      </c>
      <c r="AA33" t="inlineStr">
        <is>
          <t>Yes</t>
        </is>
      </c>
      <c r="AB33" t="inlineStr"/>
      <c r="AC33" t="inlineStr"/>
    </row>
    <row r="34">
      <c r="A34" t="inlineStr">
        <is>
          <t>33</t>
        </is>
      </c>
      <c r="B34" t="inlineStr">
        <is>
          <t>Windshield Wiper Motor</t>
        </is>
      </c>
      <c r="C34" t="inlineStr">
        <is>
          <t>40-1014</t>
        </is>
      </c>
      <c r="D34" t="inlineStr">
        <is>
          <t>Windshield Wiper Motor - 40-1014</t>
        </is>
      </c>
      <c r="E34" t="inlineStr">
        <is>
          <t>CARDONE Reman</t>
        </is>
      </c>
      <c r="F34" t="inlineStr">
        <is>
          <t>12463095;22154405</t>
        </is>
      </c>
      <c r="G34" t="inlineStr">
        <is>
          <t>Chevrolet Classic 2004-2005
Chevrolet Malibu 1997-2003
Oldsmobile Cutlass 1997-1999</t>
        </is>
      </c>
      <c r="H34" t="inlineStr">
        <is>
          <t>Chevrolet Classic 2004-2005 2.2L L4 134cid
Chevrolet Malibu 1997-1999 2.4L L4 146cid
Chevrolet Malibu 1997-2003 3.1L V6 189cid
Oldsmobile Cutlass 1997-1999 3.1L V6 189cid</t>
        </is>
      </c>
      <c r="I34" t="inlineStr">
        <is>
          <t>{"0": {"productDeskExternalKey": "CPCX|40-1014"}, "1": {"Package Contents": "Wiper Motor; Instruction Sheet"}, "2": {"E-Waste": "Yes"}, "3": {"Product Condition": "Remanufactured"}, "4": {"Mounting Hole Quantity": "4"}, "5": {"Terminal Type": "Blade"}, "6": {"Mounting Type": "Direct Bolt"}, "7": {"Weight PG": "3.5000"}, "8": {"Washer Pump Included": "No"}, "9": {"Part Type": "Windshield Wiper Motor"}, "10": {"Warranty Info": "1 Year/18,000 Mile"}, "11": {"Sustainable Choice": "Yes"}, "12": {"Lifecycle Status": "Available to Order"}, "13": {"Application Summary": "Chevrolet Classic 2005-04, Malibu 2003-97; Oldsmobile Cutlass 1999-97"}, "14": {"ItemLevelGTIN": "00082617455480"}, "15": {"_addonCardone": "40-1014::98271:100330:306"}, "16": {"Eligible for R&amp;R Service": "Yes"}}</t>
        </is>
      </c>
      <c r="J34" t="inlineStr">
        <is>
          <t>https://www.cardone.com/product/windshield-wiper-motor-40-1014</t>
        </is>
      </c>
      <c r="K34">
        <f>DISPIMG("ID_402CF05AC0D5431C8C0F0068619A3911",1)</f>
        <v/>
      </c>
      <c r="L34" t="inlineStr">
        <is>
          <t>CPCX|40-1014</t>
        </is>
      </c>
      <c r="M34" t="inlineStr">
        <is>
          <t>Wiper Motor; Instruction Sheet</t>
        </is>
      </c>
      <c r="N34" t="inlineStr">
        <is>
          <t>Yes</t>
        </is>
      </c>
      <c r="O34" t="inlineStr">
        <is>
          <t>Remanufactured</t>
        </is>
      </c>
      <c r="P34" t="inlineStr">
        <is>
          <t>4</t>
        </is>
      </c>
      <c r="Q34" t="inlineStr">
        <is>
          <t>Blade</t>
        </is>
      </c>
      <c r="R34" t="inlineStr">
        <is>
          <t>Direct Bolt</t>
        </is>
      </c>
      <c r="S34" t="inlineStr">
        <is>
          <t>3.5000</t>
        </is>
      </c>
      <c r="T34" t="inlineStr">
        <is>
          <t>No</t>
        </is>
      </c>
      <c r="U34" t="inlineStr">
        <is>
          <t>1 Year/18,000 Mile</t>
        </is>
      </c>
      <c r="V34" t="inlineStr">
        <is>
          <t>Yes</t>
        </is>
      </c>
      <c r="W34" t="inlineStr">
        <is>
          <t>Available to Order</t>
        </is>
      </c>
      <c r="X34" t="inlineStr">
        <is>
          <t>Chevrolet Classic 2005-04, Malibu 2003-97; Oldsmobile Cutlass 1999-97</t>
        </is>
      </c>
      <c r="Y34" t="inlineStr">
        <is>
          <t>00082617455480</t>
        </is>
      </c>
      <c r="Z34" t="inlineStr">
        <is>
          <t>40-1014::98271:100330:306</t>
        </is>
      </c>
      <c r="AA34" t="inlineStr">
        <is>
          <t>Yes</t>
        </is>
      </c>
      <c r="AB34" t="inlineStr"/>
      <c r="AC34" t="inlineStr"/>
    </row>
    <row r="35">
      <c r="A35" t="inlineStr">
        <is>
          <t>34</t>
        </is>
      </c>
      <c r="B35" t="inlineStr">
        <is>
          <t>Windshield Wiper Motor</t>
        </is>
      </c>
      <c r="C35" t="inlineStr">
        <is>
          <t>40-1015</t>
        </is>
      </c>
      <c r="D35" t="inlineStr">
        <is>
          <t>Windshield Wiper Motor - 40-1015</t>
        </is>
      </c>
      <c r="E35" t="inlineStr">
        <is>
          <t>CARDONE Reman</t>
        </is>
      </c>
      <c r="F35" t="inlineStr">
        <is>
          <t>12365366</t>
        </is>
      </c>
      <c r="G35" t="inlineStr">
        <is>
          <t>Chevrolet Cavalier 1998-2003
Oldsmobile Alero 1999-2003
Pontiac Grand Am 1999-2003
Pontiac Sunfire 1998-2003</t>
        </is>
      </c>
      <c r="H35" t="inlineStr">
        <is>
          <t>Chevrolet Cavalier 1998-2002 2.4L L4 146cid
Chevrolet Cavalier 1998-2003 2.2L L4 134cid
Oldsmobile Alero 1999-2001 2.4L L4 146cid
Oldsmobile Alero 1999-2003 3.4L V6 207cid
Oldsmobile Alero 2002-2003 2.2L L4 134cid
Pontiac Grand Am 1999-2001 2.4L L4 146cid
Pontiac Grand Am 1999-2003 3.4L V6 207cid
Pontiac Grand Am 2002-2003 2.2L L4 134cid
Pontiac Sunfire 1998-2002 2.4L L4 146cid
Pontiac Sunfire 1998-2003 2.2L L4 134cid</t>
        </is>
      </c>
      <c r="I35" t="inlineStr">
        <is>
          <t>{"0": {"productDeskExternalKey": "CPCX|40-1015"}, "1": {"Package Contents": "Wiper Motor; Instruction Sheet"}, "2": {"E-Waste": "Yes"}, "3": {"Product Condition": "Remanufactured"}, "4": {"Mounting Hole Quantity": "3"}, "5": {"Terminal Type": "Blade"}, "6": {"Mounting Type": "Direct Bolt; Grommet"}, "7": {"Weight PG": "3.3200"}, "8": {"Washer Pump Included": "No"}, "9": {"Part Type": "Windshield Wiper Motor"}, "10": {"Warranty Info": "1 Year/18,000 Mile"}, "11": {"Sustainable Choice": "Yes"}, "12": {"Lifecycle Status": "Available to Order"}, "13": {"Application Summary": "Chevrolet Cavalier 2003-98; Oldsmobile Alero 2003-99; Pontiac Grand Am 2003-99, Sunfire 2003-98"}, "14": {"ItemLevelGTIN": "00082617455435"}, "15": {"_addonCardone": "40-1015::98271:100336:306"}, "16": {"Eligible for R&amp;R Service": "Yes"}}</t>
        </is>
      </c>
      <c r="J35" t="inlineStr">
        <is>
          <t>https://www.cardone.com/product/windshield-wiper-motor-40-1015</t>
        </is>
      </c>
      <c r="K35">
        <f>DISPIMG("ID_C42A1CF0BE33421BAF1A47DC16AF8304",1)</f>
        <v/>
      </c>
      <c r="L35" t="inlineStr">
        <is>
          <t>CPCX|40-1015</t>
        </is>
      </c>
      <c r="M35" t="inlineStr">
        <is>
          <t>Wiper Motor; Instruction Sheet</t>
        </is>
      </c>
      <c r="N35" t="inlineStr">
        <is>
          <t>Yes</t>
        </is>
      </c>
      <c r="O35" t="inlineStr">
        <is>
          <t>Remanufactured</t>
        </is>
      </c>
      <c r="P35" t="inlineStr">
        <is>
          <t>3</t>
        </is>
      </c>
      <c r="Q35" t="inlineStr">
        <is>
          <t>Blade</t>
        </is>
      </c>
      <c r="R35" t="inlineStr">
        <is>
          <t>Direct Bolt; Grommet</t>
        </is>
      </c>
      <c r="S35" t="inlineStr">
        <is>
          <t>3.3200</t>
        </is>
      </c>
      <c r="T35" t="inlineStr">
        <is>
          <t>No</t>
        </is>
      </c>
      <c r="U35" t="inlineStr">
        <is>
          <t>1 Year/18,000 Mile</t>
        </is>
      </c>
      <c r="V35" t="inlineStr">
        <is>
          <t>Yes</t>
        </is>
      </c>
      <c r="W35" t="inlineStr">
        <is>
          <t>Available to Order</t>
        </is>
      </c>
      <c r="X35" t="inlineStr">
        <is>
          <t>Chevrolet Cavalier 2003-98; Oldsmobile Alero 2003-99; Pontiac Grand Am 2003-99, Sunfire 2003-98</t>
        </is>
      </c>
      <c r="Y35" t="inlineStr">
        <is>
          <t>00082617455435</t>
        </is>
      </c>
      <c r="Z35" t="inlineStr">
        <is>
          <t>40-1015::98271:100336:306</t>
        </is>
      </c>
      <c r="AA35" t="inlineStr">
        <is>
          <t>Yes</t>
        </is>
      </c>
      <c r="AB35" t="inlineStr"/>
      <c r="AC35" t="inlineStr"/>
    </row>
    <row r="36">
      <c r="A36" t="inlineStr">
        <is>
          <t>35</t>
        </is>
      </c>
      <c r="B36" t="inlineStr">
        <is>
          <t>Windshield Wiper Motor</t>
        </is>
      </c>
      <c r="C36" t="inlineStr">
        <is>
          <t>40-1016</t>
        </is>
      </c>
      <c r="D36" t="inlineStr">
        <is>
          <t>Windshield Wiper Motor - 40-1016</t>
        </is>
      </c>
      <c r="E36" t="inlineStr">
        <is>
          <t>CARDONE Reman</t>
        </is>
      </c>
      <c r="F36" t="inlineStr">
        <is>
          <t>12365396;22154964</t>
        </is>
      </c>
      <c r="G36" t="inlineStr">
        <is>
          <t>Cadillac Escalade 1999-2000
Chevrolet Blazer 1992-1994
Chevrolet C1500 Suburban 1992-1999
Chevrolet C2500 Suburban 1992-1999
Chevrolet K1500 Suburban 1992-1999
Chevrolet K2500 Suburban 1992-1999
Chevrolet Tahoe 1995-2000
GMC C1500 Suburban 1992-1999
GMC C2500 Suburban 1992-1999
GMC K1500 Suburban 1992-1999
GMC K2500 Suburban 1992-1999
GMC Yukon 1992-2000</t>
        </is>
      </c>
      <c r="H36" t="inlineStr">
        <is>
          <t>Cadillac Escalade 1999-2000 5.7L V8 350cid
Chevrolet Blazer 1992-1994 5.7L V8 350cid
Chevrolet Blazer 1994 6.5L V8 395cid
Chevrolet C1500 Suburban 1992-1999 5.7L V8 350cid
Chevrolet C1500 Suburban 1994-1999 6.5L V8 395cid
Chevrolet C2500 Suburban 1992-1999 5.7L V8 350cid
Chevrolet C2500 Suburban 1992-1999 7.4L V8 454cid
Chevrolet C2500 Suburban 1994-1999 6.5L V8 395cid
Chevrolet K1500 Suburban 1992-1999 5.7L V8 350cid
Chevrolet K1500 Suburban 1994-1999 6.5L V8 395cid
Chevrolet K2500 Suburban 1992-1999 5.7L V8 350cid
Chevrolet K2500 Suburban 1992-1999 7.4L V8 454cid
Chevrolet K2500 Suburban 1994-1999 6.5L V8 395cid
Chevrolet Tahoe 1995-1999 6.5L V8 395cid
Chevrolet Tahoe 1995-2000 5.7L V8 350cid
GMC C1500 Suburban 1992-1999 5.7L V8 350cid
GMC C1500 Suburban 1995-1999 6.5L V8 395cid
GMC C2500 Suburban 1992-1999 5.7L V8 350cid
GMC C2500 Suburban 1992-1999 7.4L V8 454cid
GMC C2500 Suburban 1994-1999 6.5L V8 395cid
GMC K1500 Suburban 1992-1999 5.7L V8 350cid
GMC K1500 Suburban 1995-1999 6.5L V8 395cid
GMC K2500 Suburban 1992-1999 5.7L V8 350cid
GMC K2500 Suburban 1992-1999 7.4L V8 454cid
GMC K2500 Suburban 1994-1999 6.5L V8 395cid
GMC Yukon 1992-2000 5.7L V8 350cid
GMC Yukon 1994-1997 6.5L V8 395cid</t>
        </is>
      </c>
      <c r="I36" t="inlineStr">
        <is>
          <t>{"0": {"productDeskExternalKey": "CPCX|40-1016"}, "1": {"Package Contents": "Wiper Motor; Instruction Sheet"}, "2": {"E-Waste": "Yes"}, "3": {"Product Condition": "Remanufactured"}, "4": {"Mounting Hole Quantity": "3"}, "5": {"Terminal Type": "Bullet"}, "6": {"Mounting Type": "Direct Bolt"}, "7": {"Weight PG": "2.8500"}, "8": {"Washer Pump Included": "No"}, "9": {"Part Type": "Windshield Wiper Motor"}, "10": {"Warranty Info": "1 Year/18,000 Mile"}, "11": {"Sustainable Choice": "Yes"}, "12": {"Lifecycle Status": "Available to Order"}, "13": {"ItemLevelGTIN": "00082617455459"}, "14": {"_addonCardone": "40-1016::98271:100342:306"}, "15": {"Eligible for R&amp;R Service": "Yes"}}</t>
        </is>
      </c>
      <c r="J36" t="inlineStr">
        <is>
          <t>https://www.cardone.com/product/windshield-wiper-motor-40-1016</t>
        </is>
      </c>
      <c r="K36">
        <f>DISPIMG("ID_53A182FF9530475797CC1EA12753A5D5",1)</f>
        <v/>
      </c>
      <c r="L36" t="inlineStr">
        <is>
          <t>CPCX|40-1016</t>
        </is>
      </c>
      <c r="M36" t="inlineStr">
        <is>
          <t>Wiper Motor; Instruction Sheet</t>
        </is>
      </c>
      <c r="N36" t="inlineStr">
        <is>
          <t>Yes</t>
        </is>
      </c>
      <c r="O36" t="inlineStr">
        <is>
          <t>Remanufactured</t>
        </is>
      </c>
      <c r="P36" t="inlineStr">
        <is>
          <t>3</t>
        </is>
      </c>
      <c r="Q36" t="inlineStr">
        <is>
          <t>Bullet</t>
        </is>
      </c>
      <c r="R36" t="inlineStr">
        <is>
          <t>Direct Bolt</t>
        </is>
      </c>
      <c r="S36" t="inlineStr">
        <is>
          <t>2.8500</t>
        </is>
      </c>
      <c r="T36" t="inlineStr">
        <is>
          <t>No</t>
        </is>
      </c>
      <c r="U36" t="inlineStr">
        <is>
          <t>1 Year/18,000 Mile</t>
        </is>
      </c>
      <c r="V36" t="inlineStr">
        <is>
          <t>Yes</t>
        </is>
      </c>
      <c r="W36" t="inlineStr">
        <is>
          <t>Available to Order</t>
        </is>
      </c>
      <c r="X36" t="inlineStr"/>
      <c r="Y36" t="inlineStr">
        <is>
          <t>00082617455459</t>
        </is>
      </c>
      <c r="Z36" t="inlineStr">
        <is>
          <t>40-1016::98271:100342:306</t>
        </is>
      </c>
      <c r="AA36" t="inlineStr">
        <is>
          <t>Yes</t>
        </is>
      </c>
      <c r="AB36" t="inlineStr"/>
      <c r="AC36" t="inlineStr"/>
    </row>
    <row r="37">
      <c r="A37" t="inlineStr">
        <is>
          <t>36</t>
        </is>
      </c>
      <c r="B37" t="inlineStr">
        <is>
          <t>Windshield Wiper Motor</t>
        </is>
      </c>
      <c r="C37" t="inlineStr">
        <is>
          <t>40-1017</t>
        </is>
      </c>
      <c r="D37" t="inlineStr">
        <is>
          <t>Windshield Wiper Motor - 40-1017</t>
        </is>
      </c>
      <c r="E37" t="inlineStr">
        <is>
          <t>CARDONE Reman</t>
        </is>
      </c>
      <c r="F37" t="inlineStr">
        <is>
          <t>22154904;22110629</t>
        </is>
      </c>
      <c r="G37" t="inlineStr">
        <is>
          <t>Chevrolet Astro 1992-1996
GMC Safari 1992-1996</t>
        </is>
      </c>
      <c r="H37" t="inlineStr">
        <is>
          <t>Chevrolet Astro 1992-1996 4.3L V6 262cid
GMC Safari 1992-1996 4.3L V6 262cid</t>
        </is>
      </c>
      <c r="I37" t="inlineStr">
        <is>
          <t>{"0": {"productDeskExternalKey": "CPCX|40-1017"}, "1": {"Package Contents": "Wiper Motor; Instruction Sheet"}, "2": {"E-Waste": "Yes"}, "3": {"Product Condition": "Remanufactured"}, "4": {"Mounting Hole Quantity": "3"}, "5": {"Terminal Type": "Bullet"}, "6": {"Mounting Type": "Direct Bolt"}, "7": {"Weight PG": "2.8000"}, "8": {"Washer Pump Included": "No"}, "9": {"Part Type": "Windshield Wiper Motor"}, "10": {"Warranty Info": "1 Year/18,000 Mile"}, "11": {"Sustainable Choice": "Yes"}, "12": {"Lifecycle Status": "Available to Order"}, "13": {"Application Summary": "Chevrolet Astro 1996-92; GMC Safari 1996-92"}, "14": {"ItemLevelGTIN": "00082617455442"}, "15": {"_addonCardone": "40-1017::98271:100353:306"}, "16": {"Eligible for R&amp;R Service": "Yes"}}</t>
        </is>
      </c>
      <c r="J37" t="inlineStr">
        <is>
          <t>https://www.cardone.com/product/windshield-wiper-motor-40-1017</t>
        </is>
      </c>
      <c r="K37">
        <f>DISPIMG("ID_608135CCF005475F86F5958D75EF5C0E",1)</f>
        <v/>
      </c>
      <c r="L37" t="inlineStr">
        <is>
          <t>CPCX|40-1017</t>
        </is>
      </c>
      <c r="M37" t="inlineStr">
        <is>
          <t>Wiper Motor; Instruction Sheet</t>
        </is>
      </c>
      <c r="N37" t="inlineStr">
        <is>
          <t>Yes</t>
        </is>
      </c>
      <c r="O37" t="inlineStr">
        <is>
          <t>Remanufactured</t>
        </is>
      </c>
      <c r="P37" t="inlineStr">
        <is>
          <t>3</t>
        </is>
      </c>
      <c r="Q37" t="inlineStr">
        <is>
          <t>Bullet</t>
        </is>
      </c>
      <c r="R37" t="inlineStr">
        <is>
          <t>Direct Bolt</t>
        </is>
      </c>
      <c r="S37" t="inlineStr">
        <is>
          <t>2.8000</t>
        </is>
      </c>
      <c r="T37" t="inlineStr">
        <is>
          <t>No</t>
        </is>
      </c>
      <c r="U37" t="inlineStr">
        <is>
          <t>1 Year/18,000 Mile</t>
        </is>
      </c>
      <c r="V37" t="inlineStr">
        <is>
          <t>Yes</t>
        </is>
      </c>
      <c r="W37" t="inlineStr">
        <is>
          <t>Available to Order</t>
        </is>
      </c>
      <c r="X37" t="inlineStr">
        <is>
          <t>Chevrolet Astro 1996-92; GMC Safari 1996-92</t>
        </is>
      </c>
      <c r="Y37" t="inlineStr">
        <is>
          <t>00082617455442</t>
        </is>
      </c>
      <c r="Z37" t="inlineStr">
        <is>
          <t>40-1017::98271:100353:306</t>
        </is>
      </c>
      <c r="AA37" t="inlineStr">
        <is>
          <t>Yes</t>
        </is>
      </c>
      <c r="AB37" t="inlineStr"/>
      <c r="AC37" t="inlineStr"/>
    </row>
    <row r="38">
      <c r="A38" t="inlineStr">
        <is>
          <t>37</t>
        </is>
      </c>
      <c r="B38" t="inlineStr">
        <is>
          <t>Windshield Wiper Motor</t>
        </is>
      </c>
      <c r="C38" t="inlineStr">
        <is>
          <t>40-1018</t>
        </is>
      </c>
      <c r="D38" t="inlineStr">
        <is>
          <t>Windshield Wiper Motor - 40-1018</t>
        </is>
      </c>
      <c r="E38" t="inlineStr">
        <is>
          <t>CARDONE Reman</t>
        </is>
      </c>
      <c r="F38" t="inlineStr">
        <is>
          <t>91171308;91171288;3810150G00</t>
        </is>
      </c>
      <c r="G38" t="inlineStr">
        <is>
          <t>Chevrolet Metro 1998-2001
Geo Metro 1995-1997
Pontiac Firefly 1995-2000
Suzuki Swift 1995-2001</t>
        </is>
      </c>
      <c r="H38" t="inlineStr">
        <is>
          <t>Chevrolet Metro 1998-2000 1L L3 61cid
Chevrolet Metro 1998-2001 1.3L L4 79cid
Geo Metro 1995-1997 1.3L L4 79cid
Geo Metro 1995-1997 1L L3 61cid
Pontiac Firefly 1995-2000 1.3L L4 79cid
Pontiac Firefly 1995-2000 1L L3 61cid
Suzuki Swift 1995-2001 1.3L L4 79cid</t>
        </is>
      </c>
      <c r="I38" t="inlineStr">
        <is>
          <t>{"0": {"productDeskExternalKey": "CPCX|40-1018"},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"Chevrolet Metro 2001-98; Geo Metro 1997-95; Pontiac Firefly 2000-95; Suzuki Swift 2001-95"}, "14": {"ItemLevelGTIN": "00082617455398"}, "15": {"_addonCardone": "40-1018::98271:100361:306"}, "16": {"Eligible for R&amp;R Service": "Yes"}}</t>
        </is>
      </c>
      <c r="J38" t="inlineStr">
        <is>
          <t>https://www.cardone.com/product/windshield-wiper-motor-40-1018</t>
        </is>
      </c>
      <c r="K38">
        <f>DISPIMG("ID_DA23BFC82A6741D5A3A68139FB92E99D",1)</f>
        <v/>
      </c>
      <c r="L38" t="inlineStr">
        <is>
          <t>CPCX|40-1018</t>
        </is>
      </c>
      <c r="M38" t="inlineStr">
        <is>
          <t>Wiper Motor; Instruction Sheet</t>
        </is>
      </c>
      <c r="N38" t="inlineStr">
        <is>
          <t>Yes</t>
        </is>
      </c>
      <c r="O38" t="inlineStr">
        <is>
          <t>Remanufactured</t>
        </is>
      </c>
      <c r="P38" t="inlineStr">
        <is>
          <t>3</t>
        </is>
      </c>
      <c r="Q38" t="inlineStr">
        <is>
          <t>Blade</t>
        </is>
      </c>
      <c r="R38" t="inlineStr">
        <is>
          <t>Direct Bolt</t>
        </is>
      </c>
      <c r="S38" t="inlineStr">
        <is>
          <t>2.7000</t>
        </is>
      </c>
      <c r="T38" t="inlineStr">
        <is>
          <t>No</t>
        </is>
      </c>
      <c r="U38" t="inlineStr">
        <is>
          <t>1 Year/18,000 Mile</t>
        </is>
      </c>
      <c r="V38" t="inlineStr">
        <is>
          <t>Yes</t>
        </is>
      </c>
      <c r="W38" t="inlineStr">
        <is>
          <t>Available to Order</t>
        </is>
      </c>
      <c r="X38" t="inlineStr">
        <is>
          <t>Chevrolet Metro 2001-98; Geo Metro 1997-95; Pontiac Firefly 2000-95; Suzuki Swift 2001-95</t>
        </is>
      </c>
      <c r="Y38" t="inlineStr">
        <is>
          <t>00082617455398</t>
        </is>
      </c>
      <c r="Z38" t="inlineStr">
        <is>
          <t>40-1018::98271:100361:306</t>
        </is>
      </c>
      <c r="AA38" t="inlineStr">
        <is>
          <t>Yes</t>
        </is>
      </c>
      <c r="AB38" t="inlineStr"/>
      <c r="AC38" t="inlineStr"/>
    </row>
    <row r="39">
      <c r="A39" t="inlineStr">
        <is>
          <t>38</t>
        </is>
      </c>
      <c r="B39" t="inlineStr">
        <is>
          <t>Windshield Wiper Motor</t>
        </is>
      </c>
      <c r="C39" t="inlineStr">
        <is>
          <t>40-1019</t>
        </is>
      </c>
      <c r="D39" t="inlineStr">
        <is>
          <t>Windshield Wiper Motor - 40-1019</t>
        </is>
      </c>
      <c r="E39" t="inlineStr">
        <is>
          <t>CARDONE Reman</t>
        </is>
      </c>
      <c r="F39" t="inlineStr">
        <is>
          <t>12494759;12363318</t>
        </is>
      </c>
      <c r="G39" t="inlineStr">
        <is>
          <t>Chevrolet Corvette 1997-2004</t>
        </is>
      </c>
      <c r="H39" t="inlineStr">
        <is>
          <t>Chevrolet Corvette 1997-2004 5.7L V8 350cid</t>
        </is>
      </c>
      <c r="I39" t="inlineStr">
        <is>
          <t>{"0": {"productDeskExternalKey": "CPCX|40-1019"}, "1": {"Package Contents": "Wiper Motor; Instruction Sheet"}, "2": {"E-Waste": "Yes"}, "3": {"Product Condition": "Remanufactured"}, "4": {"Mounting Hole Quantity": "3"}, "5": {"Terminal Type": "Blade"}, "6": {"Mounting Type": "Direct Bolt"}, "7": {"Weight PG": "3.1600"}, "8": {"Washer Pump Included": "No"}, "9": {"Part Type": "Windshield Wiper Motor"}, "10": {"Warranty Info": "1 Year/18,000 Mile"}, "11": {"Sustainable Choice": "Yes"}, "12": {"Lifecycle Status": "Available to Order"}, "13": {"Application Summary": "Chevrolet Corvette 2004-97"}, "14": {"ItemLevelGTIN": "00082617496155"}, "15": {"_addonCardone": "40-1019::98271:100367:306"}, "16": {"Eligible for R&amp;R Service": "Yes"}}</t>
        </is>
      </c>
      <c r="J39" t="inlineStr">
        <is>
          <t>https://www.cardone.com/product/windshield-wiper-motor-40-1019</t>
        </is>
      </c>
      <c r="K39">
        <f>DISPIMG("ID_8CFF95744D25436EA10C150A1A4AD841",1)</f>
        <v/>
      </c>
      <c r="L39" t="inlineStr">
        <is>
          <t>CPCX|40-1019</t>
        </is>
      </c>
      <c r="M39" t="inlineStr">
        <is>
          <t>Wiper Motor; Instruction Sheet</t>
        </is>
      </c>
      <c r="N39" t="inlineStr">
        <is>
          <t>Yes</t>
        </is>
      </c>
      <c r="O39" t="inlineStr">
        <is>
          <t>Remanufactured</t>
        </is>
      </c>
      <c r="P39" t="inlineStr">
        <is>
          <t>3</t>
        </is>
      </c>
      <c r="Q39" t="inlineStr">
        <is>
          <t>Blade</t>
        </is>
      </c>
      <c r="R39" t="inlineStr">
        <is>
          <t>Direct Bolt</t>
        </is>
      </c>
      <c r="S39" t="inlineStr">
        <is>
          <t>3.1600</t>
        </is>
      </c>
      <c r="T39" t="inlineStr">
        <is>
          <t>No</t>
        </is>
      </c>
      <c r="U39" t="inlineStr">
        <is>
          <t>1 Year/18,000 Mile</t>
        </is>
      </c>
      <c r="V39" t="inlineStr">
        <is>
          <t>Yes</t>
        </is>
      </c>
      <c r="W39" t="inlineStr">
        <is>
          <t>Available to Order</t>
        </is>
      </c>
      <c r="X39" t="inlineStr">
        <is>
          <t>Chevrolet Corvette 2004-97</t>
        </is>
      </c>
      <c r="Y39" t="inlineStr">
        <is>
          <t>00082617496155</t>
        </is>
      </c>
      <c r="Z39" t="inlineStr">
        <is>
          <t>40-1019::98271:100367:306</t>
        </is>
      </c>
      <c r="AA39" t="inlineStr">
        <is>
          <t>Yes</t>
        </is>
      </c>
      <c r="AB39" t="inlineStr"/>
      <c r="AC39" t="inlineStr"/>
    </row>
    <row r="40">
      <c r="A40" t="inlineStr">
        <is>
          <t>39</t>
        </is>
      </c>
      <c r="B40" t="inlineStr">
        <is>
          <t>Windshield Wiper Motor</t>
        </is>
      </c>
      <c r="C40" t="inlineStr">
        <is>
          <t>40-1020</t>
        </is>
      </c>
      <c r="D40" t="inlineStr">
        <is>
          <t>Windshield Wiper Motor - 40-1020</t>
        </is>
      </c>
      <c r="E40" t="inlineStr">
        <is>
          <t>CARDONE Reman</t>
        </is>
      </c>
      <c r="F40" t="inlineStr">
        <is>
          <t>12463032</t>
        </is>
      </c>
      <c r="G40" t="inlineStr">
        <is>
          <t>Buick Park Avenue 1997-2005</t>
        </is>
      </c>
      <c r="H40" t="inlineStr">
        <is>
          <t>Buick Park Avenue 1997-2005 3.8L V6 231cid</t>
        </is>
      </c>
      <c r="I40" t="inlineStr">
        <is>
          <t>{"0": {"productDeskExternalKey": "CPCX|40-1020"}, "1": {"Package Contents": "Wiper Motor; Instruction Sheet"}, "2": {"E-Waste": "Yes"}, "3": {"Product Condition": "Remanufactured"}, "4": {"Mounting Hole Quantity": "3"}, "5": {"Terminal Type": "Blade"}, "6": {"Mounting Type": "Eyelet; Grommet"}, "7": {"Weight PG": "4.2000"}, "8": {"Washer Pump Included": "No"}, "9": {"Part Type": "Windshield Wiper Motor"}, "10": {"Warranty Info": "1 Year/18,000 Mile"}, "11": {"Sustainable Choice": "Yes"}, "12": {"Lifecycle Status": "Available to Order"}, "13": {"Application Summary": "Buick Park Avenue 2005-97"}, "14": {"ItemLevelGTIN": "00082617496179"}, "15": {"_addonCardone": "40-1020::98271:100377:306"}, "16": {"Eligible for R&amp;R Service": "Yes"}}</t>
        </is>
      </c>
      <c r="J40" t="inlineStr">
        <is>
          <t>https://www.cardone.com/product/windshield-wiper-motor-40-1020</t>
        </is>
      </c>
      <c r="K40">
        <f>DISPIMG("ID_3004E64EA15A4BEBB6778E8A80D35C5F",1)</f>
        <v/>
      </c>
      <c r="L40" t="inlineStr">
        <is>
          <t>CPCX|40-1020</t>
        </is>
      </c>
      <c r="M40" t="inlineStr">
        <is>
          <t>Wiper Motor; Instruction Sheet</t>
        </is>
      </c>
      <c r="N40" t="inlineStr">
        <is>
          <t>Yes</t>
        </is>
      </c>
      <c r="O40" t="inlineStr">
        <is>
          <t>Remanufactured</t>
        </is>
      </c>
      <c r="P40" t="inlineStr">
        <is>
          <t>3</t>
        </is>
      </c>
      <c r="Q40" t="inlineStr">
        <is>
          <t>Blade</t>
        </is>
      </c>
      <c r="R40" t="inlineStr">
        <is>
          <t>Eyelet; Grommet</t>
        </is>
      </c>
      <c r="S40" t="inlineStr">
        <is>
          <t>4.2000</t>
        </is>
      </c>
      <c r="T40" t="inlineStr">
        <is>
          <t>No</t>
        </is>
      </c>
      <c r="U40" t="inlineStr">
        <is>
          <t>1 Year/18,000 Mile</t>
        </is>
      </c>
      <c r="V40" t="inlineStr">
        <is>
          <t>Yes</t>
        </is>
      </c>
      <c r="W40" t="inlineStr">
        <is>
          <t>Available to Order</t>
        </is>
      </c>
      <c r="X40" t="inlineStr">
        <is>
          <t>Buick Park Avenue 2005-97</t>
        </is>
      </c>
      <c r="Y40" t="inlineStr">
        <is>
          <t>00082617496179</t>
        </is>
      </c>
      <c r="Z40" t="inlineStr">
        <is>
          <t>40-1020::98271:100377:306</t>
        </is>
      </c>
      <c r="AA40" t="inlineStr">
        <is>
          <t>Yes</t>
        </is>
      </c>
      <c r="AB40" t="inlineStr"/>
      <c r="AC40" t="inlineStr"/>
    </row>
    <row r="41">
      <c r="A41" t="inlineStr">
        <is>
          <t>40</t>
        </is>
      </c>
      <c r="B41" t="inlineStr">
        <is>
          <t>Windshield Wiper Motor</t>
        </is>
      </c>
      <c r="C41" t="inlineStr">
        <is>
          <t>40-1025</t>
        </is>
      </c>
      <c r="D41" t="inlineStr">
        <is>
          <t>Windshield Wiper Motor - 40-1025</t>
        </is>
      </c>
      <c r="E41" t="inlineStr">
        <is>
          <t>CARDONE Reman</t>
        </is>
      </c>
      <c r="F41" t="inlineStr">
        <is>
          <t>12365393</t>
        </is>
      </c>
      <c r="G41" t="inlineStr">
        <is>
          <t>Chevrolet Venture 1997-2005
Oldsmobile Silhouette 1997-2004
Pontiac Montana 1999-2005
Pontiac Trans Sport 1997-1998</t>
        </is>
      </c>
      <c r="H41" t="inlineStr">
        <is>
          <t>Chevrolet Venture 1997-2005 3.4L V6 207cid
Oldsmobile Silhouette 1997-2004 3.4L V6 207cid
Pontiac Montana 1999-2005 3.4L V6 207cid
Pontiac Trans Sport 1997-1998 3.4L V6 207cid</t>
        </is>
      </c>
      <c r="I41" t="inlineStr">
        <is>
          <t>{"0": {"productDeskExternalKey": "CPCX|40-1025"}, "1": {"Package Contents": "Wiper Motor; Instruction Sheet"}, "2": {"E-Waste": "Yes"}, "3": {"Product Condition": "Remanufactured"}, "4": {"Mounting Hole Quantity": "3"}, "5": {"Terminal Type": "Blade"}, "6": {"Mounting Type": "Direct Bolt"}, "7": {"Weight PG": "3.3800"}, "8": {"Washer Pump Included": "No"}, "9": {"Part Type": "Windshield Wiper Motor"}, "10": {"Warranty Info": "1 Year/18,000 Mile"}, "11": {"Sustainable Choice": "Yes"}, "12": {"Lifecycle Status": "Available to Order"}, "13": {"Application Summary": "Chevrolet Venture 2005-97; Oldsmobile Silhouette 2004-97; Pontiac Montana 2005-99, Trans Sport 1998-97"}, "14": {"ItemLevelGTIN": "00082617496186"}, "15": {"_addonCardone": "40-1025::98271:100385:306"}, "16": {"Eligible for R&amp;R Service": "Yes"}}</t>
        </is>
      </c>
      <c r="J41" t="inlineStr">
        <is>
          <t>https://www.cardone.com/product/windshield-wiper-motor-40-1025</t>
        </is>
      </c>
      <c r="K41">
        <f>DISPIMG("ID_98E72AC2C63840A9BE0FD8FA5B073926",1)</f>
        <v/>
      </c>
      <c r="L41" t="inlineStr">
        <is>
          <t>CPCX|40-1025</t>
        </is>
      </c>
      <c r="M41" t="inlineStr">
        <is>
          <t>Wiper Motor; Instruction Sheet</t>
        </is>
      </c>
      <c r="N41" t="inlineStr">
        <is>
          <t>Yes</t>
        </is>
      </c>
      <c r="O41" t="inlineStr">
        <is>
          <t>Remanufactured</t>
        </is>
      </c>
      <c r="P41" t="inlineStr">
        <is>
          <t>3</t>
        </is>
      </c>
      <c r="Q41" t="inlineStr">
        <is>
          <t>Blade</t>
        </is>
      </c>
      <c r="R41" t="inlineStr">
        <is>
          <t>Direct Bolt</t>
        </is>
      </c>
      <c r="S41" t="inlineStr">
        <is>
          <t>3.3800</t>
        </is>
      </c>
      <c r="T41" t="inlineStr">
        <is>
          <t>No</t>
        </is>
      </c>
      <c r="U41" t="inlineStr">
        <is>
          <t>1 Year/18,000 Mile</t>
        </is>
      </c>
      <c r="V41" t="inlineStr">
        <is>
          <t>Yes</t>
        </is>
      </c>
      <c r="W41" t="inlineStr">
        <is>
          <t>Available to Order</t>
        </is>
      </c>
      <c r="X41" t="inlineStr">
        <is>
          <t>Chevrolet Venture 2005-97; Oldsmobile Silhouette 2004-97; Pontiac Montana 2005-99, Trans Sport 1998-97</t>
        </is>
      </c>
      <c r="Y41" t="inlineStr">
        <is>
          <t>00082617496186</t>
        </is>
      </c>
      <c r="Z41" t="inlineStr">
        <is>
          <t>40-1025::98271:100385:306</t>
        </is>
      </c>
      <c r="AA41" t="inlineStr">
        <is>
          <t>Yes</t>
        </is>
      </c>
      <c r="AB41" t="inlineStr"/>
      <c r="AC41" t="inlineStr"/>
    </row>
    <row r="42">
      <c r="A42" t="inlineStr">
        <is>
          <t>41</t>
        </is>
      </c>
      <c r="B42" t="inlineStr">
        <is>
          <t>Windshield Wiper Motor</t>
        </is>
      </c>
      <c r="C42" t="inlineStr">
        <is>
          <t>40-1026</t>
        </is>
      </c>
      <c r="D42" t="inlineStr">
        <is>
          <t>Windshield Wiper Motor - 40-1026</t>
        </is>
      </c>
      <c r="E42" t="inlineStr">
        <is>
          <t>CARDONE Reman</t>
        </is>
      </c>
      <c r="F42" t="inlineStr">
        <is>
          <t>12362550;12363350;12494791</t>
        </is>
      </c>
      <c r="G42" t="inlineStr">
        <is>
          <t>Chevrolet Venture 1997-2005
Oldsmobile Silhouette 1997-2004
Pontiac Montana 1999-2005
Pontiac Trans Sport 1997-1998</t>
        </is>
      </c>
      <c r="H42" t="inlineStr">
        <is>
          <t>Chevrolet Venture 1997-2005 3.4L V6 207cid
Oldsmobile Silhouette 1997-2004 3.4L V6 207cid
Pontiac Montana 1999-2005 3.4L V6 207cid
Pontiac Trans Sport 1997-1998 3.4L V6 207cid</t>
        </is>
      </c>
      <c r="I42" t="inlineStr">
        <is>
          <t>{"0": {"productDeskExternalKey": "CPCX|40-1026"},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"Chevrolet Venture 2005-97; Oldsmobile Silhouette 2004-97; Pontiac Montana 2005-99, Trans Sport 1998-97"}, "14": {"ItemLevelGTIN": "00082617496162"}, "15": {"_addonCardone": "40-1026::98271:100394:306"}, "16": {"Eligible for R&amp;R Service": "Yes"}}</t>
        </is>
      </c>
      <c r="J42" t="inlineStr">
        <is>
          <t>https://www.cardone.com/product/windshield-wiper-motor-40-1026</t>
        </is>
      </c>
      <c r="K42">
        <f>DISPIMG("ID_AE8C647FDFA344CDAFA45F41575962FA",1)</f>
        <v/>
      </c>
      <c r="L42" t="inlineStr">
        <is>
          <t>CPCX|40-1026</t>
        </is>
      </c>
      <c r="M42" t="inlineStr">
        <is>
          <t>Wiper Motor; Instruction Sheet</t>
        </is>
      </c>
      <c r="N42" t="inlineStr">
        <is>
          <t>Yes</t>
        </is>
      </c>
      <c r="O42" t="inlineStr">
        <is>
          <t>Remanufactured</t>
        </is>
      </c>
      <c r="P42" t="inlineStr">
        <is>
          <t>3</t>
        </is>
      </c>
      <c r="Q42" t="inlineStr">
        <is>
          <t>Blade</t>
        </is>
      </c>
      <c r="R42" t="inlineStr">
        <is>
          <t>Direct Bolt</t>
        </is>
      </c>
      <c r="S42" t="inlineStr">
        <is>
          <t>2.5000</t>
        </is>
      </c>
      <c r="T42" t="inlineStr">
        <is>
          <t>No</t>
        </is>
      </c>
      <c r="U42" t="inlineStr">
        <is>
          <t>1 Year/18,000 Mile</t>
        </is>
      </c>
      <c r="V42" t="inlineStr">
        <is>
          <t>Yes</t>
        </is>
      </c>
      <c r="W42" t="inlineStr">
        <is>
          <t>Available to Order</t>
        </is>
      </c>
      <c r="X42" t="inlineStr">
        <is>
          <t>Chevrolet Venture 2005-97; Oldsmobile Silhouette 2004-97; Pontiac Montana 2005-99, Trans Sport 1998-97</t>
        </is>
      </c>
      <c r="Y42" t="inlineStr">
        <is>
          <t>00082617496162</t>
        </is>
      </c>
      <c r="Z42" t="inlineStr">
        <is>
          <t>40-1026::98271:100394:306</t>
        </is>
      </c>
      <c r="AA42" t="inlineStr">
        <is>
          <t>Yes</t>
        </is>
      </c>
      <c r="AB42" t="inlineStr"/>
      <c r="AC42" t="inlineStr"/>
    </row>
    <row r="43">
      <c r="A43" t="inlineStr">
        <is>
          <t>42</t>
        </is>
      </c>
      <c r="B43" t="inlineStr">
        <is>
          <t>Windshield Wiper Motor</t>
        </is>
      </c>
      <c r="C43" t="inlineStr">
        <is>
          <t>40-1027</t>
        </is>
      </c>
      <c r="D43" t="inlineStr">
        <is>
          <t>Windshield Wiper Motor - 40-1027</t>
        </is>
      </c>
      <c r="E43" t="inlineStr">
        <is>
          <t>CARDONE Reman</t>
        </is>
      </c>
      <c r="F43" t="inlineStr">
        <is>
          <t>12365360;12494772</t>
        </is>
      </c>
      <c r="G43" t="inlineStr">
        <is>
          <t>Cadillac Escalade 2002
Cadillac Escalade EXT 2002
Chevrolet Avalanche 1500 2002
Chevrolet Avalanche 2500 2002
Chevrolet Silverado 1500 1999-2002
Chevrolet Silverado 1500 HD 2001-2002
Chevrolet Silverado 2500 1999-2002
Chevrolet Silverado 2500 HD 2001-2002
Chevrolet Silverado 3500 2001-2002
Chevrolet Suburban 1500 2000-2002
Chevrolet Suburban 2500 2000-2002
Chevrolet Tahoe 2000-2002
GMC Sierra 1500 1999-2002
GMC Sierra 1500 HD 2001-2002
GMC Sierra 2500 1999-2002
GMC Sierra 2500 HD 2001-2002
GMC Sierra 3500 2001-2002
GMC Yukon 2000-2002
GMC Yukon XL 1500 2000-2002
GMC Yukon XL 2500 2000-2002</t>
        </is>
      </c>
      <c r="H43" t="inlineStr">
        <is>
          <t>Cadillac Escalade 2002 5.3L V8 325cid
Cadillac Escalade 2002 6L V8 364cid
Cadillac Escalade EXT 2002 6L V8 364cid
Chevrolet Avalanche 1500 2002 5.3L V8 325cid
Chevrolet Avalanche 2500 2002 8.1L V8 496cid
Chevrolet Silverado 1500 1999-2002 4.3L V6 262cid
Chevrolet Silverado 1500 1999-2002 4.8L V8 294cid
Chevrolet Silverado 1500 1999-2002 5.3L V8 325cid
Chevrolet Silverado 1500 HD 2001-2002 6L V8 364cid
Chevrolet Silverado 2500 1999-2002 5.3L V8 325cid
Chevrolet Silverado 2500 1999-2002 6L V8 364cid
Chevrolet Silverado 2500 2000-2002 5.7L V8 350cid
Chevrolet Silverado 2500 HD 2001-2002 6.6L V8 403cid
Chevrolet Silverado 2500 HD 2001-2002 6L V8 364cid
Chevrolet Silverado 2500 HD 2001-2002 8.1L V8 496cid
Chevrolet Silverado 3500 2001-2002 5.7L V8 350cid
Chevrolet Silverado 3500 2001-2002 6.6L V8 403cid
Chevrolet Silverado 3500 2001-2002 6L V8 364cid
Chevrolet Silverado 3500 2001-2002 8.1L V8 496cid
Chevrolet Suburban 1500 2000-2002 5.3L V8 325cid
Chevrolet Suburban 1500 2000-2002 5.7L V8 350cid
Chevrolet Suburban 2500 2000-2002 6L V8 364cid
Chevrolet Suburban 2500 2001-2002 8.1L V8 496cid
Chevrolet Tahoe 2000-2002 4.8L V8 294cid
Chevrolet Tahoe 2000-2002 5.3L V8 325cid
GMC Sierra 1500 1999-2002 4.3L V6 262cid
GMC Sierra 1500 1999-2002 4.8L V8 294cid
GMC Sierra 1500 1999-2002 5.3L V8 325cid
GMC Sierra 1500 2001-2002 6L V8 364cid
GMC Sierra 1500 HD 2001-2002 6L V8 364cid
GMC Sierra 2500 1999-2000 5.3L V8 325cid
GMC Sierra 2500 1999-2002 6L V8 364cid
GMC Sierra 2500 HD 2001-2002 6.6L V8 403cid
GMC Sierra 2500 HD 2001-2002 6L V8 364cid
GMC Sierra 2500 HD 2001-2002 8.1L V8 496cid
GMC Sierra 3500 2001-2002 6.6L V8 403cid
GMC Sierra 3500 2001-2002 6L V8 364cid
GMC Sierra 3500 2001-2002 8.1L V8 496cid
GMC Yukon 2000-2002 4.8L V8 294cid
GMC Yukon 2000-2002 5.3L V8 325cid
GMC Yukon 2001-2002 6L V8 364cid
GMC Yukon XL 1500 2000-2002 5.3L V8 325cid
GMC Yukon XL 1500 2001-2002 6L V8 364cid
GMC Yukon XL 2500 2000-2002 6L V8 364cid
GMC Yukon XL 2500 2001-2002 8.1L V8 496cid</t>
        </is>
      </c>
      <c r="I43" t="inlineStr">
        <is>
          <t>{"0": {"productDeskExternalKey": "CPCX|40-1027"}, "1": {"Package Contents": "Wiper Motor; Instruction Sheet"}, "2": {"E-Waste": "Yes"}, "3": {"Product Condition": "Remanufactured"}, "4": {"Mounting Hole Quantity": "3"}, "5": {"Terminal Type": "Blade"}, "6": {"Mounting Type": "Direct Bolt; Grommet"}, "7": {"Weight PG": "3.3200"}, "8": {"Washer Pump Included": "No"}, "9": {"Part Type": "Windshield Wiper Motor"}, "10": {"Warranty Info": "1 Year/18,000 Mile"}, "11": {"Sustainable Choice": "Yes"}, "12": {"Lifecycle Status": "Available to Order"}, "13": {"ItemLevelGTIN": "00082617503020"}, "14": {"_addonCardone": "40-1027::98271:100396:306"}, "15": {"Eligible for R&amp;R Service": "Yes"}}</t>
        </is>
      </c>
      <c r="J43" t="inlineStr">
        <is>
          <t>https://www.cardone.com/product/windshield-wiper-motor-40-1027</t>
        </is>
      </c>
      <c r="K43">
        <f>DISPIMG("ID_2EDDD61C8F35447DAB24B3AE7EEED41B",1)</f>
        <v/>
      </c>
      <c r="L43" t="inlineStr">
        <is>
          <t>CPCX|40-1027</t>
        </is>
      </c>
      <c r="M43" t="inlineStr">
        <is>
          <t>Wiper Motor; Instruction Sheet</t>
        </is>
      </c>
      <c r="N43" t="inlineStr">
        <is>
          <t>Yes</t>
        </is>
      </c>
      <c r="O43" t="inlineStr">
        <is>
          <t>Remanufactured</t>
        </is>
      </c>
      <c r="P43" t="inlineStr">
        <is>
          <t>3</t>
        </is>
      </c>
      <c r="Q43" t="inlineStr">
        <is>
          <t>Blade</t>
        </is>
      </c>
      <c r="R43" t="inlineStr">
        <is>
          <t>Direct Bolt; Grommet</t>
        </is>
      </c>
      <c r="S43" t="inlineStr">
        <is>
          <t>3.3200</t>
        </is>
      </c>
      <c r="T43" t="inlineStr">
        <is>
          <t>No</t>
        </is>
      </c>
      <c r="U43" t="inlineStr">
        <is>
          <t>1 Year/18,000 Mile</t>
        </is>
      </c>
      <c r="V43" t="inlineStr">
        <is>
          <t>Yes</t>
        </is>
      </c>
      <c r="W43" t="inlineStr">
        <is>
          <t>Available to Order</t>
        </is>
      </c>
      <c r="X43" t="inlineStr"/>
      <c r="Y43" t="inlineStr">
        <is>
          <t>00082617503020</t>
        </is>
      </c>
      <c r="Z43" t="inlineStr">
        <is>
          <t>40-1027::98271:100396:306</t>
        </is>
      </c>
      <c r="AA43" t="inlineStr">
        <is>
          <t>Yes</t>
        </is>
      </c>
      <c r="AB43" t="inlineStr"/>
      <c r="AC43" t="inlineStr"/>
    </row>
    <row r="44">
      <c r="A44" t="inlineStr">
        <is>
          <t>43</t>
        </is>
      </c>
      <c r="B44" t="inlineStr">
        <is>
          <t>Windshield Wiper Motor</t>
        </is>
      </c>
      <c r="C44" t="inlineStr">
        <is>
          <t>40-1029</t>
        </is>
      </c>
      <c r="D44" t="inlineStr">
        <is>
          <t>Windshield Wiper Motor - 40-1029</t>
        </is>
      </c>
      <c r="E44" t="inlineStr">
        <is>
          <t>CARDONE Reman</t>
        </is>
      </c>
      <c r="F44" t="inlineStr">
        <is>
          <t>12487617;12487681;12463070</t>
        </is>
      </c>
      <c r="G44" t="inlineStr">
        <is>
          <t>Buick LeSabre 2000-2005
Cadillac DeVille 2000-2005
Oldsmobile Aurora 2001-2003
Pontiac Bonneville 2000-2005</t>
        </is>
      </c>
      <c r="H44" t="inlineStr">
        <is>
          <t>Buick LeSabre 2000-2005 3.8L V6 231cid
Cadillac DeVille 2000-2005 4.6L V8 281cid
Oldsmobile Aurora 2001-2002 3.5L V6 214cid
Oldsmobile Aurora 2001-2003 4L V8 244cid
Pontiac Bonneville 2000-2005 3.8L V6 231cid
Pontiac Bonneville 2004-2005 4.6L V8 281cid</t>
        </is>
      </c>
      <c r="I44" t="inlineStr">
        <is>
          <t>{"0": {"productDeskExternalKey": "CPCX|40-1029"}, "1": {"Package Contents": "Wiper Motor; Instruction Sheet"}, "2": {"E-Waste": "Yes"}, "3": {"Product Condition": "Remanufactured"}, "4": {"Mounting Hole Quantity": "3"}, "5": {"Terminal Type": "Blade"}, "6": {"Mounting Type": "Direct Bolt"}, "7": {"Weight PG": "3.4500"}, "8": {"Washer Pump Included": "No"}, "9": {"Part Type": "Windshield Wiper Motor"}, "10": {"Warranty Info": "1 Year/18,000 Mile"}, "11": {"Sustainable Choice": "Yes"}, "12": {"Lifecycle Status": "Available to Order"}, "13": {"Application Summary": "Buick LeSabre 2005-00; Cadillac DeVille 2005-00; Oldsmobile Aurora 2003-01; Pontiac Bonneville 2005-00"}, "14": {"ItemLevelGTIN": "00082617566650"}, "15": {"_addonCardone": "40-1029::98271:100402:306"}, "16": {"Eligible for R&amp;R Service": "Yes"}}</t>
        </is>
      </c>
      <c r="J44" t="inlineStr">
        <is>
          <t>https://www.cardone.com/product/windshield-wiper-motor-40-1029</t>
        </is>
      </c>
      <c r="K44">
        <f>DISPIMG("ID_21013115A159494A85AA02EE09B1C7F8",1)</f>
        <v/>
      </c>
      <c r="L44" t="inlineStr">
        <is>
          <t>CPCX|40-1029</t>
        </is>
      </c>
      <c r="M44" t="inlineStr">
        <is>
          <t>Wiper Motor; Instruction Sheet</t>
        </is>
      </c>
      <c r="N44" t="inlineStr">
        <is>
          <t>Yes</t>
        </is>
      </c>
      <c r="O44" t="inlineStr">
        <is>
          <t>Remanufactured</t>
        </is>
      </c>
      <c r="P44" t="inlineStr">
        <is>
          <t>3</t>
        </is>
      </c>
      <c r="Q44" t="inlineStr">
        <is>
          <t>Blade</t>
        </is>
      </c>
      <c r="R44" t="inlineStr">
        <is>
          <t>Direct Bolt</t>
        </is>
      </c>
      <c r="S44" t="inlineStr">
        <is>
          <t>3.4500</t>
        </is>
      </c>
      <c r="T44" t="inlineStr">
        <is>
          <t>No</t>
        </is>
      </c>
      <c r="U44" t="inlineStr">
        <is>
          <t>1 Year/18,000 Mile</t>
        </is>
      </c>
      <c r="V44" t="inlineStr">
        <is>
          <t>Yes</t>
        </is>
      </c>
      <c r="W44" t="inlineStr">
        <is>
          <t>Available to Order</t>
        </is>
      </c>
      <c r="X44" t="inlineStr">
        <is>
          <t>Buick LeSabre 2005-00; Cadillac DeVille 2005-00; Oldsmobile Aurora 2003-01; Pontiac Bonneville 2005-00</t>
        </is>
      </c>
      <c r="Y44" t="inlineStr">
        <is>
          <t>00082617566650</t>
        </is>
      </c>
      <c r="Z44" t="inlineStr">
        <is>
          <t>40-1029::98271:100402:306</t>
        </is>
      </c>
      <c r="AA44" t="inlineStr">
        <is>
          <t>Yes</t>
        </is>
      </c>
      <c r="AB44" t="inlineStr"/>
      <c r="AC44" t="inlineStr"/>
    </row>
    <row r="45">
      <c r="A45" t="inlineStr">
        <is>
          <t>44</t>
        </is>
      </c>
      <c r="B45" t="inlineStr">
        <is>
          <t>Windshield Wiper Motor</t>
        </is>
      </c>
      <c r="C45" t="inlineStr">
        <is>
          <t>40-1030</t>
        </is>
      </c>
      <c r="D45" t="inlineStr">
        <is>
          <t>Windshield Wiper Motor - 40-1030</t>
        </is>
      </c>
      <c r="E45" t="inlineStr">
        <is>
          <t>CARDONE Reman</t>
        </is>
      </c>
      <c r="F45" t="inlineStr">
        <is>
          <t>8123653190;8150360080</t>
        </is>
      </c>
      <c r="G45" t="inlineStr">
        <is>
          <t>Chevrolet Blazer 1998-2004
Chevrolet S10 1998-2004
GMC Jimmy 1998-2004
GMC Sonoma 1998-2004
Isuzu Hombre 1998-2000
Oldsmobile Bravada 1998-2001</t>
        </is>
      </c>
      <c r="H45" t="inlineStr">
        <is>
          <t>Chevrolet Blazer 1998-2004 4.3L V6 262cid
Chevrolet Blazer 2002 4.2L L6 256cid
Chevrolet S10 1998-2000
Chevrolet S10 1998-2003 2.2L L4 134cid
Chevrolet S10 1998-2004 4.3L V6 262cid
GMC Jimmy 1998-2003 4.3L V6 262cid
GMC Jimmy 2004 4.3L V6 4294cc
GMC Sonoma 1998-2003 2.2L L4 134cid
GMC Sonoma 1998-2004 4.3L V6 262cid
Isuzu Hombre 1998-1999 4.3L V6 4294cc
Isuzu Hombre 1998-2000 2.2L L4 134cid
Isuzu Hombre 2000 4.3L V6 262cid
Oldsmobile Bravada 1998-2001 4.3L V6 262cid</t>
        </is>
      </c>
      <c r="I45" t="inlineStr">
        <is>
          <t>{"0": {"productDeskExternalKey": "CPCX|40-1030"}, "1": {"Package Contents": "Wiper Motor; Instruction Sheet"}, "2": {"E-Waste": "Yes"}, "3": {"Product Condition": "Remanufactured"}, "4": {"Mounting Hole Quantity": "3"}, "5": {"Terminal Type": "Blade"}, "6": {"Mounting Type": "Grommet"}, "7": {"Weight PG": "3.3700"}, "8": {"Washer Pump Included": "No"}, "9": {"Part Type": "Windshield Wiper Motor"}, "10": {"Warranty Info": "1 Year/18,000 Mile"}, "11": {"Sustainable Choice": "Yes"}, "12": {"Lifecycle Status": "Available to Order"}, "13": {"Application Summary": "Chevrolet Blazer 2004-98, S10 2004-98; GMC Jimmy 2004-98, Sonoma 2004-98; Isuzu Hombre 2000-98; Oldsmobile Bravada 2001-98"}, "14": {"ItemLevelGTIN": "00082617569453"}, "15": {"_addonCardone": "40-1030::98271:100406:306"}, "16": {"Eligible for R&amp;R Service": "Yes"}}</t>
        </is>
      </c>
      <c r="J45" t="inlineStr">
        <is>
          <t>https://www.cardone.com/product/windshield-wiper-motor-40-1030</t>
        </is>
      </c>
      <c r="K45">
        <f>DISPIMG("ID_036A2CC0550A497E9DEE27576CB5D8A7",1)</f>
        <v/>
      </c>
      <c r="L45" t="inlineStr">
        <is>
          <t>CPCX|40-1030</t>
        </is>
      </c>
      <c r="M45" t="inlineStr">
        <is>
          <t>Wiper Motor; Instruction Sheet</t>
        </is>
      </c>
      <c r="N45" t="inlineStr">
        <is>
          <t>Yes</t>
        </is>
      </c>
      <c r="O45" t="inlineStr">
        <is>
          <t>Remanufactured</t>
        </is>
      </c>
      <c r="P45" t="inlineStr">
        <is>
          <t>3</t>
        </is>
      </c>
      <c r="Q45" t="inlineStr">
        <is>
          <t>Blade</t>
        </is>
      </c>
      <c r="R45" t="inlineStr">
        <is>
          <t>Grommet</t>
        </is>
      </c>
      <c r="S45" t="inlineStr">
        <is>
          <t>3.3700</t>
        </is>
      </c>
      <c r="T45" t="inlineStr">
        <is>
          <t>No</t>
        </is>
      </c>
      <c r="U45" t="inlineStr">
        <is>
          <t>1 Year/18,000 Mile</t>
        </is>
      </c>
      <c r="V45" t="inlineStr">
        <is>
          <t>Yes</t>
        </is>
      </c>
      <c r="W45" t="inlineStr">
        <is>
          <t>Available to Order</t>
        </is>
      </c>
      <c r="X45" t="inlineStr">
        <is>
          <t>Chevrolet Blazer 2004-98, S10 2004-98; GMC Jimmy 2004-98, Sonoma 2004-98; Isuzu Hombre 2000-98; Oldsmobile Bravada 2001-98</t>
        </is>
      </c>
      <c r="Y45" t="inlineStr">
        <is>
          <t>00082617569453</t>
        </is>
      </c>
      <c r="Z45" t="inlineStr">
        <is>
          <t>40-1030::98271:100406:306</t>
        </is>
      </c>
      <c r="AA45" t="inlineStr">
        <is>
          <t>Yes</t>
        </is>
      </c>
      <c r="AB45" t="inlineStr"/>
      <c r="AC45" t="inlineStr"/>
    </row>
    <row r="46">
      <c r="A46" t="inlineStr">
        <is>
          <t>45</t>
        </is>
      </c>
      <c r="B46" t="inlineStr">
        <is>
          <t>Windshield Wiper Motor</t>
        </is>
      </c>
      <c r="C46" t="inlineStr">
        <is>
          <t>40-1031</t>
        </is>
      </c>
      <c r="D46" t="inlineStr">
        <is>
          <t>Windshield Wiper Motor - 40-1031</t>
        </is>
      </c>
      <c r="E46" t="inlineStr">
        <is>
          <t>CARDONE Reman</t>
        </is>
      </c>
      <c r="F46" t="inlineStr">
        <is>
          <t>21035586;21105587;21105585</t>
        </is>
      </c>
      <c r="G46" t="inlineStr">
        <is>
          <t>Saturn SW1 1993-1999
Saturn SW2 1993-2000</t>
        </is>
      </c>
      <c r="H46" t="inlineStr">
        <is>
          <t>Saturn SW1 1993-1999 1.9L L4 116cid
Saturn SW2 1993-2000 1.9L L4 116cid</t>
        </is>
      </c>
      <c r="I46" t="inlineStr">
        <is>
          <t>{"0": {"productDeskExternalKey": "CPCX|40-1031"}, "1": {"Package Contents": "Wiper Motor; Instruction Sheet"}, "2": {"E-Waste": "Yes"}, "3": {"Product Condition": "Remanufactured"}, "4": {"Mounting Hole Quantity": "2"}, "5": {"Terminal Type": "Blade"}, "6": {"Mounting Type": "Grommet"}, "7": {"Weight PG": "1.6800"}, "8": {"Washer Pump Included": "No"}, "9": {"Part Type": "Windshield Wiper Motor"}, "10": {"Warranty Info": "1 Year/18,000 Mile"}, "11": {"Sustainable Choice": "Yes"}, "12": {"Lifecycle Status": "Available to Order"}, "13": {"Application Summary": "Saturn SW1 1999-98 1995-93, SW2 2000-98 1995-93"}, "14": {"ItemLevelGTIN": "00082617587679"}, "15": {"_addonCardone": "40-1031::98271:100411:306"}, "16": {"Eligible for R&amp;R Service": "Yes"}}</t>
        </is>
      </c>
      <c r="J46" t="inlineStr">
        <is>
          <t>https://www.cardone.com/product/windshield-wiper-motor-40-1031</t>
        </is>
      </c>
      <c r="K46">
        <f>DISPIMG("ID_24E07F9220D545CBB8841E1F9C3EDF8D",1)</f>
        <v/>
      </c>
      <c r="L46" t="inlineStr">
        <is>
          <t>CPCX|40-1031</t>
        </is>
      </c>
      <c r="M46" t="inlineStr">
        <is>
          <t>Wiper Motor; Instruction Sheet</t>
        </is>
      </c>
      <c r="N46" t="inlineStr">
        <is>
          <t>Yes</t>
        </is>
      </c>
      <c r="O46" t="inlineStr">
        <is>
          <t>Remanufactured</t>
        </is>
      </c>
      <c r="P46" t="inlineStr">
        <is>
          <t>2</t>
        </is>
      </c>
      <c r="Q46" t="inlineStr">
        <is>
          <t>Blade</t>
        </is>
      </c>
      <c r="R46" t="inlineStr">
        <is>
          <t>Grommet</t>
        </is>
      </c>
      <c r="S46" t="inlineStr">
        <is>
          <t>1.6800</t>
        </is>
      </c>
      <c r="T46" t="inlineStr">
        <is>
          <t>No</t>
        </is>
      </c>
      <c r="U46" t="inlineStr">
        <is>
          <t>1 Year/18,000 Mile</t>
        </is>
      </c>
      <c r="V46" t="inlineStr">
        <is>
          <t>Yes</t>
        </is>
      </c>
      <c r="W46" t="inlineStr">
        <is>
          <t>Available to Order</t>
        </is>
      </c>
      <c r="X46" t="inlineStr">
        <is>
          <t>Saturn SW1 1999-98 1995-93, SW2 2000-98 1995-93</t>
        </is>
      </c>
      <c r="Y46" t="inlineStr">
        <is>
          <t>00082617587679</t>
        </is>
      </c>
      <c r="Z46" t="inlineStr">
        <is>
          <t>40-1031::98271:100411:306</t>
        </is>
      </c>
      <c r="AA46" t="inlineStr">
        <is>
          <t>Yes</t>
        </is>
      </c>
      <c r="AB46" t="inlineStr"/>
      <c r="AC46" t="inlineStr"/>
    </row>
    <row r="47">
      <c r="A47" t="inlineStr">
        <is>
          <t>46</t>
        </is>
      </c>
      <c r="B47" t="inlineStr">
        <is>
          <t>Windshield Wiper Motor</t>
        </is>
      </c>
      <c r="C47" t="inlineStr">
        <is>
          <t>40-1032L</t>
        </is>
      </c>
      <c r="D47" t="inlineStr">
        <is>
          <t>Windshield Wiper Motor - 40-1032L</t>
        </is>
      </c>
      <c r="E47" t="inlineStr">
        <is>
          <t>CARDONE Reman</t>
        </is>
      </c>
      <c r="F47" t="inlineStr">
        <is>
          <t>8124876870</t>
        </is>
      </c>
      <c r="G47" t="inlineStr">
        <is>
          <t>Chevrolet Trailblazer 2002
Chevrolet Trailblazer EXT 2002
GMC Envoy 2002
GMC Envoy XL 2002
Isuzu Ascender 2003-2004
Oldsmobile Bravada 2002-2003</t>
        </is>
      </c>
      <c r="H47" t="inlineStr">
        <is>
          <t>Chevrolet Trailblazer 2002 4.2L L6 256cid
Chevrolet Trailblazer EXT 2002 4.2L L6 256cid
GMC Envoy 2002 4.2L L6 256cid
GMC Envoy XL 2002 4.2L L6 256cid
Isuzu Ascender 2003-2004 4.2L L6 256cid
Isuzu Ascender 2003-2004 5.3L V8 325cid
Oldsmobile Bravada 2002-2003 4.2L L6 256cid</t>
        </is>
      </c>
      <c r="I47" t="inlineStr">
        <is>
          <t>{"0": {"productDeskExternalKey": "CPCX|40-1032L"}, "1": {"Package Contents": "Wiper Motor; Instruction Sheet"}, "2": {"E-Waste": "Yes"}, "3": {"Product Condition": "Remanufactured"}, "4": {"Mounting Hole Quantity": "3"}, "5": {"Terminal Type": "Blade"}, "6": {"Mounting Type": "Direct Bolt"}, "7": {"Weight PG": "6.5000"}, "8": {"Washer Pump Included": "No"}, "9": {"Part Type": "Windshield Wiper Motor"}, "10": {"Warranty Info": "1 Year/18,000 Mile"}, "11": {"Sustainable Choice": "Yes"}, "12": {"Lifecycle Status": "Available to Order"}, "13": {"Application Summary": "Chevrolet Trailblazer 2002, Trailblazer EXT 2002; GMC Envoy 2002, Envoy XL 2002; Isuzu Ascender 2004-03; Oldsmobile Bravada 2003-02"}, "14": {"ItemLevelGTIN": "00082617607865"}, "15": {"_addonCardone": "40-1032L::98271:100414:306"}, "16": {"Eligible for R&amp;R Service": "Yes"}}</t>
        </is>
      </c>
      <c r="J47" t="inlineStr">
        <is>
          <t>https://www.cardone.com/product/windshield-wiper-motor-40-1032l</t>
        </is>
      </c>
      <c r="K47">
        <f>DISPIMG("ID_3EF1B6EE8EF8477EB53C1D63CD21EF31",1)</f>
        <v/>
      </c>
      <c r="L47" t="inlineStr">
        <is>
          <t>CPCX|40-1032L</t>
        </is>
      </c>
      <c r="M47" t="inlineStr">
        <is>
          <t>Wiper Motor; Instruction Sheet</t>
        </is>
      </c>
      <c r="N47" t="inlineStr">
        <is>
          <t>Yes</t>
        </is>
      </c>
      <c r="O47" t="inlineStr">
        <is>
          <t>Remanufactured</t>
        </is>
      </c>
      <c r="P47" t="inlineStr">
        <is>
          <t>3</t>
        </is>
      </c>
      <c r="Q47" t="inlineStr">
        <is>
          <t>Blade</t>
        </is>
      </c>
      <c r="R47" t="inlineStr">
        <is>
          <t>Direct Bolt</t>
        </is>
      </c>
      <c r="S47" t="inlineStr">
        <is>
          <t>6.5000</t>
        </is>
      </c>
      <c r="T47" t="inlineStr">
        <is>
          <t>No</t>
        </is>
      </c>
      <c r="U47" t="inlineStr">
        <is>
          <t>1 Year/18,000 Mile</t>
        </is>
      </c>
      <c r="V47" t="inlineStr">
        <is>
          <t>Yes</t>
        </is>
      </c>
      <c r="W47" t="inlineStr">
        <is>
          <t>Available to Order</t>
        </is>
      </c>
      <c r="X47" t="inlineStr">
        <is>
          <t>Chevrolet Trailblazer 2002, Trailblazer EXT 2002; GMC Envoy 2002, Envoy XL 2002; Isuzu Ascender 2004-03; Oldsmobile Bravada 2003-02</t>
        </is>
      </c>
      <c r="Y47" t="inlineStr">
        <is>
          <t>00082617607865</t>
        </is>
      </c>
      <c r="Z47" t="inlineStr">
        <is>
          <t>40-1032L::98271:100414:306</t>
        </is>
      </c>
      <c r="AA47" t="inlineStr">
        <is>
          <t>Yes</t>
        </is>
      </c>
      <c r="AB47" t="inlineStr"/>
      <c r="AC47" t="inlineStr"/>
    </row>
    <row r="48">
      <c r="A48" t="inlineStr">
        <is>
          <t>47</t>
        </is>
      </c>
      <c r="B48" t="inlineStr">
        <is>
          <t>Windshield Wiper Motor</t>
        </is>
      </c>
      <c r="C48" t="inlineStr">
        <is>
          <t>40-1033</t>
        </is>
      </c>
      <c r="D48" t="inlineStr">
        <is>
          <t>Windshield Wiper Motor - 40-1033</t>
        </is>
      </c>
      <c r="E48" t="inlineStr">
        <is>
          <t>CARDONE Reman</t>
        </is>
      </c>
      <c r="F48" t="inlineStr">
        <is>
          <t>97721629</t>
        </is>
      </c>
      <c r="G48" t="inlineStr">
        <is>
          <t>Chevrolet T6500 1997-2009
Chevrolet T7500 1997-2009
Chevrolet T8500 2004-2009
GMC T6500 1997-2009
GMC T7500 1997-2009</t>
        </is>
      </c>
      <c r="H48" t="inlineStr">
        <is>
          <t>Chevrolet T6500 1997-1998 6.6L L6 403cid
Chevrolet T6500 1997-1998 6L V8 366cid
Chevrolet T6500 1998-2002 7.2L L6 441cid
Chevrolet T6500 1999-2009 7.8L L6 475cid
Chevrolet T7500 1997-1998 6.6L L6 403cid
Chevrolet T7500 1997-1998 6L V8 366cid
Chevrolet T7500 1998-2002 7.2L L6 441cid
Chevrolet T7500 1999-2009 7.8L L6 475cid
Chevrolet T8500 2004-2009 7.8L L6 475cid
GMC T6500 1997-1998 6.6L L6 403cid
GMC T6500 1997-1998 6L V8 366cid
GMC T6500 1998-2002 7.2L L6 441cid
GMC T6500 1999-2009 7.8L L6 475cid
GMC T7500 1997-1998 6.6L L6 403cid
GMC T7500 1997-1998 6L V8 366cid
GMC T7500 1998-2002 7.2L L6 441cid
GMC T7500 1999-2009 7.8L L6 475cid</t>
        </is>
      </c>
      <c r="I48" t="inlineStr">
        <is>
          <t>{"0": {"productDeskExternalKey": "CPCX|40-1033"},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"Chevrolet T6500 2009-04 2002-97, T7500 2009-04 2002-97, T8500 2009-04; GMC T6500 2009-04 2002-97, T7500 2009-04 2002-97"}, "14": {"ItemLevelGTIN": "00082617587655"}, "15": {"_addonCardone": "40-1033::98271:100418:306"}, "16": {"Eligible for R&amp;R Service": "Yes"}}</t>
        </is>
      </c>
      <c r="J48" t="inlineStr">
        <is>
          <t>https://www.cardone.com/product/windshield-wiper-motor-40-1033</t>
        </is>
      </c>
      <c r="K48">
        <f>DISPIMG("ID_39655B8D2A0541D3AB02F20438B127A2",1)</f>
        <v/>
      </c>
      <c r="L48" t="inlineStr">
        <is>
          <t>CPCX|40-1033</t>
        </is>
      </c>
      <c r="M48" t="inlineStr">
        <is>
          <t>Wiper Motor; Instruction Sheet</t>
        </is>
      </c>
      <c r="N48" t="inlineStr">
        <is>
          <t>Yes</t>
        </is>
      </c>
      <c r="O48" t="inlineStr">
        <is>
          <t>Remanufactured</t>
        </is>
      </c>
      <c r="P48" t="inlineStr">
        <is>
          <t>3</t>
        </is>
      </c>
      <c r="Q48" t="inlineStr">
        <is>
          <t>Blade</t>
        </is>
      </c>
      <c r="R48" t="inlineStr">
        <is>
          <t>Direct Bolt</t>
        </is>
      </c>
      <c r="S48" t="inlineStr">
        <is>
          <t>3.0000</t>
        </is>
      </c>
      <c r="T48" t="inlineStr">
        <is>
          <t>No</t>
        </is>
      </c>
      <c r="U48" t="inlineStr">
        <is>
          <t>1 Year/18,000 Mile</t>
        </is>
      </c>
      <c r="V48" t="inlineStr">
        <is>
          <t>Yes</t>
        </is>
      </c>
      <c r="W48" t="inlineStr">
        <is>
          <t>Available to Order</t>
        </is>
      </c>
      <c r="X48" t="inlineStr">
        <is>
          <t>Chevrolet T6500 2009-04 2002-97, T7500 2009-04 2002-97, T8500 2009-04; GMC T6500 2009-04 2002-97, T7500 2009-04 2002-97</t>
        </is>
      </c>
      <c r="Y48" t="inlineStr">
        <is>
          <t>00082617587655</t>
        </is>
      </c>
      <c r="Z48" t="inlineStr">
        <is>
          <t>40-1033::98271:100418:306</t>
        </is>
      </c>
      <c r="AA48" t="inlineStr">
        <is>
          <t>Yes</t>
        </is>
      </c>
      <c r="AB48" t="inlineStr"/>
      <c r="AC48" t="inlineStr"/>
    </row>
    <row r="49">
      <c r="A49" t="inlineStr">
        <is>
          <t>48</t>
        </is>
      </c>
      <c r="B49" t="inlineStr">
        <is>
          <t>Windshield Wiper Motor</t>
        </is>
      </c>
      <c r="C49" t="inlineStr">
        <is>
          <t>40-1034</t>
        </is>
      </c>
      <c r="D49" t="inlineStr">
        <is>
          <t>Windshield Wiper Motor - 40-1034</t>
        </is>
      </c>
      <c r="E49" t="inlineStr">
        <is>
          <t>CARDONE Reman</t>
        </is>
      </c>
      <c r="F49" t="inlineStr">
        <is>
          <t>21302905</t>
        </is>
      </c>
      <c r="G49" t="inlineStr">
        <is>
          <t>Saturn SC1 2000-2002
Saturn SC2 2000-2002
Saturn SL 2000-2002
Saturn SL1 2000-2002
Saturn SL2 2000-2002
Saturn SW2 2001</t>
        </is>
      </c>
      <c r="H49" t="inlineStr">
        <is>
          <t>Saturn SC1 2000-2002 1.9L L4 116cid
Saturn SC2 2000-2002 1.9L L4 116cid
Saturn SL 2000-2002 1.9L L4 116cid
Saturn SL1 2000-2002 1.9L L4 116cid
Saturn SL2 2000-2002 1.9L L4 116cid
Saturn SW2 2001 1.9L L4 116cid</t>
        </is>
      </c>
      <c r="I49" t="inlineStr">
        <is>
          <t>{"0": {"productDeskExternalKey": "CPCX|40-1034"},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"Saturn SC1 2002-00, SC2 2002-00, SL 2002-00, SL1 2002-00, SL2 2002-00, SW2 2001"}, "14": {"ItemLevelGTIN": "00082617587617"}, "15": {"_addonCardone": "40-1034::98271:100422:306"}, "16": {"Eligible for R&amp;R Service": "Yes"}}</t>
        </is>
      </c>
      <c r="J49" t="inlineStr">
        <is>
          <t>https://www.cardone.com/product/windshield-wiper-motor-40-1034</t>
        </is>
      </c>
      <c r="K49">
        <f>DISPIMG("ID_BDDCBB647054487EAAEFEC37F28E3649",1)</f>
        <v/>
      </c>
      <c r="L49" t="inlineStr">
        <is>
          <t>CPCX|40-1034</t>
        </is>
      </c>
      <c r="M49" t="inlineStr">
        <is>
          <t>Wiper Motor; Instruction Sheet</t>
        </is>
      </c>
      <c r="N49" t="inlineStr">
        <is>
          <t>Yes</t>
        </is>
      </c>
      <c r="O49" t="inlineStr">
        <is>
          <t>Remanufactured</t>
        </is>
      </c>
      <c r="P49" t="inlineStr">
        <is>
          <t>3</t>
        </is>
      </c>
      <c r="Q49" t="inlineStr">
        <is>
          <t>Blade</t>
        </is>
      </c>
      <c r="R49" t="inlineStr">
        <is>
          <t>Direct Bolt</t>
        </is>
      </c>
      <c r="S49" t="inlineStr">
        <is>
          <t>2.5000</t>
        </is>
      </c>
      <c r="T49" t="inlineStr">
        <is>
          <t>No</t>
        </is>
      </c>
      <c r="U49" t="inlineStr">
        <is>
          <t>1 Year/18,000 Mile</t>
        </is>
      </c>
      <c r="V49" t="inlineStr">
        <is>
          <t>Yes</t>
        </is>
      </c>
      <c r="W49" t="inlineStr">
        <is>
          <t>Available to Order</t>
        </is>
      </c>
      <c r="X49" t="inlineStr">
        <is>
          <t>Saturn SC1 2002-00, SC2 2002-00, SL 2002-00, SL1 2002-00, SL2 2002-00, SW2 2001</t>
        </is>
      </c>
      <c r="Y49" t="inlineStr">
        <is>
          <t>00082617587617</t>
        </is>
      </c>
      <c r="Z49" t="inlineStr">
        <is>
          <t>40-1034::98271:100422:306</t>
        </is>
      </c>
      <c r="AA49" t="inlineStr">
        <is>
          <t>Yes</t>
        </is>
      </c>
      <c r="AB49" t="inlineStr"/>
      <c r="AC49" t="inlineStr"/>
    </row>
    <row r="50">
      <c r="A50" t="inlineStr">
        <is>
          <t>49</t>
        </is>
      </c>
      <c r="B50" t="inlineStr">
        <is>
          <t>Windshield Wiper Motor</t>
        </is>
      </c>
      <c r="C50" t="inlineStr">
        <is>
          <t>40-1035</t>
        </is>
      </c>
      <c r="D50" t="inlineStr">
        <is>
          <t>Windshield Wiper Motor - 40-1035</t>
        </is>
      </c>
      <c r="E50" t="inlineStr">
        <is>
          <t>CARDONE Reman</t>
        </is>
      </c>
      <c r="F50" t="inlineStr">
        <is>
          <t>22688179</t>
        </is>
      </c>
      <c r="G50" t="inlineStr">
        <is>
          <t>Saturn L100 2001-2002
Saturn L200 2001-2003
Saturn L300 2001-2005
Saturn LS 2000
Saturn LS1 2000
Saturn LS2 2000
Saturn LW1 2000
Saturn LW2 2000
Saturn LW200 2001-2003
Saturn LW300 2001-2003</t>
        </is>
      </c>
      <c r="H50" t="inlineStr">
        <is>
          <t>Saturn L100 2001-2002 2.2L L4 134cid
Saturn L200 2001-2003 2.2L L4 134cid
Saturn L300 2001-2005 3L V6 181cid
Saturn L300 2004 2.2L L4 134cid
Saturn LS 2000 2.2L L4 134cid
Saturn LS1 2000 2.2L L4 134cid
Saturn LS2 2000 3L V6 181cid
Saturn LW1 2000 2.2L L4 134cid
Saturn LW2 2000 3L V6 181cid
Saturn LW200 2001-2003 2.2L L4 134cid
Saturn LW300 2001-2003 3L V6 181cid</t>
        </is>
      </c>
      <c r="I50" t="inlineStr">
        <is>
          <t>{"0": {"productDeskExternalKey": "CPCX|40-1035"},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"Saturn L100 2002-01, L200 2003-01, L300 2005-01, LS 2000, LS1 2000, LS2 2000, LW1 2000, LW2 2000, LW200 2003-01, LW300 2003-01"}, "14": {"ItemLevelGTIN": "00082617587648"}, "15": {"_addonCardone": "40-1035::98271:100427:306"}, "16": {"Eligible for R&amp;R Service": "Yes"}}</t>
        </is>
      </c>
      <c r="J50" t="inlineStr">
        <is>
          <t>https://www.cardone.com/product/windshield-wiper-motor-40-1035</t>
        </is>
      </c>
      <c r="K50">
        <f>DISPIMG("ID_E01A6DEB641547BDBA87A029FE718308",1)</f>
        <v/>
      </c>
      <c r="L50" t="inlineStr">
        <is>
          <t>CPCX|40-1035</t>
        </is>
      </c>
      <c r="M50" t="inlineStr">
        <is>
          <t>Wiper Motor; Instruction Sheet</t>
        </is>
      </c>
      <c r="N50" t="inlineStr">
        <is>
          <t>Yes</t>
        </is>
      </c>
      <c r="O50" t="inlineStr">
        <is>
          <t>Remanufactured</t>
        </is>
      </c>
      <c r="P50" t="inlineStr">
        <is>
          <t>3</t>
        </is>
      </c>
      <c r="Q50" t="inlineStr">
        <is>
          <t>Blade</t>
        </is>
      </c>
      <c r="R50" t="inlineStr">
        <is>
          <t>Direct Bolt</t>
        </is>
      </c>
      <c r="S50" t="inlineStr">
        <is>
          <t>2.7500</t>
        </is>
      </c>
      <c r="T50" t="inlineStr">
        <is>
          <t>No</t>
        </is>
      </c>
      <c r="U50" t="inlineStr">
        <is>
          <t>1 Year/18,000 Mile</t>
        </is>
      </c>
      <c r="V50" t="inlineStr">
        <is>
          <t>Yes</t>
        </is>
      </c>
      <c r="W50" t="inlineStr">
        <is>
          <t>Available to Order</t>
        </is>
      </c>
      <c r="X50" t="inlineStr">
        <is>
          <t>Saturn L100 2002-01, L200 2003-01, L300 2005-01, LS 2000, LS1 2000, LS2 2000, LW1 2000, LW2 2000, LW200 2003-01, LW300 2003-01</t>
        </is>
      </c>
      <c r="Y50" t="inlineStr">
        <is>
          <t>00082617587648</t>
        </is>
      </c>
      <c r="Z50" t="inlineStr">
        <is>
          <t>40-1035::98271:100427:306</t>
        </is>
      </c>
      <c r="AA50" t="inlineStr">
        <is>
          <t>Yes</t>
        </is>
      </c>
      <c r="AB50" t="inlineStr"/>
      <c r="AC50" t="inlineStr"/>
    </row>
    <row r="51">
      <c r="A51" t="inlineStr">
        <is>
          <t>50</t>
        </is>
      </c>
      <c r="B51" t="inlineStr">
        <is>
          <t>Windshield Wiper Motor</t>
        </is>
      </c>
      <c r="C51" t="inlineStr">
        <is>
          <t>40-1036</t>
        </is>
      </c>
      <c r="D51" t="inlineStr">
        <is>
          <t>Windshield Wiper Motor - 40-1036</t>
        </is>
      </c>
      <c r="E51" t="inlineStr">
        <is>
          <t>CARDONE Reman</t>
        </is>
      </c>
      <c r="F51" t="inlineStr">
        <is>
          <t>22117137</t>
        </is>
      </c>
      <c r="G51" t="inlineStr">
        <is>
          <t>Cadillac Catera 1997-2001</t>
        </is>
      </c>
      <c r="H51" t="inlineStr">
        <is>
          <t>Cadillac Catera 1997-2001 3L V6 181cid</t>
        </is>
      </c>
      <c r="I51" t="inlineStr">
        <is>
          <t>{"0": {"productDeskExternalKey": "CPCX|40-1036"},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"Cadillac Catera 2001-97"}, "14": {"ItemLevelGTIN": "00082617587624"}, "15": {"_addonCardone": "40-1036::98271:100432:306"}, "16": {"Eligible for R&amp;R Service": "Yes"}}</t>
        </is>
      </c>
      <c r="J51" t="inlineStr">
        <is>
          <t>https://www.cardone.com/product/windshield-wiper-motor-40-1036</t>
        </is>
      </c>
      <c r="K51">
        <f>DISPIMG("ID_9DE21D1859DF469EB3588166477DED37",1)</f>
        <v/>
      </c>
      <c r="L51" t="inlineStr">
        <is>
          <t>CPCX|40-1036</t>
        </is>
      </c>
      <c r="M51" t="inlineStr">
        <is>
          <t>Wiper Motor; Instruction Sheet</t>
        </is>
      </c>
      <c r="N51" t="inlineStr">
        <is>
          <t>Yes</t>
        </is>
      </c>
      <c r="O51" t="inlineStr">
        <is>
          <t>Remanufactured</t>
        </is>
      </c>
      <c r="P51" t="inlineStr">
        <is>
          <t>3</t>
        </is>
      </c>
      <c r="Q51" t="inlineStr">
        <is>
          <t>Blade</t>
        </is>
      </c>
      <c r="R51" t="inlineStr">
        <is>
          <t>Direct Bolt</t>
        </is>
      </c>
      <c r="S51" t="inlineStr">
        <is>
          <t>2.7500</t>
        </is>
      </c>
      <c r="T51" t="inlineStr">
        <is>
          <t>No</t>
        </is>
      </c>
      <c r="U51" t="inlineStr">
        <is>
          <t>1 Year/18,000 Mile</t>
        </is>
      </c>
      <c r="V51" t="inlineStr">
        <is>
          <t>Yes</t>
        </is>
      </c>
      <c r="W51" t="inlineStr">
        <is>
          <t>Available to Order</t>
        </is>
      </c>
      <c r="X51" t="inlineStr">
        <is>
          <t>Cadillac Catera 2001-97</t>
        </is>
      </c>
      <c r="Y51" t="inlineStr">
        <is>
          <t>00082617587624</t>
        </is>
      </c>
      <c r="Z51" t="inlineStr">
        <is>
          <t>40-1036::98271:100432:306</t>
        </is>
      </c>
      <c r="AA51" t="inlineStr">
        <is>
          <t>Yes</t>
        </is>
      </c>
      <c r="AB51" t="inlineStr"/>
      <c r="AC51" t="inlineStr"/>
    </row>
    <row r="52">
      <c r="A52" t="inlineStr">
        <is>
          <t>51</t>
        </is>
      </c>
      <c r="B52" t="inlineStr">
        <is>
          <t>Windshield Wiper Motor</t>
        </is>
      </c>
      <c r="C52" t="inlineStr">
        <is>
          <t>40-1037</t>
        </is>
      </c>
      <c r="D52" t="inlineStr">
        <is>
          <t>Windshield Wiper Motor - 40-1037</t>
        </is>
      </c>
      <c r="E52" t="inlineStr">
        <is>
          <t>CARDONE Reman</t>
        </is>
      </c>
      <c r="F52" t="inlineStr">
        <is>
          <t>3810167D00</t>
        </is>
      </c>
      <c r="G52" t="inlineStr">
        <is>
          <t>Chevrolet Tracker 1999-2004
Suzuki Vitara 1999-2004</t>
        </is>
      </c>
      <c r="H52" t="inlineStr">
        <is>
          <t>Chevrolet Tracker 1999-2002 1.6L L4 98cid
Chevrolet Tracker 1999-2004 2L L4 122cid
Chevrolet Tracker 2001-2004 2.5L V6 2500cc
Suzuki Vitara 1999-2002 1.6L L4 97cid
Suzuki Vitara 1999-2003 2L L4 2000cc
Suzuki Vitara 2004 2.5L V6 2500cc</t>
        </is>
      </c>
      <c r="I52" t="inlineStr">
        <is>
          <t>{"0": {"productDeskExternalKey": "CPCX|40-1037"}, "1": {"Package Contents": "Wiper Motor; Instruction Sheet"}, "2": {"E-Waste": "Yes"}, "3": {"Product Condition": "Remanufactured"}, "4": {"Mounting Hole Quantity": "3"}, "5": {"Terminal Type": "Blade"}, "6": {"Mounting Type": "Direct Bolt"}, "7": {"Weight PG": "2.8000"}, "8": {"Washer Pump Included": "No"}, "9": {"Part Type": "Windshield Wiper Motor"}, "10": {"Warranty Info": "1 Year/18,000 Mile"}, "11": {"Sustainable Choice": "Yes"}, "12": {"Lifecycle Status": "Available to Order"}, "13": {"Application Summary": "Chevrolet Tracker 2004-99; Suzuki Vitara 2004-99"}, "14": {"ItemLevelGTIN": "00082617587792"}, "15": {"_addonCardone": "40-1037::98271:100436:306"}, "16": {"Eligible for R&amp;R Service": "Yes"}}</t>
        </is>
      </c>
      <c r="J52" t="inlineStr">
        <is>
          <t>https://www.cardone.com/product/windshield-wiper-motor-40-1037</t>
        </is>
      </c>
      <c r="K52">
        <f>DISPIMG("ID_9E6B32BB850C4AFDA678A0236B9FF8EC",1)</f>
        <v/>
      </c>
      <c r="L52" t="inlineStr">
        <is>
          <t>CPCX|40-1037</t>
        </is>
      </c>
      <c r="M52" t="inlineStr">
        <is>
          <t>Wiper Motor; Instruction Sheet</t>
        </is>
      </c>
      <c r="N52" t="inlineStr">
        <is>
          <t>Yes</t>
        </is>
      </c>
      <c r="O52" t="inlineStr">
        <is>
          <t>Remanufactured</t>
        </is>
      </c>
      <c r="P52" t="inlineStr">
        <is>
          <t>3</t>
        </is>
      </c>
      <c r="Q52" t="inlineStr">
        <is>
          <t>Blade</t>
        </is>
      </c>
      <c r="R52" t="inlineStr">
        <is>
          <t>Direct Bolt</t>
        </is>
      </c>
      <c r="S52" t="inlineStr">
        <is>
          <t>2.8000</t>
        </is>
      </c>
      <c r="T52" t="inlineStr">
        <is>
          <t>No</t>
        </is>
      </c>
      <c r="U52" t="inlineStr">
        <is>
          <t>1 Year/18,000 Mile</t>
        </is>
      </c>
      <c r="V52" t="inlineStr">
        <is>
          <t>Yes</t>
        </is>
      </c>
      <c r="W52" t="inlineStr">
        <is>
          <t>Available to Order</t>
        </is>
      </c>
      <c r="X52" t="inlineStr">
        <is>
          <t>Chevrolet Tracker 2004-99; Suzuki Vitara 2004-99</t>
        </is>
      </c>
      <c r="Y52" t="inlineStr">
        <is>
          <t>00082617587792</t>
        </is>
      </c>
      <c r="Z52" t="inlineStr">
        <is>
          <t>40-1037::98271:100436:306</t>
        </is>
      </c>
      <c r="AA52" t="inlineStr">
        <is>
          <t>Yes</t>
        </is>
      </c>
      <c r="AB52" t="inlineStr"/>
      <c r="AC52" t="inlineStr"/>
    </row>
    <row r="53">
      <c r="A53" t="inlineStr">
        <is>
          <t>52</t>
        </is>
      </c>
      <c r="B53" t="inlineStr">
        <is>
          <t>Windshield Wiper Motor</t>
        </is>
      </c>
      <c r="C53" t="inlineStr">
        <is>
          <t>40-1038</t>
        </is>
      </c>
      <c r="D53" t="inlineStr">
        <is>
          <t>Windshield Wiper Motor - 40-1038</t>
        </is>
      </c>
      <c r="E53" t="inlineStr">
        <is>
          <t>CARDONE Reman</t>
        </is>
      </c>
      <c r="F53" t="inlineStr">
        <is>
          <t>12487694</t>
        </is>
      </c>
      <c r="G53" t="inlineStr">
        <is>
          <t>Chevrolet Trailblazer 2002
Chevrolet Trailblazer EXT 2002
GMC Envoy 2002
GMC Envoy XL 2002
Oldsmobile Bravada 2002-2003</t>
        </is>
      </c>
      <c r="H53" t="inlineStr">
        <is>
          <t>Chevrolet Trailblazer 2002 4.2L L6 256cid
Chevrolet Trailblazer EXT 2002 4.2L L6 256cid
GMC Envoy 2002 4.2L L6 256cid
GMC Envoy XL 2002 4.2L L6 256cid
Oldsmobile Bravada 2002-2003 4.2L L6 256cid</t>
        </is>
      </c>
      <c r="I53" t="inlineStr">
        <is>
          <t>{"0": {"productDeskExternalKey": "CPCX|40-1038"}, "1": {"Package Contents": "Wiper Motor; Instruction Sheet"}, "2": {"E-Waste": "Yes"}, "3": {"Product Condition": "Remanufactured"}, "4": {"Mounting Hole Quantity": "3"}, "5": {"Terminal Type": "Blade"}, "6": {"Mounting Type": "Direct Bolt"}, "7": {"Weight PG": "1.9000"}, "8": {"Washer Pump Included": "No"}, "9": {"Part Type": "Windshield Wiper Motor"}, "10": {"Warranty Info": "1 Year/18,000 Mile"}, "11": {"Sustainable Choice": "Yes"}, "12": {"Lifecycle Status": "Available to Order"}, "13": {"Application Summary": "Chevrolet Trailblazer 2002, Trailblazer EXT 2002; GMC Envoy 2002, Envoy XL 2002; Oldsmobile Bravada 2003-02"}, "14": {"ItemLevelGTIN": "00082617594752"}, "15": {"_addonCardone": "40-1038::98271:100440:306"}, "16": {"Eligible for R&amp;R Service": "Yes"}}</t>
        </is>
      </c>
      <c r="J53" t="inlineStr">
        <is>
          <t>https://www.cardone.com/product/windshield-wiper-motor-40-1038</t>
        </is>
      </c>
      <c r="K53">
        <f>DISPIMG("ID_CEC8BD06C3224235BEEE25E751CDD8CE",1)</f>
        <v/>
      </c>
      <c r="L53" t="inlineStr">
        <is>
          <t>CPCX|40-1038</t>
        </is>
      </c>
      <c r="M53" t="inlineStr">
        <is>
          <t>Wiper Motor; Instruction Sheet</t>
        </is>
      </c>
      <c r="N53" t="inlineStr">
        <is>
          <t>Yes</t>
        </is>
      </c>
      <c r="O53" t="inlineStr">
        <is>
          <t>Remanufactured</t>
        </is>
      </c>
      <c r="P53" t="inlineStr">
        <is>
          <t>3</t>
        </is>
      </c>
      <c r="Q53" t="inlineStr">
        <is>
          <t>Blade</t>
        </is>
      </c>
      <c r="R53" t="inlineStr">
        <is>
          <t>Direct Bolt</t>
        </is>
      </c>
      <c r="S53" t="inlineStr">
        <is>
          <t>1.9000</t>
        </is>
      </c>
      <c r="T53" t="inlineStr">
        <is>
          <t>No</t>
        </is>
      </c>
      <c r="U53" t="inlineStr">
        <is>
          <t>1 Year/18,000 Mile</t>
        </is>
      </c>
      <c r="V53" t="inlineStr">
        <is>
          <t>Yes</t>
        </is>
      </c>
      <c r="W53" t="inlineStr">
        <is>
          <t>Available to Order</t>
        </is>
      </c>
      <c r="X53" t="inlineStr">
        <is>
          <t>Chevrolet Trailblazer 2002, Trailblazer EXT 2002; GMC Envoy 2002, Envoy XL 2002; Oldsmobile Bravada 2003-02</t>
        </is>
      </c>
      <c r="Y53" t="inlineStr">
        <is>
          <t>00082617594752</t>
        </is>
      </c>
      <c r="Z53" t="inlineStr">
        <is>
          <t>40-1038::98271:100440:306</t>
        </is>
      </c>
      <c r="AA53" t="inlineStr">
        <is>
          <t>Yes</t>
        </is>
      </c>
      <c r="AB53" t="inlineStr"/>
      <c r="AC53" t="inlineStr"/>
    </row>
    <row r="54">
      <c r="A54" t="inlineStr">
        <is>
          <t>53</t>
        </is>
      </c>
      <c r="B54" t="inlineStr">
        <is>
          <t>Windshield Wiper Motor</t>
        </is>
      </c>
      <c r="C54" t="inlineStr">
        <is>
          <t>40-1039</t>
        </is>
      </c>
      <c r="D54" t="inlineStr">
        <is>
          <t>Windshield Wiper Motor - 40-1039</t>
        </is>
      </c>
      <c r="E54" t="inlineStr">
        <is>
          <t>CARDONE Reman</t>
        </is>
      </c>
      <c r="F54" t="inlineStr">
        <is>
          <t>21303749;21058651</t>
        </is>
      </c>
      <c r="G54" t="inlineStr">
        <is>
          <t>Saturn SW1 1996-1997
Saturn SW2 1996-2001</t>
        </is>
      </c>
      <c r="H54" t="inlineStr">
        <is>
          <t>Saturn SW1 1996-1997 1.9L L4 116cid
Saturn SW2 1996-2001 1.9L L4 116cid</t>
        </is>
      </c>
      <c r="I54" t="inlineStr">
        <is>
          <t>{"0": {"productDeskExternalKey": "CPCX|40-1039"}, "1": {"Package Contents": "Wiper Motor; Instruction Sheet"}, "2": {"E-Waste": "Yes"}, "3": {"Product Condition": "Remanufactured"}, "4": {"Mounting Hole Quantity": "3"}, "5": {"Terminal Type": "Blade"}, "6": {"Mounting Type": "Direct Bolt"}, "7": {"Weight PG": "2.4500"}, "8": {"Washer Pump Included": "No"}, "9": {"Part Type": "Windshield Wiper Motor"}, "10": {"Warranty Info": "1 Year/18,000 Mile"}, "11": {"Sustainable Choice": "Yes"}, "12": {"Lifecycle Status": "Available to Order"}, "13": {"Application Summary": "Saturn SW1 1997-96, SW2 2001 1997-96"}, "14": {"ItemLevelGTIN": "00082617594769"}, "15": {"_addonCardone": "40-1039::98271:100444:306"}, "16": {"Eligible for R&amp;R Service": "Yes"}}</t>
        </is>
      </c>
      <c r="J54" t="inlineStr">
        <is>
          <t>https://www.cardone.com/product/windshield-wiper-motor-40-1039</t>
        </is>
      </c>
      <c r="K54">
        <f>DISPIMG("ID_6D216B03D96C465596E49ABCE4C9F36A",1)</f>
        <v/>
      </c>
      <c r="L54" t="inlineStr">
        <is>
          <t>CPCX|40-1039</t>
        </is>
      </c>
      <c r="M54" t="inlineStr">
        <is>
          <t>Wiper Motor; Instruction Sheet</t>
        </is>
      </c>
      <c r="N54" t="inlineStr">
        <is>
          <t>Yes</t>
        </is>
      </c>
      <c r="O54" t="inlineStr">
        <is>
          <t>Remanufactured</t>
        </is>
      </c>
      <c r="P54" t="inlineStr">
        <is>
          <t>3</t>
        </is>
      </c>
      <c r="Q54" t="inlineStr">
        <is>
          <t>Blade</t>
        </is>
      </c>
      <c r="R54" t="inlineStr">
        <is>
          <t>Direct Bolt</t>
        </is>
      </c>
      <c r="S54" t="inlineStr">
        <is>
          <t>2.4500</t>
        </is>
      </c>
      <c r="T54" t="inlineStr">
        <is>
          <t>No</t>
        </is>
      </c>
      <c r="U54" t="inlineStr">
        <is>
          <t>1 Year/18,000 Mile</t>
        </is>
      </c>
      <c r="V54" t="inlineStr">
        <is>
          <t>Yes</t>
        </is>
      </c>
      <c r="W54" t="inlineStr">
        <is>
          <t>Available to Order</t>
        </is>
      </c>
      <c r="X54" t="inlineStr">
        <is>
          <t>Saturn SW1 1997-96, SW2 2001 1997-96</t>
        </is>
      </c>
      <c r="Y54" t="inlineStr">
        <is>
          <t>00082617594769</t>
        </is>
      </c>
      <c r="Z54" t="inlineStr">
        <is>
          <t>40-1039::98271:100444:306</t>
        </is>
      </c>
      <c r="AA54" t="inlineStr">
        <is>
          <t>Yes</t>
        </is>
      </c>
      <c r="AB54" t="inlineStr"/>
      <c r="AC54" t="inlineStr"/>
    </row>
    <row r="55">
      <c r="A55" t="inlineStr">
        <is>
          <t>54</t>
        </is>
      </c>
      <c r="B55" t="inlineStr">
        <is>
          <t>Windshield Wiper Motor</t>
        </is>
      </c>
      <c r="C55" t="inlineStr">
        <is>
          <t>40-1040</t>
        </is>
      </c>
      <c r="D55" t="inlineStr">
        <is>
          <t>Windshield Wiper Motor - 40-1040</t>
        </is>
      </c>
      <c r="E55" t="inlineStr">
        <is>
          <t>CARDONE Reman</t>
        </is>
      </c>
      <c r="F55" t="inlineStr">
        <is>
          <t>3881067D00;3881065D00</t>
        </is>
      </c>
      <c r="G55" t="inlineStr">
        <is>
          <t>Chevrolet Tracker 1999-2004
Suzuki Grand Vitara 1999-2006
Suzuki Vitara 1999-2004
Suzuki XL-7 2002-2006</t>
        </is>
      </c>
      <c r="H55" t="inlineStr">
        <is>
          <t>Chevrolet Tracker 1999-2002 1.6L L4 98cid
Chevrolet Tracker 1999-2004 2L L4 122cid
Chevrolet Tracker 2001-2004 2.5L V6 2500cc
Suzuki Grand Vitara 1999-2005 2.5L V6 2500cc
Suzuki Grand Vitara 2001-2006 2.7L V6 2737cc
Suzuki Vitara 1999-2002 1.6L L4 97cid
Suzuki Vitara 1999-2003 2L L4 2000cc
Suzuki Vitara 2004 2.5L V6 2500cc
Suzuki XL-7 2002-2006 2.7L V6 2737cc</t>
        </is>
      </c>
      <c r="I55" t="inlineStr">
        <is>
          <t>{"0": {"productDeskExternalKey": "CPCX|40-1040"}, "1": {"Package Contents": "Wiper Motor; Instruction Sheet"}, "2": {"E-Waste": "Yes"}, "3": {"Product Condition": "Remanufactured"}, "4": {"Mounting Hole Quantity": "3"}, "5": {"Terminal Type": "Blade"}, "6": {"Mounting Type": "Eyelet"}, "7": {"Weight PG": "2.5000"}, "8": {"Washer Pump Included": "No"}, "9": {"Part Type": "Windshield Wiper Motor"}, "10": {"Warranty Info": "1 Year/18,000 Mile"}, "11": {"Sustainable Choice": "Yes"}, "12": {"Lifecycle Status": "Available to Order"}, "13": {"Application Summary": "Chevrolet Tracker 2004-99; Suzuki Grand Vitara 2006-99, Vitara 2004-99, XL-7 2006-02"}, "14": {"ItemLevelGTIN": "00082617594776"}, "15": {"_addonCardone": "40-1040::98271:100448:306"}, "16": {"Eligible for R&amp;R Service": "Yes"}}</t>
        </is>
      </c>
      <c r="J55" t="inlineStr">
        <is>
          <t>https://www.cardone.com/product/windshield-wiper-motor-40-1040</t>
        </is>
      </c>
      <c r="K55">
        <f>DISPIMG("ID_4CE3995FE2B2436290EFFCE35D28229E",1)</f>
        <v/>
      </c>
      <c r="L55" t="inlineStr">
        <is>
          <t>CPCX|40-1040</t>
        </is>
      </c>
      <c r="M55" t="inlineStr">
        <is>
          <t>Wiper Motor; Instruction Sheet</t>
        </is>
      </c>
      <c r="N55" t="inlineStr">
        <is>
          <t>Yes</t>
        </is>
      </c>
      <c r="O55" t="inlineStr">
        <is>
          <t>Remanufactured</t>
        </is>
      </c>
      <c r="P55" t="inlineStr">
        <is>
          <t>3</t>
        </is>
      </c>
      <c r="Q55" t="inlineStr">
        <is>
          <t>Blade</t>
        </is>
      </c>
      <c r="R55" t="inlineStr">
        <is>
          <t>Eyelet</t>
        </is>
      </c>
      <c r="S55" t="inlineStr">
        <is>
          <t>2.5000</t>
        </is>
      </c>
      <c r="T55" t="inlineStr">
        <is>
          <t>No</t>
        </is>
      </c>
      <c r="U55" t="inlineStr">
        <is>
          <t>1 Year/18,000 Mile</t>
        </is>
      </c>
      <c r="V55" t="inlineStr">
        <is>
          <t>Yes</t>
        </is>
      </c>
      <c r="W55" t="inlineStr">
        <is>
          <t>Available to Order</t>
        </is>
      </c>
      <c r="X55" t="inlineStr">
        <is>
          <t>Chevrolet Tracker 2004-99; Suzuki Grand Vitara 2006-99, Vitara 2004-99, XL-7 2006-02</t>
        </is>
      </c>
      <c r="Y55" t="inlineStr">
        <is>
          <t>00082617594776</t>
        </is>
      </c>
      <c r="Z55" t="inlineStr">
        <is>
          <t>40-1040::98271:100448:306</t>
        </is>
      </c>
      <c r="AA55" t="inlineStr">
        <is>
          <t>Yes</t>
        </is>
      </c>
      <c r="AB55" t="inlineStr"/>
      <c r="AC55" t="inlineStr"/>
    </row>
    <row r="56">
      <c r="A56" t="inlineStr">
        <is>
          <t>55</t>
        </is>
      </c>
      <c r="B56" t="inlineStr">
        <is>
          <t>Windshield Wiper Motor</t>
        </is>
      </c>
      <c r="C56" t="inlineStr">
        <is>
          <t>40-1041</t>
        </is>
      </c>
      <c r="D56" t="inlineStr">
        <is>
          <t>Windshield Wiper Motor - 40-1041</t>
        </is>
      </c>
      <c r="E56" t="inlineStr">
        <is>
          <t>CARDONE Reman</t>
        </is>
      </c>
      <c r="F56" t="inlineStr">
        <is>
          <t>22138776</t>
        </is>
      </c>
      <c r="G56" t="inlineStr">
        <is>
          <t>Buick Roadmaster 1991-1996
Chevrolet Caprice 1996</t>
        </is>
      </c>
      <c r="H56" t="inlineStr">
        <is>
          <t>Buick Roadmaster 1991 5L V8 305cid
Buick Roadmaster 1992-1996 5.7L V8 350cid
Chevrolet Caprice 1996 4.3L V8 265cid
Chevrolet Caprice 1996 5.7L V8 350cid</t>
        </is>
      </c>
      <c r="I56" t="inlineStr">
        <is>
          <t>{"0": {"productDeskExternalKey": "CPCX|40-1041"}, "1": {"Package Contents": "Wiper Motor; Instruction Sheet"}, "2": {"E-Waste": "Yes"}, "3": {"Product Condition": "Remanufactured"}, "4": {"Mounting Hole Quantity": "2"}, "5": {"Terminal Type": "Blade"}, "6": {"Mounting Type": "Grommet"}, "7": {"Weight PG": "1.7500"}, "8": {"Washer Pump Included": "No"}, "9": {"Part Type": "Windshield Wiper Motor"}, "10": {"Warranty Info": "1 Year/18,000 Mile"}, "11": {"Sustainable Choice": "Yes"}, "12": {"Lifecycle Status": "Available to Order"}, "13": {"Application Summary": "Buick Roadmaster 1996-91; Chevrolet Caprice 1996"}, "14": {"ItemLevelGTIN": "00082617595124"}, "15": {"_addonCardone": "40-1041::98271:100454:306"}, "16": {"Eligible for R&amp;R Service": "Yes"}}</t>
        </is>
      </c>
      <c r="J56" t="inlineStr">
        <is>
          <t>https://www.cardone.com/product/windshield-wiper-motor-40-1041</t>
        </is>
      </c>
      <c r="K56">
        <f>DISPIMG("ID_9252F5A1A57F4575932EC85D1EFD1AD0",1)</f>
        <v/>
      </c>
      <c r="L56" t="inlineStr">
        <is>
          <t>CPCX|40-1041</t>
        </is>
      </c>
      <c r="M56" t="inlineStr">
        <is>
          <t>Wiper Motor; Instruction Sheet</t>
        </is>
      </c>
      <c r="N56" t="inlineStr">
        <is>
          <t>Yes</t>
        </is>
      </c>
      <c r="O56" t="inlineStr">
        <is>
          <t>Remanufactured</t>
        </is>
      </c>
      <c r="P56" t="inlineStr">
        <is>
          <t>2</t>
        </is>
      </c>
      <c r="Q56" t="inlineStr">
        <is>
          <t>Blade</t>
        </is>
      </c>
      <c r="R56" t="inlineStr">
        <is>
          <t>Grommet</t>
        </is>
      </c>
      <c r="S56" t="inlineStr">
        <is>
          <t>1.7500</t>
        </is>
      </c>
      <c r="T56" t="inlineStr">
        <is>
          <t>No</t>
        </is>
      </c>
      <c r="U56" t="inlineStr">
        <is>
          <t>1 Year/18,000 Mile</t>
        </is>
      </c>
      <c r="V56" t="inlineStr">
        <is>
          <t>Yes</t>
        </is>
      </c>
      <c r="W56" t="inlineStr">
        <is>
          <t>Available to Order</t>
        </is>
      </c>
      <c r="X56" t="inlineStr">
        <is>
          <t>Buick Roadmaster 1996-91; Chevrolet Caprice 1996</t>
        </is>
      </c>
      <c r="Y56" t="inlineStr">
        <is>
          <t>00082617595124</t>
        </is>
      </c>
      <c r="Z56" t="inlineStr">
        <is>
          <t>40-1041::98271:100454:306</t>
        </is>
      </c>
      <c r="AA56" t="inlineStr">
        <is>
          <t>Yes</t>
        </is>
      </c>
      <c r="AB56" t="inlineStr"/>
      <c r="AC56" t="inlineStr"/>
    </row>
    <row r="57">
      <c r="A57" t="inlineStr">
        <is>
          <t>56</t>
        </is>
      </c>
      <c r="B57" t="inlineStr">
        <is>
          <t>Windshield Wiper Motor</t>
        </is>
      </c>
      <c r="C57" t="inlineStr">
        <is>
          <t>40-1042</t>
        </is>
      </c>
      <c r="D57" t="inlineStr">
        <is>
          <t>Windshield Wiper Motor - 40-1042</t>
        </is>
      </c>
      <c r="E57" t="inlineStr">
        <is>
          <t>CARDONE Reman</t>
        </is>
      </c>
      <c r="F57" t="inlineStr">
        <is>
          <t>12365396;22154964</t>
        </is>
      </c>
      <c r="G57" t="inlineStr">
        <is>
          <t>Cadillac Escalade 1999-2000
Chevrolet C1500 Suburban 1992-1999
Chevrolet C2500 Suburban 1992-1999
Chevrolet K1500 Suburban 1992-1999
Chevrolet K2500 Suburban 1992-1999
Chevrolet Tahoe 1995-2000
GMC C1500 Suburban 1992-1999
GMC C2500 Suburban 1992-1999
GMC K1500 Suburban 1992-1999
GMC K2500 Suburban 1992-1999
GMC Yukon 1992-2000</t>
        </is>
      </c>
      <c r="H57" t="inlineStr">
        <is>
          <t>Cadillac Escalade 1999-2000 5.7L V8 350cid
Chevrolet C1500 Suburban 1992-1999 5.7L V8 350cid
Chevrolet C1500 Suburban 1994-1999 6.5L V8 395cid
Chevrolet C2500 Suburban 1992-1999 5.7L V8 350cid
Chevrolet C2500 Suburban 1992-1999 7.4L V8 454cid
Chevrolet C2500 Suburban 1994-1999 6.5L V8 395cid
Chevrolet K1500 Suburban 1992-1999 5.7L V8 350cid
Chevrolet K1500 Suburban 1994-1999 6.5L V8 395cid
Chevrolet K2500 Suburban 1992-1999 5.7L V8 350cid
Chevrolet K2500 Suburban 1992-1999 7.4L V8 454cid
Chevrolet K2500 Suburban 1994-1999 6.5L V8 395cid
Chevrolet Tahoe 1995-1999 6.5L V8 395cid
Chevrolet Tahoe 1995-2000 5.7L V8 350cid
GMC C1500 Suburban 1992-1999 5.7L V8 350cid
GMC C1500 Suburban 1995-1999 6.5L V8 395cid
GMC C2500 Suburban 1992-1999 5.7L V8 350cid
GMC C2500 Suburban 1992-1999 7.4L V8 454cid
GMC C2500 Suburban 1994-1999 6.5L V8 395cid
GMC K1500 Suburban 1992-1999 5.7L V8 350cid
GMC K1500 Suburban 1995-1999 6.5L V8 395cid
GMC K2500 Suburban 1992-1999 5.7L V8 350cid
GMC K2500 Suburban 1992-1999 7.4L V8 454cid
GMC K2500 Suburban 1994-1999 6.5L V8 395cid
GMC Yukon 1992-2000 5.7L V8 350cid
GMC Yukon 1994-1997 6.5L V8 395cid</t>
        </is>
      </c>
      <c r="I57" t="inlineStr">
        <is>
          <t>{"0": {"productDeskExternalKey": "CPCX|40-1042"}, "1": {"Package Contents": "Wiper Motor; Instruction Sheet"}, "2": {"E-Waste": "Yes"}, "3": {"Product Condition": "Remanufactured"}, "4": {"Mounting Hole Quantity": "3"}, "5": {"Terminal Type": "Blade"}, "6": {"Mounting Type": "Direct Bolt; Grommet"}, "7": {"Weight PG": "2.9000"}, "8": {"Washer Pump Included": "No"}, "9": {"Part Type": "Windshield Wiper Motor"}, "10": {"Warranty Info": "1 Year/18,000 Mile"}, "11": {"Sustainable Choice": "Yes"}, "12": {"Lifecycle Status": "Available to Order"}, "13": {"ItemLevelGTIN": "00082617610438"}, "14": {"_addonCardone": "40-1042::98271:100460:306"}, "15": {"Eligible for R&amp;R Service": "Yes"}}</t>
        </is>
      </c>
      <c r="J57" t="inlineStr">
        <is>
          <t>https://www.cardone.com/product/windshield-wiper-motor-40-1042</t>
        </is>
      </c>
      <c r="K57">
        <f>DISPIMG("ID_94861F1E2D2A44F589230D7A2133DC50",1)</f>
        <v/>
      </c>
      <c r="L57" t="inlineStr">
        <is>
          <t>CPCX|40-1042</t>
        </is>
      </c>
      <c r="M57" t="inlineStr">
        <is>
          <t>Wiper Motor; Instruction Sheet</t>
        </is>
      </c>
      <c r="N57" t="inlineStr">
        <is>
          <t>Yes</t>
        </is>
      </c>
      <c r="O57" t="inlineStr">
        <is>
          <t>Remanufactured</t>
        </is>
      </c>
      <c r="P57" t="inlineStr">
        <is>
          <t>3</t>
        </is>
      </c>
      <c r="Q57" t="inlineStr">
        <is>
          <t>Blade</t>
        </is>
      </c>
      <c r="R57" t="inlineStr">
        <is>
          <t>Direct Bolt; Grommet</t>
        </is>
      </c>
      <c r="S57" t="inlineStr">
        <is>
          <t>2.9000</t>
        </is>
      </c>
      <c r="T57" t="inlineStr">
        <is>
          <t>No</t>
        </is>
      </c>
      <c r="U57" t="inlineStr">
        <is>
          <t>1 Year/18,000 Mile</t>
        </is>
      </c>
      <c r="V57" t="inlineStr">
        <is>
          <t>Yes</t>
        </is>
      </c>
      <c r="W57" t="inlineStr">
        <is>
          <t>Available to Order</t>
        </is>
      </c>
      <c r="X57" t="inlineStr"/>
      <c r="Y57" t="inlineStr">
        <is>
          <t>00082617610438</t>
        </is>
      </c>
      <c r="Z57" t="inlineStr">
        <is>
          <t>40-1042::98271:100460:306</t>
        </is>
      </c>
      <c r="AA57" t="inlineStr">
        <is>
          <t>Yes</t>
        </is>
      </c>
      <c r="AB57" t="inlineStr"/>
      <c r="AC57" t="inlineStr"/>
    </row>
    <row r="58">
      <c r="A58" t="inlineStr">
        <is>
          <t>57</t>
        </is>
      </c>
      <c r="B58" t="inlineStr">
        <is>
          <t>Windshield Wiper Motor</t>
        </is>
      </c>
      <c r="C58" t="inlineStr">
        <is>
          <t>40-1043</t>
        </is>
      </c>
      <c r="D58" t="inlineStr">
        <is>
          <t>Windshield Wiper Motor - 40-1043</t>
        </is>
      </c>
      <c r="E58" t="inlineStr">
        <is>
          <t>CARDONE Reman</t>
        </is>
      </c>
      <c r="F58" t="inlineStr">
        <is>
          <t>22711473</t>
        </is>
      </c>
      <c r="G58" t="inlineStr">
        <is>
          <t>Chevrolet Cavalier 2003-2005
Oldsmobile Alero 2003-2004
Pontiac Grand Am 2003-2005
Pontiac Sunfire 2003-2005</t>
        </is>
      </c>
      <c r="H58" t="inlineStr">
        <is>
          <t>Chevrolet Cavalier 2003-2005 2.2L L4 134cid
Oldsmobile Alero 2003-2004 2.2L L4 134cid
Oldsmobile Alero 2003-2004 3.4L V6 207cid
Pontiac Grand Am 2003-2005 2.2L L4 134cid
Pontiac Grand Am 2003-2005 3.4L V6 207cid
Pontiac Sunfire 2003-2005 2.2L L4 134cid</t>
        </is>
      </c>
      <c r="I58" t="inlineStr">
        <is>
          <t>{"0": {"productDeskExternalKey": "CPCX|40-1043"}, "1": {"Package Contents": "Wiper Motor; Instruction Sheet"}, "2": {"E-Waste": "Yes"}, "3": {"Product Condition": "Remanufactured"}, "4": {"Mounting Hole Quantity": "3"}, "5": {"Terminal Type": "Blade"}, "6": {"Mounting Type": "Direct Bolt; Grommet"}, "7": {"Weight PG": "3.5000"}, "8": {"Washer Pump Included": "No"}, "9": {"Part Type": "Windshield Wiper Motor"}, "10": {"Warranty Info": "1 Year/18,000 Mile"}, "11": {"Sustainable Choice": "Yes"}, "12": {"Lifecycle Status": "Available to Order"}, "13": {"Application Summary": "Chevrolet Cavalier 2005-03; Oldsmobile Alero 2004-03; Pontiac Grand Am 2005-03, Sunfire 2005-03"}, "14": {"ItemLevelGTIN": "00082617617451"}, "15": {"_addonCardone": "40-1043::98271:100466:306"}, "16": {"Eligible for R&amp;R Service": "Yes"}}</t>
        </is>
      </c>
      <c r="J58" t="inlineStr">
        <is>
          <t>https://www.cardone.com/product/windshield-wiper-motor-40-1043</t>
        </is>
      </c>
      <c r="K58">
        <f>DISPIMG("ID_19B0A70306C7454F8FC02F438EBAD95E",1)</f>
        <v/>
      </c>
      <c r="L58" t="inlineStr">
        <is>
          <t>CPCX|40-1043</t>
        </is>
      </c>
      <c r="M58" t="inlineStr">
        <is>
          <t>Wiper Motor; Instruction Sheet</t>
        </is>
      </c>
      <c r="N58" t="inlineStr">
        <is>
          <t>Yes</t>
        </is>
      </c>
      <c r="O58" t="inlineStr">
        <is>
          <t>Remanufactured</t>
        </is>
      </c>
      <c r="P58" t="inlineStr">
        <is>
          <t>3</t>
        </is>
      </c>
      <c r="Q58" t="inlineStr">
        <is>
          <t>Blade</t>
        </is>
      </c>
      <c r="R58" t="inlineStr">
        <is>
          <t>Direct Bolt; Grommet</t>
        </is>
      </c>
      <c r="S58" t="inlineStr">
        <is>
          <t>3.5000</t>
        </is>
      </c>
      <c r="T58" t="inlineStr">
        <is>
          <t>No</t>
        </is>
      </c>
      <c r="U58" t="inlineStr">
        <is>
          <t>1 Year/18,000 Mile</t>
        </is>
      </c>
      <c r="V58" t="inlineStr">
        <is>
          <t>Yes</t>
        </is>
      </c>
      <c r="W58" t="inlineStr">
        <is>
          <t>Available to Order</t>
        </is>
      </c>
      <c r="X58" t="inlineStr">
        <is>
          <t>Chevrolet Cavalier 2005-03; Oldsmobile Alero 2004-03; Pontiac Grand Am 2005-03, Sunfire 2005-03</t>
        </is>
      </c>
      <c r="Y58" t="inlineStr">
        <is>
          <t>00082617617451</t>
        </is>
      </c>
      <c r="Z58" t="inlineStr">
        <is>
          <t>40-1043::98271:100466:306</t>
        </is>
      </c>
      <c r="AA58" t="inlineStr">
        <is>
          <t>Yes</t>
        </is>
      </c>
      <c r="AB58" t="inlineStr"/>
      <c r="AC58" t="inlineStr"/>
    </row>
    <row r="59">
      <c r="A59" t="inlineStr">
        <is>
          <t>58</t>
        </is>
      </c>
      <c r="B59" t="inlineStr">
        <is>
          <t>Windshield Wiper Motor</t>
        </is>
      </c>
      <c r="C59" t="inlineStr">
        <is>
          <t>40-1044</t>
        </is>
      </c>
      <c r="D59" t="inlineStr">
        <is>
          <t>Windshield Wiper Motor - 40-1044</t>
        </is>
      </c>
      <c r="E59" t="inlineStr">
        <is>
          <t>CARDONE Reman</t>
        </is>
      </c>
      <c r="F59" t="inlineStr">
        <is>
          <t>25727688;12487621</t>
        </is>
      </c>
      <c r="G59" t="inlineStr">
        <is>
          <t>Cadillac Seville 1998-2004</t>
        </is>
      </c>
      <c r="H59" t="inlineStr">
        <is>
          <t>Cadillac Seville 1998-2004 4.6L V8 281cid</t>
        </is>
      </c>
      <c r="I59" t="inlineStr">
        <is>
          <t>{"0": {"productDeskExternalKey": "CPCX|40-1044"}, "1": {"Package Contents": "Wiper Motor; Instruction Sheet"}, "2": {"E-Waste": "Yes"}, "3": {"Product Condition": "Remanufactured"}, "4": {"Mounting Hole Quantity": "3"}, "5": {"Terminal Type": "Blade"}, "6": {"Mounting Type": "Grommet"}, "7": {"Weight PG": "4.2000"}, "8": {"Washer Pump Included": "No"}, "9": {"Part Type": "Windshield Wiper Motor"}, "10": {"Warranty Info": "1 Year/18,000 Mile"}, "11": {"Sustainable Choice": "Yes"}, "12": {"Lifecycle Status": "Available to Order"}, "13": {"Application Summary": "Cadillac Seville 2004-98"}, "14": {"ItemLevelGTIN": "00082617617468"}, "15": {"_addonCardone": "40-1044::98271:100475:306"}, "16": {"Eligible for R&amp;R Service": "Yes"}}</t>
        </is>
      </c>
      <c r="J59" t="inlineStr">
        <is>
          <t>https://www.cardone.com/product/windshield-wiper-motor-40-1044</t>
        </is>
      </c>
      <c r="K59">
        <f>DISPIMG("ID_9D884F310A9C41FA8A5231CCA55AE1D4",1)</f>
        <v/>
      </c>
      <c r="L59" t="inlineStr">
        <is>
          <t>CPCX|40-1044</t>
        </is>
      </c>
      <c r="M59" t="inlineStr">
        <is>
          <t>Wiper Motor; Instruction Sheet</t>
        </is>
      </c>
      <c r="N59" t="inlineStr">
        <is>
          <t>Yes</t>
        </is>
      </c>
      <c r="O59" t="inlineStr">
        <is>
          <t>Remanufactured</t>
        </is>
      </c>
      <c r="P59" t="inlineStr">
        <is>
          <t>3</t>
        </is>
      </c>
      <c r="Q59" t="inlineStr">
        <is>
          <t>Blade</t>
        </is>
      </c>
      <c r="R59" t="inlineStr">
        <is>
          <t>Grommet</t>
        </is>
      </c>
      <c r="S59" t="inlineStr">
        <is>
          <t>4.2000</t>
        </is>
      </c>
      <c r="T59" t="inlineStr">
        <is>
          <t>No</t>
        </is>
      </c>
      <c r="U59" t="inlineStr">
        <is>
          <t>1 Year/18,000 Mile</t>
        </is>
      </c>
      <c r="V59" t="inlineStr">
        <is>
          <t>Yes</t>
        </is>
      </c>
      <c r="W59" t="inlineStr">
        <is>
          <t>Available to Order</t>
        </is>
      </c>
      <c r="X59" t="inlineStr">
        <is>
          <t>Cadillac Seville 2004-98</t>
        </is>
      </c>
      <c r="Y59" t="inlineStr">
        <is>
          <t>00082617617468</t>
        </is>
      </c>
      <c r="Z59" t="inlineStr">
        <is>
          <t>40-1044::98271:100475:306</t>
        </is>
      </c>
      <c r="AA59" t="inlineStr">
        <is>
          <t>Yes</t>
        </is>
      </c>
      <c r="AB59" t="inlineStr"/>
      <c r="AC59" t="inlineStr"/>
    </row>
    <row r="60">
      <c r="A60" t="inlineStr">
        <is>
          <t>59</t>
        </is>
      </c>
      <c r="B60" t="inlineStr">
        <is>
          <t>Windshield Wiper Motor</t>
        </is>
      </c>
      <c r="C60" t="inlineStr">
        <is>
          <t>40-1045</t>
        </is>
      </c>
      <c r="D60" t="inlineStr">
        <is>
          <t>Windshield Wiper Motor - 40-1045</t>
        </is>
      </c>
      <c r="E60" t="inlineStr">
        <is>
          <t>CARDONE Reman</t>
        </is>
      </c>
      <c r="F60" t="inlineStr">
        <is>
          <t>12487592;8152298060;15229806;15198956;25805561;8258055610;8151989560</t>
        </is>
      </c>
      <c r="G60" t="inlineStr">
        <is>
          <t>Buick Rainier 2004-2007
Chevrolet Trailblazer 2003-2009
Chevrolet Trailblazer EXT 2003-2006
GMC Envoy 2003-2009
GMC Envoy XL 2003-2006
Isuzu Ascender 2003-2008
Oldsmobile Bravada 2004
Saab 9-7x 2005-2009</t>
        </is>
      </c>
      <c r="H60" t="inlineStr">
        <is>
          <t>Buick Rainier 2004-2007 4.2L L6 256cid
Buick Rainier 2004-2007 5.3L V8 325cid
Chevrolet Trailblazer 2003-2009 4.2L L6 256cid
Chevrolet Trailblazer 2006-2008 5.3L V8 325cid
Chevrolet Trailblazer 2006-2009 6L V8 364cid
Chevrolet Trailblazer EXT 2003-2006 4.2L L6 256cid
Chevrolet Trailblazer EXT 2003-2006 5.3L V8 325cid
GMC Envoy 2003-2009 4.2L L6 256cid
GMC Envoy 2005-2009 5.3L V8 325cid
GMC Envoy XL 2003-2006 4.2L L6 256cid
GMC Envoy XL 2003-2006 5.3L V8 325cid
Isuzu Ascender 2003-2006 5.3L V8 325cid
Isuzu Ascender 2003-2008 4.2L L6 256cid
Oldsmobile Bravada 2004 4.2L L6 256cid
Saab 9-7x 2005-2009 4.2L L6 256cid
Saab 9-7x 2005-2009 5.3L V8 325cid
Saab 9-7x 2008-2009 6L V8 364cid</t>
        </is>
      </c>
      <c r="I60" t="inlineStr">
        <is>
          <t>{"0": {"productDeskExternalKey": "CPCX|40-1045"}, "1": {"Package Contents": "Wiper Motor; Instruction Sheet"}, "2": {"E-Waste": "Yes"}, "3": {"Product Condition": "Remanufactured"}, "4": {"Mounting Hole Quantity": "2"}, "5": {"Terminal Type": "Blade"}, "6": {"Mounting Type": "Direct Bolt"}, "7": {"Weight PG": "2.5000"}, "8": {"Washer Pump Included": "No"}, "9": {"Part Type": "Windshield Wiper Motor"}, "10": {"Warranty Info": "1 Year/18,000 Mile"}, "11": {"Sustainable Choice": "Yes"}, "12": {"Lifecycle Status": "Available to Order"}, "13": {"Application Summary": "Buick Rainier 2007-04; Chevrolet Trailblazer 2009-03, Trailblazer EXT 2006-03; GMC Envoy 2009-03, Envoy XL 2006-03; Isuzu Ascender 2008-03; Oldsmobile Bravada 2004; Saab 9-7x 2009-05"}, "14": {"ItemLevelGTIN": "00082617620819"}, "15": {"_addonCardone": "40-1045::98271:100484:306"}, "16": {"Eligible for R&amp;R Service": "Yes"}}</t>
        </is>
      </c>
      <c r="J60" t="inlineStr">
        <is>
          <t>https://www.cardone.com/product/windshield-wiper-motor-40-1045</t>
        </is>
      </c>
      <c r="K60">
        <f>DISPIMG("ID_9EE1EC8231FD48C587AC3E28E68181E6",1)</f>
        <v/>
      </c>
      <c r="L60" t="inlineStr">
        <is>
          <t>CPCX|40-1045</t>
        </is>
      </c>
      <c r="M60" t="inlineStr">
        <is>
          <t>Wiper Motor; Instruction Sheet</t>
        </is>
      </c>
      <c r="N60" t="inlineStr">
        <is>
          <t>Yes</t>
        </is>
      </c>
      <c r="O60" t="inlineStr">
        <is>
          <t>Remanufactured</t>
        </is>
      </c>
      <c r="P60" t="inlineStr">
        <is>
          <t>2</t>
        </is>
      </c>
      <c r="Q60" t="inlineStr">
        <is>
          <t>Blade</t>
        </is>
      </c>
      <c r="R60" t="inlineStr">
        <is>
          <t>Direct Bolt</t>
        </is>
      </c>
      <c r="S60" t="inlineStr">
        <is>
          <t>2.5000</t>
        </is>
      </c>
      <c r="T60" t="inlineStr">
        <is>
          <t>No</t>
        </is>
      </c>
      <c r="U60" t="inlineStr">
        <is>
          <t>1 Year/18,000 Mile</t>
        </is>
      </c>
      <c r="V60" t="inlineStr">
        <is>
          <t>Yes</t>
        </is>
      </c>
      <c r="W60" t="inlineStr">
        <is>
          <t>Available to Order</t>
        </is>
      </c>
      <c r="X60" t="inlineStr">
        <is>
          <t>Buick Rainier 2007-04; Chevrolet Trailblazer 2009-03, Trailblazer EXT 2006-03; GMC Envoy 2009-03, Envoy XL 2006-03; Isuzu Ascender 2008-03; Oldsmobile Bravada 2004; Saab 9-7x 2009-05</t>
        </is>
      </c>
      <c r="Y60" t="inlineStr">
        <is>
          <t>00082617620819</t>
        </is>
      </c>
      <c r="Z60" t="inlineStr">
        <is>
          <t>40-1045::98271:100484:306</t>
        </is>
      </c>
      <c r="AA60" t="inlineStr">
        <is>
          <t>Yes</t>
        </is>
      </c>
      <c r="AB60" t="inlineStr"/>
      <c r="AC60" t="inlineStr"/>
    </row>
    <row r="61">
      <c r="A61" t="inlineStr">
        <is>
          <t>60</t>
        </is>
      </c>
      <c r="B61" t="inlineStr">
        <is>
          <t>Windshield Wiper Motor</t>
        </is>
      </c>
      <c r="C61" t="inlineStr">
        <is>
          <t>40-1046</t>
        </is>
      </c>
      <c r="D61" t="inlineStr">
        <is>
          <t>Windshield Wiper Motor - 40-1046</t>
        </is>
      </c>
      <c r="E61" t="inlineStr">
        <is>
          <t>CARDONE Reman</t>
        </is>
      </c>
      <c r="F61" t="inlineStr">
        <is>
          <t>88958144</t>
        </is>
      </c>
      <c r="G61" t="inlineStr">
        <is>
          <t>Cadillac Escalade 2003
Cadillac Escalade ESV 2003
Cadillac Escalade EXT 2003
Chevrolet Avalanche 1500 2003
Chevrolet Avalanche 2500 2003
Chevrolet Silverado 1500 2003
Chevrolet Silverado 1500 HD 2003
Chevrolet Silverado 2500 2003
Chevrolet Silverado 2500 HD 2003
Chevrolet Silverado 3500 2003
Chevrolet Suburban 1500 2003
Chevrolet Suburban 2500 2003
Chevrolet Tahoe 2003
GMC Sierra 1500 2003
GMC Sierra 1500 HD 2003
GMC Sierra 2500 2003
GMC Sierra 2500 HD 2003
GMC Sierra 3500 2003
GMC Yukon 2003
GMC Yukon XL 1500 2003
GMC Yukon XL 2500 2003</t>
        </is>
      </c>
      <c r="H61" t="inlineStr">
        <is>
          <t>Cadillac Escalade 2003 5.3L V8 325cid
Cadillac Escalade 2003 6L V8 364cid
Cadillac Escalade ESV 2003 6L V8 364cid
Cadillac Escalade EXT 2003 6L V8 364cid
Chevrolet Avalanche 1500 2003 5.3L V8 325cid
Chevrolet Avalanche 2500 2003 8.1L V8 496cid
Chevrolet Silverado 1500 2003 4.3L V6 262cid
Chevrolet Silverado 1500 2003 4.8L V8 294cid
Chevrolet Silverado 1500 2003 5.3L V8 325cid
Chevrolet Silverado 1500 2003 6L V8 364cid
Chevrolet Silverado 1500 HD 2003 6L V8 364cid
Chevrolet Silverado 2500 2003 5.3L V8 325cid
Chevrolet Silverado 2500 2003 6L V8 364cid
Chevrolet Silverado 2500 HD 2003 6.6L V8 403cid
Chevrolet Silverado 2500 HD 2003 6L V8 364cid
Chevrolet Silverado 2500 HD 2003 8.1L V8 496cid
Chevrolet Silverado 3500 2003 5.7L V8 350cid
Chevrolet Silverado 3500 2003 6.6L V8 403cid
Chevrolet Silverado 3500 2003 6L V8 364cid
Chevrolet Silverado 3500 2003 8.1L V8 496cid
Chevrolet Suburban 1500 2003 5.3L V8 325cid
Chevrolet Suburban 2500 2003 6L V8 364cid
Chevrolet Suburban 2500 2003 8.1L V8 496cid
Chevrolet Tahoe 2003 4.8L V8 294cid
Chevrolet Tahoe 2003 5.3L V8 325cid
GMC Sierra 1500 2003 4.3L V6 262cid
GMC Sierra 1500 2003 4.8L V8 294cid
GMC Sierra 1500 2003 5.3L V8 325cid
GMC Sierra 1500 2003 6L V8 364cid
GMC Sierra 1500 HD 2003 6L V8 364cid
GMC Sierra 2500 2003 6L V8 364cid
GMC Sierra 2500 HD 2003 6.6L V8 403cid
GMC Sierra 2500 HD 2003 6L V8 364cid
GMC Sierra 2500 HD 2003 8.1L V8 496cid
GMC Sierra 3500 2003 6.6L V8 403cid
GMC Sierra 3500 2003 6L V8 364cid
GMC Sierra 3500 2003 8.1L V8 496cid
GMC Yukon 2003 4.8L V8 294cid
GMC Yukon 2003 5.3L V8 325cid
GMC Yukon 2003 6L V8 364cid
GMC Yukon XL 1500 2003 5.3L V8 325cid
GMC Yukon XL 1500 2003 6L V8 364cid
GMC Yukon XL 2500 2003 6L V8 364cid
GMC Yukon XL 2500 2003 8.1L V8 496cid</t>
        </is>
      </c>
      <c r="I61" t="inlineStr">
        <is>
          <t>{"0": {"productDeskExternalKey": "CPCX|40-1046"}, "1": {"Package Contents": "Wiper Motor; Instruction Sheet"}, "2": {"E-Waste": "Yes"}, "3": {"Product Condition": "Remanufactured"}, "4": {"Mounting Hole Quantity": "3"}, "5": {"Terminal Type": "Blade; Pin"}, "6": {"Mounting Type": "Direct Bolt; Grommet"}, "7": {"Weight PG": "3.3200"}, "8": {"Washer Pump Included": "No"}, "9": {"Part Type": "Windshield Wiper Motor"}, "10": {"Warranty Info": "1 Year/18,000 Mile"}, "11": {"Sustainable Choice": "Yes"}, "12": {"Lifecycle Status": "Available to Order"}, "13": {"ItemLevelGTIN": "00082617621397"}, "14": {"_addonCardone": "40-1046::98271:100492:306"}, "15": {"Eligible for R&amp;R Service": "Yes"}}</t>
        </is>
      </c>
      <c r="J61" t="inlineStr">
        <is>
          <t>https://www.cardone.com/product/windshield-wiper-motor-40-1046</t>
        </is>
      </c>
      <c r="K61">
        <f>DISPIMG("ID_ACE976146116455AA01B60A6DDD3C323",1)</f>
        <v/>
      </c>
      <c r="L61" t="inlineStr">
        <is>
          <t>CPCX|40-1046</t>
        </is>
      </c>
      <c r="M61" t="inlineStr">
        <is>
          <t>Wiper Motor; Instruction Sheet</t>
        </is>
      </c>
      <c r="N61" t="inlineStr">
        <is>
          <t>Yes</t>
        </is>
      </c>
      <c r="O61" t="inlineStr">
        <is>
          <t>Remanufactured</t>
        </is>
      </c>
      <c r="P61" t="inlineStr">
        <is>
          <t>3</t>
        </is>
      </c>
      <c r="Q61" t="inlineStr">
        <is>
          <t>Blade; Pin</t>
        </is>
      </c>
      <c r="R61" t="inlineStr">
        <is>
          <t>Direct Bolt; Grommet</t>
        </is>
      </c>
      <c r="S61" t="inlineStr">
        <is>
          <t>3.3200</t>
        </is>
      </c>
      <c r="T61" t="inlineStr">
        <is>
          <t>No</t>
        </is>
      </c>
      <c r="U61" t="inlineStr">
        <is>
          <t>1 Year/18,000 Mile</t>
        </is>
      </c>
      <c r="V61" t="inlineStr">
        <is>
          <t>Yes</t>
        </is>
      </c>
      <c r="W61" t="inlineStr">
        <is>
          <t>Available to Order</t>
        </is>
      </c>
      <c r="X61" t="inlineStr"/>
      <c r="Y61" t="inlineStr">
        <is>
          <t>00082617621397</t>
        </is>
      </c>
      <c r="Z61" t="inlineStr">
        <is>
          <t>40-1046::98271:100492:306</t>
        </is>
      </c>
      <c r="AA61" t="inlineStr">
        <is>
          <t>Yes</t>
        </is>
      </c>
      <c r="AB61" t="inlineStr"/>
      <c r="AC61" t="inlineStr"/>
    </row>
    <row r="62">
      <c r="A62" t="inlineStr">
        <is>
          <t>61</t>
        </is>
      </c>
      <c r="B62" t="inlineStr">
        <is>
          <t>Windshield Wiper Motor</t>
        </is>
      </c>
      <c r="C62" t="inlineStr">
        <is>
          <t>40-1047</t>
        </is>
      </c>
      <c r="D62" t="inlineStr">
        <is>
          <t>Windshield Wiper Motor - 40-1047</t>
        </is>
      </c>
      <c r="E62" t="inlineStr">
        <is>
          <t>CARDONE Reman</t>
        </is>
      </c>
      <c r="F62" t="inlineStr">
        <is>
          <t>88958135</t>
        </is>
      </c>
      <c r="G62" t="inlineStr">
        <is>
          <t>Chevrolet Express 1500 2003-2007
Chevrolet Express 2500 2003-2007
Chevrolet Express 3500 2003-2007
GMC Savana 1500 2003-2007
GMC Savana 2500 2003-2007
GMC Savana 3500 2003-2007</t>
        </is>
      </c>
      <c r="H62" t="inlineStr">
        <is>
          <t>Chevrolet Express 1500 2003-2007 4.3L V6 262cid
Chevrolet Express 1500 2003-2007 5.3L V8 325cid
Chevrolet Express 2500 2003-2005 5.3L V8 325cid
Chevrolet Express 2500 2003-2006 4.3L V6 262cid
Chevrolet Express 2500 2003-2007 4.8L V8 294cid
Chevrolet Express 2500 2003-2007 6L V8 364cid
Chevrolet Express 2500 2006-2007 6.6L V8 403cid
Chevrolet Express 3500 2003-2007 4.8L V8 294cid
Chevrolet Express 3500 2003-2007 5.3L V8 325cid
Chevrolet Express 3500 2003-2007 6L V8 364cid
Chevrolet Express 3500 2006-2007 6.6L V8 403cid
GMC Savana 1500 2003-2007 4.3L V6 262cid
GMC Savana 1500 2003-2007 5.3L V8 325cid
GMC Savana 2500 2003-2005 5.3L V8 325cid
GMC Savana 2500 2003-2006 4.3L V6 262cid
GMC Savana 2500 2003-2007 4.8L V8 294cid
GMC Savana 2500 2003-2007 6L V8 364cid
GMC Savana 2500 2006-2007 6.6L V8 403cid
GMC Savana 3500 2003-2007 4.8L V8 294cid
GMC Savana 3500 2003-2007 6L V8 364cid
GMC Savana 3500 2006-2007 6.6L V8 403cid</t>
        </is>
      </c>
      <c r="I62" t="inlineStr">
        <is>
          <t>{"0": {"productDeskExternalKey": "CPCX|40-1047"}, "1": {"Package Contents": "Wiper Motor; Instruction Sheet"}, "2": {"E-Waste": "Yes"}, "3": {"Product Condition": "Remanufactured"}, "4": {"Mounting Hole Quantity": "3"}, "5": {"Terminal Type": "Blade; Pin"}, "6": {"Mounting Type": "Direct Bolt"}, "7": {"Weight PG": "3.5000"}, "8": {"Washer Pump Included": "No"}, "9": {"Part Type": "Windshield Wiper Motor"}, "10": {"Warranty Info": "1 Year/18,000 Mile"}, "11": {"Sustainable Choice": "Yes"}, "12": {"Lifecycle Status": "Available to Order"}, "13": {"Application Summary": "Chevrolet Express 1500 2007-03, Express 2500 2007-03, Express 3500 2007-03; GMC Savana 1500 2007-03, Savana 2500 2007-03, Savana 3500 2007-03"}, "14": {"ItemLevelGTIN": "00082617621410"}, "15": {"_addonCardone": "40-1047::98271:100499:306"}, "16": {"Eligible for R&amp;R Service": "Yes"}}</t>
        </is>
      </c>
      <c r="J62" t="inlineStr">
        <is>
          <t>https://www.cardone.com/product/windshield-wiper-motor-40-1047</t>
        </is>
      </c>
      <c r="K62">
        <f>DISPIMG("ID_4D3B9B956C89444FAE5E1054DBA5CD65",1)</f>
        <v/>
      </c>
      <c r="L62" t="inlineStr">
        <is>
          <t>CPCX|40-1047</t>
        </is>
      </c>
      <c r="M62" t="inlineStr">
        <is>
          <t>Wiper Motor; Instruction Sheet</t>
        </is>
      </c>
      <c r="N62" t="inlineStr">
        <is>
          <t>Yes</t>
        </is>
      </c>
      <c r="O62" t="inlineStr">
        <is>
          <t>Remanufactured</t>
        </is>
      </c>
      <c r="P62" t="inlineStr">
        <is>
          <t>3</t>
        </is>
      </c>
      <c r="Q62" t="inlineStr">
        <is>
          <t>Blade; Pin</t>
        </is>
      </c>
      <c r="R62" t="inlineStr">
        <is>
          <t>Direct Bolt</t>
        </is>
      </c>
      <c r="S62" t="inlineStr">
        <is>
          <t>3.5000</t>
        </is>
      </c>
      <c r="T62" t="inlineStr">
        <is>
          <t>No</t>
        </is>
      </c>
      <c r="U62" t="inlineStr">
        <is>
          <t>1 Year/18,000 Mile</t>
        </is>
      </c>
      <c r="V62" t="inlineStr">
        <is>
          <t>Yes</t>
        </is>
      </c>
      <c r="W62" t="inlineStr">
        <is>
          <t>Available to Order</t>
        </is>
      </c>
      <c r="X62" t="inlineStr">
        <is>
          <t>Chevrolet Express 1500 2007-03, Express 2500 2007-03, Express 3500 2007-03; GMC Savana 1500 2007-03, Savana 2500 2007-03, Savana 3500 2007-03</t>
        </is>
      </c>
      <c r="Y62" t="inlineStr">
        <is>
          <t>00082617621410</t>
        </is>
      </c>
      <c r="Z62" t="inlineStr">
        <is>
          <t>40-1047::98271:100499:306</t>
        </is>
      </c>
      <c r="AA62" t="inlineStr">
        <is>
          <t>Yes</t>
        </is>
      </c>
      <c r="AB62" t="inlineStr"/>
      <c r="AC62" t="inlineStr"/>
    </row>
    <row r="63">
      <c r="A63" t="inlineStr">
        <is>
          <t>62</t>
        </is>
      </c>
      <c r="B63" t="inlineStr">
        <is>
          <t>Windshield Wiper Motor</t>
        </is>
      </c>
      <c r="C63" t="inlineStr">
        <is>
          <t>40-1048</t>
        </is>
      </c>
      <c r="D63" t="inlineStr">
        <is>
          <t>Windshield Wiper Motor - 40-1048</t>
        </is>
      </c>
      <c r="E63" t="inlineStr">
        <is>
          <t>CARDONE Reman</t>
        </is>
      </c>
      <c r="F63" t="inlineStr">
        <is>
          <t>88958216;12487601</t>
        </is>
      </c>
      <c r="G63" t="inlineStr">
        <is>
          <t>Chevrolet Suburban 1500 2000-2003
Chevrolet Suburban 2500 2000-2003
Chevrolet Tahoe 2000-2003
GMC Yukon 2000-2003
GMC Yukon XL 1500 2000-2003
GMC Yukon XL 2500 2000-2003</t>
        </is>
      </c>
      <c r="H63" t="inlineStr">
        <is>
          <t>Chevrolet Suburban 1500 2000-2002 5.7L V8 350cid
Chevrolet Suburban 1500 2000-2003 5.3L V8 325cid
Chevrolet Suburban 2500 2000-2003 6L V8 364cid
Chevrolet Suburban 2500 2001-2003 8.1L V8 496cid
Chevrolet Tahoe 2000-2003 4.8L V8 294cid
Chevrolet Tahoe 2000-2003 5.3L V8 325cid
GMC Yukon 2000-2003 4.8L V8 294cid
GMC Yukon 2000-2003 5.3L V8 325cid
GMC Yukon 2001-2003 6L V8 364cid
GMC Yukon XL 1500 2000-2003 5.3L V8 325cid
GMC Yukon XL 1500 2001-2003 6L V8 364cid
GMC Yukon XL 2500 2000-2003 6L V8 364cid
GMC Yukon XL 2500 2001-2003 8.1L V8 496cid</t>
        </is>
      </c>
      <c r="I63" t="inlineStr">
        <is>
          <t>{"0": {"productDeskExternalKey": "CPCX|40-1048"}, "1": {"Package Contents": "Wiper Motor; Instruction Sheet"}, "2": {"E-Waste": "Yes"}, "3": {"Product Condition": "Remanufactured"}, "4": {"Mounting Hole Quantity": "2"}, "5": {"Terminal Type": "Blade"}, "6": {"Mounting Type": "Grommet"}, "7": {"Weight PG": "1.9000"}, "8": {"Washer Pump Included": "No"}, "9": {"Part Type": "Windshield Wiper Motor"}, "10": {"Warranty Info": "1 Year/18,000 Mile"}, "11": {"Sustainable Choice": "Yes"}, "12": {"Lifecycle Status": "Available to Order"}, "13": {"Application Summary": "Chevrolet Suburban 1500 2003-00, Suburban 2500 2003-00, Tahoe 2003-00; GMC Yukon 2003-00, Yukon XL 1500 2003-00, Yukon XL 2500 2003-00"}, "14": {"ItemLevelGTIN": "00082617632812"}, "15": {"_addonCardone": "40-1048::98271:100506:306"}, "16": {"Eligible for R&amp;R Service": "Yes"}}</t>
        </is>
      </c>
      <c r="J63" t="inlineStr">
        <is>
          <t>https://www.cardone.com/product/windshield-wiper-motor-40-1048</t>
        </is>
      </c>
      <c r="K63">
        <f>DISPIMG("ID_E064915E13B54542A8C02A9000049280",1)</f>
        <v/>
      </c>
      <c r="L63" t="inlineStr">
        <is>
          <t>CPCX|40-1048</t>
        </is>
      </c>
      <c r="M63" t="inlineStr">
        <is>
          <t>Wiper Motor; Instruction Sheet</t>
        </is>
      </c>
      <c r="N63" t="inlineStr">
        <is>
          <t>Yes</t>
        </is>
      </c>
      <c r="O63" t="inlineStr">
        <is>
          <t>Remanufactured</t>
        </is>
      </c>
      <c r="P63" t="inlineStr">
        <is>
          <t>2</t>
        </is>
      </c>
      <c r="Q63" t="inlineStr">
        <is>
          <t>Blade</t>
        </is>
      </c>
      <c r="R63" t="inlineStr">
        <is>
          <t>Grommet</t>
        </is>
      </c>
      <c r="S63" t="inlineStr">
        <is>
          <t>1.9000</t>
        </is>
      </c>
      <c r="T63" t="inlineStr">
        <is>
          <t>No</t>
        </is>
      </c>
      <c r="U63" t="inlineStr">
        <is>
          <t>1 Year/18,000 Mile</t>
        </is>
      </c>
      <c r="V63" t="inlineStr">
        <is>
          <t>Yes</t>
        </is>
      </c>
      <c r="W63" t="inlineStr">
        <is>
          <t>Available to Order</t>
        </is>
      </c>
      <c r="X63" t="inlineStr">
        <is>
          <t>Chevrolet Suburban 1500 2003-00, Suburban 2500 2003-00, Tahoe 2003-00; GMC Yukon 2003-00, Yukon XL 1500 2003-00, Yukon XL 2500 2003-00</t>
        </is>
      </c>
      <c r="Y63" t="inlineStr">
        <is>
          <t>00082617632812</t>
        </is>
      </c>
      <c r="Z63" t="inlineStr">
        <is>
          <t>40-1048::98271:100506:306</t>
        </is>
      </c>
      <c r="AA63" t="inlineStr">
        <is>
          <t>Yes</t>
        </is>
      </c>
      <c r="AB63" t="inlineStr"/>
      <c r="AC63" t="inlineStr"/>
    </row>
    <row r="64">
      <c r="A64" t="inlineStr">
        <is>
          <t>63</t>
        </is>
      </c>
      <c r="B64" t="inlineStr">
        <is>
          <t>Windshield Wiper Motor</t>
        </is>
      </c>
      <c r="C64" t="inlineStr">
        <is>
          <t>40-1049</t>
        </is>
      </c>
      <c r="D64" t="inlineStr">
        <is>
          <t>Windshield Wiper Motor - 40-1049</t>
        </is>
      </c>
      <c r="E64" t="inlineStr">
        <is>
          <t>CARDONE Reman</t>
        </is>
      </c>
      <c r="F64" t="inlineStr">
        <is>
          <t>15173034;12487646</t>
        </is>
      </c>
      <c r="G64" t="inlineStr">
        <is>
          <t>Cadillac Escalade 2002-2006
Cadillac Escalade ESV 2003-2006
Chevrolet Suburban 1500 2003-2006
Chevrolet Suburban 2500 2003-2006
Chevrolet Tahoe 2003-2006
GMC Yukon 2003-2006
GMC Yukon XL 1500 2003-2006
GMC Yukon XL 2500 2003-2006</t>
        </is>
      </c>
      <c r="H64" t="inlineStr">
        <is>
          <t>Cadillac Escalade 2002-2005 5.3L V8 325cid
Cadillac Escalade 2002-2006 6L V8 364cid
Cadillac Escalade ESV 2003-2006 6L V8 364cid
Chevrolet Suburban 1500 2003-2006 5.3L V8 325cid
Chevrolet Suburban 1500 2006 6L V8 364cid
Chevrolet Suburban 2500 2003-2006 6L V8 364cid
Chevrolet Suburban 2500 2003-2006 8.1L V8 496cid
Chevrolet Tahoe 2003-2006 4.8L V8 294cid
Chevrolet Tahoe 2003-2006 5.3L V8 325cid
GMC Yukon 2003-2006 4.8L V8 294cid
GMC Yukon 2003-2006 5.3L V8 325cid
GMC Yukon 2003-2006 6L V8 364cid
GMC Yukon XL 1500 2003-2006 5.3L V8 325cid
GMC Yukon XL 1500 2003-2006 6L V8 364cid
GMC Yukon XL 2500 2003-2006 6L V8 364cid
GMC Yukon XL 2500 2003-2006 8.1L V8 496cid</t>
        </is>
      </c>
      <c r="I64" t="inlineStr">
        <is>
          <t>{"0": {"productDeskExternalKey": "CPCX|40-1049"}, "1": {"Package Contents": "Wiper Motor; Instruction Sheet"}, "2": {"E-Waste": "Yes"}, "3": {"Product Condition": "Remanufactured"}, "4": {"Mounting Hole Quantity": "2"}, "5": {"Terminal Type": "Blade"}, "6": {"Mounting Type": "Grommet"}, "7": {"Weight PG": "2.5000"}, "8": {"Washer Pump Included": "No"}, "9": {"Part Type": "Windshield Wiper Motor"}, "10": {"Warranty Info": "1 Year/18,000 Mile"}, "11": {"Sustainable Choice": "Yes"}, "12": {"Lifecycle Status": "Available to Order"}, "13": {"Application Summary": "Cadillac Escalade 2006-02, Escalade ESV 2006-03; Chevrolet Suburban 1500 2006-03, Suburban 2500 2006-03, Tahoe 2006-03; GMC Yukon 2006-03, Yukon XL 1500 2006-03, Yukon XL 2500 2006-03"}, "14": {"ItemLevelGTIN": "00082617642996"}, "15": {"_addonCardone": "40-1049::98271:100512:306"}, "16": {"Eligible for R&amp;R Service": "Yes"}}</t>
        </is>
      </c>
      <c r="J64" t="inlineStr">
        <is>
          <t>https://www.cardone.com/product/windshield-wiper-motor-40-1049</t>
        </is>
      </c>
      <c r="K64">
        <f>DISPIMG("ID_EC98308D6CAC42C1BC7D43B992D0F9B5",1)</f>
        <v/>
      </c>
      <c r="L64" t="inlineStr">
        <is>
          <t>CPCX|40-1049</t>
        </is>
      </c>
      <c r="M64" t="inlineStr">
        <is>
          <t>Wiper Motor; Instruction Sheet</t>
        </is>
      </c>
      <c r="N64" t="inlineStr">
        <is>
          <t>Yes</t>
        </is>
      </c>
      <c r="O64" t="inlineStr">
        <is>
          <t>Remanufactured</t>
        </is>
      </c>
      <c r="P64" t="inlineStr">
        <is>
          <t>2</t>
        </is>
      </c>
      <c r="Q64" t="inlineStr">
        <is>
          <t>Blade</t>
        </is>
      </c>
      <c r="R64" t="inlineStr">
        <is>
          <t>Grommet</t>
        </is>
      </c>
      <c r="S64" t="inlineStr">
        <is>
          <t>2.5000</t>
        </is>
      </c>
      <c r="T64" t="inlineStr">
        <is>
          <t>No</t>
        </is>
      </c>
      <c r="U64" t="inlineStr">
        <is>
          <t>1 Year/18,000 Mile</t>
        </is>
      </c>
      <c r="V64" t="inlineStr">
        <is>
          <t>Yes</t>
        </is>
      </c>
      <c r="W64" t="inlineStr">
        <is>
          <t>Available to Order</t>
        </is>
      </c>
      <c r="X64" t="inlineStr">
        <is>
          <t>Cadillac Escalade 2006-02, Escalade ESV 2006-03; Chevrolet Suburban 1500 2006-03, Suburban 2500 2006-03, Tahoe 2006-03; GMC Yukon 2006-03, Yukon XL 1500 2006-03, Yukon XL 2500 2006-03</t>
        </is>
      </c>
      <c r="Y64" t="inlineStr">
        <is>
          <t>00082617642996</t>
        </is>
      </c>
      <c r="Z64" t="inlineStr">
        <is>
          <t>40-1049::98271:100512:306</t>
        </is>
      </c>
      <c r="AA64" t="inlineStr">
        <is>
          <t>Yes</t>
        </is>
      </c>
      <c r="AB64" t="inlineStr"/>
      <c r="AC64" t="inlineStr"/>
    </row>
    <row r="65">
      <c r="A65" t="inlineStr">
        <is>
          <t>64</t>
        </is>
      </c>
      <c r="B65" t="inlineStr">
        <is>
          <t>Windshield Wiper Motor</t>
        </is>
      </c>
      <c r="C65" t="inlineStr">
        <is>
          <t>40-1050L</t>
        </is>
      </c>
      <c r="D65" t="inlineStr">
        <is>
          <t>Windshield Wiper Motor - 40-1050L</t>
        </is>
      </c>
      <c r="E65" t="inlineStr">
        <is>
          <t>CARDONE Reman</t>
        </is>
      </c>
      <c r="F65" t="inlineStr">
        <is>
          <t>8124876890</t>
        </is>
      </c>
      <c r="G65" t="inlineStr">
        <is>
          <t>Chevrolet Trailblazer 2002
Chevrolet Trailblazer EXT 2002
GMC Envoy 2002
GMC Envoy XL 2002
Isuzu Ascender 2003-2004
Oldsmobile Bravada 2002</t>
        </is>
      </c>
      <c r="H65" t="inlineStr">
        <is>
          <t>Chevrolet Trailblazer 2002 4.2L L6 256cid
Chevrolet Trailblazer EXT 2002 4.2L L6 256cid
GMC Envoy 2002 4.2L L6 256cid
GMC Envoy XL 2002 4.2L L6 256cid
Isuzu Ascender 2003-2004 4.2L L6 256cid
Isuzu Ascender 2003-2004 5.3L V8 325cid
Oldsmobile Bravada 2002 4.2L L6 256cid</t>
        </is>
      </c>
      <c r="I65" t="inlineStr">
        <is>
          <t>{"0": {"productDeskExternalKey": "CPCX|40-1050L"}, "1": {"Package Contents": "Wiper Motor; Instruction Sheet"}, "2": {"E-Waste": "Yes"}, "3": {"Product Condition": "Remanufactured"}, "4": {"Mounting Hole Quantity": "3"}, "5": {"Terminal Type": "Blade"}, "6": {"Mounting Type": "Direct Bolt"}, "7": {"Weight PG": "6.5000"}, "8": {"Washer Pump Included": "No"}, "9": {"Part Type": "Windshield Wiper Motor"}, "10": {"Warranty Info": "1 Year/18,000 Mile"}, "11": {"Sustainable Choice": "Yes"}, "12": {"Lifecycle Status": "Available to Order"}, "13": {"Application Summary": "Chevrolet Trailblazer 2002, Trailblazer EXT 2002; GMC Envoy 2002, Envoy XL 2002; Isuzu Ascender 2004-03; Oldsmobile Bravada 2002"}, "14": {"ItemLevelGTIN": "00082617633680"}, "15": {"_addonCardone": "40-1050L::98271:100517:306"}, "16": {"Eligible for R&amp;R Service": "Yes"}}</t>
        </is>
      </c>
      <c r="J65" t="inlineStr">
        <is>
          <t>https://www.cardone.com/product/windshield-wiper-motor-40-1050l</t>
        </is>
      </c>
      <c r="K65">
        <f>DISPIMG("ID_A3D8998E8FBF42B6B77B99D95BDBBEBA",1)</f>
        <v/>
      </c>
      <c r="L65" t="inlineStr">
        <is>
          <t>CPCX|40-1050L</t>
        </is>
      </c>
      <c r="M65" t="inlineStr">
        <is>
          <t>Wiper Motor; Instruction Sheet</t>
        </is>
      </c>
      <c r="N65" t="inlineStr">
        <is>
          <t>Yes</t>
        </is>
      </c>
      <c r="O65" t="inlineStr">
        <is>
          <t>Remanufactured</t>
        </is>
      </c>
      <c r="P65" t="inlineStr">
        <is>
          <t>3</t>
        </is>
      </c>
      <c r="Q65" t="inlineStr">
        <is>
          <t>Blade</t>
        </is>
      </c>
      <c r="R65" t="inlineStr">
        <is>
          <t>Direct Bolt</t>
        </is>
      </c>
      <c r="S65" t="inlineStr">
        <is>
          <t>6.5000</t>
        </is>
      </c>
      <c r="T65" t="inlineStr">
        <is>
          <t>No</t>
        </is>
      </c>
      <c r="U65" t="inlineStr">
        <is>
          <t>1 Year/18,000 Mile</t>
        </is>
      </c>
      <c r="V65" t="inlineStr">
        <is>
          <t>Yes</t>
        </is>
      </c>
      <c r="W65" t="inlineStr">
        <is>
          <t>Available to Order</t>
        </is>
      </c>
      <c r="X65" t="inlineStr">
        <is>
          <t>Chevrolet Trailblazer 2002, Trailblazer EXT 2002; GMC Envoy 2002, Envoy XL 2002; Isuzu Ascender 2004-03; Oldsmobile Bravada 2002</t>
        </is>
      </c>
      <c r="Y65" t="inlineStr">
        <is>
          <t>00082617633680</t>
        </is>
      </c>
      <c r="Z65" t="inlineStr">
        <is>
          <t>40-1050L::98271:100517:306</t>
        </is>
      </c>
      <c r="AA65" t="inlineStr">
        <is>
          <t>Yes</t>
        </is>
      </c>
      <c r="AB65" t="inlineStr"/>
      <c r="AC65" t="inlineStr"/>
    </row>
    <row r="66">
      <c r="A66" t="inlineStr">
        <is>
          <t>65</t>
        </is>
      </c>
      <c r="B66" t="inlineStr">
        <is>
          <t>Windshield Wiper Motor</t>
        </is>
      </c>
      <c r="C66" t="inlineStr">
        <is>
          <t>40-1051</t>
        </is>
      </c>
      <c r="D66" t="inlineStr">
        <is>
          <t>Windshield Wiper Motor - 40-1051</t>
        </is>
      </c>
      <c r="E66" t="inlineStr">
        <is>
          <t>CARDONE Reman</t>
        </is>
      </c>
      <c r="F66" t="inlineStr">
        <is>
          <t>15164424;10376933</t>
        </is>
      </c>
      <c r="G66" t="inlineStr">
        <is>
          <t>Chevrolet SSR 2003-2006</t>
        </is>
      </c>
      <c r="H66" t="inlineStr">
        <is>
          <t>Chevrolet SSR 2003-2004 5.3L V8 325cid
Chevrolet SSR 2005-2006 6L V8 364cid</t>
        </is>
      </c>
      <c r="I66" t="inlineStr">
        <is>
          <t>{"0": {"productDeskExternalKey": "CPCX|40-1051"},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"Chevrolet SSR 2006-03"}, "14": {"ItemLevelGTIN": "00082617675598"}, "15": {"_addonCardone": "40-1051::98271:100526:306"}, "16": {"Eligible for R&amp;R Service": "Yes"}}</t>
        </is>
      </c>
      <c r="J66" t="inlineStr">
        <is>
          <t>https://www.cardone.com/product/windshield-wiper-motor-40-1051</t>
        </is>
      </c>
      <c r="K66">
        <f>DISPIMG("ID_08D8774A6D314C0197F7460B32077E8F",1)</f>
        <v/>
      </c>
      <c r="L66" t="inlineStr">
        <is>
          <t>CPCX|40-1051</t>
        </is>
      </c>
      <c r="M66" t="inlineStr">
        <is>
          <t>Wiper Motor; Instruction Sheet</t>
        </is>
      </c>
      <c r="N66" t="inlineStr">
        <is>
          <t>Yes</t>
        </is>
      </c>
      <c r="O66" t="inlineStr">
        <is>
          <t>Remanufactured</t>
        </is>
      </c>
      <c r="P66" t="inlineStr">
        <is>
          <t>3</t>
        </is>
      </c>
      <c r="Q66" t="inlineStr">
        <is>
          <t>Blade</t>
        </is>
      </c>
      <c r="R66" t="inlineStr">
        <is>
          <t>Direct Bolt</t>
        </is>
      </c>
      <c r="S66" t="inlineStr">
        <is>
          <t>2.7000</t>
        </is>
      </c>
      <c r="T66" t="inlineStr">
        <is>
          <t>No</t>
        </is>
      </c>
      <c r="U66" t="inlineStr">
        <is>
          <t>1 Year/18,000 Mile</t>
        </is>
      </c>
      <c r="V66" t="inlineStr">
        <is>
          <t>Yes</t>
        </is>
      </c>
      <c r="W66" t="inlineStr">
        <is>
          <t>Available to Order</t>
        </is>
      </c>
      <c r="X66" t="inlineStr">
        <is>
          <t>Chevrolet SSR 2006-03</t>
        </is>
      </c>
      <c r="Y66" t="inlineStr">
        <is>
          <t>00082617675598</t>
        </is>
      </c>
      <c r="Z66" t="inlineStr">
        <is>
          <t>40-1051::98271:100526:306</t>
        </is>
      </c>
      <c r="AA66" t="inlineStr">
        <is>
          <t>Yes</t>
        </is>
      </c>
      <c r="AB66" t="inlineStr"/>
      <c r="AC66" t="inlineStr"/>
    </row>
    <row r="67">
      <c r="A67" t="inlineStr">
        <is>
          <t>66</t>
        </is>
      </c>
      <c r="B67" t="inlineStr">
        <is>
          <t>Windshield Wiper Motor</t>
        </is>
      </c>
      <c r="C67" t="inlineStr">
        <is>
          <t>40-1053</t>
        </is>
      </c>
      <c r="D67" t="inlineStr">
        <is>
          <t>Windshield Wiper Motor - 40-1053</t>
        </is>
      </c>
      <c r="E67" t="inlineStr">
        <is>
          <t>CARDONE Reman</t>
        </is>
      </c>
      <c r="F67" t="inlineStr">
        <is>
          <t>19120756</t>
        </is>
      </c>
      <c r="G67" t="inlineStr">
        <is>
          <t>Buick Allure 2005
Buick LaCrosse 2005
Pontiac Grand Prix 2004-2005</t>
        </is>
      </c>
      <c r="H67" t="inlineStr">
        <is>
          <t>Buick Allure 2005 3.6L V6 217cid
Buick Allure 2005 3.8L V6 231cid
Buick LaCrosse 2005 3.6L V6 217cid
Buick LaCrosse 2005 3.8L V6 231cid
Pontiac Grand Prix 2004-2005 3.8L V6 231cid
Pontiac Grand Prix 2005 5.3L V8 325cid</t>
        </is>
      </c>
      <c r="I67" t="inlineStr">
        <is>
          <t>{"0": {"productDeskExternalKey": "CPCX|40-1053"},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"Buick Allure 2005, LaCrosse 2005; Hummer H2 2009-08; Pontiac Grand Prix 2005-04"}, "14": {"ItemLevelGTIN": "00082617705103"}, "15": {"_addonCardone": "40-1053::98271:100530:306"}, "16": {"Eligible for R&amp;R Service": "Yes"}}</t>
        </is>
      </c>
      <c r="J67" t="inlineStr">
        <is>
          <t>https://www.cardone.com/product/windshield-wiper-motor-40-1053</t>
        </is>
      </c>
      <c r="K67">
        <f>DISPIMG("ID_8C944FF21DBC4C63930951CD1C545611",1)</f>
        <v/>
      </c>
      <c r="L67" t="inlineStr">
        <is>
          <t>CPCX|40-1053</t>
        </is>
      </c>
      <c r="M67" t="inlineStr">
        <is>
          <t>Wiper Motor; Instruction Sheet</t>
        </is>
      </c>
      <c r="N67" t="inlineStr">
        <is>
          <t>Yes</t>
        </is>
      </c>
      <c r="O67" t="inlineStr">
        <is>
          <t>Remanufactured</t>
        </is>
      </c>
      <c r="P67" t="inlineStr">
        <is>
          <t>3</t>
        </is>
      </c>
      <c r="Q67" t="inlineStr">
        <is>
          <t>Blade</t>
        </is>
      </c>
      <c r="R67" t="inlineStr">
        <is>
          <t>Direct Bolt</t>
        </is>
      </c>
      <c r="S67" t="inlineStr">
        <is>
          <t>3.0000</t>
        </is>
      </c>
      <c r="T67" t="inlineStr">
        <is>
          <t>No</t>
        </is>
      </c>
      <c r="U67" t="inlineStr">
        <is>
          <t>1 Year/18,000 Mile</t>
        </is>
      </c>
      <c r="V67" t="inlineStr">
        <is>
          <t>Yes</t>
        </is>
      </c>
      <c r="W67" t="inlineStr">
        <is>
          <t>Available to Order</t>
        </is>
      </c>
      <c r="X67" t="inlineStr">
        <is>
          <t>Buick Allure 2005, LaCrosse 2005; Hummer H2 2009-08; Pontiac Grand Prix 2005-04</t>
        </is>
      </c>
      <c r="Y67" t="inlineStr">
        <is>
          <t>00082617705103</t>
        </is>
      </c>
      <c r="Z67" t="inlineStr">
        <is>
          <t>40-1053::98271:100530:306</t>
        </is>
      </c>
      <c r="AA67" t="inlineStr">
        <is>
          <t>Yes</t>
        </is>
      </c>
      <c r="AB67" t="inlineStr"/>
      <c r="AC67" t="inlineStr"/>
    </row>
    <row r="68">
      <c r="A68" t="inlineStr">
        <is>
          <t>67</t>
        </is>
      </c>
      <c r="B68" t="inlineStr">
        <is>
          <t>Windshield Wiper Motor</t>
        </is>
      </c>
      <c r="C68" t="inlineStr">
        <is>
          <t>40-1054</t>
        </is>
      </c>
      <c r="D68" t="inlineStr">
        <is>
          <t>Windshield Wiper Motor - 40-1054</t>
        </is>
      </c>
      <c r="E68" t="inlineStr">
        <is>
          <t>CARDONE Reman</t>
        </is>
      </c>
      <c r="F68" t="inlineStr">
        <is>
          <t>88958371</t>
        </is>
      </c>
      <c r="G68" t="inlineStr">
        <is>
          <t>Cadillac Escalade 2004
Cadillac Escalade ESV 2004
Cadillac Escalade EXT 2004
Chevrolet Avalanche 1500 2004
Chevrolet Avalanche 2500 2004
Chevrolet Silverado 1500 2004
Chevrolet Silverado 2500 2004
Chevrolet Silverado 2500 HD 2004
Chevrolet Silverado 3500 2004
Chevrolet Suburban 1500 2004
Chevrolet Suburban 2500 2004
Chevrolet Tahoe 2004
GMC Sierra 1500 2004
GMC Sierra 2500 2004
GMC Sierra 2500 HD 2004
GMC Sierra 3500 2004
GMC Yukon 2004
GMC Yukon XL 1500 2004
GMC Yukon XL 2500 2004</t>
        </is>
      </c>
      <c r="H68" t="inlineStr">
        <is>
          <t>Cadillac Escalade 2004 5.3L V8 325cid
Cadillac Escalade 2004 6L V8 364cid
Cadillac Escalade ESV 2004 6L V8 364cid
Cadillac Escalade EXT 2004 6L V8 364cid
Chevrolet Avalanche 1500 2004 5.3L V8 325cid
Chevrolet Avalanche 2500 2004 8.1L V8 496cid
Chevrolet Silverado 1500 2004 4.3L V6 262cid
Chevrolet Silverado 1500 2004 4.8L V8 294cid
Chevrolet Silverado 1500 2004 5.3L V8 325cid
Chevrolet Silverado 1500 2004 6L V8 364cid
Chevrolet Silverado 2500 2004 5.3L V8 325cid
Chevrolet Silverado 2500 2004 6L V8 364cid
Chevrolet Silverado 2500 HD 2004 6.6L V8 403cid
Chevrolet Silverado 2500 HD 2004 6L V8 364cid
Chevrolet Silverado 2500 HD 2004 8.1L V8 496cid
Chevrolet Silverado 3500 2004 5.7L V8 350cid
Chevrolet Silverado 3500 2004 6.6L V8 403cid
Chevrolet Silverado 3500 2004 6L V8 364cid
Chevrolet Silverado 3500 2004 8.1L V8 496cid
Chevrolet Suburban 1500 2004 5.3L V8 325cid
Chevrolet Suburban 2500 2004 6L V8 364cid
Chevrolet Suburban 2500 2004 8.1L V8 496cid
Chevrolet Tahoe 2004 4.8L V8 294cid
Chevrolet Tahoe 2004 5.3L V8 325cid
GMC Sierra 1500 2004 4.3L V6 262cid
GMC Sierra 1500 2004 4.8L V8 294cid
GMC Sierra 1500 2004 5.3L V8 325cid
GMC Sierra 1500 2004 6L V8 364cid
GMC Sierra 2500 2004 6L V8 364cid
GMC Sierra 2500 HD 2004 6.6L V8 403cid
GMC Sierra 2500 HD 2004 6L V8 364cid
GMC Sierra 2500 HD 2004 8.1L V8 496cid
GMC Sierra 3500 2004 6.6L V8 403cid
GMC Sierra 3500 2004 6L V8 364cid
GMC Sierra 3500 2004 8.1L V8 496cid
GMC Yukon 2004 4.8L V8 294cid
GMC Yukon 2004 5.3L V8 325cid
GMC Yukon 2004 6L V8 364cid
GMC Yukon XL 1500 2004 5.3L V8 325cid
GMC Yukon XL 1500 2004 6L V8 364cid
GMC Yukon XL 2500 2004 6L V8 364cid
GMC Yukon XL 2500 2004 8.1L V8 496cid</t>
        </is>
      </c>
      <c r="I68" t="inlineStr">
        <is>
          <t>{"0": {"productDeskExternalKey": "CPCX|40-1054"}, "1": {"Package Contents": "Wiper Motor; Instruction Sheet"}, "2": {"E-Waste": "Yes"}, "3": {"Product Condition": "Remanufactured"}, "4": {"Mounting Hole Quantity": "3"}, "5": {"Terminal Type": "Blade"}, "6": {"Mounting Type": "Direct Bolt; Grommet"}, "7": {"Weight PG": "3.0000"}, "8": {"Washer Pump Included": "No"}, "9": {"Part Type": "Windshield Wiper Motor"}, "10": {"Warranty Info": "1 Year/18,000 Mile"}, "11": {"Sustainable Choice": "Yes"}, "12": {"Lifecycle Status": "Available to Order"}, "13": {"ItemLevelGTIN": "00082617705097"}, "14": {"_addonCardone": "40-1054::98271:100572:306"}, "15": {"Eligible for R&amp;R Service": "Yes"}}</t>
        </is>
      </c>
      <c r="J68" t="inlineStr">
        <is>
          <t>https://www.cardone.com/product/windshield-wiper-motor-40-1054</t>
        </is>
      </c>
      <c r="K68">
        <f>DISPIMG("ID_BC35F9EEBA95418BBA5B461B5A48AB40",1)</f>
        <v/>
      </c>
      <c r="L68" t="inlineStr">
        <is>
          <t>CPCX|40-1054</t>
        </is>
      </c>
      <c r="M68" t="inlineStr">
        <is>
          <t>Wiper Motor; Instruction Sheet</t>
        </is>
      </c>
      <c r="N68" t="inlineStr">
        <is>
          <t>Yes</t>
        </is>
      </c>
      <c r="O68" t="inlineStr">
        <is>
          <t>Remanufactured</t>
        </is>
      </c>
      <c r="P68" t="inlineStr">
        <is>
          <t>3</t>
        </is>
      </c>
      <c r="Q68" t="inlineStr">
        <is>
          <t>Blade</t>
        </is>
      </c>
      <c r="R68" t="inlineStr">
        <is>
          <t>Direct Bolt; Grommet</t>
        </is>
      </c>
      <c r="S68" t="inlineStr">
        <is>
          <t>3.0000</t>
        </is>
      </c>
      <c r="T68" t="inlineStr">
        <is>
          <t>No</t>
        </is>
      </c>
      <c r="U68" t="inlineStr">
        <is>
          <t>1 Year/18,000 Mile</t>
        </is>
      </c>
      <c r="V68" t="inlineStr">
        <is>
          <t>Yes</t>
        </is>
      </c>
      <c r="W68" t="inlineStr">
        <is>
          <t>Available to Order</t>
        </is>
      </c>
      <c r="X68" t="inlineStr"/>
      <c r="Y68" t="inlineStr">
        <is>
          <t>00082617705097</t>
        </is>
      </c>
      <c r="Z68" t="inlineStr">
        <is>
          <t>40-1054::98271:100572:306</t>
        </is>
      </c>
      <c r="AA68" t="inlineStr">
        <is>
          <t>Yes</t>
        </is>
      </c>
      <c r="AB68" t="inlineStr"/>
      <c r="AC68" t="inlineStr"/>
    </row>
    <row r="69">
      <c r="A69" t="inlineStr">
        <is>
          <t>68</t>
        </is>
      </c>
      <c r="B69" t="inlineStr">
        <is>
          <t>Windshield Wiper Motor</t>
        </is>
      </c>
      <c r="C69" t="inlineStr">
        <is>
          <t>40-1055</t>
        </is>
      </c>
      <c r="D69" t="inlineStr">
        <is>
          <t>Windshield Wiper Motor - 40-1055</t>
        </is>
      </c>
      <c r="E69" t="inlineStr">
        <is>
          <t>CARDONE Reman</t>
        </is>
      </c>
      <c r="F69" t="inlineStr">
        <is>
          <t>22695045;15821045</t>
        </is>
      </c>
      <c r="G69" t="inlineStr">
        <is>
          <t>Saturn Vue 2002-2006</t>
        </is>
      </c>
      <c r="H69" t="inlineStr">
        <is>
          <t>Saturn Vue 2002-2003 3L V6 181cid
Saturn Vue 2002-2006 2.2L L4 134cid
Saturn Vue 2004 3.5L V6 3475cc
Saturn Vue 2004-2005 3.5L V6 3474cc
Saturn Vue 2006 3.5L V6 3471cc</t>
        </is>
      </c>
      <c r="I69" t="inlineStr">
        <is>
          <t>{"0": {"productDeskExternalKey": "CPCX|40-1055"}, "1": {"Package Contents": "Wiper Motor; Instruction Sheet"}, "2": {"E-Waste": "Yes"}, "3": {"Product Condition": "Remanufactured"}, "4": {"Mounting Hole Quantity": "3"}, "5": {"Terminal Type": "Blade"}, "6": {"Mounting Type": "Eyelet; Grommet"}, "7": {"Weight PG": "3.0000"}, "8": {"Washer Pump Included": "No"}, "9": {"Part Type": "Windshield Wiper Motor"}, "10": {"Warranty Info": "1 Year/18,000 Mile"}, "11": {"Sustainable Choice": "Yes"}, "12": {"Lifecycle Status": "Available to Order"}, "13": {"Application Summary": "Saturn Vue 2006-02"}, "14": {"ItemLevelGTIN": "00082617705189"}, "15": {"_addonCardone": "40-1055::98271:100578:306"}, "16": {"Eligible for R&amp;R Service": "Yes"}}</t>
        </is>
      </c>
      <c r="J69" t="inlineStr">
        <is>
          <t>https://www.cardone.com/product/windshield-wiper-motor-40-1055</t>
        </is>
      </c>
      <c r="K69">
        <f>DISPIMG("ID_457976D969AE425893203A82E78687E5",1)</f>
        <v/>
      </c>
      <c r="L69" t="inlineStr">
        <is>
          <t>CPCX|40-1055</t>
        </is>
      </c>
      <c r="M69" t="inlineStr">
        <is>
          <t>Wiper Motor; Instruction Sheet</t>
        </is>
      </c>
      <c r="N69" t="inlineStr">
        <is>
          <t>Yes</t>
        </is>
      </c>
      <c r="O69" t="inlineStr">
        <is>
          <t>Remanufactured</t>
        </is>
      </c>
      <c r="P69" t="inlineStr">
        <is>
          <t>3</t>
        </is>
      </c>
      <c r="Q69" t="inlineStr">
        <is>
          <t>Blade</t>
        </is>
      </c>
      <c r="R69" t="inlineStr">
        <is>
          <t>Eyelet; Grommet</t>
        </is>
      </c>
      <c r="S69" t="inlineStr">
        <is>
          <t>3.0000</t>
        </is>
      </c>
      <c r="T69" t="inlineStr">
        <is>
          <t>No</t>
        </is>
      </c>
      <c r="U69" t="inlineStr">
        <is>
          <t>1 Year/18,000 Mile</t>
        </is>
      </c>
      <c r="V69" t="inlineStr">
        <is>
          <t>Yes</t>
        </is>
      </c>
      <c r="W69" t="inlineStr">
        <is>
          <t>Available to Order</t>
        </is>
      </c>
      <c r="X69" t="inlineStr">
        <is>
          <t>Saturn Vue 2006-02</t>
        </is>
      </c>
      <c r="Y69" t="inlineStr">
        <is>
          <t>00082617705189</t>
        </is>
      </c>
      <c r="Z69" t="inlineStr">
        <is>
          <t>40-1055::98271:100578:306</t>
        </is>
      </c>
      <c r="AA69" t="inlineStr">
        <is>
          <t>Yes</t>
        </is>
      </c>
      <c r="AB69" t="inlineStr"/>
      <c r="AC69" t="inlineStr"/>
    </row>
    <row r="70">
      <c r="A70" t="inlineStr">
        <is>
          <t>69</t>
        </is>
      </c>
      <c r="B70" t="inlineStr">
        <is>
          <t>Windshield Wiper Motor</t>
        </is>
      </c>
      <c r="C70" t="inlineStr">
        <is>
          <t>40-1056</t>
        </is>
      </c>
      <c r="D70" t="inlineStr">
        <is>
          <t>Windshield Wiper Motor - 40-1056</t>
        </is>
      </c>
      <c r="E70" t="inlineStr">
        <is>
          <t>CARDONE Reman</t>
        </is>
      </c>
      <c r="F70" t="inlineStr">
        <is>
          <t>96415083</t>
        </is>
      </c>
      <c r="G70" t="inlineStr">
        <is>
          <t>Chevrolet Aveo 2004-2006
Chevrolet Aveo5 2006-2008
Pontiac Wave 2008
Pontiac Wave5 2005-2007
Suzuki Swift 2007-2008
Suzuki Swift+ 2004-2006</t>
        </is>
      </c>
      <c r="H70" t="inlineStr">
        <is>
          <t>Chevrolet Aveo 2004-2006 1.6L L4 98cid
Chevrolet Aveo5 2006-2008 1.6L L4 98cid
Pontiac Wave 2008 1.6L L4 98cid
Pontiac Wave5 2005-2007 1.6L L4 98cid
Suzuki Swift 2007-2008 1.5L L4 91cid
Suzuki Swift+ 2004-2006 1.6L L4 98cid</t>
        </is>
      </c>
      <c r="I70" t="inlineStr">
        <is>
          <t>{"0": {"productDeskExternalKey": "CPCX|40-1056"},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"Chevrolet Aveo 2006-04, Aveo5 2008-06; Pontiac Wave 2008, Wave5 2007-05; Suzuki Swift 2008-07, Swift+ 2006-04"}, "14": {"ItemLevelGTIN": "00082617705110"}, "15": {"_addonCardone": "40-1056::98271:100585:306"}, "16": {"Eligible for R&amp;R Service": "Yes"}}</t>
        </is>
      </c>
      <c r="J70" t="inlineStr">
        <is>
          <t>https://www.cardone.com/product/windshield-wiper-motor-40-1056</t>
        </is>
      </c>
      <c r="K70">
        <f>DISPIMG("ID_702911B7FFE940C08DB3F68CA1AD1636",1)</f>
        <v/>
      </c>
      <c r="L70" t="inlineStr">
        <is>
          <t>CPCX|40-1056</t>
        </is>
      </c>
      <c r="M70" t="inlineStr">
        <is>
          <t>Wiper Motor; Instruction Sheet</t>
        </is>
      </c>
      <c r="N70" t="inlineStr">
        <is>
          <t>Yes</t>
        </is>
      </c>
      <c r="O70" t="inlineStr">
        <is>
          <t>Remanufactured</t>
        </is>
      </c>
      <c r="P70" t="inlineStr">
        <is>
          <t>3</t>
        </is>
      </c>
      <c r="Q70" t="inlineStr">
        <is>
          <t>Blade</t>
        </is>
      </c>
      <c r="R70" t="inlineStr">
        <is>
          <t>Direct Bolt</t>
        </is>
      </c>
      <c r="S70" t="inlineStr">
        <is>
          <t>3.0000</t>
        </is>
      </c>
      <c r="T70" t="inlineStr">
        <is>
          <t>No</t>
        </is>
      </c>
      <c r="U70" t="inlineStr">
        <is>
          <t>1 Year/18,000 Mile</t>
        </is>
      </c>
      <c r="V70" t="inlineStr">
        <is>
          <t>Yes</t>
        </is>
      </c>
      <c r="W70" t="inlineStr">
        <is>
          <t>Available to Order</t>
        </is>
      </c>
      <c r="X70" t="inlineStr">
        <is>
          <t>Chevrolet Aveo 2006-04, Aveo5 2008-06; Pontiac Wave 2008, Wave5 2007-05; Suzuki Swift 2008-07, Swift+ 2006-04</t>
        </is>
      </c>
      <c r="Y70" t="inlineStr">
        <is>
          <t>00082617705110</t>
        </is>
      </c>
      <c r="Z70" t="inlineStr">
        <is>
          <t>40-1056::98271:100585:306</t>
        </is>
      </c>
      <c r="AA70" t="inlineStr">
        <is>
          <t>Yes</t>
        </is>
      </c>
      <c r="AB70" t="inlineStr"/>
      <c r="AC70" t="inlineStr"/>
    </row>
    <row r="71">
      <c r="A71" t="inlineStr">
        <is>
          <t>70</t>
        </is>
      </c>
      <c r="B71" t="inlineStr">
        <is>
          <t>Windshield Wiper Motor</t>
        </is>
      </c>
      <c r="C71" t="inlineStr">
        <is>
          <t>40-1057</t>
        </is>
      </c>
      <c r="D71" t="inlineStr">
        <is>
          <t>Windshield Wiper Motor - 40-1057</t>
        </is>
      </c>
      <c r="E71" t="inlineStr">
        <is>
          <t>CARDONE Reman</t>
        </is>
      </c>
      <c r="F71" t="inlineStr">
        <is>
          <t>22665038;15813769</t>
        </is>
      </c>
      <c r="G71" t="inlineStr">
        <is>
          <t>Chevrolet Equinox 2005-2006
Pontiac Torrent 2006
Saturn Vue 2002-2007</t>
        </is>
      </c>
      <c r="H71" t="inlineStr">
        <is>
          <t>Chevrolet Equinox 2005-2006 3.4L V6 207cid
Pontiac Torrent 2006 3.4L V6 207cid
Saturn Vue 2002-2003 3L V6 181cid
Saturn Vue 2002-2007 2.2L L4 134cid
Saturn Vue 2004 3.5L V6 3475cc
Saturn Vue 2004-2005 3.5L V6 3474cc
Saturn Vue 2006-2007 3.5L V6 3471cc
Saturn Vue 2007 2.4L L4 145cid</t>
        </is>
      </c>
      <c r="I71" t="inlineStr">
        <is>
          <t>{"0": {"productDeskExternalKey": "CPCX|40-1057"}, "1": {"Package Contents": "Wiper Motor; Instruction Sheet"}, "2": {"E-Waste": "Yes"}, "3": {"Product Condition": "Remanufactured"}, "4": {"Mounting Hole Quantity": "3"}, "5": {"Terminal Type": "Blade"}, "6": {"Mounting Type": "Direct Bolt; Grommet"}, "7": {"Weight PG": "3.5000"}, "8": {"Washer Pump Included": "No"}, "9": {"Part Type": "Windshield Wiper Motor"}, "10": {"Warranty Info": "1 Year/18,000 Mile"}, "11": {"Sustainable Choice": "Yes"}, "12": {"Lifecycle Status": "Available to Order"}, "13": {"Application Summary": "Chevrolet Equinox 2006-05; Pontiac Torrent 2006; Saturn Vue 2007-02"}, "14": {"ItemLevelGTIN": "00082617705073"}, "15": {"_addonCardone": "40-1057::98271:100593:306"}, "16": {"Eligible for R&amp;R Service": "Yes"}}</t>
        </is>
      </c>
      <c r="J71" t="inlineStr">
        <is>
          <t>https://www.cardone.com/product/windshield-wiper-motor-40-1057</t>
        </is>
      </c>
      <c r="K71">
        <f>DISPIMG("ID_2A6783E71D5D454F97D0DACD4CABD96C",1)</f>
        <v/>
      </c>
      <c r="L71" t="inlineStr">
        <is>
          <t>CPCX|40-1057</t>
        </is>
      </c>
      <c r="M71" t="inlineStr">
        <is>
          <t>Wiper Motor; Instruction Sheet</t>
        </is>
      </c>
      <c r="N71" t="inlineStr">
        <is>
          <t>Yes</t>
        </is>
      </c>
      <c r="O71" t="inlineStr">
        <is>
          <t>Remanufactured</t>
        </is>
      </c>
      <c r="P71" t="inlineStr">
        <is>
          <t>3</t>
        </is>
      </c>
      <c r="Q71" t="inlineStr">
        <is>
          <t>Blade</t>
        </is>
      </c>
      <c r="R71" t="inlineStr">
        <is>
          <t>Direct Bolt; Grommet</t>
        </is>
      </c>
      <c r="S71" t="inlineStr">
        <is>
          <t>3.5000</t>
        </is>
      </c>
      <c r="T71" t="inlineStr">
        <is>
          <t>No</t>
        </is>
      </c>
      <c r="U71" t="inlineStr">
        <is>
          <t>1 Year/18,000 Mile</t>
        </is>
      </c>
      <c r="V71" t="inlineStr">
        <is>
          <t>Yes</t>
        </is>
      </c>
      <c r="W71" t="inlineStr">
        <is>
          <t>Available to Order</t>
        </is>
      </c>
      <c r="X71" t="inlineStr">
        <is>
          <t>Chevrolet Equinox 2006-05; Pontiac Torrent 2006; Saturn Vue 2007-02</t>
        </is>
      </c>
      <c r="Y71" t="inlineStr">
        <is>
          <t>00082617705073</t>
        </is>
      </c>
      <c r="Z71" t="inlineStr">
        <is>
          <t>40-1057::98271:100593:306</t>
        </is>
      </c>
      <c r="AA71" t="inlineStr">
        <is>
          <t>Yes</t>
        </is>
      </c>
      <c r="AB71" t="inlineStr"/>
      <c r="AC71" t="inlineStr"/>
    </row>
    <row r="72">
      <c r="A72" t="inlineStr">
        <is>
          <t>71</t>
        </is>
      </c>
      <c r="B72" t="inlineStr">
        <is>
          <t>Windshield Wiper Motor</t>
        </is>
      </c>
      <c r="C72" t="inlineStr">
        <is>
          <t>40-1058</t>
        </is>
      </c>
      <c r="D72" t="inlineStr">
        <is>
          <t>Windshield Wiper Motor - 40-1058</t>
        </is>
      </c>
      <c r="E72" t="inlineStr">
        <is>
          <t>CARDONE Reman</t>
        </is>
      </c>
      <c r="F72" t="inlineStr">
        <is>
          <t>15192152</t>
        </is>
      </c>
      <c r="G72" t="inlineStr">
        <is>
          <t>Buick Terraza 2005-2007
Chevrolet Uplander 2005-2009
Pontiac Montana 2005-2009
Saturn Relay 2005-2007</t>
        </is>
      </c>
      <c r="H72" t="inlineStr">
        <is>
          <t>Buick Terraza 2005-2006 3.5L V6 213cid
Buick Terraza 2006-2007 3.9L V6 237cid
Chevrolet Uplander 2005-2006 3.5L V6 213cid
Chevrolet Uplander 2006-2009 3.9L V6 237cid
Pontiac Montana 2005-2006 3.5L V6 213cid
Pontiac Montana 2006-2009 3.9L V6 237cid
Saturn Relay 2005-2006 3.5L V6 213cid
Saturn Relay 2006-2007 3.9L V6 237cid</t>
        </is>
      </c>
      <c r="I72" t="inlineStr">
        <is>
          <t>{"0": {"productDeskExternalKey": "CPCX|40-1058"}, "1": {"Package Contents": "Wiper Motor; Instruction Sheet"}, "2": {"E-Waste": "Yes"}, "3": {"Product Condition": "Remanufactured"}, "4": {"Mounting Hole Quantity": "2"}, "5": {"Terminal Type": "Blade"}, "6": {"Mounting Type": "Eyelet; Grommet"}, "7": {"Weight PG": "2.4500"}, "8": {"Washer Pump Included": "No"}, "9": {"Part Type": "Windshield Wiper Motor"}, "10": {"Warranty Info": "1 Year/18,000 Mile"}, "11": {"Sustainable Choice": "Yes"}, "12": {"Lifecycle Status": "Available to Order"}, "13": {"Application Summary": "Buick Terraza 2007-05; Chevrolet Uplander 2009-05; Pontiac Montana 2009-05; Saturn Relay 2007-05"}, "14": {"ItemLevelGTIN": "00082617716017"}, "15": {"_addonCardone": "40-1058::98271:100602:306"}, "16": {"Eligible for R&amp;R Service": "Yes"}}</t>
        </is>
      </c>
      <c r="J72" t="inlineStr">
        <is>
          <t>https://www.cardone.com/product/windshield-wiper-motor-40-1058</t>
        </is>
      </c>
      <c r="K72">
        <f>DISPIMG("ID_D611FA60A55C44ECB158378759F4F868",1)</f>
        <v/>
      </c>
      <c r="L72" t="inlineStr">
        <is>
          <t>CPCX|40-1058</t>
        </is>
      </c>
      <c r="M72" t="inlineStr">
        <is>
          <t>Wiper Motor; Instruction Sheet</t>
        </is>
      </c>
      <c r="N72" t="inlineStr">
        <is>
          <t>Yes</t>
        </is>
      </c>
      <c r="O72" t="inlineStr">
        <is>
          <t>Remanufactured</t>
        </is>
      </c>
      <c r="P72" t="inlineStr">
        <is>
          <t>2</t>
        </is>
      </c>
      <c r="Q72" t="inlineStr">
        <is>
          <t>Blade</t>
        </is>
      </c>
      <c r="R72" t="inlineStr">
        <is>
          <t>Eyelet; Grommet</t>
        </is>
      </c>
      <c r="S72" t="inlineStr">
        <is>
          <t>2.4500</t>
        </is>
      </c>
      <c r="T72" t="inlineStr">
        <is>
          <t>No</t>
        </is>
      </c>
      <c r="U72" t="inlineStr">
        <is>
          <t>1 Year/18,000 Mile</t>
        </is>
      </c>
      <c r="V72" t="inlineStr">
        <is>
          <t>Yes</t>
        </is>
      </c>
      <c r="W72" t="inlineStr">
        <is>
          <t>Available to Order</t>
        </is>
      </c>
      <c r="X72" t="inlineStr">
        <is>
          <t>Buick Terraza 2007-05; Chevrolet Uplander 2009-05; Pontiac Montana 2009-05; Saturn Relay 2007-05</t>
        </is>
      </c>
      <c r="Y72" t="inlineStr">
        <is>
          <t>00082617716017</t>
        </is>
      </c>
      <c r="Z72" t="inlineStr">
        <is>
          <t>40-1058::98271:100602:306</t>
        </is>
      </c>
      <c r="AA72" t="inlineStr">
        <is>
          <t>Yes</t>
        </is>
      </c>
      <c r="AB72" t="inlineStr"/>
      <c r="AC72" t="inlineStr"/>
    </row>
    <row r="73">
      <c r="A73" t="inlineStr">
        <is>
          <t>72</t>
        </is>
      </c>
      <c r="B73" t="inlineStr">
        <is>
          <t>Windshield Wiper Motor</t>
        </is>
      </c>
      <c r="C73" t="inlineStr">
        <is>
          <t>40-1059</t>
        </is>
      </c>
      <c r="D73" t="inlineStr">
        <is>
          <t>Windshield Wiper Motor - 40-1059</t>
        </is>
      </c>
      <c r="E73" t="inlineStr">
        <is>
          <t>CARDONE Reman</t>
        </is>
      </c>
      <c r="F73" t="inlineStr">
        <is>
          <t>22664679</t>
        </is>
      </c>
      <c r="G73" t="inlineStr">
        <is>
          <t>Chevrolet Cobalt 2005-2010
Pontiac G4 2005-2006
Pontiac G5 2007-2010
Pontiac Pursuit 2005-2006
Saturn Ion 2003-2007</t>
        </is>
      </c>
      <c r="H73" t="inlineStr">
        <is>
          <t>Chevrolet Cobalt 2005-2010 2.2L L4 134cid
Chevrolet Cobalt 2005-2010 2L L4 122cid
Chevrolet Cobalt 2006-2008 2.4L L4 145cid
Pontiac G4 2005-2006 2.2L L4 134cid
Pontiac G4 2006 2.4L L4 145cid
Pontiac G5 2007-2008 2.4L L4 145cid
Pontiac G5 2007-2010 2.2L L4 134cid
Pontiac Pursuit 2005-2006 2.2L L4 134cid
Pontiac Pursuit 2006 2.4L L4 145cid
Saturn Ion 2003-2007 2.2L L4 134cid
Saturn Ion 2004-2007 2L L4 122cid
Saturn Ion 2006-2007 2.4L L4 145cid</t>
        </is>
      </c>
      <c r="I73" t="inlineStr">
        <is>
          <t>{"0": {"productDeskExternalKey": "CPCX|40-1059"},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"Chevrolet Cobalt 2010-05; Pontiac G4 2006-05, G5 2010-07, Pursuit 2006-05; Saturn Ion 2007-03"}, "14": {"ItemLevelGTIN": "00082617752589"}, "15": {"_addonCardone": "40-1059::98271:100610:306"}, "16": {"Eligible for R&amp;R Service": "Yes"}}</t>
        </is>
      </c>
      <c r="J73" t="inlineStr">
        <is>
          <t>https://www.cardone.com/product/windshield-wiper-motor-40-1059</t>
        </is>
      </c>
      <c r="K73">
        <f>DISPIMG("ID_84F360E5DE9048048754D450A532E256",1)</f>
        <v/>
      </c>
      <c r="L73" t="inlineStr">
        <is>
          <t>CPCX|40-1059</t>
        </is>
      </c>
      <c r="M73" t="inlineStr">
        <is>
          <t>Wiper Motor; Instruction Sheet</t>
        </is>
      </c>
      <c r="N73" t="inlineStr">
        <is>
          <t>Yes</t>
        </is>
      </c>
      <c r="O73" t="inlineStr">
        <is>
          <t>Remanufactured</t>
        </is>
      </c>
      <c r="P73" t="inlineStr">
        <is>
          <t>3</t>
        </is>
      </c>
      <c r="Q73" t="inlineStr">
        <is>
          <t>Blade</t>
        </is>
      </c>
      <c r="R73" t="inlineStr">
        <is>
          <t>Direct Bolt</t>
        </is>
      </c>
      <c r="S73" t="inlineStr">
        <is>
          <t>2.5000</t>
        </is>
      </c>
      <c r="T73" t="inlineStr">
        <is>
          <t>No</t>
        </is>
      </c>
      <c r="U73" t="inlineStr">
        <is>
          <t>1 Year/18,000 Mile</t>
        </is>
      </c>
      <c r="V73" t="inlineStr">
        <is>
          <t>Yes</t>
        </is>
      </c>
      <c r="W73" t="inlineStr">
        <is>
          <t>Available to Order</t>
        </is>
      </c>
      <c r="X73" t="inlineStr">
        <is>
          <t>Chevrolet Cobalt 2010-05; Pontiac G4 2006-05, G5 2010-07, Pursuit 2006-05; Saturn Ion 2007-03</t>
        </is>
      </c>
      <c r="Y73" t="inlineStr">
        <is>
          <t>00082617752589</t>
        </is>
      </c>
      <c r="Z73" t="inlineStr">
        <is>
          <t>40-1059::98271:100610:306</t>
        </is>
      </c>
      <c r="AA73" t="inlineStr">
        <is>
          <t>Yes</t>
        </is>
      </c>
      <c r="AB73" t="inlineStr"/>
      <c r="AC73" t="inlineStr"/>
    </row>
    <row r="74">
      <c r="A74" t="inlineStr">
        <is>
          <t>73</t>
        </is>
      </c>
      <c r="B74" t="inlineStr">
        <is>
          <t>Windshield Wiper Motor</t>
        </is>
      </c>
      <c r="C74" t="inlineStr">
        <is>
          <t>40-1060</t>
        </is>
      </c>
      <c r="D74" t="inlineStr">
        <is>
          <t>Windshield Wiper Motor - 40-1060</t>
        </is>
      </c>
      <c r="E74" t="inlineStr">
        <is>
          <t>CARDONE Reman</t>
        </is>
      </c>
      <c r="F74" t="inlineStr">
        <is>
          <t>12494818</t>
        </is>
      </c>
      <c r="G74" t="inlineStr">
        <is>
          <t>Buick Rendezvous 2002-2007</t>
        </is>
      </c>
      <c r="H74" t="inlineStr">
        <is>
          <t>Buick Rendezvous 2002-2005 3.4L V6 207cid
Buick Rendezvous 2004-2006 3.6L V6 217cid
Buick Rendezvous 2006-2007 3.5L V6 213cid</t>
        </is>
      </c>
      <c r="I74" t="inlineStr">
        <is>
          <t>{"0": {"productDeskExternalKey": "CPCX|40-1060"},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"Buick Rendezvous 2007-02"}, "14": {"ItemLevelGTIN": "00082617748070"}, "15": {"_addonCardone": "40-1060::98271:100618:306"}, "16": {"Eligible for R&amp;R Service": "Yes"}}</t>
        </is>
      </c>
      <c r="J74" t="inlineStr">
        <is>
          <t>https://www.cardone.com/product/windshield-wiper-motor-40-1060</t>
        </is>
      </c>
      <c r="K74">
        <f>DISPIMG("ID_1243D63B3FAA43FC87365710EDADDBC5",1)</f>
        <v/>
      </c>
      <c r="L74" t="inlineStr">
        <is>
          <t>CPCX|40-1060</t>
        </is>
      </c>
      <c r="M74" t="inlineStr">
        <is>
          <t>Wiper Motor; Instruction Sheet</t>
        </is>
      </c>
      <c r="N74" t="inlineStr">
        <is>
          <t>Yes</t>
        </is>
      </c>
      <c r="O74" t="inlineStr">
        <is>
          <t>Remanufactured</t>
        </is>
      </c>
      <c r="P74" t="inlineStr">
        <is>
          <t>3</t>
        </is>
      </c>
      <c r="Q74" t="inlineStr">
        <is>
          <t>Blade</t>
        </is>
      </c>
      <c r="R74" t="inlineStr">
        <is>
          <t>Direct Bolt</t>
        </is>
      </c>
      <c r="S74" t="inlineStr">
        <is>
          <t>2.5000</t>
        </is>
      </c>
      <c r="T74" t="inlineStr">
        <is>
          <t>No</t>
        </is>
      </c>
      <c r="U74" t="inlineStr">
        <is>
          <t>1 Year/18,000 Mile</t>
        </is>
      </c>
      <c r="V74" t="inlineStr">
        <is>
          <t>Yes</t>
        </is>
      </c>
      <c r="W74" t="inlineStr">
        <is>
          <t>Available to Order</t>
        </is>
      </c>
      <c r="X74" t="inlineStr">
        <is>
          <t>Buick Rendezvous 2007-02</t>
        </is>
      </c>
      <c r="Y74" t="inlineStr">
        <is>
          <t>00082617748070</t>
        </is>
      </c>
      <c r="Z74" t="inlineStr">
        <is>
          <t>40-1060::98271:100618:306</t>
        </is>
      </c>
      <c r="AA74" t="inlineStr">
        <is>
          <t>Yes</t>
        </is>
      </c>
      <c r="AB74" t="inlineStr"/>
      <c r="AC74" t="inlineStr"/>
    </row>
    <row r="75">
      <c r="A75" t="inlineStr">
        <is>
          <t>74</t>
        </is>
      </c>
      <c r="B75" t="inlineStr">
        <is>
          <t>Windshield Wiper Motor</t>
        </is>
      </c>
      <c r="C75" t="inlineStr">
        <is>
          <t>40-1061</t>
        </is>
      </c>
      <c r="D75" t="inlineStr">
        <is>
          <t>Windshield Wiper Motor - 40-1061</t>
        </is>
      </c>
      <c r="E75" t="inlineStr">
        <is>
          <t>CARDONE Reman</t>
        </is>
      </c>
      <c r="F75" t="inlineStr">
        <is>
          <t>15929735</t>
        </is>
      </c>
      <c r="G75" t="inlineStr">
        <is>
          <t>Chevrolet Malibu 2004-2008</t>
        </is>
      </c>
      <c r="H75" t="inlineStr">
        <is>
          <t>Chevrolet Malibu 2004-2008 2.2L L4 134cid
Chevrolet Malibu 2004-2008 3.5L V6 213cid
Chevrolet Malibu 2006-2007 3.9L V6 237cid</t>
        </is>
      </c>
      <c r="I75" t="inlineStr">
        <is>
          <t>{"0": {"productDeskExternalKey": "CPCX|40-1061"},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"Chevrolet Malibu 2008-04"}, "14": {"ItemLevelGTIN": "00082617751131"}, "15": {"_addonCardone": "40-1061::98271:100628:306"}, "16": {"Eligible for R&amp;R Service": "Yes"}}</t>
        </is>
      </c>
      <c r="J75" t="inlineStr">
        <is>
          <t>https://www.cardone.com/product/windshield-wiper-motor-40-1061</t>
        </is>
      </c>
      <c r="K75">
        <f>DISPIMG("ID_49C314A079E346A5A49491A8672AE8A2",1)</f>
        <v/>
      </c>
      <c r="L75" t="inlineStr">
        <is>
          <t>CPCX|40-1061</t>
        </is>
      </c>
      <c r="M75" t="inlineStr">
        <is>
          <t>Wiper Motor; Instruction Sheet</t>
        </is>
      </c>
      <c r="N75" t="inlineStr">
        <is>
          <t>Yes</t>
        </is>
      </c>
      <c r="O75" t="inlineStr">
        <is>
          <t>Remanufactured</t>
        </is>
      </c>
      <c r="P75" t="inlineStr">
        <is>
          <t>3</t>
        </is>
      </c>
      <c r="Q75" t="inlineStr">
        <is>
          <t>Blade</t>
        </is>
      </c>
      <c r="R75" t="inlineStr">
        <is>
          <t>Direct Bolt</t>
        </is>
      </c>
      <c r="S75" t="inlineStr">
        <is>
          <t>3.5000</t>
        </is>
      </c>
      <c r="T75" t="inlineStr">
        <is>
          <t>No</t>
        </is>
      </c>
      <c r="U75" t="inlineStr">
        <is>
          <t>1 Year/18,000 Mile</t>
        </is>
      </c>
      <c r="V75" t="inlineStr">
        <is>
          <t>Yes</t>
        </is>
      </c>
      <c r="W75" t="inlineStr">
        <is>
          <t>Available to Order</t>
        </is>
      </c>
      <c r="X75" t="inlineStr">
        <is>
          <t>Chevrolet Malibu 2008-04</t>
        </is>
      </c>
      <c r="Y75" t="inlineStr">
        <is>
          <t>00082617751131</t>
        </is>
      </c>
      <c r="Z75" t="inlineStr">
        <is>
          <t>40-1061::98271:100628:306</t>
        </is>
      </c>
      <c r="AA75" t="inlineStr">
        <is>
          <t>Yes</t>
        </is>
      </c>
      <c r="AB75" t="inlineStr"/>
      <c r="AC75" t="inlineStr"/>
    </row>
    <row r="76">
      <c r="A76" t="inlineStr">
        <is>
          <t>75</t>
        </is>
      </c>
      <c r="B76" t="inlineStr">
        <is>
          <t>Windshield Wiper Motor</t>
        </is>
      </c>
      <c r="C76" t="inlineStr">
        <is>
          <t>40-1062</t>
        </is>
      </c>
      <c r="D76" t="inlineStr">
        <is>
          <t>Windshield Wiper Motor - 40-1062</t>
        </is>
      </c>
      <c r="E76" t="inlineStr">
        <is>
          <t>CARDONE Reman</t>
        </is>
      </c>
      <c r="F76" t="inlineStr">
        <is>
          <t>8889582230</t>
        </is>
      </c>
      <c r="G76" t="inlineStr">
        <is>
          <t>Chevrolet Colorado 2004-2012
GMC Canyon 2004-2012
Isuzu i-280 2006
Isuzu i-290 2007-2008
Isuzu i-350 2006
Isuzu i-370 2007-2008</t>
        </is>
      </c>
      <c r="H76" t="inlineStr">
        <is>
          <t>Chevrolet Colorado 2004-2006 2.8L L4 169cid
Chevrolet Colorado 2004-2006 3.5L L5 211cid
Chevrolet Colorado 2007-2012 2.9L L4 178cid
Chevrolet Colorado 2007-2012 3.7L L5 223cid
Chevrolet Colorado 2009-2012 5.3L V8 325cid
GMC Canyon 2004-2006 2.8L L4 169cid
GMC Canyon 2004-2006 3.5L L5 211cid
GMC Canyon 2007-2012 2.9L L4 178cid
GMC Canyon 2007-2012 3.7L L5 223cid
GMC Canyon 2009-2012 5.3L V8 325cid
Isuzu i-280 2006 2.8L L4 169cid
Isuzu i-290 2007-2008 2.9L L4 178cid
Isuzu i-350 2006 3.5L L5 211cid
Isuzu i-370 2007-2008 3.7L L5 223cid</t>
        </is>
      </c>
      <c r="I76" t="inlineStr">
        <is>
          <t>{"0": {"productDeskExternalKey": "CPCX|40-1062"},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"Chevrolet Colorado 2012-04; GMC Canyon 2012-04; Isuzu i-280 2006, i-290 2008-07, i-350 2006, i-370 2008-07"}, "14": {"ItemLevelGTIN": "00082617751148"}, "15": {"_addonCardone": "40-1062::98271:100639:306"}, "16": {"Eligible for R&amp;R Service": "Yes"}}</t>
        </is>
      </c>
      <c r="J76" t="inlineStr">
        <is>
          <t>https://www.cardone.com/product/windshield-wiper-motor-40-1062</t>
        </is>
      </c>
      <c r="K76">
        <f>DISPIMG("ID_DA6D199B628C44BA9FB9D995E558D5C2",1)</f>
        <v/>
      </c>
      <c r="L76" t="inlineStr">
        <is>
          <t>CPCX|40-1062</t>
        </is>
      </c>
      <c r="M76" t="inlineStr">
        <is>
          <t>Wiper Motor; Instruction Sheet</t>
        </is>
      </c>
      <c r="N76" t="inlineStr">
        <is>
          <t>Yes</t>
        </is>
      </c>
      <c r="O76" t="inlineStr">
        <is>
          <t>Remanufactured</t>
        </is>
      </c>
      <c r="P76" t="inlineStr">
        <is>
          <t>3</t>
        </is>
      </c>
      <c r="Q76" t="inlineStr">
        <is>
          <t>Blade</t>
        </is>
      </c>
      <c r="R76" t="inlineStr">
        <is>
          <t>Direct Bolt</t>
        </is>
      </c>
      <c r="S76" t="inlineStr">
        <is>
          <t>3.0000</t>
        </is>
      </c>
      <c r="T76" t="inlineStr">
        <is>
          <t>No</t>
        </is>
      </c>
      <c r="U76" t="inlineStr">
        <is>
          <t>1 Year/18,000 Mile</t>
        </is>
      </c>
      <c r="V76" t="inlineStr">
        <is>
          <t>Yes</t>
        </is>
      </c>
      <c r="W76" t="inlineStr">
        <is>
          <t>Available to Order</t>
        </is>
      </c>
      <c r="X76" t="inlineStr">
        <is>
          <t>Chevrolet Colorado 2012-04; GMC Canyon 2012-04; Isuzu i-280 2006, i-290 2008-07, i-350 2006, i-370 2008-07</t>
        </is>
      </c>
      <c r="Y76" t="inlineStr">
        <is>
          <t>00082617751148</t>
        </is>
      </c>
      <c r="Z76" t="inlineStr">
        <is>
          <t>40-1062::98271:100639:306</t>
        </is>
      </c>
      <c r="AA76" t="inlineStr">
        <is>
          <t>Yes</t>
        </is>
      </c>
      <c r="AB76" t="inlineStr"/>
      <c r="AC76" t="inlineStr"/>
    </row>
    <row r="77">
      <c r="A77" t="inlineStr">
        <is>
          <t>76</t>
        </is>
      </c>
      <c r="B77" t="inlineStr">
        <is>
          <t>Windshield Wiper Motor</t>
        </is>
      </c>
      <c r="C77" t="inlineStr">
        <is>
          <t>40-1063</t>
        </is>
      </c>
      <c r="D77" t="inlineStr">
        <is>
          <t>Windshield Wiper Motor - 40-1063</t>
        </is>
      </c>
      <c r="E77" t="inlineStr">
        <is>
          <t>CARDONE Reman</t>
        </is>
      </c>
      <c r="F77" t="inlineStr">
        <is>
          <t>88944398</t>
        </is>
      </c>
      <c r="G77" t="inlineStr"/>
      <c r="H77" t="inlineStr"/>
      <c r="I77" t="inlineStr">
        <is>
          <t>{"0": {"productDeskExternalKey": "CPCX|40-1063"},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"Hummer H2 2007-03"}, "14": {"ItemLevelGTIN": "00082617748087"}, "15": {"_addonCardone": "40-1063::98271:100646:306"}, "16": {"Eligible for R&amp;R Service": "Yes"}}</t>
        </is>
      </c>
      <c r="J77" t="inlineStr">
        <is>
          <t>https://www.cardone.com/product/windshield-wiper-motor-40-1063</t>
        </is>
      </c>
      <c r="K77">
        <f>DISPIMG("ID_DCB4714F888E414C9B770AA668ABDBA6",1)</f>
        <v/>
      </c>
      <c r="L77" t="inlineStr">
        <is>
          <t>CPCX|40-1063</t>
        </is>
      </c>
      <c r="M77" t="inlineStr">
        <is>
          <t>Wiper Motor; Instruction Sheet</t>
        </is>
      </c>
      <c r="N77" t="inlineStr">
        <is>
          <t>Yes</t>
        </is>
      </c>
      <c r="O77" t="inlineStr">
        <is>
          <t>Remanufactured</t>
        </is>
      </c>
      <c r="P77" t="inlineStr">
        <is>
          <t>3</t>
        </is>
      </c>
      <c r="Q77" t="inlineStr">
        <is>
          <t>Blade</t>
        </is>
      </c>
      <c r="R77" t="inlineStr">
        <is>
          <t>Direct Bolt</t>
        </is>
      </c>
      <c r="S77" t="inlineStr">
        <is>
          <t>3.0000</t>
        </is>
      </c>
      <c r="T77" t="inlineStr">
        <is>
          <t>No</t>
        </is>
      </c>
      <c r="U77" t="inlineStr">
        <is>
          <t>1 Year/18,000 Mile</t>
        </is>
      </c>
      <c r="V77" t="inlineStr">
        <is>
          <t>Yes</t>
        </is>
      </c>
      <c r="W77" t="inlineStr">
        <is>
          <t>Available to Order</t>
        </is>
      </c>
      <c r="X77" t="inlineStr">
        <is>
          <t>Hummer H2 2007-03</t>
        </is>
      </c>
      <c r="Y77" t="inlineStr">
        <is>
          <t>00082617748087</t>
        </is>
      </c>
      <c r="Z77" t="inlineStr">
        <is>
          <t>40-1063::98271:100646:306</t>
        </is>
      </c>
      <c r="AA77" t="inlineStr">
        <is>
          <t>Yes</t>
        </is>
      </c>
      <c r="AB77" t="inlineStr"/>
      <c r="AC77" t="inlineStr"/>
    </row>
    <row r="78">
      <c r="A78" t="inlineStr">
        <is>
          <t>77</t>
        </is>
      </c>
      <c r="B78" t="inlineStr">
        <is>
          <t>Windshield Wiper Motor</t>
        </is>
      </c>
      <c r="C78" t="inlineStr">
        <is>
          <t>40-1064</t>
        </is>
      </c>
      <c r="D78" t="inlineStr">
        <is>
          <t>Windshield Wiper Motor - 40-1064</t>
        </is>
      </c>
      <c r="E78" t="inlineStr">
        <is>
          <t>CARDONE Reman</t>
        </is>
      </c>
      <c r="F78" t="inlineStr">
        <is>
          <t>88958251;12487632</t>
        </is>
      </c>
      <c r="G78" t="inlineStr">
        <is>
          <t>Cadillac CTS 2003-2007
Cadillac SRX 2004-2006
Cadillac STS 2005-2011</t>
        </is>
      </c>
      <c r="H78" t="inlineStr">
        <is>
          <t>Cadillac CTS 2003-2004 3.2L V6 197cid
Cadillac CTS 2004-2005 5.7L V8 346cid
Cadillac CTS 2004-2007 3.6L V6 217cid
Cadillac CTS 2005-2007 2.8L V6 170cid
Cadillac CTS 2006-2007 6L V8 364cid
Cadillac SRX 2004-2006 3.6L V6 217cid
Cadillac SRX 2004-2006 4.6L V8 281cid
Cadillac STS 2005-2010 4.6L V8 281cid
Cadillac STS 2005-2011 3.6L V6 217cid
Cadillac STS 2006-2009 4.4L V8 267cid</t>
        </is>
      </c>
      <c r="I78" t="inlineStr">
        <is>
          <t>{"0": {"productDeskExternalKey": "CPCX|40-1064"},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"Cadillac CTS 2007-03, SRX 2006-04, STS 2011-05"}, "14": {"ItemLevelGTIN": "00082617751155"}, "15": {"_addonCardone": "40-1064::98271:100653:306"}, "16": {"Eligible for R&amp;R Service": "Yes"}}</t>
        </is>
      </c>
      <c r="J78" t="inlineStr">
        <is>
          <t>https://www.cardone.com/product/windshield-wiper-motor-40-1064</t>
        </is>
      </c>
      <c r="K78">
        <f>DISPIMG("ID_25C181F09BE048238F0E3336E9F9A09A",1)</f>
        <v/>
      </c>
      <c r="L78" t="inlineStr">
        <is>
          <t>CPCX|40-1064</t>
        </is>
      </c>
      <c r="M78" t="inlineStr">
        <is>
          <t>Wiper Motor; Instruction Sheet</t>
        </is>
      </c>
      <c r="N78" t="inlineStr">
        <is>
          <t>Yes</t>
        </is>
      </c>
      <c r="O78" t="inlineStr">
        <is>
          <t>Remanufactured</t>
        </is>
      </c>
      <c r="P78" t="inlineStr">
        <is>
          <t>3</t>
        </is>
      </c>
      <c r="Q78" t="inlineStr">
        <is>
          <t>Blade</t>
        </is>
      </c>
      <c r="R78" t="inlineStr">
        <is>
          <t>Direct Bolt</t>
        </is>
      </c>
      <c r="S78" t="inlineStr">
        <is>
          <t>2.5000</t>
        </is>
      </c>
      <c r="T78" t="inlineStr">
        <is>
          <t>No</t>
        </is>
      </c>
      <c r="U78" t="inlineStr">
        <is>
          <t>1 Year/18,000 Mile</t>
        </is>
      </c>
      <c r="V78" t="inlineStr">
        <is>
          <t>Yes</t>
        </is>
      </c>
      <c r="W78" t="inlineStr">
        <is>
          <t>Available to Order</t>
        </is>
      </c>
      <c r="X78" t="inlineStr">
        <is>
          <t>Cadillac CTS 2007-03, SRX 2006-04, STS 2011-05</t>
        </is>
      </c>
      <c r="Y78" t="inlineStr">
        <is>
          <t>00082617751155</t>
        </is>
      </c>
      <c r="Z78" t="inlineStr">
        <is>
          <t>40-1064::98271:100653:306</t>
        </is>
      </c>
      <c r="AA78" t="inlineStr">
        <is>
          <t>Yes</t>
        </is>
      </c>
      <c r="AB78" t="inlineStr"/>
      <c r="AC78" t="inlineStr"/>
    </row>
    <row r="79">
      <c r="A79" t="inlineStr">
        <is>
          <t>78</t>
        </is>
      </c>
      <c r="B79" t="inlineStr">
        <is>
          <t>Windshield Wiper Motor</t>
        </is>
      </c>
      <c r="C79" t="inlineStr">
        <is>
          <t>40-1065</t>
        </is>
      </c>
      <c r="D79" t="inlineStr">
        <is>
          <t>Windshield Wiper Motor - 40-1065</t>
        </is>
      </c>
      <c r="E79" t="inlineStr">
        <is>
          <t>CARDONE Reman</t>
        </is>
      </c>
      <c r="F79" t="inlineStr">
        <is>
          <t>25763091;25762704</t>
        </is>
      </c>
      <c r="G79" t="inlineStr">
        <is>
          <t>Cadillac SRX 2004-2009</t>
        </is>
      </c>
      <c r="H79" t="inlineStr">
        <is>
          <t>Cadillac SRX 2004-2009 3.6L V6 217cid
Cadillac SRX 2004-2009 4.6L V8 281cid</t>
        </is>
      </c>
      <c r="I79" t="inlineStr">
        <is>
          <t>{"0": {"productDeskExternalKey": "CPCX|40-1065"}, "1": {"Package Contents": "Wiper Motor; Instruction Sheet"}, "2": {"E-Waste": "Yes"}, "3": {"Product Condition": "Remanufactured"}, "4": {"Mounting Hole Quantity": "3"}, "5": {"Terminal Type": "Blade"}, "6": {"Mounting Type": "Grommet"}, "7": {"Weight PG": "2.0500"}, "8": {"Washer Pump Included": "No"}, "9": {"Part Type": "Windshield Wiper Motor"}, "10": {"Warranty Info": "1 Year/18,000 Mile"}, "11": {"Sustainable Choice": "Yes"}, "12": {"Lifecycle Status": "Available to Order"}, "13": {"Application Summary": "Cadillac SRX 2009-04"}, "14": {"ItemLevelGTIN": "00082617751162"}, "15": {"_addonCardone": "40-1065::98271:100660:306"}, "16": {"Eligible for R&amp;R Service": "Yes"}}</t>
        </is>
      </c>
      <c r="J79" t="inlineStr">
        <is>
          <t>https://www.cardone.com/product/windshield-wiper-motor-40-1065</t>
        </is>
      </c>
      <c r="K79">
        <f>DISPIMG("ID_13AD0F04DABD41D5B0C197C3C891538C",1)</f>
        <v/>
      </c>
      <c r="L79" t="inlineStr">
        <is>
          <t>CPCX|40-1065</t>
        </is>
      </c>
      <c r="M79" t="inlineStr">
        <is>
          <t>Wiper Motor; Instruction Sheet</t>
        </is>
      </c>
      <c r="N79" t="inlineStr">
        <is>
          <t>Yes</t>
        </is>
      </c>
      <c r="O79" t="inlineStr">
        <is>
          <t>Remanufactured</t>
        </is>
      </c>
      <c r="P79" t="inlineStr">
        <is>
          <t>3</t>
        </is>
      </c>
      <c r="Q79" t="inlineStr">
        <is>
          <t>Blade</t>
        </is>
      </c>
      <c r="R79" t="inlineStr">
        <is>
          <t>Grommet</t>
        </is>
      </c>
      <c r="S79" t="inlineStr">
        <is>
          <t>2.0500</t>
        </is>
      </c>
      <c r="T79" t="inlineStr">
        <is>
          <t>No</t>
        </is>
      </c>
      <c r="U79" t="inlineStr">
        <is>
          <t>1 Year/18,000 Mile</t>
        </is>
      </c>
      <c r="V79" t="inlineStr">
        <is>
          <t>Yes</t>
        </is>
      </c>
      <c r="W79" t="inlineStr">
        <is>
          <t>Available to Order</t>
        </is>
      </c>
      <c r="X79" t="inlineStr">
        <is>
          <t>Cadillac SRX 2009-04</t>
        </is>
      </c>
      <c r="Y79" t="inlineStr">
        <is>
          <t>00082617751162</t>
        </is>
      </c>
      <c r="Z79" t="inlineStr">
        <is>
          <t>40-1065::98271:100660:306</t>
        </is>
      </c>
      <c r="AA79" t="inlineStr">
        <is>
          <t>Yes</t>
        </is>
      </c>
      <c r="AB79" t="inlineStr"/>
      <c r="AC79" t="inlineStr"/>
    </row>
    <row r="80">
      <c r="A80" t="inlineStr">
        <is>
          <t>79</t>
        </is>
      </c>
      <c r="B80" t="inlineStr">
        <is>
          <t>Windshield Wiper Motor</t>
        </is>
      </c>
      <c r="C80" t="inlineStr">
        <is>
          <t>40-1067</t>
        </is>
      </c>
      <c r="D80" t="inlineStr">
        <is>
          <t>Windshield Wiper Motor - 40-1067</t>
        </is>
      </c>
      <c r="E80" t="inlineStr">
        <is>
          <t>CARDONE Reman</t>
        </is>
      </c>
      <c r="F80" t="inlineStr">
        <is>
          <t>19120740;25791962;19120736;19120349;19120347</t>
        </is>
      </c>
      <c r="G80" t="inlineStr">
        <is>
          <t>Buick Allure 2006-2009
Buick LaCrosse 2006-2009
Chevrolet HHR 2006-2011
Chevrolet Impala 2006-2013
Chevrolet Impala Limited 2014-2016
Chevrolet Monte Carlo 2006-2007
Pontiac Grand Prix 2006-2008</t>
        </is>
      </c>
      <c r="H80" t="inlineStr">
        <is>
          <t>Buick Allure 2006-2008 3.6L V6 217cid
Buick Allure 2006-2009 3.8L V6 231cid
Buick Allure 2008-2009 5.3L V8 325cid
Buick LaCrosse 2006-2008 3.6L V6 217cid
Buick LaCrosse 2006-2009 3.8L V6 231cid
Buick LaCrosse 2008-2009 5.3L V8 325cid
Chevrolet HHR 2006-2011 2.2L L4 134cid
Chevrolet HHR 2006-2011 2.4L L4 145cid
Chevrolet HHR 2008-2010 2L L4 122cid
Chevrolet Impala 2006-2009 5.3L V8 325cid
Chevrolet Impala 2006-2011 3.5L V6 213cid
Chevrolet Impala 2006-2011 3.9L V6 237cid
Chevrolet Impala 2012-2013 3.6L V6 217cid
Chevrolet Impala Limited 2014-2016 3.6L V6 217cid
Chevrolet Monte Carlo 2006 3.9L V6 237cid
Chevrolet Monte Carlo 2006-2007 3.5L V6 213cid
Chevrolet Monte Carlo 2006-2007 5.3L V8 325cid
Pontiac Grand Prix 2006-2008 3.8L V6 231cid
Pontiac Grand Prix 2006-2008 5.3L V8 325cid</t>
        </is>
      </c>
      <c r="I80" t="inlineStr">
        <is>
          <t>{"0": {"productDeskExternalKey": "CPCX|40-1067"},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"Buick Allure 2009-06, LaCrosse 2009-06; Chevrolet HHR 2011-06, Impala 2013-06, Impala Limited 2016-14, Monte Carlo 2007-06; Pontiac Grand Prix 2008-06"}, "14": {"ItemLevelGTIN": "00082617755474"}, "15": {"_addonCardone": "40-1067::98271:100665:306"}, "16": {"Eligible for R&amp;R Service": "Yes"}}</t>
        </is>
      </c>
      <c r="J80" t="inlineStr">
        <is>
          <t>https://www.cardone.com/product/windshield-wiper-motor-40-1067</t>
        </is>
      </c>
      <c r="K80">
        <f>DISPIMG("ID_EB2D1418359A4D0BA99E3F1051278696",1)</f>
        <v/>
      </c>
      <c r="L80" t="inlineStr">
        <is>
          <t>CPCX|40-1067</t>
        </is>
      </c>
      <c r="M80" t="inlineStr">
        <is>
          <t>Wiper Motor; Instruction Sheet</t>
        </is>
      </c>
      <c r="N80" t="inlineStr">
        <is>
          <t>Yes</t>
        </is>
      </c>
      <c r="O80" t="inlineStr">
        <is>
          <t>Remanufactured</t>
        </is>
      </c>
      <c r="P80" t="inlineStr">
        <is>
          <t>3</t>
        </is>
      </c>
      <c r="Q80" t="inlineStr">
        <is>
          <t>Blade</t>
        </is>
      </c>
      <c r="R80" t="inlineStr">
        <is>
          <t>Direct Bolt</t>
        </is>
      </c>
      <c r="S80" t="inlineStr">
        <is>
          <t>2.5000</t>
        </is>
      </c>
      <c r="T80" t="inlineStr">
        <is>
          <t>No</t>
        </is>
      </c>
      <c r="U80" t="inlineStr">
        <is>
          <t>1 Year/18,000 Mile</t>
        </is>
      </c>
      <c r="V80" t="inlineStr">
        <is>
          <t>Yes</t>
        </is>
      </c>
      <c r="W80" t="inlineStr">
        <is>
          <t>Available to Order</t>
        </is>
      </c>
      <c r="X80" t="inlineStr">
        <is>
          <t>Buick Allure 2009-06, LaCrosse 2009-06; Chevrolet HHR 2011-06, Impala 2013-06, Impala Limited 2016-14, Monte Carlo 2007-06; Pontiac Grand Prix 2008-06</t>
        </is>
      </c>
      <c r="Y80" t="inlineStr">
        <is>
          <t>00082617755474</t>
        </is>
      </c>
      <c r="Z80" t="inlineStr">
        <is>
          <t>40-1067::98271:100665:306</t>
        </is>
      </c>
      <c r="AA80" t="inlineStr">
        <is>
          <t>Yes</t>
        </is>
      </c>
      <c r="AB80" t="inlineStr"/>
      <c r="AC80" t="inlineStr"/>
    </row>
    <row r="81">
      <c r="A81" t="inlineStr">
        <is>
          <t>80</t>
        </is>
      </c>
      <c r="B81" t="inlineStr">
        <is>
          <t>Windshield Wiper Motor</t>
        </is>
      </c>
      <c r="C81" t="inlineStr">
        <is>
          <t>40-1068</t>
        </is>
      </c>
      <c r="D81" t="inlineStr">
        <is>
          <t>Windshield Wiper Motor - 40-1068</t>
        </is>
      </c>
      <c r="E81" t="inlineStr">
        <is>
          <t>CARDONE Reman</t>
        </is>
      </c>
      <c r="F81" t="inlineStr">
        <is>
          <t>15112266;15248351</t>
        </is>
      </c>
      <c r="G81" t="inlineStr"/>
      <c r="H81" t="inlineStr"/>
      <c r="I81" t="inlineStr">
        <is>
          <t>{"0": {"productDeskExternalKey": "CPCX|40-1068"},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"Hummer H2 2009-03"}, "14": {"ItemLevelGTIN": "00082617755504"}, "15": {"_addonCardone": "40-1068::98271:100669:306"}, "16": {"Eligible for R&amp;R Service": "Yes"}}</t>
        </is>
      </c>
      <c r="J81" t="inlineStr">
        <is>
          <t>https://www.cardone.com/product/windshield-wiper-motor-40-1068</t>
        </is>
      </c>
      <c r="K81">
        <f>DISPIMG("ID_1FDFDDDB3F71456DB24A747EC522BEB8",1)</f>
        <v/>
      </c>
      <c r="L81" t="inlineStr">
        <is>
          <t>CPCX|40-1068</t>
        </is>
      </c>
      <c r="M81" t="inlineStr">
        <is>
          <t>Wiper Motor; Instruction Sheet</t>
        </is>
      </c>
      <c r="N81" t="inlineStr">
        <is>
          <t>Yes</t>
        </is>
      </c>
      <c r="O81" t="inlineStr">
        <is>
          <t>Remanufactured</t>
        </is>
      </c>
      <c r="P81" t="inlineStr">
        <is>
          <t>3</t>
        </is>
      </c>
      <c r="Q81" t="inlineStr">
        <is>
          <t>Blade</t>
        </is>
      </c>
      <c r="R81" t="inlineStr">
        <is>
          <t>Direct Bolt</t>
        </is>
      </c>
      <c r="S81" t="inlineStr">
        <is>
          <t>2.5000</t>
        </is>
      </c>
      <c r="T81" t="inlineStr">
        <is>
          <t>No</t>
        </is>
      </c>
      <c r="U81" t="inlineStr">
        <is>
          <t>1 Year/18,000 Mile</t>
        </is>
      </c>
      <c r="V81" t="inlineStr">
        <is>
          <t>Yes</t>
        </is>
      </c>
      <c r="W81" t="inlineStr">
        <is>
          <t>Available to Order</t>
        </is>
      </c>
      <c r="X81" t="inlineStr">
        <is>
          <t>Hummer H2 2009-03</t>
        </is>
      </c>
      <c r="Y81" t="inlineStr">
        <is>
          <t>00082617755504</t>
        </is>
      </c>
      <c r="Z81" t="inlineStr">
        <is>
          <t>40-1068::98271:100669:306</t>
        </is>
      </c>
      <c r="AA81" t="inlineStr">
        <is>
          <t>Yes</t>
        </is>
      </c>
      <c r="AB81" t="inlineStr"/>
      <c r="AC81" t="inlineStr"/>
    </row>
    <row r="82">
      <c r="A82" t="inlineStr">
        <is>
          <t>81</t>
        </is>
      </c>
      <c r="B82" t="inlineStr">
        <is>
          <t>Windshield Wiper Motor</t>
        </is>
      </c>
      <c r="C82" t="inlineStr">
        <is>
          <t>40-1069</t>
        </is>
      </c>
      <c r="D82" t="inlineStr">
        <is>
          <t>Windshield Wiper Motor - 40-1069</t>
        </is>
      </c>
      <c r="E82" t="inlineStr">
        <is>
          <t>CARDONE Reman</t>
        </is>
      </c>
      <c r="F82" t="inlineStr">
        <is>
          <t>92163957</t>
        </is>
      </c>
      <c r="G82" t="inlineStr">
        <is>
          <t>Pontiac GTO 2004-2006</t>
        </is>
      </c>
      <c r="H82" t="inlineStr">
        <is>
          <t>Pontiac GTO 2004 5.7L V8 350cid
Pontiac GTO 2005-2006 6L V8 364cid</t>
        </is>
      </c>
      <c r="I82" t="inlineStr">
        <is>
          <t>{"0": {"productDeskExternalKey": "CPCX|40-1069"},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"Pontiac GTO 2006-04"}, "14": {"ItemLevelGTIN": "00082617723121"}, "15": {"_addonCardone": "40-1069::98271:100674:306"}, "16": {"Eligible for R&amp;R Service": "Yes"}}</t>
        </is>
      </c>
      <c r="J82" t="inlineStr">
        <is>
          <t>https://www.cardone.com/product/windshield-wiper-motor-40-1069</t>
        </is>
      </c>
      <c r="K82">
        <f>DISPIMG("ID_5097DA57EFB84278ACAA19F9AC1D4078",1)</f>
        <v/>
      </c>
      <c r="L82" t="inlineStr">
        <is>
          <t>CPCX|40-1069</t>
        </is>
      </c>
      <c r="M82" t="inlineStr">
        <is>
          <t>Wiper Motor; Instruction Sheet</t>
        </is>
      </c>
      <c r="N82" t="inlineStr">
        <is>
          <t>Yes</t>
        </is>
      </c>
      <c r="O82" t="inlineStr">
        <is>
          <t>Remanufactured</t>
        </is>
      </c>
      <c r="P82" t="inlineStr">
        <is>
          <t>3</t>
        </is>
      </c>
      <c r="Q82" t="inlineStr">
        <is>
          <t>Blade</t>
        </is>
      </c>
      <c r="R82" t="inlineStr">
        <is>
          <t>Direct Bolt</t>
        </is>
      </c>
      <c r="S82" t="inlineStr">
        <is>
          <t>3.0000</t>
        </is>
      </c>
      <c r="T82" t="inlineStr">
        <is>
          <t>No</t>
        </is>
      </c>
      <c r="U82" t="inlineStr">
        <is>
          <t>1 Year/18,000 Mile</t>
        </is>
      </c>
      <c r="V82" t="inlineStr">
        <is>
          <t>Yes</t>
        </is>
      </c>
      <c r="W82" t="inlineStr">
        <is>
          <t>Available to Order</t>
        </is>
      </c>
      <c r="X82" t="inlineStr">
        <is>
          <t>Pontiac GTO 2006-04</t>
        </is>
      </c>
      <c r="Y82" t="inlineStr">
        <is>
          <t>00082617723121</t>
        </is>
      </c>
      <c r="Z82" t="inlineStr">
        <is>
          <t>40-1069::98271:100674:306</t>
        </is>
      </c>
      <c r="AA82" t="inlineStr">
        <is>
          <t>Yes</t>
        </is>
      </c>
      <c r="AB82" t="inlineStr"/>
      <c r="AC82" t="inlineStr"/>
    </row>
    <row r="83">
      <c r="A83" t="inlineStr">
        <is>
          <t>82</t>
        </is>
      </c>
      <c r="B83" t="inlineStr">
        <is>
          <t>Windshield Wiper Motor</t>
        </is>
      </c>
      <c r="C83" t="inlineStr">
        <is>
          <t>40-1070</t>
        </is>
      </c>
      <c r="D83" t="inlineStr">
        <is>
          <t>Windshield Wiper Motor - 40-1070</t>
        </is>
      </c>
      <c r="E83" t="inlineStr">
        <is>
          <t>CARDONE Reman</t>
        </is>
      </c>
      <c r="F83" t="inlineStr">
        <is>
          <t>68044087AA;25821246;68030272AA;12335832;15942928;15254796</t>
        </is>
      </c>
      <c r="G83" t="inlineStr">
        <is>
          <t>Buick Enclave 2008-2012
Buick Terraza 2005-2007
Chevrolet Traverse 2009-2012
Chevrolet Uplander 2005-2009
Chrysler 200 2011-2014
Chrysler Cirrus 2010
Chrysler Sebring 2010
Dodge Avenger 2009-2014
Dodge Journey 2009-2020
GMC Acadia 2007-2012
Pontiac Montana 2005-2009
Saturn Outlook 2007-2010
Saturn Relay 2005-2007</t>
        </is>
      </c>
      <c r="H83" t="inlineStr">
        <is>
          <t>Buick Enclave 2008-2012 3.6L V6 217cid
Buick Terraza 2005-2006 3.5L V6 213cid
Buick Terraza 2006-2007 3.9L V6 237cid
Chevrolet Traverse 2009-2012 3.6L V6 217cid
Chevrolet Uplander 2005-2006 3.5L V6 213cid
Chevrolet Uplander 2006-2009 3.9L V6 237cid
Chrysler 200 2011-2014 2.4L L4 144cid
Chrysler 200 2011-2014 3.6L V6 220cid
Chrysler Cirrus 2010 2.4L L4 144cid
Chrysler Cirrus 2010 3.5L V6 215cid
Chrysler Sebring 2010 2.4L L4 144cid
Chrysler Sebring 2010 2.7L V6 167cid
Chrysler Sebring 2010 3.5L V6 215cid
Dodge Avenger 2009-2010 2.7L V6 167cid
Dodge Avenger 2009-2010 2L L4 122cid
Dodge Avenger 2009-2010 3.5L V6 215cid
Dodge Avenger 2009-2014 2.4L L4 144cid
Dodge Avenger 2011-2014 3.6L V6 220cid
Dodge Journey 2009-2010 3.5L V6 215cid
Dodge Journey 2009-2020 2.4L L4 144cid
Dodge Journey 2011-2019 3.6L V6 220cid
GMC Acadia 2007-2012 3.6L V6 217cid
Pontiac Montana 2005-2006 3.5L V6 213cid
Pontiac Montana 2006-2009 3.9L V6 237cid
Saturn Outlook 2007-2010 3.6L V6 217cid
Saturn Relay 2005-2006 3.5L V6 213cid
Saturn Relay 2006-2007 3.9L V6 237cid</t>
        </is>
      </c>
      <c r="I83" t="inlineStr">
        <is>
          <t>{"0": {"productDeskExternalKey": "CPCX|40-1070"},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{"ItemLevelGTIN": "00082617759076"}, "14": {"_addonCardone": "40-1070::98271:100681:306"}, "15": {"Eligible for R&amp;R Service": "Yes"}}</t>
        </is>
      </c>
      <c r="J83" t="inlineStr">
        <is>
          <t>https://www.cardone.com/product/windshield-wiper-motor-40-1070</t>
        </is>
      </c>
      <c r="K83">
        <f>DISPIMG("ID_89D58D6FA2504B028FF7FEEE27A44BBD",1)</f>
        <v/>
      </c>
      <c r="L83" t="inlineStr">
        <is>
          <t>CPCX|40-1070</t>
        </is>
      </c>
      <c r="M83" t="inlineStr">
        <is>
          <t>Wiper Motor; Instruction Sheet</t>
        </is>
      </c>
      <c r="N83" t="inlineStr">
        <is>
          <t>Yes</t>
        </is>
      </c>
      <c r="O83" t="inlineStr">
        <is>
          <t>Remanufactured</t>
        </is>
      </c>
      <c r="P83" t="inlineStr">
        <is>
          <t>3</t>
        </is>
      </c>
      <c r="Q83" t="inlineStr">
        <is>
          <t>Blade</t>
        </is>
      </c>
      <c r="R83" t="inlineStr">
        <is>
          <t>Direct Bolt</t>
        </is>
      </c>
      <c r="S83" t="inlineStr">
        <is>
          <t>3.0000</t>
        </is>
      </c>
      <c r="T83" t="inlineStr">
        <is>
          <t>No</t>
        </is>
      </c>
      <c r="U83" t="inlineStr">
        <is>
          <t>1 Year/18,000 Mile</t>
        </is>
      </c>
      <c r="V83" t="inlineStr">
        <is>
          <t>Yes</t>
        </is>
      </c>
      <c r="W83" t="inlineStr">
        <is>
          <t>Available to Order</t>
        </is>
      </c>
      <c r="X83" t="inlineStr"/>
      <c r="Y83" t="inlineStr">
        <is>
          <t>00082617759076</t>
        </is>
      </c>
      <c r="Z83" t="inlineStr">
        <is>
          <t>40-1070::98271:100681:306</t>
        </is>
      </c>
      <c r="AA83" t="inlineStr">
        <is>
          <t>Yes</t>
        </is>
      </c>
      <c r="AB83" t="inlineStr"/>
      <c r="AC83" t="inlineStr"/>
    </row>
    <row r="84">
      <c r="A84" t="inlineStr">
        <is>
          <t>83</t>
        </is>
      </c>
      <c r="B84" t="inlineStr">
        <is>
          <t>Windshield Wiper Motor</t>
        </is>
      </c>
      <c r="C84" t="inlineStr">
        <is>
          <t>40-1071</t>
        </is>
      </c>
      <c r="D84" t="inlineStr">
        <is>
          <t>Windshield Wiper Motor - 40-1071</t>
        </is>
      </c>
      <c r="E84" t="inlineStr">
        <is>
          <t>CARDONE Reman</t>
        </is>
      </c>
      <c r="F84" t="inlineStr">
        <is>
          <t>22711010</t>
        </is>
      </c>
      <c r="G84" t="inlineStr">
        <is>
          <t>Chevrolet Malibu 2008
Chevrolet Vectra 2007-2008
Pontiac G6 2005-2008
Saturn Aura 2007-2008</t>
        </is>
      </c>
      <c r="H84" t="inlineStr">
        <is>
          <t>Chevrolet Malibu 2008 2.4L L4 145cid
Chevrolet Malibu 2008 3.5L V6 213cid
Chevrolet Malibu 2008 3.6L V6 217cid
Chevrolet Vectra 2007-2008 2.8L V6 170cid
Pontiac G6 2005-2008 3.5L V6 213cid
Pontiac G6 2006-2008 2.4L L4 145cid
Pontiac G6 2006-2008 3.9L V6 237cid
Pontiac G6 2007-2008 3.6L V6 217cid
Saturn Aura 2007-2008 2.4L L4 145cid
Saturn Aura 2007-2008 3.5L V6 213cid
Saturn Aura 2007-2008 3.6L V6 217cid</t>
        </is>
      </c>
      <c r="I84" t="inlineStr">
        <is>
          <t>{"0": {"productDeskExternalKey": "CPCX|40-1071"},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"Chevrolet Malibu 2008, Vectra 2008-07; Pontiac G6 2008-05; Saturn Aura 2008-07"}, "14": {"ItemLevelGTIN": "00082617759212"}, "15": {"_addonCardone": "40-1071::98271:100684:306"}, "16": {"Eligible for R&amp;R Service": "Yes"}}</t>
        </is>
      </c>
      <c r="J84" t="inlineStr">
        <is>
          <t>https://www.cardone.com/product/windshield-wiper-motor-40-1071</t>
        </is>
      </c>
      <c r="K84">
        <f>DISPIMG("ID_589BE176ADB343C4BF210279C1DFFB63",1)</f>
        <v/>
      </c>
      <c r="L84" t="inlineStr">
        <is>
          <t>CPCX|40-1071</t>
        </is>
      </c>
      <c r="M84" t="inlineStr">
        <is>
          <t>Wiper Motor; Instruction Sheet</t>
        </is>
      </c>
      <c r="N84" t="inlineStr">
        <is>
          <t>Yes</t>
        </is>
      </c>
      <c r="O84" t="inlineStr">
        <is>
          <t>Remanufactured</t>
        </is>
      </c>
      <c r="P84" t="inlineStr">
        <is>
          <t>3</t>
        </is>
      </c>
      <c r="Q84" t="inlineStr">
        <is>
          <t>Blade</t>
        </is>
      </c>
      <c r="R84" t="inlineStr">
        <is>
          <t>Direct Bolt</t>
        </is>
      </c>
      <c r="S84" t="inlineStr">
        <is>
          <t>3.5000</t>
        </is>
      </c>
      <c r="T84" t="inlineStr">
        <is>
          <t>No</t>
        </is>
      </c>
      <c r="U84" t="inlineStr">
        <is>
          <t>1 Year/18,000 Mile</t>
        </is>
      </c>
      <c r="V84" t="inlineStr">
        <is>
          <t>Yes</t>
        </is>
      </c>
      <c r="W84" t="inlineStr">
        <is>
          <t>Available to Order</t>
        </is>
      </c>
      <c r="X84" t="inlineStr">
        <is>
          <t>Chevrolet Malibu 2008, Vectra 2008-07; Pontiac G6 2008-05; Saturn Aura 2008-07</t>
        </is>
      </c>
      <c r="Y84" t="inlineStr">
        <is>
          <t>00082617759212</t>
        </is>
      </c>
      <c r="Z84" t="inlineStr">
        <is>
          <t>40-1071::98271:100684:306</t>
        </is>
      </c>
      <c r="AA84" t="inlineStr">
        <is>
          <t>Yes</t>
        </is>
      </c>
      <c r="AB84" t="inlineStr"/>
      <c r="AC84" t="inlineStr"/>
    </row>
    <row r="85">
      <c r="A85" t="inlineStr">
        <is>
          <t>84</t>
        </is>
      </c>
      <c r="B85" t="inlineStr">
        <is>
          <t>Windshield Wiper Motor</t>
        </is>
      </c>
      <c r="C85" t="inlineStr">
        <is>
          <t>40-1072</t>
        </is>
      </c>
      <c r="D85" t="inlineStr">
        <is>
          <t>Windshield Wiper Motor - 40-1072</t>
        </is>
      </c>
      <c r="E85" t="inlineStr">
        <is>
          <t>CARDONE Reman</t>
        </is>
      </c>
      <c r="F85" t="inlineStr">
        <is>
          <t>13277078;25790521</t>
        </is>
      </c>
      <c r="G85" t="inlineStr">
        <is>
          <t>Buick Allure 2010
Buick LaCrosse 2010-2016
Buick Regal 2011-2017
Cadillac DTS 2006-2011</t>
        </is>
      </c>
      <c r="H85" t="inlineStr">
        <is>
          <t>Buick Allure 2010 2.4L L4 145cid
Buick Allure 2010 3.6L V6 217cid
Buick Allure 2010 3L V6 182cid
Buick LaCrosse 2010 3L V6 182cid
Buick LaCrosse 2010-2016 2.4L L4 145cid
Buick LaCrosse 2010-2016 3.6L V6 217cid
Buick Regal 2011-2017 2.4L L4 145cid
Buick Regal 2011-2017 2L L4 122cid
Cadillac DTS 2006-2011 4.6L V8 281cid</t>
        </is>
      </c>
      <c r="I85" t="inlineStr">
        <is>
          <t>{"0": {"productDeskExternalKey": "CPCX|40-1072"},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"Buick Allure 2010, LaCrosse 2016-10, Regal 2017-11; Cadillac DTS 2011-06"}, "14": {"ItemLevelGTIN": "00082617760409"}, "15": {"_addonCardone": "40-1072::98271:100689:306"}, "16": {"Eligible for R&amp;R Service": "Yes"}}</t>
        </is>
      </c>
      <c r="J85" t="inlineStr">
        <is>
          <t>https://www.cardone.com/product/windshield-wiper-motor-40-1072</t>
        </is>
      </c>
      <c r="K85">
        <f>DISPIMG("ID_38E471EE1D2C499E8CAAD98781A02818",1)</f>
        <v/>
      </c>
      <c r="L85" t="inlineStr">
        <is>
          <t>CPCX|40-1072</t>
        </is>
      </c>
      <c r="M85" t="inlineStr">
        <is>
          <t>Wiper Motor; Instruction Sheet</t>
        </is>
      </c>
      <c r="N85" t="inlineStr">
        <is>
          <t>Yes</t>
        </is>
      </c>
      <c r="O85" t="inlineStr">
        <is>
          <t>Remanufactured</t>
        </is>
      </c>
      <c r="P85" t="inlineStr">
        <is>
          <t>3</t>
        </is>
      </c>
      <c r="Q85" t="inlineStr">
        <is>
          <t>Blade</t>
        </is>
      </c>
      <c r="R85" t="inlineStr">
        <is>
          <t>Direct Bolt</t>
        </is>
      </c>
      <c r="S85" t="inlineStr">
        <is>
          <t>2.5000</t>
        </is>
      </c>
      <c r="T85" t="inlineStr">
        <is>
          <t>No</t>
        </is>
      </c>
      <c r="U85" t="inlineStr">
        <is>
          <t>1 Year/18,000 Mile</t>
        </is>
      </c>
      <c r="V85" t="inlineStr">
        <is>
          <t>Yes</t>
        </is>
      </c>
      <c r="W85" t="inlineStr">
        <is>
          <t>Available to Order</t>
        </is>
      </c>
      <c r="X85" t="inlineStr">
        <is>
          <t>Buick Allure 2010, LaCrosse 2016-10, Regal 2017-11; Cadillac DTS 2011-06</t>
        </is>
      </c>
      <c r="Y85" t="inlineStr">
        <is>
          <t>00082617760409</t>
        </is>
      </c>
      <c r="Z85" t="inlineStr">
        <is>
          <t>40-1072::98271:100689:306</t>
        </is>
      </c>
      <c r="AA85" t="inlineStr">
        <is>
          <t>Yes</t>
        </is>
      </c>
      <c r="AB85" t="inlineStr"/>
      <c r="AC85" t="inlineStr"/>
    </row>
    <row r="86">
      <c r="A86" t="inlineStr">
        <is>
          <t>85</t>
        </is>
      </c>
      <c r="B86" t="inlineStr">
        <is>
          <t>Windshield Wiper Motor</t>
        </is>
      </c>
      <c r="C86" t="inlineStr">
        <is>
          <t>40-1074L</t>
        </is>
      </c>
      <c r="D86" t="inlineStr">
        <is>
          <t>Windshield Wiper Motor - 40-1074L</t>
        </is>
      </c>
      <c r="E86" t="inlineStr">
        <is>
          <t>CARDONE Reman</t>
        </is>
      </c>
      <c r="F86" t="inlineStr">
        <is>
          <t>10303632;10310227</t>
        </is>
      </c>
      <c r="G86" t="inlineStr">
        <is>
          <t>Buick Rendezvous 2002-2007
Pontiac Aztek 2001-2005</t>
        </is>
      </c>
      <c r="H86" t="inlineStr">
        <is>
          <t>Buick Rendezvous 2002-2005 3.4L V6 207cid
Buick Rendezvous 2004-2006 3.6L V6 217cid
Buick Rendezvous 2006-2007 3.5L V6 213cid
Pontiac Aztek 2001-2005 3.4L V6 207cid</t>
        </is>
      </c>
      <c r="I86" t="inlineStr">
        <is>
          <t>{"0": {"productDeskExternalKey": "CPCX|40-1074L"}, "1": {"Package Contents": "Wiper Motor; Instruction Sheet"}, "2": {"E-Waste": "Yes"}, "3": {"Product Condition": "Remanufactured"}, "4": {"Mounting Hole Quantity": "3"}, "5": {"Terminal Type": "Blade"}, "6": {"Mounting Type": "Direct Bolt"}, "7": {"Weight PG": "16.0000"}, "8": {"Washer Pump Included": "No"}, "9": {"Part Type": "Windshield Wiper Motor"}, "10": {"Warranty Info": "1 Year/18,000 Mile"}, "11": {"Sustainable Choice": "Yes"}, "12": {"Lifecycle Status": "Available to Order"}, "13": {"Application Summary": "Buick Rendezvous 2007-02; Pontiac Aztek 2005-01"}, "14": {"ItemLevelGTIN": "00082617761444"}, "15": {"_addonCardone": "40-1074L::98271:100693:306"}, "16": {"Eligible for R&amp;R Service": "Yes"}}</t>
        </is>
      </c>
      <c r="J86" t="inlineStr">
        <is>
          <t>https://www.cardone.com/product/windshield-wiper-motor-40-1074l</t>
        </is>
      </c>
      <c r="K86">
        <f>DISPIMG("ID_535896B345B24FEE85A0E3DCC6B13A22",1)</f>
        <v/>
      </c>
      <c r="L86" t="inlineStr">
        <is>
          <t>CPCX|40-1074L</t>
        </is>
      </c>
      <c r="M86" t="inlineStr">
        <is>
          <t>Wiper Motor; Instruction Sheet</t>
        </is>
      </c>
      <c r="N86" t="inlineStr">
        <is>
          <t>Yes</t>
        </is>
      </c>
      <c r="O86" t="inlineStr">
        <is>
          <t>Remanufactured</t>
        </is>
      </c>
      <c r="P86" t="inlineStr">
        <is>
          <t>3</t>
        </is>
      </c>
      <c r="Q86" t="inlineStr">
        <is>
          <t>Blade</t>
        </is>
      </c>
      <c r="R86" t="inlineStr">
        <is>
          <t>Direct Bolt</t>
        </is>
      </c>
      <c r="S86" t="inlineStr">
        <is>
          <t>16.0000</t>
        </is>
      </c>
      <c r="T86" t="inlineStr">
        <is>
          <t>No</t>
        </is>
      </c>
      <c r="U86" t="inlineStr">
        <is>
          <t>1 Year/18,000 Mile</t>
        </is>
      </c>
      <c r="V86" t="inlineStr">
        <is>
          <t>Yes</t>
        </is>
      </c>
      <c r="W86" t="inlineStr">
        <is>
          <t>Available to Order</t>
        </is>
      </c>
      <c r="X86" t="inlineStr">
        <is>
          <t>Buick Rendezvous 2007-02; Pontiac Aztek 2005-01</t>
        </is>
      </c>
      <c r="Y86" t="inlineStr">
        <is>
          <t>00082617761444</t>
        </is>
      </c>
      <c r="Z86" t="inlineStr">
        <is>
          <t>40-1074L::98271:100693:306</t>
        </is>
      </c>
      <c r="AA86" t="inlineStr">
        <is>
          <t>Yes</t>
        </is>
      </c>
      <c r="AB86" t="inlineStr"/>
      <c r="AC86" t="inlineStr"/>
    </row>
    <row r="87">
      <c r="A87" t="inlineStr">
        <is>
          <t>86</t>
        </is>
      </c>
      <c r="B87" t="inlineStr">
        <is>
          <t>Windshield Wiper Motor</t>
        </is>
      </c>
      <c r="C87" t="inlineStr">
        <is>
          <t>40-1075L</t>
        </is>
      </c>
      <c r="D87" t="inlineStr">
        <is>
          <t>Windshield Wiper Motor - 40-1075L</t>
        </is>
      </c>
      <c r="E87" t="inlineStr">
        <is>
          <t>CARDONE Reman</t>
        </is>
      </c>
      <c r="F87" t="inlineStr">
        <is>
          <t>8152143440;15094705</t>
        </is>
      </c>
      <c r="G87" t="inlineStr">
        <is>
          <t>Buick Rainier 2004-2006
Chevrolet Blazer 2002-2005
Chevrolet Trailblazer 2003-2009
Chevrolet Trailblazer EXT 2003-2006
GMC Envoy 2003-2006
GMC Envoy XL 2003-2006
GMC Envoy XUV 2004-2005
GMC Jimmy 2002-2005
Oldsmobile Bravada 2004</t>
        </is>
      </c>
      <c r="H87" t="inlineStr">
        <is>
          <t>Buick Rainier 2004-2006 4.2L L6 256cid
Buick Rainier 2004-2006 5.3L V8 325cid
Chevrolet Blazer 2002 4.2L L6 256cid
Chevrolet Blazer 2002-2005 4.3L V6 262cid
Chevrolet Trailblazer 2003-2009 4.2L L6 256cid
Chevrolet Trailblazer 2006-2008 5.3L V8 325cid
Chevrolet Trailblazer 2006-2009 6L V8 364cid
Chevrolet Trailblazer EXT 2003-2006 4.2L L6 256cid
Chevrolet Trailblazer EXT 2003-2006 5.3L V8 325cid
GMC Envoy 2003-2006 4.2L L6 256cid
GMC Envoy 2005-2006 5.3L V8 325cid
GMC Envoy XL 2003-2006 4.2L L6 256cid
GMC Envoy XL 2003-2006 5.3L V8 325cid
GMC Envoy XUV 2004-2005 4.2L L6 256cid
GMC Envoy XUV 2004-2005 5.3L V8 325cid
GMC Jimmy 2002-2003 4.3L V6 262cid
GMC Jimmy 2004-2005 4.3L V6 4294cc
Oldsmobile Bravada 2004 4.2L L6 256cid</t>
        </is>
      </c>
      <c r="I87" t="inlineStr">
        <is>
          <t>{"0": {"productDeskExternalKey": "CPCX|40-1075L"}, "1": {"Package Contents": "Wiper Motor; Instruction Sheet"}, "2": {"E-Waste": "Yes"}, "3": {"Product Condition": "Remanufactured"}, "4": {"Mounting Hole Quantity": "2"}, "5": {"Terminal Type": "Blade"}, "6": {"Mounting Type": "Grommet"}, "7": {"Weight PG": "7.0000"}, "8": {"Washer Pump Included": "No"}, "9": {"Part Type": "Windshield Wiper Motor"}, "10": {"Warranty Info": "1 Year/18,000 Mile"}, "11": {"Sustainable Choice": "Yes"}, "12": {"Lifecycle Status": "Available to Order"}, "13": {"Application Summary": "Buick Rainier 2006-04; Chevrolet Blazer 2005-02, Trailblazer 2009-03, Trailblazer EXT 2006-03; GMC Envoy 2006-03, Envoy XL 2006-03, Envoy XUV 2005-04, Jimmy 2005-02; Isuzu Ascender 2007-05; Oldsmobile Bravada 2004"}, "14": {"ItemLevelGTIN": "00082617760416"}, "15": {"_addonCardone": "40-1075L::98271:100698:306"}, "16": {"Eligible for R&amp;R Service": "Yes"}}</t>
        </is>
      </c>
      <c r="J87" t="inlineStr">
        <is>
          <t>https://www.cardone.com/product/windshield-wiper-motor-40-1075l</t>
        </is>
      </c>
      <c r="K87">
        <f>DISPIMG("ID_8F1F4382C21C46C2BAF8CAD56891D985",1)</f>
        <v/>
      </c>
      <c r="L87" t="inlineStr">
        <is>
          <t>CPCX|40-1075L</t>
        </is>
      </c>
      <c r="M87" t="inlineStr">
        <is>
          <t>Wiper Motor; Instruction Sheet</t>
        </is>
      </c>
      <c r="N87" t="inlineStr">
        <is>
          <t>Yes</t>
        </is>
      </c>
      <c r="O87" t="inlineStr">
        <is>
          <t>Remanufactured</t>
        </is>
      </c>
      <c r="P87" t="inlineStr">
        <is>
          <t>2</t>
        </is>
      </c>
      <c r="Q87" t="inlineStr">
        <is>
          <t>Blade</t>
        </is>
      </c>
      <c r="R87" t="inlineStr">
        <is>
          <t>Grommet</t>
        </is>
      </c>
      <c r="S87" t="inlineStr">
        <is>
          <t>7.0000</t>
        </is>
      </c>
      <c r="T87" t="inlineStr">
        <is>
          <t>No</t>
        </is>
      </c>
      <c r="U87" t="inlineStr">
        <is>
          <t>1 Year/18,000 Mile</t>
        </is>
      </c>
      <c r="V87" t="inlineStr">
        <is>
          <t>Yes</t>
        </is>
      </c>
      <c r="W87" t="inlineStr">
        <is>
          <t>Available to Order</t>
        </is>
      </c>
      <c r="X87" t="inlineStr">
        <is>
          <t>Buick Rainier 2006-04; Chevrolet Blazer 2005-02, Trailblazer 2009-03, Trailblazer EXT 2006-03; GMC Envoy 2006-03, Envoy XL 2006-03, Envoy XUV 2005-04, Jimmy 2005-02; Isuzu Ascender 2007-05; Oldsmobile Bravada 2004</t>
        </is>
      </c>
      <c r="Y87" t="inlineStr">
        <is>
          <t>00082617760416</t>
        </is>
      </c>
      <c r="Z87" t="inlineStr">
        <is>
          <t>40-1075L::98271:100698:306</t>
        </is>
      </c>
      <c r="AA87" t="inlineStr">
        <is>
          <t>Yes</t>
        </is>
      </c>
      <c r="AB87" t="inlineStr"/>
      <c r="AC87" t="inlineStr"/>
    </row>
    <row r="88">
      <c r="A88" t="inlineStr">
        <is>
          <t>87</t>
        </is>
      </c>
      <c r="B88" t="inlineStr">
        <is>
          <t>Windshield Wiper Motor</t>
        </is>
      </c>
      <c r="C88" t="inlineStr">
        <is>
          <t>40-1076L</t>
        </is>
      </c>
      <c r="D88" t="inlineStr">
        <is>
          <t>Windshield Wiper Motor - 40-1076L</t>
        </is>
      </c>
      <c r="E88" t="inlineStr">
        <is>
          <t>CARDONE Reman</t>
        </is>
      </c>
      <c r="F88" t="inlineStr">
        <is>
          <t>8152143430;15094704;15214343</t>
        </is>
      </c>
      <c r="G88" t="inlineStr">
        <is>
          <t>Buick Rainier 2004-2007
Chevrolet Blazer 2002-2005
Chevrolet Trailblazer 2003-2009
Chevrolet Trailblazer EXT 2003-2006
GMC Envoy 2003-2009
GMC Envoy XL 2003-2006
GMC Envoy XUV 2004-2005
GMC Jimmy 2002-2005
Isuzu Ascender 2005-2008
Oldsmobile Bravada 2003-2004
Saab 9-7x 2005-2009</t>
        </is>
      </c>
      <c r="H88" t="inlineStr">
        <is>
          <t>Buick Rainier 2004-2007 4.2L L6 256cid
Buick Rainier 2004-2007 5.3L V8 325cid
Chevrolet Blazer 2002 4.2L L6 256cid
Chevrolet Blazer 2002-2005 4.3L V6 262cid
Chevrolet Trailblazer 2003-2009 4.2L L6 256cid
Chevrolet Trailblazer 2006-2008 5.3L V8 325cid
Chevrolet Trailblazer 2006-2009 6L V8 364cid
Chevrolet Trailblazer EXT 2003-2006 4.2L L6 256cid
Chevrolet Trailblazer EXT 2003-2006 5.3L V8 325cid
GMC Envoy 2003-2009 4.2L L6 256cid
GMC Envoy 2005-2009 5.3L V8 325cid
GMC Envoy XL 2003-2006 4.2L L6 256cid
GMC Envoy XL 2003-2006 5.3L V8 325cid
GMC Envoy XUV 2004-2005 4.2L L6 256cid
GMC Envoy XUV 2004-2005 5.3L V8 325cid
GMC Jimmy 2002-2003 4.3L V6 262cid
GMC Jimmy 2004-2005 4.3L V6 4294cc
Isuzu Ascender 2005-2006 5.3L V8 325cid
Isuzu Ascender 2005-2008 4.2L L6 256cid
Oldsmobile Bravada 2003-2004 4.2L L6 256cid
Saab 9-7x 2005-2009 4.2L L6 256cid
Saab 9-7x 2005-2009 5.3L V8 325cid
Saab 9-7x 2008-2009 6L V8 364cid</t>
        </is>
      </c>
      <c r="I88" t="inlineStr">
        <is>
          <t>{"0": {"productDeskExternalKey": "CPCX|40-1076L"}, "1": {"Package Contents": "Wiper Motor; Instruction Sheet"}, "2": {"E-Waste": "Yes"}, "3": {"Product Condition": "Remanufactured"}, "4": {"Mounting Hole Quantity": "2"}, "5": {"Terminal Type": "Blade"}, "6": {"Mounting Type": "Eyelet; Grommet"}, "7": {"Weight PG": "7.0000"}, "8": {"Washer Pump Included": "No"}, "9": {"Part Type": "Windshield Wiper Motor"}, "10": {"Warranty Info": "1 Year/18,000 Mile"}, "11": {"Sustainable Choice": "Yes"}, "12": {"Lifecycle Status": "Available to Order"}, "13": {"Application Summary": "Buick Rainier 2007-04; Chevrolet Blazer 2005-02, Trailblazer 2009-03, Trailblazer EXT 2006-03; GMC Envoy 2009-03, Envoy XL 2006-03, Envoy XUV 2005-04, Jimmy 2005-02; Isuzu Ascender 2008-05; Oldsmobile Bravada 2004-03; Saab 9-7x 2009-05"}, "14": {"ItemLevelGTIN": "00082617761451"}, "15": {"_addonCardone": "40-1076L::98271:100702:306"}, "16": {"Eligible for R&amp;R Service": "Yes"}}</t>
        </is>
      </c>
      <c r="J88" t="inlineStr">
        <is>
          <t>https://www.cardone.com/product/windshield-wiper-motor-40-1076l</t>
        </is>
      </c>
      <c r="K88">
        <f>DISPIMG("ID_58C39E682AB245BB8B90DD902FE720C2",1)</f>
        <v/>
      </c>
      <c r="L88" t="inlineStr">
        <is>
          <t>CPCX|40-1076L</t>
        </is>
      </c>
      <c r="M88" t="inlineStr">
        <is>
          <t>Wiper Motor; Instruction Sheet</t>
        </is>
      </c>
      <c r="N88" t="inlineStr">
        <is>
          <t>Yes</t>
        </is>
      </c>
      <c r="O88" t="inlineStr">
        <is>
          <t>Remanufactured</t>
        </is>
      </c>
      <c r="P88" t="inlineStr">
        <is>
          <t>2</t>
        </is>
      </c>
      <c r="Q88" t="inlineStr">
        <is>
          <t>Blade</t>
        </is>
      </c>
      <c r="R88" t="inlineStr">
        <is>
          <t>Eyelet; Grommet</t>
        </is>
      </c>
      <c r="S88" t="inlineStr">
        <is>
          <t>7.0000</t>
        </is>
      </c>
      <c r="T88" t="inlineStr">
        <is>
          <t>No</t>
        </is>
      </c>
      <c r="U88" t="inlineStr">
        <is>
          <t>1 Year/18,000 Mile</t>
        </is>
      </c>
      <c r="V88" t="inlineStr">
        <is>
          <t>Yes</t>
        </is>
      </c>
      <c r="W88" t="inlineStr">
        <is>
          <t>Available to Order</t>
        </is>
      </c>
      <c r="X88" t="inlineStr">
        <is>
          <t>Buick Rainier 2007-04; Chevrolet Blazer 2005-02, Trailblazer 2009-03, Trailblazer EXT 2006-03; GMC Envoy 2009-03, Envoy XL 2006-03, Envoy XUV 2005-04, Jimmy 2005-02; Isuzu Ascender 2008-05; Oldsmobile Bravada 2004-03; Saab 9-7x 2009-05</t>
        </is>
      </c>
      <c r="Y88" t="inlineStr">
        <is>
          <t>00082617761451</t>
        </is>
      </c>
      <c r="Z88" t="inlineStr">
        <is>
          <t>40-1076L::98271:100702:306</t>
        </is>
      </c>
      <c r="AA88" t="inlineStr">
        <is>
          <t>Yes</t>
        </is>
      </c>
      <c r="AB88" t="inlineStr"/>
      <c r="AC88" t="inlineStr"/>
    </row>
    <row r="89">
      <c r="A89" t="inlineStr">
        <is>
          <t>88</t>
        </is>
      </c>
      <c r="B89" t="inlineStr">
        <is>
          <t>Windshield Wiper Motor</t>
        </is>
      </c>
      <c r="C89" t="inlineStr">
        <is>
          <t>40-1077</t>
        </is>
      </c>
      <c r="D89" t="inlineStr">
        <is>
          <t>Windshield Wiper Motor - 40-1077</t>
        </is>
      </c>
      <c r="E89" t="inlineStr">
        <is>
          <t>CARDONE Reman</t>
        </is>
      </c>
      <c r="F89" t="inlineStr">
        <is>
          <t>15943776</t>
        </is>
      </c>
      <c r="G89" t="inlineStr">
        <is>
          <t>Chevrolet HHR 2006-2011</t>
        </is>
      </c>
      <c r="H89" t="inlineStr">
        <is>
          <t>Chevrolet HHR 2006-2011 2.2L L4 134cid
Chevrolet HHR 2006-2011 2.4L L4 145cid
Chevrolet HHR 2008-2010 2L L4 122cid</t>
        </is>
      </c>
      <c r="I89" t="inlineStr">
        <is>
          <t>{"0": {"productDeskExternalKey": "CPCX|40-1077"}, "1": {"Package Contents": "Wiper Motor; Instruction Sheet"}, "2": {"E-Waste": "Yes"}, "3": {"Product Condition": "Remanufactured"}, "4": {"Mounting Hole Quantity": "3"}, "5": {"Terminal Type": "Blade"}, "6": {"Mounting Type": "Grommet"}, "7": {"Weight PG": "1.9000"}, "8": {"Washer Pump Included": "No"}, "9": {"Part Type": "Windshield Wiper Motor"}, "10": {"Warranty Info": "1 Year/18,000 Mile"}, "11": {"Sustainable Choice": "Yes"}, "12": {"Lifecycle Status": "Available to Order"}, "13": {"Application Summary": "Chevrolet HHR 2011-06"}, "14": {"ItemLevelGTIN": "00082617761659"}, "15": {"_addonCardone": "40-1077::98271:100707:306"}, "16": {"Eligible for R&amp;R Service": "Yes"}}</t>
        </is>
      </c>
      <c r="J89" t="inlineStr">
        <is>
          <t>https://www.cardone.com/product/windshield-wiper-motor-40-1077</t>
        </is>
      </c>
      <c r="K89">
        <f>DISPIMG("ID_5FCD864959044BF1A9708769CEE28AF7",1)</f>
        <v/>
      </c>
      <c r="L89" t="inlineStr">
        <is>
          <t>CPCX|40-1077</t>
        </is>
      </c>
      <c r="M89" t="inlineStr">
        <is>
          <t>Wiper Motor; Instruction Sheet</t>
        </is>
      </c>
      <c r="N89" t="inlineStr">
        <is>
          <t>Yes</t>
        </is>
      </c>
      <c r="O89" t="inlineStr">
        <is>
          <t>Remanufactured</t>
        </is>
      </c>
      <c r="P89" t="inlineStr">
        <is>
          <t>3</t>
        </is>
      </c>
      <c r="Q89" t="inlineStr">
        <is>
          <t>Blade</t>
        </is>
      </c>
      <c r="R89" t="inlineStr">
        <is>
          <t>Grommet</t>
        </is>
      </c>
      <c r="S89" t="inlineStr">
        <is>
          <t>1.9000</t>
        </is>
      </c>
      <c r="T89" t="inlineStr">
        <is>
          <t>No</t>
        </is>
      </c>
      <c r="U89" t="inlineStr">
        <is>
          <t>1 Year/18,000 Mile</t>
        </is>
      </c>
      <c r="V89" t="inlineStr">
        <is>
          <t>Yes</t>
        </is>
      </c>
      <c r="W89" t="inlineStr">
        <is>
          <t>Available to Order</t>
        </is>
      </c>
      <c r="X89" t="inlineStr">
        <is>
          <t>Chevrolet HHR 2011-06</t>
        </is>
      </c>
      <c r="Y89" t="inlineStr">
        <is>
          <t>00082617761659</t>
        </is>
      </c>
      <c r="Z89" t="inlineStr">
        <is>
          <t>40-1077::98271:100707:306</t>
        </is>
      </c>
      <c r="AA89" t="inlineStr">
        <is>
          <t>Yes</t>
        </is>
      </c>
      <c r="AB89" t="inlineStr"/>
      <c r="AC89" t="inlineStr"/>
    </row>
    <row r="90">
      <c r="A90" t="inlineStr">
        <is>
          <t>89</t>
        </is>
      </c>
      <c r="B90" t="inlineStr">
        <is>
          <t>Windshield Wiper Motor</t>
        </is>
      </c>
      <c r="C90" t="inlineStr">
        <is>
          <t>40-1080</t>
        </is>
      </c>
      <c r="D90" t="inlineStr">
        <is>
          <t>Windshield Wiper Motor - 40-1080</t>
        </is>
      </c>
      <c r="E90" t="inlineStr">
        <is>
          <t>CARDONE Reman</t>
        </is>
      </c>
      <c r="F90" t="inlineStr">
        <is>
          <t>19121120;19177837</t>
        </is>
      </c>
      <c r="G90" t="inlineStr">
        <is>
          <t>Buick Lucerne 2006-2011
Cadillac SRX 2007-2009
Pontiac Solstice 2007-2009
Saturn Sky 2007-2010</t>
        </is>
      </c>
      <c r="H90" t="inlineStr">
        <is>
          <t>Buick Lucerne 2006-2008 3.8L V6 231cid
Buick Lucerne 2006-2011 4.6L V8 281cid
Buick Lucerne 2009-2011 3.9L V6 237cid
Cadillac SRX 2007-2009 3.6L V6 217cid
Cadillac SRX 2007-2009 4.6L V8 281cid
Pontiac Solstice 2007-2009 2.4L L4 145cid
Pontiac Solstice 2007-2009 2L L4 122cid
Saturn Sky 2007-2010 2.4L L4 145cid
Saturn Sky 2007-2010 2L L4 122cid</t>
        </is>
      </c>
      <c r="I90" t="inlineStr">
        <is>
          <t>{"0": {"productDeskExternalKey": "CPCX|40-1080"},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"Buick Lucerne 2011-06; Cadillac SRX 2009-07; Pontiac Solstice 2009-07; Saturn Sky 2010-07"}, "14": {"ItemLevelGTIN": "00082617762250"}, "15": {"_addonCardone": "40-1080::98271:100711:306"}, "16": {"Eligible for R&amp;R Service": "Yes"}}</t>
        </is>
      </c>
      <c r="J90" t="inlineStr">
        <is>
          <t>https://www.cardone.com/product/windshield-wiper-motor-40-1080</t>
        </is>
      </c>
      <c r="K90">
        <f>DISPIMG("ID_5F728D4F68EC4B9AA405EDB1533D23E4",1)</f>
        <v/>
      </c>
      <c r="L90" t="inlineStr">
        <is>
          <t>CPCX|40-1080</t>
        </is>
      </c>
      <c r="M90" t="inlineStr">
        <is>
          <t>Wiper Motor; Instruction Sheet</t>
        </is>
      </c>
      <c r="N90" t="inlineStr">
        <is>
          <t>Yes</t>
        </is>
      </c>
      <c r="O90" t="inlineStr">
        <is>
          <t>Remanufactured</t>
        </is>
      </c>
      <c r="P90" t="inlineStr">
        <is>
          <t>3</t>
        </is>
      </c>
      <c r="Q90" t="inlineStr">
        <is>
          <t>Blade</t>
        </is>
      </c>
      <c r="R90" t="inlineStr">
        <is>
          <t>Direct Bolt</t>
        </is>
      </c>
      <c r="S90" t="inlineStr">
        <is>
          <t>2.5000</t>
        </is>
      </c>
      <c r="T90" t="inlineStr">
        <is>
          <t>No</t>
        </is>
      </c>
      <c r="U90" t="inlineStr">
        <is>
          <t>1 Year/18,000 Mile</t>
        </is>
      </c>
      <c r="V90" t="inlineStr">
        <is>
          <t>Yes</t>
        </is>
      </c>
      <c r="W90" t="inlineStr">
        <is>
          <t>Available to Order</t>
        </is>
      </c>
      <c r="X90" t="inlineStr">
        <is>
          <t>Buick Lucerne 2011-06; Cadillac SRX 2009-07; Pontiac Solstice 2009-07; Saturn Sky 2010-07</t>
        </is>
      </c>
      <c r="Y90" t="inlineStr">
        <is>
          <t>00082617762250</t>
        </is>
      </c>
      <c r="Z90" t="inlineStr">
        <is>
          <t>40-1080::98271:100711:306</t>
        </is>
      </c>
      <c r="AA90" t="inlineStr">
        <is>
          <t>Yes</t>
        </is>
      </c>
      <c r="AB90" t="inlineStr"/>
      <c r="AC90" t="inlineStr"/>
    </row>
    <row r="91">
      <c r="A91" t="inlineStr">
        <is>
          <t>90</t>
        </is>
      </c>
      <c r="B91" t="inlineStr">
        <is>
          <t>Windshield Wiper Motor</t>
        </is>
      </c>
      <c r="C91" t="inlineStr">
        <is>
          <t>40-1081</t>
        </is>
      </c>
      <c r="D91" t="inlineStr">
        <is>
          <t>Windshield Wiper Motor - 40-1081</t>
        </is>
      </c>
      <c r="E91" t="inlineStr">
        <is>
          <t>CARDONE Reman</t>
        </is>
      </c>
      <c r="F91" t="inlineStr">
        <is>
          <t>05480787</t>
        </is>
      </c>
      <c r="G91" t="inlineStr">
        <is>
          <t>Chevrolet Equinox 2005-2006
Pontiac Torrent 2006</t>
        </is>
      </c>
      <c r="H91" t="inlineStr">
        <is>
          <t>Chevrolet Equinox 2005-2006 3.4L V6 207cid
Pontiac Torrent 2006 3.4L V6 207cid</t>
        </is>
      </c>
      <c r="I91" t="inlineStr">
        <is>
          <t>{"0": {"productDeskExternalKey": "CPCX|40-1081"}, "1": {"Package Contents": "Wiper Motor; Instruction Sheet"}, "2": {"E-Waste": "Yes"}, "3": {"Product Condition": "Remanufactured"}, "4": {"Mounting Hole Quantity": "3"}, "5": {"Terminal Type": "Blade"}, "6": {"Mounting Type": "Grommet"}, "7": {"Weight PG": "2.4500"}, "8": {"Washer Pump Included": "No"}, "9": {"Part Type": "Windshield Wiper Motor"}, "10": {"Warranty Info": "1 Year/18,000 Mile"}, "11": {"Sustainable Choice": "Yes"}, "12": {"Lifecycle Status": "Available to Order"}, "13": {"Application Summary": "Chevrolet Equinox 2006-05; Pontiac Torrent 2006"}, "14": {"ItemLevelGTIN": "00082617765367"}, "15": {"_addonCardone": "40-1081::98271:100714:306"}, "16": {"Eligible for R&amp;R Service": "Yes"}}</t>
        </is>
      </c>
      <c r="J91" t="inlineStr">
        <is>
          <t>https://www.cardone.com/product/windshield-wiper-motor-40-1081</t>
        </is>
      </c>
      <c r="K91">
        <f>DISPIMG("ID_2E666CFAB81546558FA781174CFC4769",1)</f>
        <v/>
      </c>
      <c r="L91" t="inlineStr">
        <is>
          <t>CPCX|40-1081</t>
        </is>
      </c>
      <c r="M91" t="inlineStr">
        <is>
          <t>Wiper Motor; Instruction Sheet</t>
        </is>
      </c>
      <c r="N91" t="inlineStr">
        <is>
          <t>Yes</t>
        </is>
      </c>
      <c r="O91" t="inlineStr">
        <is>
          <t>Remanufactured</t>
        </is>
      </c>
      <c r="P91" t="inlineStr">
        <is>
          <t>3</t>
        </is>
      </c>
      <c r="Q91" t="inlineStr">
        <is>
          <t>Blade</t>
        </is>
      </c>
      <c r="R91" t="inlineStr">
        <is>
          <t>Grommet</t>
        </is>
      </c>
      <c r="S91" t="inlineStr">
        <is>
          <t>2.4500</t>
        </is>
      </c>
      <c r="T91" t="inlineStr">
        <is>
          <t>No</t>
        </is>
      </c>
      <c r="U91" t="inlineStr">
        <is>
          <t>1 Year/18,000 Mile</t>
        </is>
      </c>
      <c r="V91" t="inlineStr">
        <is>
          <t>Yes</t>
        </is>
      </c>
      <c r="W91" t="inlineStr">
        <is>
          <t>Available to Order</t>
        </is>
      </c>
      <c r="X91" t="inlineStr">
        <is>
          <t>Chevrolet Equinox 2006-05; Pontiac Torrent 2006</t>
        </is>
      </c>
      <c r="Y91" t="inlineStr">
        <is>
          <t>00082617765367</t>
        </is>
      </c>
      <c r="Z91" t="inlineStr">
        <is>
          <t>40-1081::98271:100714:306</t>
        </is>
      </c>
      <c r="AA91" t="inlineStr">
        <is>
          <t>Yes</t>
        </is>
      </c>
      <c r="AB91" t="inlineStr"/>
      <c r="AC91" t="inlineStr"/>
    </row>
    <row r="92">
      <c r="A92" t="inlineStr">
        <is>
          <t>91</t>
        </is>
      </c>
      <c r="B92" t="inlineStr">
        <is>
          <t>Windshield Wiper Motor</t>
        </is>
      </c>
      <c r="C92" t="inlineStr">
        <is>
          <t>40-1082</t>
        </is>
      </c>
      <c r="D92" t="inlineStr">
        <is>
          <t>Windshield Wiper Motor - 40-1082</t>
        </is>
      </c>
      <c r="E92" t="inlineStr">
        <is>
          <t>CARDONE Reman</t>
        </is>
      </c>
      <c r="F92" t="inlineStr">
        <is>
          <t>96543071</t>
        </is>
      </c>
      <c r="G92" t="inlineStr">
        <is>
          <t>Chevrolet Aveo 2004-2006
Chevrolet Aveo5 2006-2008
Pontiac Wave 2008
Pontiac Wave5 2005-2007
Suzuki Swift 2007-2008
Suzuki Swift+ 2004-2006</t>
        </is>
      </c>
      <c r="H92" t="inlineStr">
        <is>
          <t>Chevrolet Aveo 2004-2006 1.6L L4 98cid
Chevrolet Aveo5 2006-2008 1.6L L4 98cid
Pontiac Wave 2008 1.6L L4 98cid
Pontiac Wave5 2005-2007 1.6L L4 98cid
Suzuki Swift 2007-2008 1.5L L4 91cid
Suzuki Swift+ 2004-2006 1.6L L4 98cid</t>
        </is>
      </c>
      <c r="I92" t="inlineStr">
        <is>
          <t>{"0": {"productDeskExternalKey": "CPCX|40-1082"}, "1": {"Package Contents": "Wiper Motor; Instruction Sheet"}, "2": {"E-Waste": "Yes"}, "3": {"Product Condition": "Remanufactured"}, "4": {"Mounting Hole Quantity": "2"}, "5": {"Terminal Type": "Blade"}, "6": {"Mounting Type": "Eyelet"}, "7": {"Weight PG": "1.8000"}, "8": {"Washer Pump Included": "No"}, "9": {"Part Type": "Windshield Wiper Motor"}, "10": {"Warranty Info": "1 Year/18,000 Mile"}, "11": {"Sustainable Choice": "Yes"}, "12": {"Lifecycle Status": "Available to Order"}, "13": {"Application Summary": "Chevrolet Aveo 2006-04, Aveo5 2008-06; Pontiac Wave 2008, Wave5 2007-05; Suzuki Swift 2008-07, Swift+ 2006-04"}, "14": {"ItemLevelGTIN": "00082617766999"}, "15": {"_addonCardone": "40-1082::98271:100721:306"}, "16": {"Eligible for R&amp;R Service": "Yes"}}</t>
        </is>
      </c>
      <c r="J92" t="inlineStr">
        <is>
          <t>https://www.cardone.com/product/windshield-wiper-motor-40-1082</t>
        </is>
      </c>
      <c r="K92">
        <f>DISPIMG("ID_104FA31182DD4A57BF20B4F1DC7D44B5",1)</f>
        <v/>
      </c>
      <c r="L92" t="inlineStr">
        <is>
          <t>CPCX|40-1082</t>
        </is>
      </c>
      <c r="M92" t="inlineStr">
        <is>
          <t>Wiper Motor; Instruction Sheet</t>
        </is>
      </c>
      <c r="N92" t="inlineStr">
        <is>
          <t>Yes</t>
        </is>
      </c>
      <c r="O92" t="inlineStr">
        <is>
          <t>Remanufactured</t>
        </is>
      </c>
      <c r="P92" t="inlineStr">
        <is>
          <t>2</t>
        </is>
      </c>
      <c r="Q92" t="inlineStr">
        <is>
          <t>Blade</t>
        </is>
      </c>
      <c r="R92" t="inlineStr">
        <is>
          <t>Eyelet</t>
        </is>
      </c>
      <c r="S92" t="inlineStr">
        <is>
          <t>1.8000</t>
        </is>
      </c>
      <c r="T92" t="inlineStr">
        <is>
          <t>No</t>
        </is>
      </c>
      <c r="U92" t="inlineStr">
        <is>
          <t>1 Year/18,000 Mile</t>
        </is>
      </c>
      <c r="V92" t="inlineStr">
        <is>
          <t>Yes</t>
        </is>
      </c>
      <c r="W92" t="inlineStr">
        <is>
          <t>Available to Order</t>
        </is>
      </c>
      <c r="X92" t="inlineStr">
        <is>
          <t>Chevrolet Aveo 2006-04, Aveo5 2008-06; Pontiac Wave 2008, Wave5 2007-05; Suzuki Swift 2008-07, Swift+ 2006-04</t>
        </is>
      </c>
      <c r="Y92" t="inlineStr">
        <is>
          <t>00082617766999</t>
        </is>
      </c>
      <c r="Z92" t="inlineStr">
        <is>
          <t>40-1082::98271:100721:306</t>
        </is>
      </c>
      <c r="AA92" t="inlineStr">
        <is>
          <t>Yes</t>
        </is>
      </c>
      <c r="AB92" t="inlineStr"/>
      <c r="AC92" t="inlineStr"/>
    </row>
    <row r="93">
      <c r="A93" t="inlineStr">
        <is>
          <t>92</t>
        </is>
      </c>
      <c r="B93" t="inlineStr">
        <is>
          <t>Windshield Wiper Motor</t>
        </is>
      </c>
      <c r="C93" t="inlineStr">
        <is>
          <t>40-1083</t>
        </is>
      </c>
      <c r="D93" t="inlineStr">
        <is>
          <t>Windshield Wiper Motor - 40-1083</t>
        </is>
      </c>
      <c r="E93" t="inlineStr">
        <is>
          <t>CARDONE Reman</t>
        </is>
      </c>
      <c r="F93" t="inlineStr">
        <is>
          <t>90584925;22664329</t>
        </is>
      </c>
      <c r="G93" t="inlineStr">
        <is>
          <t>Saturn L300 2004
Saturn LW1 2000
Saturn LW2 2000
Saturn LW200 2001-2003
Saturn LW300 2001-2003</t>
        </is>
      </c>
      <c r="H93" t="inlineStr">
        <is>
          <t>Saturn L300 2004 2.2L L4 134cid
Saturn L300 2004 3L V6 181cid
Saturn LW1 2000 2.2L L4 134cid
Saturn LW2 2000 3L V6 181cid
Saturn LW200 2001-2003 2.2L L4 134cid
Saturn LW300 2001-2003 3L V6 181cid</t>
        </is>
      </c>
      <c r="I93" t="inlineStr">
        <is>
          <t>{"0": {"productDeskExternalKey": "CPCX|40-1083"}, "1": {"Package Contents": "Wiper Motor; Instruction Sheet"}, "2": {"E-Waste": "Yes"}, "3": {"Product Condition": "Remanufactured"}, "4": {"Mounting Hole Quantity": "2"}, "5": {"Terminal Type": "Blade"}, "6": {"Mounting Type": "Direct Bolt"}, "7": {"Weight PG": "3.0000"}, "8": {"Washer Pump Included": "No"}, "9": {"Part Type": "Windshield Wiper Motor"}, "10": {"Warranty Info": "1 Year/18,000 Mile"}, "11": {"Sustainable Choice": "Yes"}, "12": {"Lifecycle Status": "Available to Order"}, "13": {"Application Summary": "Saturn L300 2004, LW1 2000, LW2 2000, LW200 2003-01, LW300 2003-01"}, "14": {"ItemLevelGTIN": "00082617767422"}, "15": {"_addonCardone": "40-1083::98271:100728:306"}, "16": {"Eligible for R&amp;R Service": "Yes"}}</t>
        </is>
      </c>
      <c r="J93" t="inlineStr">
        <is>
          <t>https://www.cardone.com/product/windshield-wiper-motor-40-1083</t>
        </is>
      </c>
      <c r="K93">
        <f>DISPIMG("ID_AD0A91FFDF1D419E9BB7C433BFF6E36D",1)</f>
        <v/>
      </c>
      <c r="L93" t="inlineStr">
        <is>
          <t>CPCX|40-1083</t>
        </is>
      </c>
      <c r="M93" t="inlineStr">
        <is>
          <t>Wiper Motor; Instruction Sheet</t>
        </is>
      </c>
      <c r="N93" t="inlineStr">
        <is>
          <t>Yes</t>
        </is>
      </c>
      <c r="O93" t="inlineStr">
        <is>
          <t>Remanufactured</t>
        </is>
      </c>
      <c r="P93" t="inlineStr">
        <is>
          <t>2</t>
        </is>
      </c>
      <c r="Q93" t="inlineStr">
        <is>
          <t>Blade</t>
        </is>
      </c>
      <c r="R93" t="inlineStr">
        <is>
          <t>Direct Bolt</t>
        </is>
      </c>
      <c r="S93" t="inlineStr">
        <is>
          <t>3.0000</t>
        </is>
      </c>
      <c r="T93" t="inlineStr">
        <is>
          <t>No</t>
        </is>
      </c>
      <c r="U93" t="inlineStr">
        <is>
          <t>1 Year/18,000 Mile</t>
        </is>
      </c>
      <c r="V93" t="inlineStr">
        <is>
          <t>Yes</t>
        </is>
      </c>
      <c r="W93" t="inlineStr">
        <is>
          <t>Available to Order</t>
        </is>
      </c>
      <c r="X93" t="inlineStr">
        <is>
          <t>Saturn L300 2004, LW1 2000, LW2 2000, LW200 2003-01, LW300 2003-01</t>
        </is>
      </c>
      <c r="Y93" t="inlineStr">
        <is>
          <t>00082617767422</t>
        </is>
      </c>
      <c r="Z93" t="inlineStr">
        <is>
          <t>40-1083::98271:100728:306</t>
        </is>
      </c>
      <c r="AA93" t="inlineStr">
        <is>
          <t>Yes</t>
        </is>
      </c>
      <c r="AB93" t="inlineStr"/>
      <c r="AC93" t="inlineStr"/>
    </row>
    <row r="94">
      <c r="A94" t="inlineStr">
        <is>
          <t>93</t>
        </is>
      </c>
      <c r="B94" t="inlineStr">
        <is>
          <t>Windshield Wiper Motor</t>
        </is>
      </c>
      <c r="C94" t="inlineStr">
        <is>
          <t>40-1084</t>
        </is>
      </c>
      <c r="D94" t="inlineStr">
        <is>
          <t>Windshield Wiper Motor - 40-1084</t>
        </is>
      </c>
      <c r="E94" t="inlineStr">
        <is>
          <t>CARDONE Reman</t>
        </is>
      </c>
      <c r="F94" t="inlineStr">
        <is>
          <t>25923437;15282187</t>
        </is>
      </c>
      <c r="G94" t="inlineStr">
        <is>
          <t>Cadillac Escalade 2007-2014
Cadillac Escalade ESV 2007-2014
Chevrolet Suburban 1500 2007-2014
Chevrolet Suburban 2500 2007-2013
Chevrolet Tahoe 2007-2014
GMC Yukon 2007-2014
GMC Yukon XL 1500 2007-2014
GMC Yukon XL 2500 2007-2013</t>
        </is>
      </c>
      <c r="H94" t="inlineStr">
        <is>
          <t>Cadillac Escalade 2007-2014 6.2L V8 376cid
Cadillac Escalade 2009-2013 6L V8 364cid
Cadillac Escalade ESV 2007-2014 6.2L V8 376cid
Chevrolet Suburban 1500 2007-2013 6L V8 364cid
Chevrolet Suburban 1500 2007-2014 5.3L V8 325cid
Chevrolet Suburban 2500 2007-2013 6L V8 364cid
Chevrolet Suburban 2500 2012 5.3L V8 325cid
Chevrolet Tahoe 2007-2009 4.8L V8 294cid
Chevrolet Tahoe 2007-2014 5.3L V8 325cid
Chevrolet Tahoe 2008-2009 6.2L V8 376cid
Chevrolet Tahoe 2008-2013 6L V8 364cid
GMC Yukon 2007-2009 4.8L V8 294cid
GMC Yukon 2007-2014 5.3L V8 325cid
GMC Yukon 2007-2014 6.2L V8 376cid
GMC Yukon 2008-2013 6L V8 364cid
GMC Yukon XL 1500 2007-2009 6L V8 364cid
GMC Yukon XL 1500 2007-2014 5.3L V8 325cid
GMC Yukon XL 1500 2007-2014 6.2L V8 376cid
GMC Yukon XL 2500 2007-2013 6L V8 364cid</t>
        </is>
      </c>
      <c r="I94" t="inlineStr">
        <is>
          <t>{"0": {"productDeskExternalKey": "CPCX|40-1084"}, "1": {"Package Contents": "Wiper Motor; Instruction Sheet"}, "2": {"E-Waste": "Yes"}, "3": {"Product Condition": "Remanufactured"}, "4": {"Mounting Hole Quantity": "2"}, "5": {"Terminal Type": "Blade"}, "6": {"Mounting Type": "Eyelet; Grommet"}, "7": {"Weight PG": "3.2500"}, "8": {"Washer Pump Included": "No"}, "9": {"Part Type": "Windshield Wiper Motor"}, "10": {"Warranty Info": "1 Year/18,000 Mile"}, "11": {"Sustainable Choice": "Yes"}, "12": {"Lifecycle Status": "Available to Order"}, "13": {"Application Summary": "Cadillac Escalade 2014-07, Escalade ESV 2014-07; Chevrolet Suburban 1500 2014-07, Suburban 2500 2013-07, Tahoe 2014-07; GMC Yukon 2014-07, Yukon XL 1500 2014-07, Yukon XL 2500 2013-07"}, "14": {"ItemLevelGTIN": "00082617779777"}, "15": {"_addonCardone": "40-1084::98271:100733:306"}, "16": {"Eligible for R&amp;R Service": "Yes"}}</t>
        </is>
      </c>
      <c r="J94" t="inlineStr">
        <is>
          <t>https://www.cardone.com/product/windshield-wiper-motor-40-1084</t>
        </is>
      </c>
      <c r="K94">
        <f>DISPIMG("ID_C12DC62F84FB4C07A705DBA26CB84F69",1)</f>
        <v/>
      </c>
      <c r="L94" t="inlineStr">
        <is>
          <t>CPCX|40-1084</t>
        </is>
      </c>
      <c r="M94" t="inlineStr">
        <is>
          <t>Wiper Motor; Instruction Sheet</t>
        </is>
      </c>
      <c r="N94" t="inlineStr">
        <is>
          <t>Yes</t>
        </is>
      </c>
      <c r="O94" t="inlineStr">
        <is>
          <t>Remanufactured</t>
        </is>
      </c>
      <c r="P94" t="inlineStr">
        <is>
          <t>2</t>
        </is>
      </c>
      <c r="Q94" t="inlineStr">
        <is>
          <t>Blade</t>
        </is>
      </c>
      <c r="R94" t="inlineStr">
        <is>
          <t>Eyelet; Grommet</t>
        </is>
      </c>
      <c r="S94" t="inlineStr">
        <is>
          <t>3.2500</t>
        </is>
      </c>
      <c r="T94" t="inlineStr">
        <is>
          <t>No</t>
        </is>
      </c>
      <c r="U94" t="inlineStr">
        <is>
          <t>1 Year/18,000 Mile</t>
        </is>
      </c>
      <c r="V94" t="inlineStr">
        <is>
          <t>Yes</t>
        </is>
      </c>
      <c r="W94" t="inlineStr">
        <is>
          <t>Available to Order</t>
        </is>
      </c>
      <c r="X94" t="inlineStr">
        <is>
          <t>Cadillac Escalade 2014-07, Escalade ESV 2014-07; Chevrolet Suburban 1500 2014-07, Suburban 2500 2013-07, Tahoe 2014-07; GMC Yukon 2014-07, Yukon XL 1500 2014-07, Yukon XL 2500 2013-07</t>
        </is>
      </c>
      <c r="Y94" t="inlineStr">
        <is>
          <t>00082617779777</t>
        </is>
      </c>
      <c r="Z94" t="inlineStr">
        <is>
          <t>40-1084::98271:100733:306</t>
        </is>
      </c>
      <c r="AA94" t="inlineStr">
        <is>
          <t>Yes</t>
        </is>
      </c>
      <c r="AB94" t="inlineStr"/>
      <c r="AC94" t="inlineStr"/>
    </row>
    <row r="95">
      <c r="A95" t="inlineStr">
        <is>
          <t>94</t>
        </is>
      </c>
      <c r="B95" t="inlineStr">
        <is>
          <t>Windshield Wiper Motor</t>
        </is>
      </c>
      <c r="C95" t="inlineStr">
        <is>
          <t>40-1085</t>
        </is>
      </c>
      <c r="D95" t="inlineStr">
        <is>
          <t>Windshield Wiper Motor - 40-1085</t>
        </is>
      </c>
      <c r="E95" t="inlineStr">
        <is>
          <t>CARDONE Reman</t>
        </is>
      </c>
      <c r="F95" t="inlineStr">
        <is>
          <t>10372434;15761896;21997632;15117168</t>
        </is>
      </c>
      <c r="G95" t="inlineStr">
        <is>
          <t>GMC Envoy XUV 2004-2005</t>
        </is>
      </c>
      <c r="H95" t="inlineStr">
        <is>
          <t>GMC Envoy XUV 2004-2005 4.2L L6 256cid
GMC Envoy XUV 2004-2005 5.3L V8 325cid</t>
        </is>
      </c>
      <c r="I95" t="inlineStr">
        <is>
          <t>{"0": {"productDeskExternalKey": "CPCX|40-1085"}, "1": {"Package Contents": "Wiper Motor; Instruction Sheet"}, "2": {"E-Waste": "Yes"}, "3": {"Product Condition": "Remanufactured"}, "4": {"Mounting Hole Quantity": "3"}, "5": {"Terminal Type": "Blade"}, "6": {"Mounting Type": "Direct Bolt"}, "7": {"Weight PG": "1.6500"}, "8": {"Washer Pump Included": "No"}, "9": {"Part Type": "Windshield Wiper Motor"}, "10": {"Warranty Info": "1 Year/18,000 Mile"}, "11": {"Sustainable Choice": "Yes"}, "12": {"Lifecycle Status": "Available to Order"}, "13": {"Application Summary": "GMC Envoy XUV 2005-04"}, "14": {"ItemLevelGTIN": "00082617784955"}, "15": {"_addonCardone": "40-1085::98271:100738:306"}, "16": {"Eligible for R&amp;R Service": "Yes"}}</t>
        </is>
      </c>
      <c r="J95" t="inlineStr">
        <is>
          <t>https://www.cardone.com/product/windshield-wiper-motor-40-1085</t>
        </is>
      </c>
      <c r="K95">
        <f>DISPIMG("ID_64850E1FE2EC48B2BAF14BB6D3C57A12",1)</f>
        <v/>
      </c>
      <c r="L95" t="inlineStr">
        <is>
          <t>CPCX|40-1085</t>
        </is>
      </c>
      <c r="M95" t="inlineStr">
        <is>
          <t>Wiper Motor; Instruction Sheet</t>
        </is>
      </c>
      <c r="N95" t="inlineStr">
        <is>
          <t>Yes</t>
        </is>
      </c>
      <c r="O95" t="inlineStr">
        <is>
          <t>Remanufactured</t>
        </is>
      </c>
      <c r="P95" t="inlineStr">
        <is>
          <t>3</t>
        </is>
      </c>
      <c r="Q95" t="inlineStr">
        <is>
          <t>Blade</t>
        </is>
      </c>
      <c r="R95" t="inlineStr">
        <is>
          <t>Direct Bolt</t>
        </is>
      </c>
      <c r="S95" t="inlineStr">
        <is>
          <t>1.6500</t>
        </is>
      </c>
      <c r="T95" t="inlineStr">
        <is>
          <t>No</t>
        </is>
      </c>
      <c r="U95" t="inlineStr">
        <is>
          <t>1 Year/18,000 Mile</t>
        </is>
      </c>
      <c r="V95" t="inlineStr">
        <is>
          <t>Yes</t>
        </is>
      </c>
      <c r="W95" t="inlineStr">
        <is>
          <t>Available to Order</t>
        </is>
      </c>
      <c r="X95" t="inlineStr">
        <is>
          <t>GMC Envoy XUV 2005-04</t>
        </is>
      </c>
      <c r="Y95" t="inlineStr">
        <is>
          <t>00082617784955</t>
        </is>
      </c>
      <c r="Z95" t="inlineStr">
        <is>
          <t>40-1085::98271:100738:306</t>
        </is>
      </c>
      <c r="AA95" t="inlineStr">
        <is>
          <t>Yes</t>
        </is>
      </c>
      <c r="AB95" t="inlineStr"/>
      <c r="AC95" t="inlineStr"/>
    </row>
    <row r="96">
      <c r="A96" t="inlineStr">
        <is>
          <t>95</t>
        </is>
      </c>
      <c r="B96" t="inlineStr">
        <is>
          <t>Windshield Wiper Motor</t>
        </is>
      </c>
      <c r="C96" t="inlineStr">
        <is>
          <t>40-1086</t>
        </is>
      </c>
      <c r="D96" t="inlineStr">
        <is>
          <t>Windshield Wiper Motor - 40-1086</t>
        </is>
      </c>
      <c r="E96" t="inlineStr">
        <is>
          <t>CARDONE Reman</t>
        </is>
      </c>
      <c r="F96" t="inlineStr">
        <is>
          <t>91171308</t>
        </is>
      </c>
      <c r="G96" t="inlineStr">
        <is>
          <t>Chevrolet Metro 1998-2000
Geo Metro 1995-1997
Pontiac Firefly 1995-2000</t>
        </is>
      </c>
      <c r="H96" t="inlineStr">
        <is>
          <t>Chevrolet Metro 1998-2000 1.3L L4 79cid
Chevrolet Metro 1998-2000 1L L3 61cid
Geo Metro 1995-1997 1.3L L4 79cid
Geo Metro 1995-1997 1L L3 61cid
Pontiac Firefly 1995-2000 1.3L L4 79cid
Pontiac Firefly 1995-2000 1L L3 61cid</t>
        </is>
      </c>
      <c r="I96" t="inlineStr">
        <is>
          <t>{"0": {"productDeskExternalKey": "CPCX|40-1086"}, "1": {"Package Contents": "Wiper Motor; Instruction Sheet"}, "2": {"E-Waste": "Yes"}, "3": {"Product Condition": "Remanufactured"}, "4": {"Mounting Hole Quantity": "3"}, "5": {"Terminal Type": "Blade"}, "6": {"Mounting Type": "Direct Bolt"}, "7": {"Weight PG": "1.5000"}, "8": {"Washer Pump Included": "No"}, "9": {"Part Type": "Windshield Wiper Motor"}, "10": {"Warranty Info": "1 Year/18,000 Mile"}, "11": {"Sustainable Choice": "Yes"}, "12": {"Lifecycle Status": "Available to Order"}, "13": {"Application Summary": "Chevrolet Metro 2000-98; Geo Metro 1997-95; Pontiac Firefly 2000-95"}, "14": {"ItemLevelGTIN": "00082617785051"}, "15": {"_addonCardone": "40-1086::98271:100745:306"}, "16": {"Eligible for R&amp;R Service": "Yes"}}</t>
        </is>
      </c>
      <c r="J96" t="inlineStr">
        <is>
          <t>https://www.cardone.com/product/windshield-wiper-motor-40-1086</t>
        </is>
      </c>
      <c r="K96">
        <f>DISPIMG("ID_E57726E500CE4EBF95B07A3679882769",1)</f>
        <v/>
      </c>
      <c r="L96" t="inlineStr">
        <is>
          <t>CPCX|40-1086</t>
        </is>
      </c>
      <c r="M96" t="inlineStr">
        <is>
          <t>Wiper Motor; Instruction Sheet</t>
        </is>
      </c>
      <c r="N96" t="inlineStr">
        <is>
          <t>Yes</t>
        </is>
      </c>
      <c r="O96" t="inlineStr">
        <is>
          <t>Remanufactured</t>
        </is>
      </c>
      <c r="P96" t="inlineStr">
        <is>
          <t>3</t>
        </is>
      </c>
      <c r="Q96" t="inlineStr">
        <is>
          <t>Blade</t>
        </is>
      </c>
      <c r="R96" t="inlineStr">
        <is>
          <t>Direct Bolt</t>
        </is>
      </c>
      <c r="S96" t="inlineStr">
        <is>
          <t>1.5000</t>
        </is>
      </c>
      <c r="T96" t="inlineStr">
        <is>
          <t>No</t>
        </is>
      </c>
      <c r="U96" t="inlineStr">
        <is>
          <t>1 Year/18,000 Mile</t>
        </is>
      </c>
      <c r="V96" t="inlineStr">
        <is>
          <t>Yes</t>
        </is>
      </c>
      <c r="W96" t="inlineStr">
        <is>
          <t>Available to Order</t>
        </is>
      </c>
      <c r="X96" t="inlineStr">
        <is>
          <t>Chevrolet Metro 2000-98; Geo Metro 1997-95; Pontiac Firefly 2000-95</t>
        </is>
      </c>
      <c r="Y96" t="inlineStr">
        <is>
          <t>00082617785051</t>
        </is>
      </c>
      <c r="Z96" t="inlineStr">
        <is>
          <t>40-1086::98271:100745:306</t>
        </is>
      </c>
      <c r="AA96" t="inlineStr">
        <is>
          <t>Yes</t>
        </is>
      </c>
      <c r="AB96" t="inlineStr"/>
      <c r="AC96" t="inlineStr"/>
    </row>
    <row r="97">
      <c r="A97" t="inlineStr">
        <is>
          <t>96</t>
        </is>
      </c>
      <c r="B97" t="inlineStr">
        <is>
          <t>Windshield Wiper Motor</t>
        </is>
      </c>
      <c r="C97" t="inlineStr">
        <is>
          <t>40-1087</t>
        </is>
      </c>
      <c r="D97" t="inlineStr">
        <is>
          <t>Windshield Wiper Motor - 40-1087</t>
        </is>
      </c>
      <c r="E97" t="inlineStr">
        <is>
          <t>CARDONE Reman</t>
        </is>
      </c>
      <c r="F97" t="inlineStr">
        <is>
          <t>3810178J01;15849819;3810178J00</t>
        </is>
      </c>
      <c r="G97" t="inlineStr">
        <is>
          <t>Chevrolet Equinox 2007-2008
Pontiac Torrent 2007-2008
Suzuki XL-7 2007-2008</t>
        </is>
      </c>
      <c r="H97" t="inlineStr">
        <is>
          <t>Chevrolet Equinox 2007-2008 3.4L V6 207cid
Chevrolet Equinox 2008 3.6L V6 217cid
Pontiac Torrent 2007-2008 3.4L V6 207cid
Pontiac Torrent 2008 3.6L V6 217cid
Suzuki XL-7 2007-2008 3.2L V6 195cid
Suzuki XL-7 2007-2008 3.6L V6 3564cc</t>
        </is>
      </c>
      <c r="I97" t="inlineStr">
        <is>
          <t>{"0": {"productDeskExternalKey": "CPCX|40-1087"}, "1": {"Package Contents": "Wiper Motor; Instruction Sheet"}, "2": {"E-Waste": "Yes"}, "3": {"Product Condition": "Remanufactured"}, "4": {"Mounting Hole Quantity": "3"}, "5": {"Terminal Type": "Blade"}, "6": {"Mounting Type": "Eyelet; Grommet"}, "7": {"Weight PG": "3.5000"}, "8": {"Washer Pump Included": "No"}, "9": {"Part Type": "Windshield Wiper Motor"}, "10": {"Warranty Info": "1 Year/18,000 Mile"}, "11": {"Sustainable Choice": "Yes"}, "12": {"Lifecycle Status": "Available to Order"}, "13": {"Application Summary": "Chevrolet Equinox 2008-07; Pontiac Torrent 2008-07; Suzuki XL-7 2008-07"}, "14": {"ItemLevelGTIN": "00082617785501"}, "15": {"_addonCardone": "40-1087::98271:100751:306"}, "16": {"Eligible for R&amp;R Service": "Yes"}}</t>
        </is>
      </c>
      <c r="J97" t="inlineStr">
        <is>
          <t>https://www.cardone.com/product/windshield-wiper-motor-40-1087</t>
        </is>
      </c>
      <c r="K97">
        <f>DISPIMG("ID_9E381433C6EF4E04B132C216F09212DC",1)</f>
        <v/>
      </c>
      <c r="L97" t="inlineStr">
        <is>
          <t>CPCX|40-1087</t>
        </is>
      </c>
      <c r="M97" t="inlineStr">
        <is>
          <t>Wiper Motor; Instruction Sheet</t>
        </is>
      </c>
      <c r="N97" t="inlineStr">
        <is>
          <t>Yes</t>
        </is>
      </c>
      <c r="O97" t="inlineStr">
        <is>
          <t>Remanufactured</t>
        </is>
      </c>
      <c r="P97" t="inlineStr">
        <is>
          <t>3</t>
        </is>
      </c>
      <c r="Q97" t="inlineStr">
        <is>
          <t>Blade</t>
        </is>
      </c>
      <c r="R97" t="inlineStr">
        <is>
          <t>Eyelet; Grommet</t>
        </is>
      </c>
      <c r="S97" t="inlineStr">
        <is>
          <t>3.5000</t>
        </is>
      </c>
      <c r="T97" t="inlineStr">
        <is>
          <t>No</t>
        </is>
      </c>
      <c r="U97" t="inlineStr">
        <is>
          <t>1 Year/18,000 Mile</t>
        </is>
      </c>
      <c r="V97" t="inlineStr">
        <is>
          <t>Yes</t>
        </is>
      </c>
      <c r="W97" t="inlineStr">
        <is>
          <t>Available to Order</t>
        </is>
      </c>
      <c r="X97" t="inlineStr">
        <is>
          <t>Chevrolet Equinox 2008-07; Pontiac Torrent 2008-07; Suzuki XL-7 2008-07</t>
        </is>
      </c>
      <c r="Y97" t="inlineStr">
        <is>
          <t>00082617785501</t>
        </is>
      </c>
      <c r="Z97" t="inlineStr">
        <is>
          <t>40-1087::98271:100751:306</t>
        </is>
      </c>
      <c r="AA97" t="inlineStr">
        <is>
          <t>Yes</t>
        </is>
      </c>
      <c r="AB97" t="inlineStr"/>
      <c r="AC97" t="inlineStr"/>
    </row>
    <row r="98">
      <c r="A98" t="inlineStr">
        <is>
          <t>97</t>
        </is>
      </c>
      <c r="B98" t="inlineStr">
        <is>
          <t>Windshield Wiper Motor</t>
        </is>
      </c>
      <c r="C98" t="inlineStr">
        <is>
          <t>40-1088</t>
        </is>
      </c>
      <c r="D98" t="inlineStr">
        <is>
          <t>Windshield Wiper Motor - 40-1088</t>
        </is>
      </c>
      <c r="E98" t="inlineStr">
        <is>
          <t>CARDONE Reman</t>
        </is>
      </c>
      <c r="F98" t="inlineStr">
        <is>
          <t>25821853;3881078J03;15952481;3881078J01</t>
        </is>
      </c>
      <c r="G98" t="inlineStr">
        <is>
          <t>Chevrolet Equinox 2007-2009
Pontiac Torrent 2007-2009
Suzuki XL-7 2007-2009</t>
        </is>
      </c>
      <c r="H98" t="inlineStr">
        <is>
          <t>Chevrolet Equinox 2007-2009 3.4L V6 207cid
Chevrolet Equinox 2008-2009 3.6L V6 217cid
Pontiac Torrent 2007-2009 3.4L V6 207cid
Pontiac Torrent 2008-2009 3.6L V6 217cid
Suzuki XL-7 2007-2009 3.2L V6 195cid
Suzuki XL-7 2007-2009 3.6L V6 3564cc</t>
        </is>
      </c>
      <c r="I98" t="inlineStr">
        <is>
          <t>{"0": {"productDeskExternalKey": "CPCX|40-1088"}, "1": {"Package Contents": "Wiper Motor; Instruction Sheet"}, "2": {"E-Waste": "Yes"}, "3": {"Product Condition": "Remanufactured"}, "4": {"Mounting Hole Quantity": "3"}, "5": {"Terminal Type": "Blade"}, "6": {"Mounting Type": "Eyelet; Grommet"}, "7": {"Weight PG": "2.5000"}, "8": {"Washer Pump Included": "No"}, "9": {"Part Type": "Windshield Wiper Motor"}, "10": {"Warranty Info": "1 Year/18,000 Mile"}, "11": {"Sustainable Choice": "Yes"}, "12": {"Lifecycle Status": "Available to Order"}, "13": {"Application Summary": "Chevrolet Equinox 2009-07; Pontiac Torrent 2009-07; Suzuki XL-7 2009-07"}, "14": {"ItemLevelGTIN": "00082617786522"}, "15": {"_addonCardone": "40-1088::98271:100758:306"}, "16": {"Eligible for R&amp;R Service": "Yes"}}</t>
        </is>
      </c>
      <c r="J98" t="inlineStr">
        <is>
          <t>https://www.cardone.com/product/windshield-wiper-motor-40-1088</t>
        </is>
      </c>
      <c r="K98">
        <f>DISPIMG("ID_20FF77F2FB324307A7F630FA2769E351",1)</f>
        <v/>
      </c>
      <c r="L98" t="inlineStr">
        <is>
          <t>CPCX|40-1088</t>
        </is>
      </c>
      <c r="M98" t="inlineStr">
        <is>
          <t>Wiper Motor; Instruction Sheet</t>
        </is>
      </c>
      <c r="N98" t="inlineStr">
        <is>
          <t>Yes</t>
        </is>
      </c>
      <c r="O98" t="inlineStr">
        <is>
          <t>Remanufactured</t>
        </is>
      </c>
      <c r="P98" t="inlineStr">
        <is>
          <t>3</t>
        </is>
      </c>
      <c r="Q98" t="inlineStr">
        <is>
          <t>Blade</t>
        </is>
      </c>
      <c r="R98" t="inlineStr">
        <is>
          <t>Eyelet; Grommet</t>
        </is>
      </c>
      <c r="S98" t="inlineStr">
        <is>
          <t>2.5000</t>
        </is>
      </c>
      <c r="T98" t="inlineStr">
        <is>
          <t>No</t>
        </is>
      </c>
      <c r="U98" t="inlineStr">
        <is>
          <t>1 Year/18,000 Mile</t>
        </is>
      </c>
      <c r="V98" t="inlineStr">
        <is>
          <t>Yes</t>
        </is>
      </c>
      <c r="W98" t="inlineStr">
        <is>
          <t>Available to Order</t>
        </is>
      </c>
      <c r="X98" t="inlineStr">
        <is>
          <t>Chevrolet Equinox 2009-07; Pontiac Torrent 2009-07; Suzuki XL-7 2009-07</t>
        </is>
      </c>
      <c r="Y98" t="inlineStr">
        <is>
          <t>00082617786522</t>
        </is>
      </c>
      <c r="Z98" t="inlineStr">
        <is>
          <t>40-1088::98271:100758:306</t>
        </is>
      </c>
      <c r="AA98" t="inlineStr">
        <is>
          <t>Yes</t>
        </is>
      </c>
      <c r="AB98" t="inlineStr"/>
      <c r="AC98" t="inlineStr"/>
    </row>
    <row r="99">
      <c r="A99" t="inlineStr">
        <is>
          <t>98</t>
        </is>
      </c>
      <c r="B99" t="inlineStr">
        <is>
          <t>Windshield Wiper Motor</t>
        </is>
      </c>
      <c r="C99" t="inlineStr">
        <is>
          <t>40-1089</t>
        </is>
      </c>
      <c r="D99" t="inlineStr">
        <is>
          <t>Windshield Wiper Motor - 40-1089</t>
        </is>
      </c>
      <c r="E99" t="inlineStr">
        <is>
          <t>CARDONE Reman</t>
        </is>
      </c>
      <c r="F99" t="inlineStr">
        <is>
          <t>25923882;15846942;23167072;15779727</t>
        </is>
      </c>
      <c r="G99" t="inlineStr">
        <is>
          <t>Cadillac Escalade 2007-2014
Cadillac Escalade ESV 2007-2014
Cadillac Escalade EXT 2007-2013
Chevrolet Avalanche 2007-2013
Chevrolet Cheyenne 2014-2018
Chevrolet Silverado 1500 2007-2018
Chevrolet Silverado 1500 LD 2019
Chevrolet Silverado 2500 HD 2007-2018
Chevrolet Silverado 3500 HD 2007-2018
Chevrolet Suburban 1500 2007-2014
Chevrolet Suburban 2500 2007-2013
Chevrolet Tahoe 2007-2014
GMC Sierra 1500 2007-2018
GMC Sierra 2500 HD 2008-2018
GMC Sierra 3500 HD 2008-2018
GMC Yukon 2007-2014
GMC Yukon XL 1500 2007-2014
GMC Yukon XL 2500 2007-2013</t>
        </is>
      </c>
      <c r="H99" t="inlineStr">
        <is>
          <t>Cadillac Escalade 2007-2014 6.2L V8 376cid
Cadillac Escalade 2009-2013 6L V8 364cid
Cadillac Escalade ESV 2007-2014 6.2L V8 376cid
Cadillac Escalade EXT 2007-2013 6.2L V8 376cid
Chevrolet Avalanche 2007-2009 6L V8 364cid
Chevrolet Avalanche 2007-2013 5.3L V8 325cid
Chevrolet Cheyenne 2014-2018 5.3L V8 325cid
Chevrolet Cheyenne 2014-2018 6.2L V8 376cid
Chevrolet Silverado 1500 2007-2013 4.8L V8 294cid
Chevrolet Silverado 1500 2007-2013 6L V8 364cid
Chevrolet Silverado 1500 2007-2018 4.3L V6 262cid
Chevrolet Silverado 1500 2007-2018 5.3L V8 325cid
Chevrolet Silverado 1500 2009-2018 6.2L V8 376cid
Chevrolet Silverado 1500 LD 2019 5.3L V8 325cid
Chevrolet Silverado 2500 HD 2007-2018 6.6L V8 403cid
Chevrolet Silverado 2500 HD 2007-2018 6L V8 364cid
Chevrolet Silverado 3500 HD 2007-2018 6.6L V8 403cid
Chevrolet Silverado 3500 HD 2007-2018 6L V8 364cid
Chevrolet Suburban 1500 2007-2013 6L V8 364cid
Chevrolet Suburban 1500 2007-2014 5.3L V8 325cid
Chevrolet Suburban 2500 2007-2013 6L V8 364cid
Chevrolet Suburban 2500 2012 5.3L V8 325cid
Chevrolet Tahoe 2007-2009 4.8L V8 294cid
Chevrolet Tahoe 2007-2014 5.3L V8 325cid
Chevrolet Tahoe 2008-2009 6.2L V8 376cid
Chevrolet Tahoe 2008-2013 6L V8 364cid
GMC Sierra 1500 2007-2013 4.8L V8 294cid
GMC Sierra 1500 2007-2013 6L V8 364cid
GMC Sierra 1500 2007-2018 4.3L V6 262cid
GMC Sierra 1500 2007-2018 5.3L V8 325cid
GMC Sierra 1500 2007-2018 6.2L V8 376cid
GMC Sierra 2500 HD 2008-2018 6.6L V8 403cid
GMC Sierra 2500 HD 2008-2018 6L V8 364cid
GMC Sierra 3500 HD 2008-2018 6.6L V8 403cid
GMC Sierra 3500 HD 2008-2018 6L V8 364cid
GMC Yukon 2007-2009 4.8L V8 294cid
GMC Yukon 2007-2014 5.3L V8 325cid
GMC Yukon 2007-2014 6.2L V8 376cid
GMC Yukon 2008-2013 6L V8 364cid
GMC Yukon XL 1500 2007-2009 6L V8 364cid
GMC Yukon XL 1500 2007-2014 5.3L V8 325cid
GMC Yukon XL 1500 2007-2014 6.2L V8 376cid
GMC Yukon XL 2500 2007-2013 6L V8 364cid</t>
        </is>
      </c>
      <c r="I99" t="inlineStr">
        <is>
          <t>{"0": {"productDeskExternalKey": "CPCX|40-1089"}, "1": {"Package Contents": "Wiper Motor; Instruction Sheet"}, "2": {"E-Waste": "Yes"}, "3": {"Product Condition": "Remanufactured"}, "4": {"Mounting Hole Quantity": "3"}, "5": {"Terminal Type": "Blade"}, "6": {"Mounting Type": "Direct Bolt"}, "7": {"Weight PG": "2.9000"}, "8": {"Washer Pump Included": "No"}, "9": {"Part Type": "Windshield Wiper Motor"}, "10": {"Warranty Info": "1 Year/18,000 Mile"}, "11": {"Sustainable Choice": "Yes"}, "12": {"Lifecycle Status": "Available to Order"}, "13": {"ItemLevelGTIN": "00082617805001"}, "14": {"_addonCardone": "40-1089::98271:100764:306"}, "15": {"Eligible for R&amp;R Service": "Yes"}}</t>
        </is>
      </c>
      <c r="J99" t="inlineStr">
        <is>
          <t>https://www.cardone.com/product/windshield-wiper-motor-40-1089</t>
        </is>
      </c>
      <c r="K99">
        <f>DISPIMG("ID_47054178F97241A2829EDD132CB27714",1)</f>
        <v/>
      </c>
      <c r="L99" t="inlineStr">
        <is>
          <t>CPCX|40-1089</t>
        </is>
      </c>
      <c r="M99" t="inlineStr">
        <is>
          <t>Wiper Motor; Instruction Sheet</t>
        </is>
      </c>
      <c r="N99" t="inlineStr">
        <is>
          <t>Yes</t>
        </is>
      </c>
      <c r="O99" t="inlineStr">
        <is>
          <t>Remanufactured</t>
        </is>
      </c>
      <c r="P99" t="inlineStr">
        <is>
          <t>3</t>
        </is>
      </c>
      <c r="Q99" t="inlineStr">
        <is>
          <t>Blade</t>
        </is>
      </c>
      <c r="R99" t="inlineStr">
        <is>
          <t>Direct Bolt</t>
        </is>
      </c>
      <c r="S99" t="inlineStr">
        <is>
          <t>2.9000</t>
        </is>
      </c>
      <c r="T99" t="inlineStr">
        <is>
          <t>No</t>
        </is>
      </c>
      <c r="U99" t="inlineStr">
        <is>
          <t>1 Year/18,000 Mile</t>
        </is>
      </c>
      <c r="V99" t="inlineStr">
        <is>
          <t>Yes</t>
        </is>
      </c>
      <c r="W99" t="inlineStr">
        <is>
          <t>Available to Order</t>
        </is>
      </c>
      <c r="X99" t="inlineStr"/>
      <c r="Y99" t="inlineStr">
        <is>
          <t>00082617805001</t>
        </is>
      </c>
      <c r="Z99" t="inlineStr">
        <is>
          <t>40-1089::98271:100764:306</t>
        </is>
      </c>
      <c r="AA99" t="inlineStr">
        <is>
          <t>Yes</t>
        </is>
      </c>
      <c r="AB99" t="inlineStr"/>
      <c r="AC99" t="inlineStr"/>
    </row>
    <row r="100">
      <c r="A100" t="inlineStr">
        <is>
          <t>99</t>
        </is>
      </c>
      <c r="B100" t="inlineStr">
        <is>
          <t>Windshield Wiper Motor</t>
        </is>
      </c>
      <c r="C100" t="inlineStr">
        <is>
          <t>40-1094</t>
        </is>
      </c>
      <c r="D100" t="inlineStr">
        <is>
          <t>Windshield Wiper Motor - 40-1094</t>
        </is>
      </c>
      <c r="E100" t="inlineStr">
        <is>
          <t>CARDONE Reman</t>
        </is>
      </c>
      <c r="F100" t="inlineStr">
        <is>
          <t>5938822B2</t>
        </is>
      </c>
      <c r="G100" t="inlineStr">
        <is>
          <t>AM General Hummer 1992-2001</t>
        </is>
      </c>
      <c r="H100" t="inlineStr">
        <is>
          <t>AM General Hummer 1992-1993 6.2L V8 379cid
AM General Hummer 1994-2001 6.5L V8 395cid
AM General Hummer 1995-1996 5.7L V8 350cid</t>
        </is>
      </c>
      <c r="I100" t="inlineStr">
        <is>
          <t>{"0": {"productDeskExternalKey": "CPCX|40-1094"}, "1": {"Package Contents": "Wiper Motor; Instruction Sheet"}, "2": {"E-Waste": "Yes"}, "3": {"Product Condition": "Remanufactured"}, "4": {"Mounting Hole Quantity": "3"}, "5": {"Terminal Type": "Blade"}, "6": {"Mounting Type": "Direct Bolt"}, "7": {"Weight PG": "3.0500"}, "8": {"Washer Pump Included": "No"}, "9": {"Part Type": "Windshield Wiper Motor"}, "10": {"Warranty Info": "1 Year/18,000 Mile"}, "11": {"Sustainable Choice": "Yes"}, "12": {"Lifecycle Status": "Available to Order"}, "13": {"Application Summary": "AM General Hummer 2001-92; Hummer H1 2006 2004-02"}, "14": {"ItemLevelGTIN": "00082617812610"}, "15": {"_addonCardone": "40-1094::98271:100771:306"}, "16": {"Eligible for R&amp;R Service": "Yes"}}</t>
        </is>
      </c>
      <c r="J100" t="inlineStr">
        <is>
          <t>https://www.cardone.com/product/windshield-wiper-motor-40-1094</t>
        </is>
      </c>
      <c r="K100">
        <f>DISPIMG("ID_B390DF5AC5544EE595914477DBA99E51",1)</f>
        <v/>
      </c>
      <c r="L100" t="inlineStr">
        <is>
          <t>CPCX|40-1094</t>
        </is>
      </c>
      <c r="M100" t="inlineStr">
        <is>
          <t>Wiper Motor; Instruction Sheet</t>
        </is>
      </c>
      <c r="N100" t="inlineStr">
        <is>
          <t>Yes</t>
        </is>
      </c>
      <c r="O100" t="inlineStr">
        <is>
          <t>Remanufactured</t>
        </is>
      </c>
      <c r="P100" t="inlineStr">
        <is>
          <t>3</t>
        </is>
      </c>
      <c r="Q100" t="inlineStr">
        <is>
          <t>Blade</t>
        </is>
      </c>
      <c r="R100" t="inlineStr">
        <is>
          <t>Direct Bolt</t>
        </is>
      </c>
      <c r="S100" t="inlineStr">
        <is>
          <t>3.0500</t>
        </is>
      </c>
      <c r="T100" t="inlineStr">
        <is>
          <t>No</t>
        </is>
      </c>
      <c r="U100" t="inlineStr">
        <is>
          <t>1 Year/18,000 Mile</t>
        </is>
      </c>
      <c r="V100" t="inlineStr">
        <is>
          <t>Yes</t>
        </is>
      </c>
      <c r="W100" t="inlineStr">
        <is>
          <t>Available to Order</t>
        </is>
      </c>
      <c r="X100" t="inlineStr">
        <is>
          <t>AM General Hummer 2001-92; Hummer H1 2006 2004-02</t>
        </is>
      </c>
      <c r="Y100" t="inlineStr">
        <is>
          <t>00082617812610</t>
        </is>
      </c>
      <c r="Z100" t="inlineStr">
        <is>
          <t>40-1094::98271:100771:306</t>
        </is>
      </c>
      <c r="AA100" t="inlineStr">
        <is>
          <t>Yes</t>
        </is>
      </c>
      <c r="AB100" t="inlineStr"/>
      <c r="AC100" t="inlineStr"/>
    </row>
    <row r="101">
      <c r="A101" t="inlineStr">
        <is>
          <t>100</t>
        </is>
      </c>
      <c r="B101" t="inlineStr">
        <is>
          <t>Windshield Wiper Motor</t>
        </is>
      </c>
      <c r="C101" t="inlineStr">
        <is>
          <t>40-1095</t>
        </is>
      </c>
      <c r="D101" t="inlineStr">
        <is>
          <t>Windshield Wiper Motor - 40-1095</t>
        </is>
      </c>
      <c r="E101" t="inlineStr">
        <is>
          <t>CARDONE Reman</t>
        </is>
      </c>
      <c r="F101" t="inlineStr">
        <is>
          <t>25864152</t>
        </is>
      </c>
      <c r="G101" t="inlineStr">
        <is>
          <t>GMC Acadia 2007-2016
GMC Acadia Limited 2017
Saturn Outlook 2007-2010</t>
        </is>
      </c>
      <c r="H101" t="inlineStr">
        <is>
          <t>GMC Acadia 2007-2016 3.6L V6 217cid
GMC Acadia Limited 2017 3.6L V6 217cid
Saturn Outlook 2007-2010 3.6L V6 217cid</t>
        </is>
      </c>
      <c r="I101" t="inlineStr">
        <is>
          <t>{"0": {"productDeskExternalKey": "CPCX|40-1095"}, "1": {"Package Contents": "Wiper Motor; Instruction Sheet"}, "2": {"E-Waste": "Yes"}, "3": {"Product Condition": "Remanufactured"}, "4": {"Mounting Hole Quantity": "2"}, "5": {"Terminal Type": "Blade"}, "6": {"Mounting Type": "Grommet"}, "7": {"Weight PG": "2.8000"}, "8": {"Washer Pump Included": "No"}, "9": {"Part Type": "Windshield Wiper Motor"}, "10": {"Warranty Info": "1 Year/18,000 Mile"}, "11": {"Sustainable Choice": "Yes"}, "12": {"Lifecycle Status": "Available to Order"}, "13": {"Application Summary": "GMC Acadia 2016-07, Acadia Limited 2017; Saturn Outlook 2010-07"}, "14": {"ItemLevelGTIN": "00082617813082"}, "15": {"_addonCardone": "40-1095::98271:100777:306"}, "16": {"Eligible for R&amp;R Service": "Yes"}}</t>
        </is>
      </c>
      <c r="J101" t="inlineStr">
        <is>
          <t>https://www.cardone.com/product/windshield-wiper-motor-40-1095</t>
        </is>
      </c>
      <c r="K101">
        <f>DISPIMG("ID_C9D456D90E484C66B1BA64F05B698FC4",1)</f>
        <v/>
      </c>
      <c r="L101" t="inlineStr">
        <is>
          <t>CPCX|40-1095</t>
        </is>
      </c>
      <c r="M101" t="inlineStr">
        <is>
          <t>Wiper Motor; Instruction Sheet</t>
        </is>
      </c>
      <c r="N101" t="inlineStr">
        <is>
          <t>Yes</t>
        </is>
      </c>
      <c r="O101" t="inlineStr">
        <is>
          <t>Remanufactured</t>
        </is>
      </c>
      <c r="P101" t="inlineStr">
        <is>
          <t>2</t>
        </is>
      </c>
      <c r="Q101" t="inlineStr">
        <is>
          <t>Blade</t>
        </is>
      </c>
      <c r="R101" t="inlineStr">
        <is>
          <t>Grommet</t>
        </is>
      </c>
      <c r="S101" t="inlineStr">
        <is>
          <t>2.8000</t>
        </is>
      </c>
      <c r="T101" t="inlineStr">
        <is>
          <t>No</t>
        </is>
      </c>
      <c r="U101" t="inlineStr">
        <is>
          <t>1 Year/18,000 Mile</t>
        </is>
      </c>
      <c r="V101" t="inlineStr">
        <is>
          <t>Yes</t>
        </is>
      </c>
      <c r="W101" t="inlineStr">
        <is>
          <t>Available to Order</t>
        </is>
      </c>
      <c r="X101" t="inlineStr">
        <is>
          <t>GMC Acadia 2016-07, Acadia Limited 2017; Saturn Outlook 2010-07</t>
        </is>
      </c>
      <c r="Y101" t="inlineStr">
        <is>
          <t>00082617813082</t>
        </is>
      </c>
      <c r="Z101" t="inlineStr">
        <is>
          <t>40-1095::98271:100777:306</t>
        </is>
      </c>
      <c r="AA101" t="inlineStr">
        <is>
          <t>Yes</t>
        </is>
      </c>
      <c r="AB101" t="inlineStr"/>
      <c r="AC101" t="inlineStr"/>
    </row>
    <row r="102">
      <c r="A102" t="inlineStr">
        <is>
          <t>101</t>
        </is>
      </c>
      <c r="B102" t="inlineStr">
        <is>
          <t>Windshield Wiper Motor</t>
        </is>
      </c>
      <c r="C102" t="inlineStr">
        <is>
          <t>40-1096</t>
        </is>
      </c>
      <c r="D102" t="inlineStr">
        <is>
          <t>Windshield Wiper Motor - 40-1096</t>
        </is>
      </c>
      <c r="E102" t="inlineStr">
        <is>
          <t>CARDONE Reman</t>
        </is>
      </c>
      <c r="F102" t="inlineStr">
        <is>
          <t>19169125</t>
        </is>
      </c>
      <c r="G102" t="inlineStr">
        <is>
          <t>Chevrolet Express 1500 2008-2014
Chevrolet Express 2500 2008-2014
Chevrolet Express 3500 2008-2014
Chevrolet Express 4500 2009-2014
GMC Savana 1500 2008-2014
GMC Savana 2500 2008-2014
GMC Savana 3500 2008-2014</t>
        </is>
      </c>
      <c r="H102" t="inlineStr">
        <is>
          <t>Chevrolet Express 1500 2008-2014 4.3L V6 262cid
Chevrolet Express 1500 2008-2014 5.3L V8 325cid
Chevrolet Express 2500 2008-2014 4.8L V8 294cid
Chevrolet Express 2500 2008-2014 6.6L V8 403cid
Chevrolet Express 2500 2008-2014 6L V8 364cid
Chevrolet Express 3500 2008 5.3L V8 325cid
Chevrolet Express 3500 2008-2014 4.8L V8 294cid
Chevrolet Express 3500 2008-2014 6.6L V8 403cid
Chevrolet Express 3500 2008-2014 6L V8 364cid
Chevrolet Express 4500 2009-2014 6.6L V8 403cid
Chevrolet Express 4500 2009-2014 6L V8 364cid
GMC Savana 1500 2008-2014 4.3L V6 262cid
GMC Savana 1500 2008-2014 5.3L V8 325cid
GMC Savana 2500 2008-2014 4.8L V8 294cid
GMC Savana 2500 2008-2014 6.6L V8 403cid
GMC Savana 2500 2008-2014 6L V8 364cid
GMC Savana 3500 2008-2014 4.8L V8 294cid
GMC Savana 3500 2008-2014 6.6L V8 403cid
GMC Savana 3500 2008-2014 6L V8 364cid</t>
        </is>
      </c>
      <c r="I102" t="inlineStr">
        <is>
          <t>{"0": {"productDeskExternalKey": "CPCX|40-1096"}, "1": {"Package Contents": "Wiper Motor; Instruction Sheet"}, "2": {"E-Waste": "Yes"}, "3": {"Product Condition": "Remanufactured"}, "4": {"Mounting Hole Quantity": "3"}, "5": {"Terminal Type": "Blade"}, "6": {"Mounting Type": "Grommet"}, "7": {"Weight PG": "3.5000"}, "8": {"Washer Pump Included": "No"}, "9": {"Part Type": "Windshield Wiper Motor"}, "10": {"Warranty Info": "1 Year/18,000 Mile"}, "11": {"Sustainable Choice": "Yes"}, "12": {"Lifecycle Status": "Available to Order"}, "13": {"Application Summary": "Chevrolet Express 1500 2014-08, Express 2500 2014-08, Express 3500 2014-08, Express 4500 2014-09; GMC Savana 1500 2014-08, Savana 2500 2014-08, Savana 3500 2014-08"}, "14": {"ItemLevelGTIN": "00082617820523"}, "15": {"_addonCardone": "40-1096::98271:100787:306"}, "16": {"Eligible for R&amp;R Service": "Yes"}}</t>
        </is>
      </c>
      <c r="J102" t="inlineStr">
        <is>
          <t>https://www.cardone.com/product/windshield-wiper-motor-40-1096</t>
        </is>
      </c>
      <c r="K102">
        <f>DISPIMG("ID_DE69E65678804B43988ECE7CA8A5DB5F",1)</f>
        <v/>
      </c>
      <c r="L102" t="inlineStr">
        <is>
          <t>CPCX|40-1096</t>
        </is>
      </c>
      <c r="M102" t="inlineStr">
        <is>
          <t>Wiper Motor; Instruction Sheet</t>
        </is>
      </c>
      <c r="N102" t="inlineStr">
        <is>
          <t>Yes</t>
        </is>
      </c>
      <c r="O102" t="inlineStr">
        <is>
          <t>Remanufactured</t>
        </is>
      </c>
      <c r="P102" t="inlineStr">
        <is>
          <t>3</t>
        </is>
      </c>
      <c r="Q102" t="inlineStr">
        <is>
          <t>Blade</t>
        </is>
      </c>
      <c r="R102" t="inlineStr">
        <is>
          <t>Grommet</t>
        </is>
      </c>
      <c r="S102" t="inlineStr">
        <is>
          <t>3.5000</t>
        </is>
      </c>
      <c r="T102" t="inlineStr">
        <is>
          <t>No</t>
        </is>
      </c>
      <c r="U102" t="inlineStr">
        <is>
          <t>1 Year/18,000 Mile</t>
        </is>
      </c>
      <c r="V102" t="inlineStr">
        <is>
          <t>Yes</t>
        </is>
      </c>
      <c r="W102" t="inlineStr">
        <is>
          <t>Available to Order</t>
        </is>
      </c>
      <c r="X102" t="inlineStr">
        <is>
          <t>Chevrolet Express 1500 2014-08, Express 2500 2014-08, Express 3500 2014-08, Express 4500 2014-09; GMC Savana 1500 2014-08, Savana 2500 2014-08, Savana 3500 2014-08</t>
        </is>
      </c>
      <c r="Y102" t="inlineStr">
        <is>
          <t>00082617820523</t>
        </is>
      </c>
      <c r="Z102" t="inlineStr">
        <is>
          <t>40-1096::98271:100787:306</t>
        </is>
      </c>
      <c r="AA102" t="inlineStr">
        <is>
          <t>Yes</t>
        </is>
      </c>
      <c r="AB102" t="inlineStr"/>
      <c r="AC102" t="inlineStr"/>
    </row>
    <row r="103">
      <c r="A103" t="inlineStr">
        <is>
          <t>102</t>
        </is>
      </c>
      <c r="B103" t="inlineStr">
        <is>
          <t>Windshield Wiper Motor</t>
        </is>
      </c>
      <c r="C103" t="inlineStr">
        <is>
          <t>40-1097</t>
        </is>
      </c>
      <c r="D103" t="inlineStr">
        <is>
          <t>Windshield Wiper Motor - 40-1097</t>
        </is>
      </c>
      <c r="E103" t="inlineStr">
        <is>
          <t>CARDONE Reman</t>
        </is>
      </c>
      <c r="F103" t="inlineStr">
        <is>
          <t>15860126</t>
        </is>
      </c>
      <c r="G103" t="inlineStr">
        <is>
          <t>Saturn Vue 2007</t>
        </is>
      </c>
      <c r="H103" t="inlineStr">
        <is>
          <t>Saturn Vue 2007 2.2L L4 134cid
Saturn Vue 2007 2.4L L4 145cid
Saturn Vue 2007 3.5L V6 3471cc</t>
        </is>
      </c>
      <c r="I103" t="inlineStr">
        <is>
          <t>{"0": {"productDeskExternalKey": "CPCX|40-1097"},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"Saturn Vue 2007"}, "14": {"ItemLevelGTIN": "00082617822343"}, "15": {"_addonCardone": "40-1097::98271:100796:306"}, "16": {"Eligible for R&amp;R Service": "Yes"}}</t>
        </is>
      </c>
      <c r="J103" t="inlineStr">
        <is>
          <t>https://www.cardone.com/product/windshield-wiper-motor-40-1097</t>
        </is>
      </c>
      <c r="K103">
        <f>DISPIMG("ID_9214D273646B47269740EFA062C4FF13",1)</f>
        <v/>
      </c>
      <c r="L103" t="inlineStr">
        <is>
          <t>CPCX|40-1097</t>
        </is>
      </c>
      <c r="M103" t="inlineStr">
        <is>
          <t>Wiper Motor; Instruction Sheet</t>
        </is>
      </c>
      <c r="N103" t="inlineStr">
        <is>
          <t>Yes</t>
        </is>
      </c>
      <c r="O103" t="inlineStr">
        <is>
          <t>Remanufactured</t>
        </is>
      </c>
      <c r="P103" t="inlineStr">
        <is>
          <t>3</t>
        </is>
      </c>
      <c r="Q103" t="inlineStr">
        <is>
          <t>Blade</t>
        </is>
      </c>
      <c r="R103" t="inlineStr">
        <is>
          <t>Grommet</t>
        </is>
      </c>
      <c r="S103" t="inlineStr">
        <is>
          <t>2.2000</t>
        </is>
      </c>
      <c r="T103" t="inlineStr">
        <is>
          <t>No</t>
        </is>
      </c>
      <c r="U103" t="inlineStr">
        <is>
          <t>1 Year/18,000 Mile</t>
        </is>
      </c>
      <c r="V103" t="inlineStr">
        <is>
          <t>Yes</t>
        </is>
      </c>
      <c r="W103" t="inlineStr">
        <is>
          <t>Available to Order</t>
        </is>
      </c>
      <c r="X103" t="inlineStr">
        <is>
          <t>Saturn Vue 2007</t>
        </is>
      </c>
      <c r="Y103" t="inlineStr">
        <is>
          <t>00082617822343</t>
        </is>
      </c>
      <c r="Z103" t="inlineStr">
        <is>
          <t>40-1097::98271:100796:306</t>
        </is>
      </c>
      <c r="AA103" t="inlineStr">
        <is>
          <t>Yes</t>
        </is>
      </c>
      <c r="AB103" t="inlineStr"/>
      <c r="AC103" t="inlineStr"/>
    </row>
    <row r="104">
      <c r="A104" t="inlineStr">
        <is>
          <t>103</t>
        </is>
      </c>
      <c r="B104" t="inlineStr">
        <is>
          <t>Windshield Wiper Motor</t>
        </is>
      </c>
      <c r="C104" t="inlineStr">
        <is>
          <t>40-1101</t>
        </is>
      </c>
      <c r="D104" t="inlineStr">
        <is>
          <t>Windshield Wiper Motor - 40-1101</t>
        </is>
      </c>
      <c r="E104" t="inlineStr">
        <is>
          <t>CARDONE Reman</t>
        </is>
      </c>
      <c r="F104" t="inlineStr">
        <is>
          <t>20897463</t>
        </is>
      </c>
      <c r="G104" t="inlineStr">
        <is>
          <t>Cadillac CTS 2011-2014</t>
        </is>
      </c>
      <c r="H104" t="inlineStr">
        <is>
          <t>Cadillac CTS 2011-2014 3.6L V6 217cid
Cadillac CTS 2011-2014 3L V6 182cid
Cadillac CTS 2011-2014 6.2L V8 376cid
Cadillac CTS 2014 2L L4 122cid</t>
        </is>
      </c>
      <c r="I104" t="inlineStr">
        <is>
          <t>{"0": {"productDeskExternalKey": "CPCX|40-1101"}, "1": {"E-Waste": "Yes"}, "2": {"Product Condition": "Remanufactured"}, "3": {"Weight PG": "2.7000"}, "4": {"Part Type": "Windshield Wiper Motor"}, "5": {"Warranty Info": "1 Year/18,000 Mile"}, "6": {"Sustainable Choice": "Yes"}, "7": {"Lifecycle Status": "Available to Order"}, "8": {"Application Summary": "Cadillac CTS 2014-11"}, "9": {"ItemLevelGTIN": "00884548028081"}, "10": {"_addonCardone": "40-1101::98271:100802:306"}, "11": {"Eligible for R&amp;R Service": "Yes"}}</t>
        </is>
      </c>
      <c r="J104" t="inlineStr">
        <is>
          <t>https://www.cardone.com/product/windshield-wiper-motor-40-1101</t>
        </is>
      </c>
      <c r="K104">
        <f>DISPIMG("ID_961491D0C12043A28BB8B069EACF9F58",1)</f>
        <v/>
      </c>
      <c r="L104" t="inlineStr">
        <is>
          <t>CPCX|40-1101</t>
        </is>
      </c>
      <c r="M104" t="inlineStr"/>
      <c r="N104" t="inlineStr">
        <is>
          <t>Yes</t>
        </is>
      </c>
      <c r="O104" t="inlineStr">
        <is>
          <t>Remanufactured</t>
        </is>
      </c>
      <c r="P104" t="inlineStr"/>
      <c r="Q104" t="inlineStr"/>
      <c r="R104" t="inlineStr"/>
      <c r="S104" t="inlineStr">
        <is>
          <t>2.7000</t>
        </is>
      </c>
      <c r="T104" t="inlineStr"/>
      <c r="U104" t="inlineStr">
        <is>
          <t>1 Year/18,000 Mile</t>
        </is>
      </c>
      <c r="V104" t="inlineStr">
        <is>
          <t>Yes</t>
        </is>
      </c>
      <c r="W104" t="inlineStr">
        <is>
          <t>Available to Order</t>
        </is>
      </c>
      <c r="X104" t="inlineStr">
        <is>
          <t>Cadillac CTS 2014-11</t>
        </is>
      </c>
      <c r="Y104" t="inlineStr">
        <is>
          <t>00884548028081</t>
        </is>
      </c>
      <c r="Z104" t="inlineStr">
        <is>
          <t>40-1101::98271:100802:306</t>
        </is>
      </c>
      <c r="AA104" t="inlineStr">
        <is>
          <t>Yes</t>
        </is>
      </c>
      <c r="AB104" t="inlineStr"/>
      <c r="AC104" t="inlineStr"/>
    </row>
    <row r="105">
      <c r="A105" t="inlineStr">
        <is>
          <t>104</t>
        </is>
      </c>
      <c r="B105" t="inlineStr">
        <is>
          <t>Windshield Wiper Motor</t>
        </is>
      </c>
      <c r="C105" t="inlineStr">
        <is>
          <t>40-1102</t>
        </is>
      </c>
      <c r="D105" t="inlineStr">
        <is>
          <t>Windshield Wiper Motor - 40-1102</t>
        </is>
      </c>
      <c r="E105" t="inlineStr">
        <is>
          <t>CARDONE Reman</t>
        </is>
      </c>
      <c r="F105" t="inlineStr">
        <is>
          <t>96650812;95995929</t>
        </is>
      </c>
      <c r="G105" t="inlineStr">
        <is>
          <t>Chevrolet Aveo5 2009-2011
Pontiac G3 Wave 2009
Suzuki Swift 2009-2011</t>
        </is>
      </c>
      <c r="H105" t="inlineStr">
        <is>
          <t>Chevrolet Aveo5 2009-2011 1.6L L4 98cid
Pontiac G3 Wave 2009 1.6L L4 98cid
Suzuki Swift 2009-2011 1.5L L4 91cid</t>
        </is>
      </c>
      <c r="I105" t="inlineStr">
        <is>
          <t>{"0": {"productDeskExternalKey": "CPCX|40-1102"}, "1": {"E-Waste": "Yes"}, "2": {"Product Condition": "Remanufactured"}, "3": {"Weight PG": "1.9500"}, "4": {"Part Type": "Windshield Wiper Motor"}, "5": {"Warranty Info": "1 Year/18,000 Mile"}, "6": {"Sustainable Choice": "Yes"}, "7": {"Lifecycle Status": "Available to Order"}, "8": {"Application Summary": "Chevrolet Aveo5 2011-09; Pontiac G3 Wave 2009; Suzuki Swift 2011-09"}, "9": {"ItemLevelGTIN": "00884548028098"}, "10": {"_addonCardone": "40-1102::98271:100808:306"}, "11": {"Eligible for R&amp;R Service": "Yes"}}</t>
        </is>
      </c>
      <c r="J105" t="inlineStr">
        <is>
          <t>https://www.cardone.com/product/windshield-wiper-motor-40-1102</t>
        </is>
      </c>
      <c r="K105">
        <f>DISPIMG("ID_5BE854F98D2E41E5A7C72FE5E7AA545D",1)</f>
        <v/>
      </c>
      <c r="L105" t="inlineStr">
        <is>
          <t>CPCX|40-1102</t>
        </is>
      </c>
      <c r="M105" t="inlineStr"/>
      <c r="N105" t="inlineStr">
        <is>
          <t>Yes</t>
        </is>
      </c>
      <c r="O105" t="inlineStr">
        <is>
          <t>Remanufactured</t>
        </is>
      </c>
      <c r="P105" t="inlineStr"/>
      <c r="Q105" t="inlineStr"/>
      <c r="R105" t="inlineStr"/>
      <c r="S105" t="inlineStr">
        <is>
          <t>1.9500</t>
        </is>
      </c>
      <c r="T105" t="inlineStr"/>
      <c r="U105" t="inlineStr">
        <is>
          <t>1 Year/18,000 Mile</t>
        </is>
      </c>
      <c r="V105" t="inlineStr">
        <is>
          <t>Yes</t>
        </is>
      </c>
      <c r="W105" t="inlineStr">
        <is>
          <t>Available to Order</t>
        </is>
      </c>
      <c r="X105" t="inlineStr">
        <is>
          <t>Chevrolet Aveo5 2011-09; Pontiac G3 Wave 2009; Suzuki Swift 2011-09</t>
        </is>
      </c>
      <c r="Y105" t="inlineStr">
        <is>
          <t>00884548028098</t>
        </is>
      </c>
      <c r="Z105" t="inlineStr">
        <is>
          <t>40-1102::98271:100808:306</t>
        </is>
      </c>
      <c r="AA105" t="inlineStr">
        <is>
          <t>Yes</t>
        </is>
      </c>
      <c r="AB105" t="inlineStr"/>
      <c r="AC105" t="inlineStr"/>
    </row>
    <row r="106">
      <c r="A106" t="inlineStr">
        <is>
          <t>105</t>
        </is>
      </c>
      <c r="B106" t="inlineStr">
        <is>
          <t>Windshield Wiper Motor</t>
        </is>
      </c>
      <c r="C106" t="inlineStr">
        <is>
          <t>40-1103</t>
        </is>
      </c>
      <c r="D106" t="inlineStr">
        <is>
          <t>Windshield Wiper Motor - 40-1103</t>
        </is>
      </c>
      <c r="E106" t="inlineStr">
        <is>
          <t>CARDONE Reman</t>
        </is>
      </c>
      <c r="F106" t="inlineStr">
        <is>
          <t>92254880</t>
        </is>
      </c>
      <c r="G106" t="inlineStr">
        <is>
          <t>Chevrolet Caprice 2011-2012</t>
        </is>
      </c>
      <c r="H106" t="inlineStr">
        <is>
          <t>Chevrolet Caprice 2011-2012 6L V8 364cid
Chevrolet Caprice 2012 3.6L V6 217cid</t>
        </is>
      </c>
      <c r="I106" t="inlineStr">
        <is>
          <t>{"0": {"productDeskExternalKey": "CPCX|40-1103"}, "1": {"E-Waste": "Yes"}, "2": {"Product Condition": "Remanufactured"}, "3": {"Weight PG": "3.0000"}, "4": {"Part Type": "Windshield Wiper Motor"}, "5": {"Warranty Info": "1 Year/18,000 Mile"}, "6": {"Sustainable Choice": "Yes"}, "7": {"Lifecycle Status": "Available to Order"}, "8": {"Application Summary": "Chevrolet Caprice 2012-11"}, "9": {"ItemLevelGTIN": "00884548028104"}, "10": {"_addonCardone": "40-1103::98271:100815:306"}, "11": {"Eligible for R&amp;R Service": "Yes"}}</t>
        </is>
      </c>
      <c r="J106" t="inlineStr">
        <is>
          <t>https://www.cardone.com/product/windshield-wiper-motor-40-1103</t>
        </is>
      </c>
      <c r="K106">
        <f>DISPIMG("ID_4514154CFDA4439EB43ACB57AF9852F2",1)</f>
        <v/>
      </c>
      <c r="L106" t="inlineStr">
        <is>
          <t>CPCX|40-1103</t>
        </is>
      </c>
      <c r="M106" t="inlineStr"/>
      <c r="N106" t="inlineStr">
        <is>
          <t>Yes</t>
        </is>
      </c>
      <c r="O106" t="inlineStr">
        <is>
          <t>Remanufactured</t>
        </is>
      </c>
      <c r="P106" t="inlineStr"/>
      <c r="Q106" t="inlineStr"/>
      <c r="R106" t="inlineStr"/>
      <c r="S106" t="inlineStr">
        <is>
          <t>3.0000</t>
        </is>
      </c>
      <c r="T106" t="inlineStr"/>
      <c r="U106" t="inlineStr">
        <is>
          <t>1 Year/18,000 Mile</t>
        </is>
      </c>
      <c r="V106" t="inlineStr">
        <is>
          <t>Yes</t>
        </is>
      </c>
      <c r="W106" t="inlineStr">
        <is>
          <t>Available to Order</t>
        </is>
      </c>
      <c r="X106" t="inlineStr">
        <is>
          <t>Chevrolet Caprice 2012-11</t>
        </is>
      </c>
      <c r="Y106" t="inlineStr">
        <is>
          <t>00884548028104</t>
        </is>
      </c>
      <c r="Z106" t="inlineStr">
        <is>
          <t>40-1103::98271:100815:306</t>
        </is>
      </c>
      <c r="AA106" t="inlineStr">
        <is>
          <t>Yes</t>
        </is>
      </c>
      <c r="AB106" t="inlineStr"/>
      <c r="AC106" t="inlineStr"/>
    </row>
    <row r="107">
      <c r="A107" t="inlineStr">
        <is>
          <t>106</t>
        </is>
      </c>
      <c r="B107" t="inlineStr">
        <is>
          <t>Windshield Wiper Motor</t>
        </is>
      </c>
      <c r="C107" t="inlineStr">
        <is>
          <t>40-1104</t>
        </is>
      </c>
      <c r="D107" t="inlineStr">
        <is>
          <t>Windshield Wiper Motor - 40-1104</t>
        </is>
      </c>
      <c r="E107" t="inlineStr">
        <is>
          <t>CARDONE Reman</t>
        </is>
      </c>
      <c r="F107" t="inlineStr">
        <is>
          <t>90386268</t>
        </is>
      </c>
      <c r="G107" t="inlineStr">
        <is>
          <t>Chevrolet Chevy 2004-2011
Chevrolet Corsa 2002-2008</t>
        </is>
      </c>
      <c r="H107" t="inlineStr">
        <is>
          <t>Chevrolet Chevy 2004-2011 1.6L L4 98cid
Chevrolet Corsa 2002 1.4L L4 85cid
Chevrolet Corsa 2003-2008 1.8L L4 110cid</t>
        </is>
      </c>
      <c r="I107" t="inlineStr">
        <is>
          <t>{"0": {"productDeskExternalKey": "CPCX|40-1104"}, "1": {"E-Waste": "Yes"}, "2": {"Product Condition": "Remanufactured"}, "3": {"Weight PG": "2.9000"}, "4": {"Part Type": "Windshield Wiper Motor"}, "5": {"Warranty Info": "1 Year/18,000 Mile"}, "6": {"Sustainable Choice": "Yes"}, "7": {"Lifecycle Status": "Available to Order"}, "8": {"Application Summary": "Chevrolet Chevy 2011-04, Corsa 2008-02"}, "9": {"ItemLevelGTIN": "00884548028111"}, "10": {"_addonCardone": "40-1104::98271:100820:306"}, "11": {"Eligible for R&amp;R Service": "Yes"}}</t>
        </is>
      </c>
      <c r="J107" t="inlineStr">
        <is>
          <t>https://www.cardone.com/product/windshield-wiper-motor-40-1104</t>
        </is>
      </c>
      <c r="K107">
        <f>DISPIMG("ID_E73B78B393E1489C847EBF1BFA7A085C",1)</f>
        <v/>
      </c>
      <c r="L107" t="inlineStr">
        <is>
          <t>CPCX|40-1104</t>
        </is>
      </c>
      <c r="M107" t="inlineStr"/>
      <c r="N107" t="inlineStr">
        <is>
          <t>Yes</t>
        </is>
      </c>
      <c r="O107" t="inlineStr">
        <is>
          <t>Remanufactured</t>
        </is>
      </c>
      <c r="P107" t="inlineStr"/>
      <c r="Q107" t="inlineStr"/>
      <c r="R107" t="inlineStr"/>
      <c r="S107" t="inlineStr">
        <is>
          <t>2.9000</t>
        </is>
      </c>
      <c r="T107" t="inlineStr"/>
      <c r="U107" t="inlineStr">
        <is>
          <t>1 Year/18,000 Mile</t>
        </is>
      </c>
      <c r="V107" t="inlineStr">
        <is>
          <t>Yes</t>
        </is>
      </c>
      <c r="W107" t="inlineStr">
        <is>
          <t>Available to Order</t>
        </is>
      </c>
      <c r="X107" t="inlineStr">
        <is>
          <t>Chevrolet Chevy 2011-04, Corsa 2008-02</t>
        </is>
      </c>
      <c r="Y107" t="inlineStr">
        <is>
          <t>00884548028111</t>
        </is>
      </c>
      <c r="Z107" t="inlineStr">
        <is>
          <t>40-1104::98271:100820:306</t>
        </is>
      </c>
      <c r="AA107" t="inlineStr">
        <is>
          <t>Yes</t>
        </is>
      </c>
      <c r="AB107" t="inlineStr"/>
      <c r="AC107" t="inlineStr"/>
    </row>
    <row r="108">
      <c r="A108" t="inlineStr">
        <is>
          <t>107</t>
        </is>
      </c>
      <c r="B108" t="inlineStr">
        <is>
          <t>Windshield Wiper Motor</t>
        </is>
      </c>
      <c r="C108" t="inlineStr">
        <is>
          <t>40-1105</t>
        </is>
      </c>
      <c r="D108" t="inlineStr">
        <is>
          <t>Windshield Wiper Motor - 40-1105</t>
        </is>
      </c>
      <c r="E108" t="inlineStr">
        <is>
          <t>CARDONE Reman</t>
        </is>
      </c>
      <c r="F108" t="inlineStr">
        <is>
          <t>25976011</t>
        </is>
      </c>
      <c r="G108" t="inlineStr">
        <is>
          <t>Chevrolet Volt 2011-2015</t>
        </is>
      </c>
      <c r="H108" t="inlineStr">
        <is>
          <t>Chevrolet Volt 2011-2015 1.4L L4 85cid</t>
        </is>
      </c>
      <c r="I108" t="inlineStr">
        <is>
          <t>{"0": {"productDeskExternalKey": "CPCX|40-1105"}, "1": {"E-Waste": "Yes"}, "2": {"Product Condition": "Remanufactured"}, "3": {"Weight PG": "3.0000"}, "4": {"Part Type": "Windshield Wiper Motor"}, "5": {"Warranty Info": "1 Year/18,000 Mile"}, "6": {"Sustainable Choice": "Yes"}, "7": {"Lifecycle Status": "Available to Order"}, "8": {"Application Summary": "Chevrolet Volt 2015-11"}, "9": {"ItemLevelGTIN": "00884548028128"}, "10": {"_addonCardone": "40-1105::98271:100829:306"}, "11": {"Eligible for R&amp;R Service": "Yes"}}</t>
        </is>
      </c>
      <c r="J108" t="inlineStr">
        <is>
          <t>https://www.cardone.com/product/windshield-wiper-motor-40-1105</t>
        </is>
      </c>
      <c r="K108">
        <f>DISPIMG("ID_C906C7DCF95F4188A458627F127B8454",1)</f>
        <v/>
      </c>
      <c r="L108" t="inlineStr">
        <is>
          <t>CPCX|40-1105</t>
        </is>
      </c>
      <c r="M108" t="inlineStr"/>
      <c r="N108" t="inlineStr">
        <is>
          <t>Yes</t>
        </is>
      </c>
      <c r="O108" t="inlineStr">
        <is>
          <t>Remanufactured</t>
        </is>
      </c>
      <c r="P108" t="inlineStr"/>
      <c r="Q108" t="inlineStr"/>
      <c r="R108" t="inlineStr"/>
      <c r="S108" t="inlineStr">
        <is>
          <t>3.0000</t>
        </is>
      </c>
      <c r="T108" t="inlineStr"/>
      <c r="U108" t="inlineStr">
        <is>
          <t>1 Year/18,000 Mile</t>
        </is>
      </c>
      <c r="V108" t="inlineStr">
        <is>
          <t>Yes</t>
        </is>
      </c>
      <c r="W108" t="inlineStr">
        <is>
          <t>Available to Order</t>
        </is>
      </c>
      <c r="X108" t="inlineStr">
        <is>
          <t>Chevrolet Volt 2015-11</t>
        </is>
      </c>
      <c r="Y108" t="inlineStr">
        <is>
          <t>00884548028128</t>
        </is>
      </c>
      <c r="Z108" t="inlineStr">
        <is>
          <t>40-1105::98271:100829:306</t>
        </is>
      </c>
      <c r="AA108" t="inlineStr">
        <is>
          <t>Yes</t>
        </is>
      </c>
      <c r="AB108" t="inlineStr"/>
      <c r="AC108" t="inlineStr"/>
    </row>
    <row r="109">
      <c r="A109" t="inlineStr">
        <is>
          <t>108</t>
        </is>
      </c>
      <c r="B109" t="inlineStr">
        <is>
          <t>Windshield Wiper Motor</t>
        </is>
      </c>
      <c r="C109" t="inlineStr">
        <is>
          <t>40-1107</t>
        </is>
      </c>
      <c r="D109" t="inlineStr">
        <is>
          <t>Windshield Wiper Motor - 40-1107</t>
        </is>
      </c>
      <c r="E109" t="inlineStr">
        <is>
          <t>CARDONE Reman</t>
        </is>
      </c>
      <c r="F109" t="inlineStr">
        <is>
          <t>25942547</t>
        </is>
      </c>
      <c r="G109" t="inlineStr">
        <is>
          <t>Chevrolet Equinox 2010-2016
GMC Terrain 2010-2016</t>
        </is>
      </c>
      <c r="H109" t="inlineStr">
        <is>
          <t>Chevrolet Equinox 2010-2012 3L V6 182cid
Chevrolet Equinox 2010-2016 2.4L L4 145cid
Chevrolet Equinox 2013-2016 3.6L V6 217cid
GMC Terrain 2010-2012 3L V6 182cid
GMC Terrain 2010-2016 2.4L L4 145cid
GMC Terrain 2013-2016 3.6L V6 217cid</t>
        </is>
      </c>
      <c r="I109" t="inlineStr">
        <is>
          <t>{"0": {"productDeskExternalKey": "CPCX|40-1107"}, "1": {"Package Contents": "Wiper Motor; Instruction Sheet"}, "2": {"E-Waste": "Yes"}, "3": {"Product Condition": "Remanufactured"}, "4": {"Mounting Hole Quantity": "3"}, "5": {"Terminal Type": "Blade"}, "6": {"Mounting Type": "Direct Bolt; Grommet"}, "7": {"Weight PG": "3.0000"}, "8": {"Washer Pump Included": "No"}, "9": {"Part Type": "Windshield Wiper Motor"}, "10": {"Warranty Info": "1 Year/18,000 Mile"}, "11": {"Sustainable Choice": "Yes"}, "12": {"Lifecycle Status": "Available to Order"}, "13": {"Application Summary": "Chevrolet Equinox 2016-10; GMC Terrain 2016-10"}, "14": {"ItemLevelGTIN": "00884548067370"}, "15": {"_addonCardone": "40-1107::98271:100836:306"}, "16": {"Eligible for R&amp;R Service": "Yes"}}</t>
        </is>
      </c>
      <c r="J109" t="inlineStr">
        <is>
          <t>https://www.cardone.com/product/windshield-wiper-motor-40-1107</t>
        </is>
      </c>
      <c r="K109">
        <f>DISPIMG("ID_A0BA62D5D2A847DAB87546EA372FFA83",1)</f>
        <v/>
      </c>
      <c r="L109" t="inlineStr">
        <is>
          <t>CPCX|40-1107</t>
        </is>
      </c>
      <c r="M109" t="inlineStr">
        <is>
          <t>Wiper Motor; Instruction Sheet</t>
        </is>
      </c>
      <c r="N109" t="inlineStr">
        <is>
          <t>Yes</t>
        </is>
      </c>
      <c r="O109" t="inlineStr">
        <is>
          <t>Remanufactured</t>
        </is>
      </c>
      <c r="P109" t="inlineStr">
        <is>
          <t>3</t>
        </is>
      </c>
      <c r="Q109" t="inlineStr">
        <is>
          <t>Blade</t>
        </is>
      </c>
      <c r="R109" t="inlineStr">
        <is>
          <t>Direct Bolt; Grommet</t>
        </is>
      </c>
      <c r="S109" t="inlineStr">
        <is>
          <t>3.0000</t>
        </is>
      </c>
      <c r="T109" t="inlineStr">
        <is>
          <t>No</t>
        </is>
      </c>
      <c r="U109" t="inlineStr">
        <is>
          <t>1 Year/18,000 Mile</t>
        </is>
      </c>
      <c r="V109" t="inlineStr">
        <is>
          <t>Yes</t>
        </is>
      </c>
      <c r="W109" t="inlineStr">
        <is>
          <t>Available to Order</t>
        </is>
      </c>
      <c r="X109" t="inlineStr">
        <is>
          <t>Chevrolet Equinox 2016-10; GMC Terrain 2016-10</t>
        </is>
      </c>
      <c r="Y109" t="inlineStr">
        <is>
          <t>00884548067370</t>
        </is>
      </c>
      <c r="Z109" t="inlineStr">
        <is>
          <t>40-1107::98271:100836:306</t>
        </is>
      </c>
      <c r="AA109" t="inlineStr">
        <is>
          <t>Yes</t>
        </is>
      </c>
      <c r="AB109" t="inlineStr"/>
      <c r="AC109" t="inlineStr"/>
    </row>
    <row r="110">
      <c r="A110" t="inlineStr">
        <is>
          <t>109</t>
        </is>
      </c>
      <c r="B110" t="inlineStr">
        <is>
          <t>Windshield Wiper Motor</t>
        </is>
      </c>
      <c r="C110" t="inlineStr">
        <is>
          <t>40-1108</t>
        </is>
      </c>
      <c r="D110" t="inlineStr">
        <is>
          <t>Windshield Wiper Motor - 40-1108</t>
        </is>
      </c>
      <c r="E110" t="inlineStr">
        <is>
          <t>CARDONE Reman</t>
        </is>
      </c>
      <c r="F110" t="inlineStr">
        <is>
          <t>25788749</t>
        </is>
      </c>
      <c r="G110" t="inlineStr">
        <is>
          <t>Chevrolet Equinox 2010-2017
GMC Terrain 2010-2017</t>
        </is>
      </c>
      <c r="H110" t="inlineStr">
        <is>
          <t>Chevrolet Equinox 2010-2012 3L V6 182cid
Chevrolet Equinox 2010-2017 2.4L L4 145cid
Chevrolet Equinox 2013-2017 3.6L V6 217cid
GMC Terrain 2010-2012 3L V6 182cid
GMC Terrain 2010-2017 2.4L L4 145cid
GMC Terrain 2013-2017 3.6L V6 217cid</t>
        </is>
      </c>
      <c r="I110" t="inlineStr">
        <is>
          <t>{"0": {"productDeskExternalKey": "CPCX|40-1108"},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"Chevrolet Equinox 2017-10; GMC Terrain 2017-10"}, "14": {"ItemLevelGTIN": "00884548067387"}, "15": {"_addonCardone": "40-1108::98271:100843:306"}, "16": {"Eligible for R&amp;R Service": "Yes"}}</t>
        </is>
      </c>
      <c r="J110" t="inlineStr">
        <is>
          <t>https://www.cardone.com/product/windshield-wiper-motor-40-1108</t>
        </is>
      </c>
      <c r="K110">
        <f>DISPIMG("ID_C9DF03CB0A64471380C781073E1832AB",1)</f>
        <v/>
      </c>
      <c r="L110" t="inlineStr">
        <is>
          <t>CPCX|40-1108</t>
        </is>
      </c>
      <c r="M110" t="inlineStr">
        <is>
          <t>Wiper Motor; Instruction Sheet</t>
        </is>
      </c>
      <c r="N110" t="inlineStr">
        <is>
          <t>Yes</t>
        </is>
      </c>
      <c r="O110" t="inlineStr">
        <is>
          <t>Remanufactured</t>
        </is>
      </c>
      <c r="P110" t="inlineStr">
        <is>
          <t>3</t>
        </is>
      </c>
      <c r="Q110" t="inlineStr">
        <is>
          <t>Blade</t>
        </is>
      </c>
      <c r="R110" t="inlineStr">
        <is>
          <t>Grommet</t>
        </is>
      </c>
      <c r="S110" t="inlineStr">
        <is>
          <t>2.0000</t>
        </is>
      </c>
      <c r="T110" t="inlineStr">
        <is>
          <t>No</t>
        </is>
      </c>
      <c r="U110" t="inlineStr">
        <is>
          <t>1 Year/18,000 Mile</t>
        </is>
      </c>
      <c r="V110" t="inlineStr">
        <is>
          <t>Yes</t>
        </is>
      </c>
      <c r="W110" t="inlineStr">
        <is>
          <t>Available to Order</t>
        </is>
      </c>
      <c r="X110" t="inlineStr">
        <is>
          <t>Chevrolet Equinox 2017-10; GMC Terrain 2017-10</t>
        </is>
      </c>
      <c r="Y110" t="inlineStr">
        <is>
          <t>00884548067387</t>
        </is>
      </c>
      <c r="Z110" t="inlineStr">
        <is>
          <t>40-1108::98271:100843:306</t>
        </is>
      </c>
      <c r="AA110" t="inlineStr">
        <is>
          <t>Yes</t>
        </is>
      </c>
      <c r="AB110" t="inlineStr"/>
      <c r="AC110" t="inlineStr"/>
    </row>
    <row r="111">
      <c r="A111" t="inlineStr">
        <is>
          <t>110</t>
        </is>
      </c>
      <c r="B111" t="inlineStr">
        <is>
          <t>Windshield Wiper Motor</t>
        </is>
      </c>
      <c r="C111" t="inlineStr">
        <is>
          <t>40-1110</t>
        </is>
      </c>
      <c r="D111" t="inlineStr">
        <is>
          <t>Windshield Wiper Motor - 40-1110</t>
        </is>
      </c>
      <c r="E111" t="inlineStr">
        <is>
          <t>CARDONE Reman</t>
        </is>
      </c>
      <c r="F111" t="inlineStr">
        <is>
          <t>96893302</t>
        </is>
      </c>
      <c r="G111" t="inlineStr">
        <is>
          <t>Chevrolet Cruze 2011-2016
Chevrolet Cruze Limited 2016</t>
        </is>
      </c>
      <c r="H111" t="inlineStr">
        <is>
          <t>Chevrolet Cruze 2011-2016 1.4L L4 83cid
Chevrolet Cruze 2011-2016 1.8L L4 110cid
Chevrolet Cruze 2014-2015 2L L4 119cid
Chevrolet Cruze 2016 1.4L L4 85cid
Chevrolet Cruze Limited 2016 1.4L L4 83cid
Chevrolet Cruze Limited 2016 1.8L L4 110cid</t>
        </is>
      </c>
      <c r="I111" t="inlineStr">
        <is>
          <t>{"0": {"productDeskExternalKey": "CPCX|40-1110"}, "1": {"Package Contents": "Wiper Motor; Instruction Sheet"}, "2": {"E-Waste": "Yes"}, "3": {"Product Condition": "Remanufactured"}, "4": {"Mounting Hole Quantity": "3"}, "5": {"Terminal Type": "Blade"}, "6": {"Mounting Type": "Direct Bolt; Grommet"}, "7": {"Weight PG": "3.1000"}, "8": {"Washer Pump Included": "No"}, "9": {"Part Type": "Windshield Wiper Motor"}, "10": {"Warranty Info": "1 Year/18,000 Mile"}, "11": {"Sustainable Choice": "Yes"}, "12": {"Lifecycle Status": "Available to Order"}, "13": {"Application Summary": "Chevrolet Cruze 2016-11, Cruze Limited 2016"}, "14": {"ItemLevelGTIN": "00884548067516"}, "15": {"_addonCardone": "40-1110::98271:100849:306"}, "16": {"Eligible for R&amp;R Service": "Yes"}}</t>
        </is>
      </c>
      <c r="J111" t="inlineStr">
        <is>
          <t>https://www.cardone.com/product/windshield-wiper-motor-40-1110</t>
        </is>
      </c>
      <c r="K111">
        <f>DISPIMG("ID_26860430BDA849D6B91C055E91C02256",1)</f>
        <v/>
      </c>
      <c r="L111" t="inlineStr">
        <is>
          <t>CPCX|40-1110</t>
        </is>
      </c>
      <c r="M111" t="inlineStr">
        <is>
          <t>Wiper Motor; Instruction Sheet</t>
        </is>
      </c>
      <c r="N111" t="inlineStr">
        <is>
          <t>Yes</t>
        </is>
      </c>
      <c r="O111" t="inlineStr">
        <is>
          <t>Remanufactured</t>
        </is>
      </c>
      <c r="P111" t="inlineStr">
        <is>
          <t>3</t>
        </is>
      </c>
      <c r="Q111" t="inlineStr">
        <is>
          <t>Blade</t>
        </is>
      </c>
      <c r="R111" t="inlineStr">
        <is>
          <t>Direct Bolt; Grommet</t>
        </is>
      </c>
      <c r="S111" t="inlineStr">
        <is>
          <t>3.1000</t>
        </is>
      </c>
      <c r="T111" t="inlineStr">
        <is>
          <t>No</t>
        </is>
      </c>
      <c r="U111" t="inlineStr">
        <is>
          <t>1 Year/18,000 Mile</t>
        </is>
      </c>
      <c r="V111" t="inlineStr">
        <is>
          <t>Yes</t>
        </is>
      </c>
      <c r="W111" t="inlineStr">
        <is>
          <t>Available to Order</t>
        </is>
      </c>
      <c r="X111" t="inlineStr">
        <is>
          <t>Chevrolet Cruze 2016-11, Cruze Limited 2016</t>
        </is>
      </c>
      <c r="Y111" t="inlineStr">
        <is>
          <t>00884548067516</t>
        </is>
      </c>
      <c r="Z111" t="inlineStr">
        <is>
          <t>40-1110::98271:100849:306</t>
        </is>
      </c>
      <c r="AA111" t="inlineStr">
        <is>
          <t>Yes</t>
        </is>
      </c>
      <c r="AB111" t="inlineStr"/>
      <c r="AC111" t="inlineStr"/>
    </row>
    <row r="112">
      <c r="A112" t="inlineStr">
        <is>
          <t>111</t>
        </is>
      </c>
      <c r="B112" t="inlineStr">
        <is>
          <t>Windshield Wiper Motor</t>
        </is>
      </c>
      <c r="C112" t="inlineStr">
        <is>
          <t>40-1113</t>
        </is>
      </c>
      <c r="D112" t="inlineStr">
        <is>
          <t>Windshield Wiper Motor - 40-1113</t>
        </is>
      </c>
      <c r="E112" t="inlineStr">
        <is>
          <t>CARDONE Reman</t>
        </is>
      </c>
      <c r="F112" t="inlineStr">
        <is>
          <t>22820106</t>
        </is>
      </c>
      <c r="G112" t="inlineStr">
        <is>
          <t>Buick Enclave 2013-2017
Chevrolet Traverse 2013-2017
GMC Acadia 2013-2016
GMC Acadia Limited 2017</t>
        </is>
      </c>
      <c r="H112" t="inlineStr">
        <is>
          <t>Buick Enclave 2013-2017 3.6L V6 217cid
Chevrolet Traverse 2013-2017 3.6L V6 217cid
GMC Acadia 2013-2016 3.6L V6 217cid
GMC Acadia Limited 2017 3.6L V6 217cid</t>
        </is>
      </c>
      <c r="I112" t="inlineStr">
        <is>
          <t>{"0": {"productDeskExternalKey": "CPCX|40-1113"}, "1": {"Package Contents": "Wiper Motor; Instruction Sheet"}, "2": {"E-Waste": "Yes"}, "3": {"Product Condition": "Remanufactured"}, "4": {"Mounting Hole Quantity": "3"}, "5": {"Terminal Type": "Blade"}, "6": {"Mounting Type": "Direct Bolt"}, "7": {"Weight PG": "3.0500"}, "8": {"Washer Pump Included": "No"}, "9": {"Part Type": "Windshield Wiper Motor"}, "10": {"Warranty Info": "1 Year/18,000 Mile"}, "11": {"Sustainable Choice": "Yes"}, "12": {"Lifecycle Status": "Available to Order"}, "13": {"Application Summary": "Buick Enclave 2017-13; Chevrolet Traverse 2017-13; GMC Acadia 2016-13, Acadia Limited 2017"}, "14": {"ItemLevelGTIN": "00884548124240"}, "15": {"_addonCardone": "40-1113::98271:100857:306"}, "16": {"Eligible for R&amp;R Service": "Yes"}}</t>
        </is>
      </c>
      <c r="J112" t="inlineStr">
        <is>
          <t>https://www.cardone.com/product/windshield-wiper-motor-40-1113</t>
        </is>
      </c>
      <c r="K112">
        <f>DISPIMG("ID_9C23584FAC34445DA2E29DDB5AFBF0F0",1)</f>
        <v/>
      </c>
      <c r="L112" t="inlineStr">
        <is>
          <t>CPCX|40-1113</t>
        </is>
      </c>
      <c r="M112" t="inlineStr">
        <is>
          <t>Wiper Motor; Instruction Sheet</t>
        </is>
      </c>
      <c r="N112" t="inlineStr">
        <is>
          <t>Yes</t>
        </is>
      </c>
      <c r="O112" t="inlineStr">
        <is>
          <t>Remanufactured</t>
        </is>
      </c>
      <c r="P112" t="inlineStr">
        <is>
          <t>3</t>
        </is>
      </c>
      <c r="Q112" t="inlineStr">
        <is>
          <t>Blade</t>
        </is>
      </c>
      <c r="R112" t="inlineStr">
        <is>
          <t>Direct Bolt</t>
        </is>
      </c>
      <c r="S112" t="inlineStr">
        <is>
          <t>3.0500</t>
        </is>
      </c>
      <c r="T112" t="inlineStr">
        <is>
          <t>No</t>
        </is>
      </c>
      <c r="U112" t="inlineStr">
        <is>
          <t>1 Year/18,000 Mile</t>
        </is>
      </c>
      <c r="V112" t="inlineStr">
        <is>
          <t>Yes</t>
        </is>
      </c>
      <c r="W112" t="inlineStr">
        <is>
          <t>Available to Order</t>
        </is>
      </c>
      <c r="X112" t="inlineStr">
        <is>
          <t>Buick Enclave 2017-13; Chevrolet Traverse 2017-13; GMC Acadia 2016-13, Acadia Limited 2017</t>
        </is>
      </c>
      <c r="Y112" t="inlineStr">
        <is>
          <t>00884548124240</t>
        </is>
      </c>
      <c r="Z112" t="inlineStr">
        <is>
          <t>40-1113::98271:100857:306</t>
        </is>
      </c>
      <c r="AA112" t="inlineStr">
        <is>
          <t>Yes</t>
        </is>
      </c>
      <c r="AB112" t="inlineStr"/>
      <c r="AC112" t="inlineStr"/>
    </row>
    <row r="113">
      <c r="A113" t="inlineStr">
        <is>
          <t>112</t>
        </is>
      </c>
      <c r="B113" t="inlineStr">
        <is>
          <t>Windshield Wiper Motor</t>
        </is>
      </c>
      <c r="C113" t="inlineStr">
        <is>
          <t>40-1114</t>
        </is>
      </c>
      <c r="D113" t="inlineStr">
        <is>
          <t>Windshield Wiper Motor - 40-1114</t>
        </is>
      </c>
      <c r="E113" t="inlineStr">
        <is>
          <t>CARDONE Reman</t>
        </is>
      </c>
      <c r="F113" t="inlineStr">
        <is>
          <t>20980563</t>
        </is>
      </c>
      <c r="G113" t="inlineStr">
        <is>
          <t>Chevrolet Impala 2014-2017
Chevrolet Malibu 2013-2015
Chevrolet Malibu Limited 2016</t>
        </is>
      </c>
      <c r="H113" t="inlineStr">
        <is>
          <t>Chevrolet Impala 2014 2.4L L4 145cid
Chevrolet Impala 2014-2017 2.5L L4 153cid
Chevrolet Impala 2014-2017 3.6L V6 217cid
Chevrolet Malibu 2013-2014 2.4L L4 145cid
Chevrolet Malibu 2013-2015 2.5L L4 153cid
Chevrolet Malibu 2013-2015 2L L4 122cid
Chevrolet Malibu Limited 2016 2.5L L4 153cid</t>
        </is>
      </c>
      <c r="I113" t="inlineStr">
        <is>
          <t>{"0": {"productDeskExternalKey": "CPCX|40-1114"},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"Chevrolet Impala 2017-14, Malibu 2015-13, Malibu Limited 2016"}, "14": {"ItemLevelGTIN": "00884548148314"}, "15": {"_addonCardone": "40-1114::98271:100863:306"}, "16": {"Eligible for R&amp;R Service": "Yes"}}</t>
        </is>
      </c>
      <c r="J113" t="inlineStr">
        <is>
          <t>https://www.cardone.com/product/windshield-wiper-motor-40-1114</t>
        </is>
      </c>
      <c r="K113">
        <f>DISPIMG("ID_B8137002CE38448D97F41B2844BCC07D",1)</f>
        <v/>
      </c>
      <c r="L113" t="inlineStr">
        <is>
          <t>CPCX|40-1114</t>
        </is>
      </c>
      <c r="M113" t="inlineStr">
        <is>
          <t>Wiper Motor; Instruction Sheet</t>
        </is>
      </c>
      <c r="N113" t="inlineStr">
        <is>
          <t>Yes</t>
        </is>
      </c>
      <c r="O113" t="inlineStr">
        <is>
          <t>Remanufactured</t>
        </is>
      </c>
      <c r="P113" t="inlineStr">
        <is>
          <t>3</t>
        </is>
      </c>
      <c r="Q113" t="inlineStr">
        <is>
          <t>Blade</t>
        </is>
      </c>
      <c r="R113" t="inlineStr">
        <is>
          <t>Direct Bolt</t>
        </is>
      </c>
      <c r="S113" t="inlineStr">
        <is>
          <t>2.5000</t>
        </is>
      </c>
      <c r="T113" t="inlineStr">
        <is>
          <t>No</t>
        </is>
      </c>
      <c r="U113" t="inlineStr">
        <is>
          <t>1 Year/18,000 Mile</t>
        </is>
      </c>
      <c r="V113" t="inlineStr">
        <is>
          <t>Yes</t>
        </is>
      </c>
      <c r="W113" t="inlineStr">
        <is>
          <t>Available to Order</t>
        </is>
      </c>
      <c r="X113" t="inlineStr">
        <is>
          <t>Chevrolet Impala 2017-14, Malibu 2015-13, Malibu Limited 2016</t>
        </is>
      </c>
      <c r="Y113" t="inlineStr">
        <is>
          <t>00884548148314</t>
        </is>
      </c>
      <c r="Z113" t="inlineStr">
        <is>
          <t>40-1114::98271:100863:306</t>
        </is>
      </c>
      <c r="AA113" t="inlineStr">
        <is>
          <t>Yes</t>
        </is>
      </c>
      <c r="AB113" t="inlineStr"/>
      <c r="AC113" t="inlineStr"/>
    </row>
    <row r="114">
      <c r="A114" t="inlineStr">
        <is>
          <t>113</t>
        </is>
      </c>
      <c r="B114" t="inlineStr">
        <is>
          <t>Windshield Wiper Motor</t>
        </is>
      </c>
      <c r="C114" t="inlineStr">
        <is>
          <t>40-1115</t>
        </is>
      </c>
      <c r="D114" t="inlineStr">
        <is>
          <t>Windshield Wiper Motor - 40-1115</t>
        </is>
      </c>
      <c r="E114" t="inlineStr">
        <is>
          <t>CARDONE Reman</t>
        </is>
      </c>
      <c r="F114" t="inlineStr">
        <is>
          <t>88958216;12487601</t>
        </is>
      </c>
      <c r="G114" t="inlineStr">
        <is>
          <t>Chevrolet Suburban 1500 2000-2003
Chevrolet Suburban 2500 2000-2003
Chevrolet Tahoe 2000-2003
GMC Yukon 2000-2003
GMC Yukon XL 1500 2000-2003
GMC Yukon XL 2500 2000-2003</t>
        </is>
      </c>
      <c r="H114" t="inlineStr">
        <is>
          <t>Chevrolet Suburban 1500 2000-2002 5.7L V8 350cid
Chevrolet Suburban 1500 2000-2003 5.3L V8 325cid
Chevrolet Suburban 2500 2000-2003 6L V8 364cid
Chevrolet Suburban 2500 2001-2003 8.1L V8 496cid
Chevrolet Tahoe 2000-2003 4.8L V8 294cid
Chevrolet Tahoe 2000-2003 5.3L V8 325cid
GMC Yukon 2000-2003 4.8L V8 294cid
GMC Yukon 2000-2003 5.3L V8 325cid
GMC Yukon 2001-2003 6L V8 364cid
GMC Yukon XL 1500 2000-2003 5.3L V8 325cid
GMC Yukon XL 1500 2001-2003 6L V8 364cid
GMC Yukon XL 2500 2000-2003 6L V8 364cid
GMC Yukon XL 2500 2001-2003 8.1L V8 496cid</t>
        </is>
      </c>
      <c r="I114" t="inlineStr">
        <is>
          <t>{"0": {"productDeskExternalKey": "CPCX|40-1115"}, "1": {"Package Contents": "Wiper Motor; Instruction Sheet"}, "2": {"E-Waste": "Yes"}, "3": {"Product Condition": "Remanufactured"}, "4": {"Mounting Hole Quantity": "3"}, "5": {"Terminal Type": "Blade"}, "6": {"Mounting Type": "Direct Bolt"}, "7": {"Weight PG": "1.9000"}, "8": {"Washer Pump Included": "No"}, "9": {"Part Type": "Windshield Wiper Motor"}, "10": {"Warranty Info": "1 Year/18,000 Mile"}, "11": {"Sustainable Choice": "Yes"}, "12": {"Lifecycle Status": "Available to Order"}, "13": {"Application Summary": "Chevrolet Suburban 1500 2003-00, Suburban 2500 2003-00, Tahoe 2003-00; GMC Yukon 2003-00, Yukon XL 1500 2003-00, Yukon XL 2500 2003-00"}, "14": {"ItemLevelGTIN": "00884548150324"}, "15": {"_addonCardone": "40-1115::98271:100942:306"}, "16": {"Eligible for R&amp;R Service": "Yes"}}</t>
        </is>
      </c>
      <c r="J114" t="inlineStr">
        <is>
          <t>https://www.cardone.com/product/windshield-wiper-motor-40-1115</t>
        </is>
      </c>
      <c r="K114">
        <f>DISPIMG("ID_D17A927B32F24409B10A048839263BD4",1)</f>
        <v/>
      </c>
      <c r="L114" t="inlineStr">
        <is>
          <t>CPCX|40-1115</t>
        </is>
      </c>
      <c r="M114" t="inlineStr">
        <is>
          <t>Wiper Motor; Instruction Sheet</t>
        </is>
      </c>
      <c r="N114" t="inlineStr">
        <is>
          <t>Yes</t>
        </is>
      </c>
      <c r="O114" t="inlineStr">
        <is>
          <t>Remanufactured</t>
        </is>
      </c>
      <c r="P114" t="inlineStr">
        <is>
          <t>3</t>
        </is>
      </c>
      <c r="Q114" t="inlineStr">
        <is>
          <t>Blade</t>
        </is>
      </c>
      <c r="R114" t="inlineStr">
        <is>
          <t>Direct Bolt</t>
        </is>
      </c>
      <c r="S114" t="inlineStr">
        <is>
          <t>1.9000</t>
        </is>
      </c>
      <c r="T114" t="inlineStr">
        <is>
          <t>No</t>
        </is>
      </c>
      <c r="U114" t="inlineStr">
        <is>
          <t>1 Year/18,000 Mile</t>
        </is>
      </c>
      <c r="V114" t="inlineStr">
        <is>
          <t>Yes</t>
        </is>
      </c>
      <c r="W114" t="inlineStr">
        <is>
          <t>Available to Order</t>
        </is>
      </c>
      <c r="X114" t="inlineStr">
        <is>
          <t>Chevrolet Suburban 1500 2003-00, Suburban 2500 2003-00, Tahoe 2003-00; GMC Yukon 2003-00, Yukon XL 1500 2003-00, Yukon XL 2500 2003-00</t>
        </is>
      </c>
      <c r="Y114" t="inlineStr">
        <is>
          <t>00884548150324</t>
        </is>
      </c>
      <c r="Z114" t="inlineStr">
        <is>
          <t>40-1115::98271:100942:306</t>
        </is>
      </c>
      <c r="AA114" t="inlineStr">
        <is>
          <t>Yes</t>
        </is>
      </c>
      <c r="AB114" t="inlineStr"/>
      <c r="AC114" t="inlineStr"/>
    </row>
    <row r="115">
      <c r="A115" t="inlineStr">
        <is>
          <t>114</t>
        </is>
      </c>
      <c r="B115" t="inlineStr">
        <is>
          <t>Windshield Wiper Motor</t>
        </is>
      </c>
      <c r="C115" t="inlineStr">
        <is>
          <t>40-1118</t>
        </is>
      </c>
      <c r="D115" t="inlineStr">
        <is>
          <t>Windshield Wiper Motor - 40-1118</t>
        </is>
      </c>
      <c r="E115" t="inlineStr">
        <is>
          <t>CARDONE Reman</t>
        </is>
      </c>
      <c r="F115" t="inlineStr">
        <is>
          <t>95917201</t>
        </is>
      </c>
      <c r="G115" t="inlineStr">
        <is>
          <t>Chevrolet Sonic 2012-2017</t>
        </is>
      </c>
      <c r="H115" t="inlineStr">
        <is>
          <t>Chevrolet Sonic 2012-2017 1.4L L4 83cid
Chevrolet Sonic 2012-2017 1.6L L4 98cid
Chevrolet Sonic 2012-2017 1.8L L4 110cid</t>
        </is>
      </c>
      <c r="I115" t="inlineStr">
        <is>
          <t>{"0": {"productDeskExternalKey": "CPCX|40-1118"}, "1": {"Package Contents": "Wiper Motor; Instruction Sheet"}, "2": {"E-Waste": "Yes"}, "3": {"Product Condition": "Remanufactured"}, "4": {"Mounting Hole Quantity": "2"}, "5": {"Terminal Type": "Blade"}, "6": {"Mounting Type": "Through Hole"}, "7": {"Weight PG": "2.9000"}, "8": {"Washer Pump Included": "No"}, "9": {"Part Type": "Windshield Wiper Motor"}, "10": {"Warranty Info": "1 Year/18,000 Mile"}, "11": {"Sustainable Choice": "Yes"}, "12": {"Lifecycle Status": "Available to Order"}, "13": {"Application Summary": "Chevrolet Sonic 2017-12"}, "14": {"ItemLevelGTIN": "00884548186439"}, "15": {"_addonCardone": "40-1118::98271:100948:306"}, "16": {"Eligible for R&amp;R Service": "Yes"}}</t>
        </is>
      </c>
      <c r="J115" t="inlineStr">
        <is>
          <t>https://www.cardone.com/product/windshield-wiper-motor-40-1118</t>
        </is>
      </c>
      <c r="K115">
        <f>DISPIMG("ID_0DC6928E4B21472F91F94B12698B3A9A",1)</f>
        <v/>
      </c>
      <c r="L115" t="inlineStr">
        <is>
          <t>CPCX|40-1118</t>
        </is>
      </c>
      <c r="M115" t="inlineStr">
        <is>
          <t>Wiper Motor; Instruction Sheet</t>
        </is>
      </c>
      <c r="N115" t="inlineStr">
        <is>
          <t>Yes</t>
        </is>
      </c>
      <c r="O115" t="inlineStr">
        <is>
          <t>Remanufactured</t>
        </is>
      </c>
      <c r="P115" t="inlineStr">
        <is>
          <t>2</t>
        </is>
      </c>
      <c r="Q115" t="inlineStr">
        <is>
          <t>Blade</t>
        </is>
      </c>
      <c r="R115" t="inlineStr">
        <is>
          <t>Through Hole</t>
        </is>
      </c>
      <c r="S115" t="inlineStr">
        <is>
          <t>2.9000</t>
        </is>
      </c>
      <c r="T115" t="inlineStr">
        <is>
          <t>No</t>
        </is>
      </c>
      <c r="U115" t="inlineStr">
        <is>
          <t>1 Year/18,000 Mile</t>
        </is>
      </c>
      <c r="V115" t="inlineStr">
        <is>
          <t>Yes</t>
        </is>
      </c>
      <c r="W115" t="inlineStr">
        <is>
          <t>Available to Order</t>
        </is>
      </c>
      <c r="X115" t="inlineStr">
        <is>
          <t>Chevrolet Sonic 2017-12</t>
        </is>
      </c>
      <c r="Y115" t="inlineStr">
        <is>
          <t>00884548186439</t>
        </is>
      </c>
      <c r="Z115" t="inlineStr">
        <is>
          <t>40-1118::98271:100948:306</t>
        </is>
      </c>
      <c r="AA115" t="inlineStr">
        <is>
          <t>Yes</t>
        </is>
      </c>
      <c r="AB115" t="inlineStr"/>
      <c r="AC115" t="inlineStr"/>
    </row>
    <row r="116">
      <c r="A116" t="inlineStr">
        <is>
          <t>115</t>
        </is>
      </c>
      <c r="B116" t="inlineStr">
        <is>
          <t>Windshield Wiper Motor</t>
        </is>
      </c>
      <c r="C116" t="inlineStr">
        <is>
          <t>40-1119</t>
        </is>
      </c>
      <c r="D116" t="inlineStr">
        <is>
          <t>Windshield Wiper Motor - 40-1119</t>
        </is>
      </c>
      <c r="E116" t="inlineStr">
        <is>
          <t>CARDONE Reman</t>
        </is>
      </c>
      <c r="F116" t="inlineStr">
        <is>
          <t>95481267</t>
        </is>
      </c>
      <c r="G116" t="inlineStr">
        <is>
          <t>Chevrolet Spark 2013-2015
Chevrolet Spark EV 2014-2016</t>
        </is>
      </c>
      <c r="H116" t="inlineStr">
        <is>
          <t>Chevrolet Spark 2013-2015 1.2L L4 74cid
Chevrolet Spark 2013-2015 1.2L L4 76cid
Chevrolet Spark EV 2014-2016</t>
        </is>
      </c>
      <c r="I116" t="inlineStr">
        <is>
          <t>{"0": {"productDeskExternalKey": "CPCX|40-1119"}, "1": {"Package Contents": "Wiper Motor; Instruction Sheet"}, "2": {"E-Waste": "Yes"}, "3": {"Product Condition": "Remanufactured"}, "4": {"Mounting Hole Quantity": "3"}, "5": {"Terminal Type": "Blade"}, "6": {"Mounting Type": "Grommet; Through Hole"}, "7": {"Weight PG": "3.5000"}, "8": {"Washer Pump Included": "No"}, "9": {"Part Type": "Windshield Wiper Motor"}, "10": {"Warranty Info": "1 Year/18,000 Mile"}, "11": {"Sustainable Choice": "Yes"}, "12": {"Lifecycle Status": "Available to Order"}, "13": {"Application Summary": "Chevrolet Spark 2015-13, Spark EV 2016-14"}, "14": {"ItemLevelGTIN": "00884548186446"}, "15": {"_addonCardone": "40-1119::98271:100957:306"}, "16": {"Eligible for R&amp;R Service": "Yes"}}</t>
        </is>
      </c>
      <c r="J116" t="inlineStr">
        <is>
          <t>https://www.cardone.com/product/windshield-wiper-motor-40-1119</t>
        </is>
      </c>
      <c r="K116">
        <f>DISPIMG("ID_563F54F5C0164EC6911298D67E0A5D20",1)</f>
        <v/>
      </c>
      <c r="L116" t="inlineStr">
        <is>
          <t>CPCX|40-1119</t>
        </is>
      </c>
      <c r="M116" t="inlineStr">
        <is>
          <t>Wiper Motor; Instruction Sheet</t>
        </is>
      </c>
      <c r="N116" t="inlineStr">
        <is>
          <t>Yes</t>
        </is>
      </c>
      <c r="O116" t="inlineStr">
        <is>
          <t>Remanufactured</t>
        </is>
      </c>
      <c r="P116" t="inlineStr">
        <is>
          <t>3</t>
        </is>
      </c>
      <c r="Q116" t="inlineStr">
        <is>
          <t>Blade</t>
        </is>
      </c>
      <c r="R116" t="inlineStr">
        <is>
          <t>Grommet; Through Hole</t>
        </is>
      </c>
      <c r="S116" t="inlineStr">
        <is>
          <t>3.5000</t>
        </is>
      </c>
      <c r="T116" t="inlineStr">
        <is>
          <t>No</t>
        </is>
      </c>
      <c r="U116" t="inlineStr">
        <is>
          <t>1 Year/18,000 Mile</t>
        </is>
      </c>
      <c r="V116" t="inlineStr">
        <is>
          <t>Yes</t>
        </is>
      </c>
      <c r="W116" t="inlineStr">
        <is>
          <t>Available to Order</t>
        </is>
      </c>
      <c r="X116" t="inlineStr">
        <is>
          <t>Chevrolet Spark 2015-13, Spark EV 2016-14</t>
        </is>
      </c>
      <c r="Y116" t="inlineStr">
        <is>
          <t>00884548186446</t>
        </is>
      </c>
      <c r="Z116" t="inlineStr">
        <is>
          <t>40-1119::98271:100957:306</t>
        </is>
      </c>
      <c r="AA116" t="inlineStr">
        <is>
          <t>Yes</t>
        </is>
      </c>
      <c r="AB116" t="inlineStr"/>
      <c r="AC116" t="inlineStr"/>
    </row>
    <row r="117">
      <c r="A117" t="inlineStr">
        <is>
          <t>116</t>
        </is>
      </c>
      <c r="B117" t="inlineStr">
        <is>
          <t>Windshield Wiper Motor</t>
        </is>
      </c>
      <c r="C117" t="inlineStr">
        <is>
          <t>40-1120</t>
        </is>
      </c>
      <c r="D117" t="inlineStr">
        <is>
          <t>Windshield Wiper Motor - 40-1120</t>
        </is>
      </c>
      <c r="E117" t="inlineStr">
        <is>
          <t>CARDONE Reman</t>
        </is>
      </c>
      <c r="F117" t="inlineStr">
        <is>
          <t>95915118</t>
        </is>
      </c>
      <c r="G117" t="inlineStr">
        <is>
          <t>Buick Encore 2013-2022
Chevrolet Trax 2014-2022</t>
        </is>
      </c>
      <c r="H117" t="inlineStr">
        <is>
          <t>Buick Encore 2013-2021 1.4L L4 83cid
Buick Encore 2016-2022 1.4L L4 85cid
Chevrolet Trax 2014-2020 1.8L L4 110cid
Chevrolet Trax 2014-2021 1.4L L4 83cid
Chevrolet Trax 2021-2022 1.4L L4 85cid</t>
        </is>
      </c>
      <c r="I117" t="inlineStr">
        <is>
          <t>{"0": {"productDeskExternalKey": "CPCX|40-1120"}, "1": {"Package Contents": "Wiper Motor; Instruction Sheet"}, "2": {"E-Waste": "Yes"}, "3": {"Product Condition": "Remanufactured"}, "4": {"Mounting Hole Quantity": "2"}, "5": {"Terminal Type": "Blade"}, "6": {"Mounting Type": "Through Bolt"}, "7": {"Weight PG": "2.8000"}, "8": {"Washer Pump Included": "No"}, "9": {"Part Type": "Windshield Wiper Motor"}, "10": {"Warranty Info": "1 Year/18,000 Mile"}, "11": {"Sustainable Choice": "Yes"}, "12": {"Lifecycle Status": "Available to Order"}, "13": {"Application Summary": "Buick Encore 2022-13; Chevrolet Trax 2022-14"}, "14": {"ItemLevelGTIN": "00884548186453"}, "15": {"_addonCardone": "40-1120::98271:100968:306"}, "16": {"Eligible for R&amp;R Service": "Yes"}}</t>
        </is>
      </c>
      <c r="J117" t="inlineStr">
        <is>
          <t>https://www.cardone.com/product/windshield-wiper-motor-40-1120</t>
        </is>
      </c>
      <c r="K117">
        <f>DISPIMG("ID_96B766E2D52D4A92A21D4C074E0E33BC",1)</f>
        <v/>
      </c>
      <c r="L117" t="inlineStr">
        <is>
          <t>CPCX|40-1120</t>
        </is>
      </c>
      <c r="M117" t="inlineStr">
        <is>
          <t>Wiper Motor; Instruction Sheet</t>
        </is>
      </c>
      <c r="N117" t="inlineStr">
        <is>
          <t>Yes</t>
        </is>
      </c>
      <c r="O117" t="inlineStr">
        <is>
          <t>Remanufactured</t>
        </is>
      </c>
      <c r="P117" t="inlineStr">
        <is>
          <t>2</t>
        </is>
      </c>
      <c r="Q117" t="inlineStr">
        <is>
          <t>Blade</t>
        </is>
      </c>
      <c r="R117" t="inlineStr">
        <is>
          <t>Through Bolt</t>
        </is>
      </c>
      <c r="S117" t="inlineStr">
        <is>
          <t>2.8000</t>
        </is>
      </c>
      <c r="T117" t="inlineStr">
        <is>
          <t>No</t>
        </is>
      </c>
      <c r="U117" t="inlineStr">
        <is>
          <t>1 Year/18,000 Mile</t>
        </is>
      </c>
      <c r="V117" t="inlineStr">
        <is>
          <t>Yes</t>
        </is>
      </c>
      <c r="W117" t="inlineStr">
        <is>
          <t>Available to Order</t>
        </is>
      </c>
      <c r="X117" t="inlineStr">
        <is>
          <t>Buick Encore 2022-13; Chevrolet Trax 2022-14</t>
        </is>
      </c>
      <c r="Y117" t="inlineStr">
        <is>
          <t>00884548186453</t>
        </is>
      </c>
      <c r="Z117" t="inlineStr">
        <is>
          <t>40-1120::98271:100968:306</t>
        </is>
      </c>
      <c r="AA117" t="inlineStr">
        <is>
          <t>Yes</t>
        </is>
      </c>
      <c r="AB117" t="inlineStr"/>
      <c r="AC117" t="inlineStr"/>
    </row>
    <row r="118">
      <c r="A118" t="inlineStr">
        <is>
          <t>117</t>
        </is>
      </c>
      <c r="B118" t="inlineStr">
        <is>
          <t>Windshield Wiper Motor</t>
        </is>
      </c>
      <c r="C118" t="inlineStr">
        <is>
          <t>40-1122</t>
        </is>
      </c>
      <c r="D118" t="inlineStr">
        <is>
          <t>Windshield Wiper Motor - 40-1122</t>
        </is>
      </c>
      <c r="E118" t="inlineStr">
        <is>
          <t>CARDONE Reman</t>
        </is>
      </c>
      <c r="F118" t="inlineStr">
        <is>
          <t>23117450;84145751</t>
        </is>
      </c>
      <c r="G118" t="inlineStr">
        <is>
          <t>Chevrolet Colorado 2015-2022
GMC Canyon 2015-2022</t>
        </is>
      </c>
      <c r="H118" t="inlineStr">
        <is>
          <t>Chevrolet Colorado 2015-2016 3.6L V6 217cid
Chevrolet Colorado 2015-2022 2.5L L4 153cid
Chevrolet Colorado 2016-2022 2.8L L4 171cid
Chevrolet Colorado 2017-2022 3.6L V6 222cid
GMC Canyon 2015-2016 3.6L V6 217cid
GMC Canyon 2015-2022 2.5L L4 153cid
GMC Canyon 2016-2022 2.8L L4 171cid
GMC Canyon 2017-2022 3.6L V6 222cid</t>
        </is>
      </c>
      <c r="I118" t="inlineStr">
        <is>
          <t>{"0": {"productDeskExternalKey": "CPCX|40-1122"}, "1": {"Package Contents": "Wiper Motor; Instruction Sheet"}, "2": {"E-Waste": "Yes"}, "3": {"Product Condition": "Remanufactured"}, "4": {"Mounting Hole Quantity": "3"}, "5": {"Terminal Type": "Blade"}, "6": {"Mounting Type": "Grommet; Through Hole"}, "7": {"Weight PG": "2.9000"}, "8": {"Washer Pump Included": "No"}, "9": {"Part Type": "Windshield Wiper Motor"}, "10": {"Warranty Info": "1 Year/18,000 Mile"}, "11": {"Sustainable Choice": "Yes"}, "12": {"Lifecycle Status": "Available to Order"}, "13": {"Application Summary": "Chevrolet Colorado 2022-15; GMC Canyon 2022-15"}, "14": {"ItemLevelGTIN": "00884548261303"}, "15": {"_addonCardone": "40-1122::98271:100975:306"}, "16": {"Eligible for R&amp;R Service": "Yes"}}</t>
        </is>
      </c>
      <c r="J118" t="inlineStr">
        <is>
          <t>https://www.cardone.com/product/windshield-wiper-motor-40-1122</t>
        </is>
      </c>
      <c r="K118">
        <f>DISPIMG("ID_E3CCDEC357B944C78776FC7091573456",1)</f>
        <v/>
      </c>
      <c r="L118" t="inlineStr">
        <is>
          <t>CPCX|40-1122</t>
        </is>
      </c>
      <c r="M118" t="inlineStr">
        <is>
          <t>Wiper Motor; Instruction Sheet</t>
        </is>
      </c>
      <c r="N118" t="inlineStr">
        <is>
          <t>Yes</t>
        </is>
      </c>
      <c r="O118" t="inlineStr">
        <is>
          <t>Remanufactured</t>
        </is>
      </c>
      <c r="P118" t="inlineStr">
        <is>
          <t>3</t>
        </is>
      </c>
      <c r="Q118" t="inlineStr">
        <is>
          <t>Blade</t>
        </is>
      </c>
      <c r="R118" t="inlineStr">
        <is>
          <t>Grommet; Through Hole</t>
        </is>
      </c>
      <c r="S118" t="inlineStr">
        <is>
          <t>2.9000</t>
        </is>
      </c>
      <c r="T118" t="inlineStr">
        <is>
          <t>No</t>
        </is>
      </c>
      <c r="U118" t="inlineStr">
        <is>
          <t>1 Year/18,000 Mile</t>
        </is>
      </c>
      <c r="V118" t="inlineStr">
        <is>
          <t>Yes</t>
        </is>
      </c>
      <c r="W118" t="inlineStr">
        <is>
          <t>Available to Order</t>
        </is>
      </c>
      <c r="X118" t="inlineStr">
        <is>
          <t>Chevrolet Colorado 2022-15; GMC Canyon 2022-15</t>
        </is>
      </c>
      <c r="Y118" t="inlineStr">
        <is>
          <t>00884548261303</t>
        </is>
      </c>
      <c r="Z118" t="inlineStr">
        <is>
          <t>40-1122::98271:100975:306</t>
        </is>
      </c>
      <c r="AA118" t="inlineStr">
        <is>
          <t>Yes</t>
        </is>
      </c>
      <c r="AB118" t="inlineStr"/>
      <c r="AC118" t="inlineStr"/>
    </row>
    <row r="119">
      <c r="A119" t="inlineStr">
        <is>
          <t>118</t>
        </is>
      </c>
      <c r="B119" t="inlineStr">
        <is>
          <t>Windshield Wiper Motor</t>
        </is>
      </c>
      <c r="C119" t="inlineStr">
        <is>
          <t>40-1125</t>
        </is>
      </c>
      <c r="D119" t="inlineStr">
        <is>
          <t>Windshield Wiper Motor - 40-1125</t>
        </is>
      </c>
      <c r="E119" t="inlineStr">
        <is>
          <t>CARDONE Reman</t>
        </is>
      </c>
      <c r="F119" t="inlineStr">
        <is>
          <t>84393313</t>
        </is>
      </c>
      <c r="G119" t="inlineStr">
        <is>
          <t>Chevrolet Blazer 2019-2022
Chevrolet Traverse 2018-2022</t>
        </is>
      </c>
      <c r="H119" t="inlineStr">
        <is>
          <t>Chevrolet Blazer 2019-2022 2.5L L4 153cid
Chevrolet Blazer 2019-2022 3.6L V6 222cid
Chevrolet Blazer 2020-2022 2L L4 122cid
Chevrolet Traverse 2018-2019 2L L4 122cid
Chevrolet Traverse 2018-2022 3.6L V6 217cid</t>
        </is>
      </c>
      <c r="I119" t="inlineStr">
        <is>
          <t>{"0": {"productDeskExternalKey": "CPCX|40-1125"}, "1": {"Package Contents": "Wiper Motor; Instruction Sheet"}, "2": {"E-Waste": "Yes"}, "3": {"Product Condition": "Remanufactured"}, "4": {"Mounting Hole Quantity": "3"}, "5": {"Terminal Type": "Blade"}, "6": {"Mounting Type": "Eyelet; Grommet"}, "7": {"Weight PG": "1.8800"}, "8": {"Washer Pump Included": "No"}, "9": {"Part Type": "Windshield Wiper Motor"}, "10": {"Warranty Info": "1 Year/18,000 Mile"}, "11": {"Sustainable Choice": "Yes"}, "12": {"Lifecycle Status": "Available to Order"}, "13": {"Application Summary": "Chevrolet Blazer 2022-19, Traverse 2022-18"}, "14": {"ItemLevelGTIN": "00884548297005"}, "15": {"_addonCardone": "40-1125::98271:100985:306"}, "16": {"Eligible for R&amp;R Service": "Yes"}}</t>
        </is>
      </c>
      <c r="J119" t="inlineStr">
        <is>
          <t>https://www.cardone.com/product/windshield-wiper-motor-40-1125</t>
        </is>
      </c>
      <c r="K119">
        <f>DISPIMG("ID_42F4C0C79A46472FB0E20C5612211E6E",1)</f>
        <v/>
      </c>
      <c r="L119" t="inlineStr">
        <is>
          <t>CPCX|40-1125</t>
        </is>
      </c>
      <c r="M119" t="inlineStr">
        <is>
          <t>Wiper Motor; Instruction Sheet</t>
        </is>
      </c>
      <c r="N119" t="inlineStr">
        <is>
          <t>Yes</t>
        </is>
      </c>
      <c r="O119" t="inlineStr">
        <is>
          <t>Remanufactured</t>
        </is>
      </c>
      <c r="P119" t="inlineStr">
        <is>
          <t>3</t>
        </is>
      </c>
      <c r="Q119" t="inlineStr">
        <is>
          <t>Blade</t>
        </is>
      </c>
      <c r="R119" t="inlineStr">
        <is>
          <t>Eyelet; Grommet</t>
        </is>
      </c>
      <c r="S119" t="inlineStr">
        <is>
          <t>1.8800</t>
        </is>
      </c>
      <c r="T119" t="inlineStr">
        <is>
          <t>No</t>
        </is>
      </c>
      <c r="U119" t="inlineStr">
        <is>
          <t>1 Year/18,000 Mile</t>
        </is>
      </c>
      <c r="V119" t="inlineStr">
        <is>
          <t>Yes</t>
        </is>
      </c>
      <c r="W119" t="inlineStr">
        <is>
          <t>Available to Order</t>
        </is>
      </c>
      <c r="X119" t="inlineStr">
        <is>
          <t>Chevrolet Blazer 2022-19, Traverse 2022-18</t>
        </is>
      </c>
      <c r="Y119" t="inlineStr">
        <is>
          <t>00884548297005</t>
        </is>
      </c>
      <c r="Z119" t="inlineStr">
        <is>
          <t>40-1125::98271:100985:306</t>
        </is>
      </c>
      <c r="AA119" t="inlineStr">
        <is>
          <t>Yes</t>
        </is>
      </c>
      <c r="AB119" t="inlineStr"/>
      <c r="AC119" t="inlineStr"/>
    </row>
    <row r="120">
      <c r="A120" t="inlineStr">
        <is>
          <t>119</t>
        </is>
      </c>
      <c r="B120" t="inlineStr">
        <is>
          <t>Windshield Wiper Motor</t>
        </is>
      </c>
      <c r="C120" t="inlineStr">
        <is>
          <t>40-1126</t>
        </is>
      </c>
      <c r="D120" t="inlineStr">
        <is>
          <t>Windshield Wiper Motor - 40-1126</t>
        </is>
      </c>
      <c r="E120" t="inlineStr">
        <is>
          <t>CARDONE Reman</t>
        </is>
      </c>
      <c r="F120" t="inlineStr">
        <is>
          <t>84393314</t>
        </is>
      </c>
      <c r="G120" t="inlineStr">
        <is>
          <t>Buick Enclave 2018-2022
Chevrolet Equinox 2018-2022</t>
        </is>
      </c>
      <c r="H120" t="inlineStr">
        <is>
          <t>Buick Enclave 2018-2022 3.6L V6 217cid
Chevrolet Equinox 2018-2019 1.6L L4 98cid
Chevrolet Equinox 2018-2020 2L L4 122cid
Chevrolet Equinox 2018-2022 1.5L L4 91cid</t>
        </is>
      </c>
      <c r="I120" t="inlineStr">
        <is>
          <t>{"0": {"productDeskExternalKey": "CPCX|40-1126"}, "1": {"Package Contents": "Wiper Motor; Instruction Sheet"}, "2": {"E-Waste": "Yes"}, "3": {"Product Condition": "Remanufactured"}, "4": {"Mounting Hole Quantity": "3"}, "5": {"Terminal Type": "Blade"}, "6": {"Mounting Type": "Eyelet; Grommet"}, "7": {"Weight PG": "2.0400"}, "8": {"Washer Pump Included": "No"}, "9": {"Part Type": "Windshield Wiper Motor"}, "10": {"Warranty Info": "1 Year/18,000 Mile"}, "11": {"Sustainable Choice": "Yes"}, "12": {"Lifecycle Status": "Available to Order"}, "13": {"Application Summary": "Buick Enclave 2022-18; Chevrolet Equinox 2022-18"}, "14": {"ItemLevelGTIN": "00884548297326"}, "15": {"_addonCardone": "40-1126::98271:100994:306"}, "16": {"Eligible for R&amp;R Service": "Yes"}}</t>
        </is>
      </c>
      <c r="J120" t="inlineStr">
        <is>
          <t>https://www.cardone.com/product/windshield-wiper-motor-40-1126</t>
        </is>
      </c>
      <c r="K120">
        <f>DISPIMG("ID_50B0B815A44542DD916E00B22C17E9C6",1)</f>
        <v/>
      </c>
      <c r="L120" t="inlineStr">
        <is>
          <t>CPCX|40-1126</t>
        </is>
      </c>
      <c r="M120" t="inlineStr">
        <is>
          <t>Wiper Motor; Instruction Sheet</t>
        </is>
      </c>
      <c r="N120" t="inlineStr">
        <is>
          <t>Yes</t>
        </is>
      </c>
      <c r="O120" t="inlineStr">
        <is>
          <t>Remanufactured</t>
        </is>
      </c>
      <c r="P120" t="inlineStr">
        <is>
          <t>3</t>
        </is>
      </c>
      <c r="Q120" t="inlineStr">
        <is>
          <t>Blade</t>
        </is>
      </c>
      <c r="R120" t="inlineStr">
        <is>
          <t>Eyelet; Grommet</t>
        </is>
      </c>
      <c r="S120" t="inlineStr">
        <is>
          <t>2.0400</t>
        </is>
      </c>
      <c r="T120" t="inlineStr">
        <is>
          <t>No</t>
        </is>
      </c>
      <c r="U120" t="inlineStr">
        <is>
          <t>1 Year/18,000 Mile</t>
        </is>
      </c>
      <c r="V120" t="inlineStr">
        <is>
          <t>Yes</t>
        </is>
      </c>
      <c r="W120" t="inlineStr">
        <is>
          <t>Available to Order</t>
        </is>
      </c>
      <c r="X120" t="inlineStr">
        <is>
          <t>Buick Enclave 2022-18; Chevrolet Equinox 2022-18</t>
        </is>
      </c>
      <c r="Y120" t="inlineStr">
        <is>
          <t>00884548297326</t>
        </is>
      </c>
      <c r="Z120" t="inlineStr">
        <is>
          <t>40-1126::98271:100994:306</t>
        </is>
      </c>
      <c r="AA120" t="inlineStr">
        <is>
          <t>Yes</t>
        </is>
      </c>
      <c r="AB120" t="inlineStr"/>
      <c r="AC120" t="inlineStr"/>
    </row>
    <row r="121">
      <c r="A121" t="inlineStr">
        <is>
          <t>120</t>
        </is>
      </c>
      <c r="B121" t="inlineStr">
        <is>
          <t>Windshield Wiper Motor</t>
        </is>
      </c>
      <c r="C121" t="inlineStr">
        <is>
          <t>40-118</t>
        </is>
      </c>
      <c r="D121" t="inlineStr">
        <is>
          <t>Windshield Wiper Motor - 40-118</t>
        </is>
      </c>
      <c r="E121" t="inlineStr">
        <is>
          <t>CARDONE Reman</t>
        </is>
      </c>
      <c r="F121" t="inlineStr">
        <is>
          <t>22111623</t>
        </is>
      </c>
      <c r="G121" t="inlineStr">
        <is>
          <t>Chevrolet Caprice 1991-1995
Oldsmobile Custom Cruiser 1991-1992</t>
        </is>
      </c>
      <c r="H121" t="inlineStr">
        <is>
          <t>Chevrolet Caprice 1991-1993 5L V8 305cid
Chevrolet Caprice 1991-1995 5.7L V8 350cid
Chevrolet Caprice 1992-1993 4.3L V6 262cid
Chevrolet Caprice 1994-1995 4.3L V8 265cid
Oldsmobile Custom Cruiser 1991-1992 5L V8 305cid
Oldsmobile Custom Cruiser 1992 5.7L V8 350cid</t>
        </is>
      </c>
      <c r="I121" t="inlineStr">
        <is>
          <t>{"0": {"productDeskExternalKey": "CPCX|40-118"}, "1": {"Package Contents": "Wiper Motor; Instruction Sheet"}, "2": {"E-Waste": "Yes"}, "3": {"Product Condition": "Remanufactured"}, "4": {"Mounting Hole Quantity": "2"}, "5": {"Terminal Type": "Blade"}, "6": {"Mounting Type": "Grommet"}, "7": {"Weight PG": "1.7500"}, "8": {"Washer Pump Included": "No"}, "9": {"Part Type": "Windshield Wiper Motor"}, "10": {"Warranty Info": "1 Year/18,000 Mile"}, "11": {"Sustainable Choice": "Yes"}, "12": {"Lifecycle Status": "Available to Order"}, "13": {"Application Summary": "Chevrolet Caprice 1995-91; Oldsmobile Custom Cruiser 1992-91"}, "14": {"ItemLevelGTIN": "00082617272902"}, "15": {"_addonCardone": "40-118::98271:101002:306"}, "16": {"Eligible for R&amp;R Service": "Yes"}}</t>
        </is>
      </c>
      <c r="J121" t="inlineStr">
        <is>
          <t>https://www.cardone.com/product/windshield-wiper-motor-40-118</t>
        </is>
      </c>
      <c r="K121">
        <f>DISPIMG("ID_8542F091EE3349EA84736C22D79BEBA3",1)</f>
        <v/>
      </c>
      <c r="L121" t="inlineStr">
        <is>
          <t>CPCX|40-118</t>
        </is>
      </c>
      <c r="M121" t="inlineStr">
        <is>
          <t>Wiper Motor; Instruction Sheet</t>
        </is>
      </c>
      <c r="N121" t="inlineStr">
        <is>
          <t>Yes</t>
        </is>
      </c>
      <c r="O121" t="inlineStr">
        <is>
          <t>Remanufactured</t>
        </is>
      </c>
      <c r="P121" t="inlineStr">
        <is>
          <t>2</t>
        </is>
      </c>
      <c r="Q121" t="inlineStr">
        <is>
          <t>Blade</t>
        </is>
      </c>
      <c r="R121" t="inlineStr">
        <is>
          <t>Grommet</t>
        </is>
      </c>
      <c r="S121" t="inlineStr">
        <is>
          <t>1.7500</t>
        </is>
      </c>
      <c r="T121" t="inlineStr">
        <is>
          <t>No</t>
        </is>
      </c>
      <c r="U121" t="inlineStr">
        <is>
          <t>1 Year/18,000 Mile</t>
        </is>
      </c>
      <c r="V121" t="inlineStr">
        <is>
          <t>Yes</t>
        </is>
      </c>
      <c r="W121" t="inlineStr">
        <is>
          <t>Available to Order</t>
        </is>
      </c>
      <c r="X121" t="inlineStr">
        <is>
          <t>Chevrolet Caprice 1995-91; Oldsmobile Custom Cruiser 1992-91</t>
        </is>
      </c>
      <c r="Y121" t="inlineStr">
        <is>
          <t>00082617272902</t>
        </is>
      </c>
      <c r="Z121" t="inlineStr">
        <is>
          <t>40-118::98271:101002:306</t>
        </is>
      </c>
      <c r="AA121" t="inlineStr">
        <is>
          <t>Yes</t>
        </is>
      </c>
      <c r="AB121" t="inlineStr"/>
      <c r="AC121" t="inlineStr"/>
    </row>
    <row r="122">
      <c r="A122" t="inlineStr">
        <is>
          <t>121</t>
        </is>
      </c>
      <c r="B122" t="inlineStr">
        <is>
          <t>Windshield Wiper Motor</t>
        </is>
      </c>
      <c r="C122" t="inlineStr">
        <is>
          <t>40-119</t>
        </is>
      </c>
      <c r="D122" t="inlineStr">
        <is>
          <t>Windshield Wiper Motor - 40-119</t>
        </is>
      </c>
      <c r="E122" t="inlineStr">
        <is>
          <t>CARDONE Reman</t>
        </is>
      </c>
      <c r="F122" t="inlineStr">
        <is>
          <t>5045329;5045363;5045325;5045326;5045426;5045327;5045361;5045425;5045331;5045427;5045328</t>
        </is>
      </c>
      <c r="G122" t="inlineStr">
        <is>
          <t>Buick Skylark 1964-1967
Buick Special 1964-1967
Chevrolet C10 Panel 1963-1967
Chevrolet C10 Pickup 1963-1968
Chevrolet C10 Suburban 1967-1968
Chevrolet C20 Panel 1967
Chevrolet C20 Pickup 1963-1968
Chevrolet C20 Suburban 1967-1968
Chevrolet C30 Pickup 1963-1968
Chevrolet Chevelle 1964-1966
Chevrolet Chevy II 1963-1967
Chevrolet Corvair 1963-1969
Chevrolet El Camino 1964-1966
Chevrolet G10 Van 1964-1969
Chevrolet G20 Van 1967-1969
Chevrolet K10 Pickup 1963-1968
Chevrolet K10 Suburban 1967-1968
Chevrolet K20 Panel 1967
Chevrolet K20 Pickup 1963-1968
Chevrolet K20 Suburban 1967-1968
Chevrolet K30 Pickup 1968
Chevrolet Malibu 1964-1966
Chevrolet P10 Series 1963-1967
Chevrolet P10 Van 1967-1968
Chevrolet P20 Series 1963-1967
Chevrolet P20 Van 1968
Chevrolet P30 Series 1963-1967
Chevrolet P30 Van 1968
Chevrolet Suburban 1963-1966
GMC 1000 Series 1963-1965
GMC 1500 Series 1963-1965
GMC 2500 Series 1963
GMC C15/C1500 Pickup 1967-1968
GMC C15/C1500 Suburban 1967-1968
GMC C25/C2500 Pickup 1967-1968
GMC C25/C2500 Suburban 1967-1968
GMC C35/C3500 Pickup 1967-1968
GMC G1000 Series 1964-1966
GMC G15/G1500 Van 1967-1969
GMC G25/G2500 Van 1967-1969
GMC I1500 1966
GMC I2500 1966
GMC K15/K1500 Pickup 1966-1968
GMC K15/K1500 Suburban 1967-1968
GMC K25/K2500 Pickup 1967-1968
GMC K25/K2500 Suburban 1967-1968
GMC K35/K3500 Pickup 1968
GMC P15/P1500 Van 1967-1968
GMC P25/P2500 Van 1967-1968
GMC P35/P3500 Van 1967-1968
GMC PB1000 Series 1963-1965
GMC PB15 Series 1966
GMC PB25 Series 1966
GMC PB2500 Series 1963
GMC Suburban 1963-1966
Jeep J-100 1963-1966
Jeep J-2500 1965-1966
Jeep Jeepster 1966
Oldsmobile Cutlass 1964-1965
Oldsmobile F85 1964-1965
Pontiac GTO 1964-1967
Pontiac LeMans 1964-1967
Pontiac Tempest 1964-1967</t>
        </is>
      </c>
      <c r="H122" t="inlineStr">
        <is>
          <t>Buick Skylark 1964-1967 3.7L V6 225cid
Buick Skylark 1964-1967 4.9L V8 300cid
Buick Skylark 1965-1966 6.6L V8 401cid
Buick Skylark 1966-1967 5.6L V8 340cid
Buick Skylark 1967 6.6L V8 400cid
Buick Special 1964-1967 3.7L V6 225cid
Buick Special 1964-1967 4.9L V8 300cid
Buick Special 1966-1967 5.6L V8 340cid
Chevrolet C10 Panel 1963-1965 3.8L L6 230cid
Chevrolet C10 Panel 1966-1967 4.1L L6 250cid
Chevrolet C10 Pickup 1963-1967 4.6L V8 283cid
Chevrolet C10 Pickup 1963-1968 3.8L L6 230cid
Chevrolet C10 Pickup 1963-1968 4.8L L6 292cid
Chevrolet C10 Pickup 1966-1968 4.1L L6 250cid
Chevrolet C10 Pickup 1966-1968 5.3L V8 327cid
Chevrolet C10 Pickup 1968 5.4L V8 327cid
Chevrolet C10 Pickup 1968 5L V8 307cid
Chevrolet C10 Pickup 1968 6.5L V8 396cid
Chevrolet C10 Suburban 1967 4.6L V8 283cid
Chevrolet C10 Suburban 1967-1968 4.1L L6 250cid
Chevrolet C10 Suburban 1967-1968 4.8L L6 292cid
Chevrolet C10 Suburban 1967-1968 5.3L V8 327cid
Chevrolet C10 Suburban 1968 5.4L V8 327cid
Chevrolet C10 Suburban 1968 5L V8 307cid
Chevrolet C10 Suburban 1968 6.5L V8 396cid
Chevrolet C20 Panel 1967 4.1L L6 250cid
Chevrolet C20 Pickup 1963-1965 3.8L L6 230cid
Chevrolet C20 Pickup 1963-1967 4.6L V8 283cid
Chevrolet C20 Pickup 1963-1968 4.8L L6 292cid
Chevrolet C20 Pickup 1966-1968 4.1L L6 250cid
Chevrolet C20 Pickup 1966-1968 5.3L V8 327cid
Chevrolet C20 Pickup 1968 5.4L V8 327cid
Chevrolet C20 Pickup 1968 5L V8 307cid
Chevrolet C20 Pickup 1968 6.5L V8 396cid
Chevrolet C20 Suburban 1967 4.6L V8 283cid
Chevrolet C20 Suburban 1967-1968 4.1L L6 250cid
Chevrolet C20 Suburban 1967-1968 4.8L L6 292cid
Chevrolet C20 Suburban 1967-1968 5.3L V8 327cid
Chevrolet C20 Suburban 1968 5L V8 307cid
Chevrolet C20 Suburban 1968 6.5L V8 396cid
Chevrolet C30 Pickup 1963-1965 3.8L L6 230cid
Chevrolet C30 Pickup 1963-1967 4.6L V8 283cid
Chevrolet C30 Pickup 1963-1968 4.8L L6 292cid
Chevrolet C30 Pickup 1966-1968 4.1L L6 250cid
Chevrolet C30 Pickup 1966-1968 5.3L V8 327cid
Chevrolet C30 Pickup 1968 5.4L V8 327cid
Chevrolet C30 Pickup 1968 5L V8 307cid
Chevrolet C30 Pickup 1968 6.5L V8 396cid
Chevrolet Chevelle 1964-1966 3.2L L6 194cid
Chevrolet Chevelle 1964-1966 3.8L L6 230cid
Chevrolet Chevelle 1964-1966 4.6L V8 283cid
Chevrolet Chevelle 1964-1966 5.3L V8 327cid
Chevrolet Chevelle 1965 5.4L V8 327cid
Chevrolet Chevelle 1965-1966 6.5L V8 396cid
Chevrolet Chevelle 1966
Chevrolet Chevy II 1963-1967 2.5L L4 153cid
Chevrolet Chevy II 1963-1967 3.2L L6 194cid
Chevrolet Chevy II 1963-1967 4.6L V8 283cid
Chevrolet Chevy II 1964-1966 3.8L L6 230cid
Chevrolet Chevy II 1965-1966 5.4L V8 327cid
Chevrolet Chevy II 1965-1967 5.3L V8 327cid
Chevrolet Chevy II 1967 4.1L L6 250cid
Chevrolet Corvair 1963 2.4L H6 145cid
Chevrolet Corvair 1964-1969 2.7L H6 164cid
Chevrolet El Camino 1964-1966 3.2L L6 194cid
Chevrolet El Camino 1964-1966 3.8L L6 230cid
Chevrolet El Camino 1964-1966 4.6L V8 283cid
Chevrolet El Camino 1964-1966 5.3L V8 327cid
Chevrolet El Camino 1966 6.5L V8 396cid
Chevrolet G10 Van 1964-1965 2.5L L4 153cid
Chevrolet G10 Van 1964-1966 3.2L L6 194cid
Chevrolet G10 Van 1966-1969 3.8L L6 230cid
Chevrolet G10 Van 1967-1969 4.1L L6 250cid
Chevrolet G10 Van 1968-1969 5L V8 307cid
Chevrolet G20 Van 1967 4.6L V8 283cid
Chevrolet G20 Van 1967-1969 3.8L L6 230cid
Chevrolet G20 Van 1967-1969 4.1L L6 250cid
Chevrolet G20 Van 1968-1969 5L V8 307cid
Chevrolet K10 Pickup 1963-1967 4.6L V8 283cid
Chevrolet K10 Pickup 1963-1968 3.8L L6 230cid
Chevrolet K10 Pickup 1963-1968 4.8L L6 292cid
Chevrolet K10 Pickup 1966-1968 4.1L L6 250cid
Chevrolet K10 Pickup 1966-1968 5.3L V8 327cid
Chevrolet K10 Pickup 1968 5.4L V8 327cid
Chevrolet K10 Pickup 1968 5L V8 307cid
Chevrolet K10 Pickup 1968 6.5L V8 396cid
Chevrolet K10 Suburban 1967 4.6L V8 283cid
Chevrolet K10 Suburban 1967 4.8L L6 292cid
Chevrolet K10 Suburban 1967-1968 4.1L L6 250cid
Chevrolet K10 Suburban 1967-1968 5.3L V8 327cid
Chevrolet K10 Suburban 1968 5.4L V8 327cid
Chevrolet K10 Suburban 1968 5L V8 307cid
Chevrolet K10 Suburban 1968 6.5L V8 396cid
Chevrolet K20 Panel 1967 4.1L L6 250cid
Chevrolet K20 Panel 1967 4.6L V8 283cid
Chevrolet K20 Panel 1967 5.4L V8 327cid
Chevrolet K20 Pickup 1963 3.8L L6 235cid
Chevrolet K20 Pickup 1963-1965 3.8L L6 230cid
Chevrolet K20 Pickup 1963-1967 4.6L V8 283cid
Chevrolet K20 Pickup 1963-1968 4.8L L6 292cid
Chevrolet K20 Pickup 1966-1968 4.1L L6 250cid
Chevrolet K20 Pickup 1966-1968 5.3L V8 327cid
Chevrolet K20 Pickup 1968 5.4L V8 327cid
Chevrolet K20 Pickup 1968 5L V8 307cid
Chevrolet K20 Pickup 1968 6.5L V8 396cid
Chevrolet K20 Suburban 1967 4.6L V8 283cid
Chevrolet K20 Suburban 1967-1968 4.1L L6 250cid
Chevrolet K20 Suburban 1967-1968 4.8L L6 292cid
Chevrolet K20 Suburban 1967-1968 5.3L V8 327cid
Chevrolet K20 Suburban 1968 5.4L V8 327cid
Chevrolet K20 Suburban 1968 5L V8 307cid
Chevrolet K20 Suburban 1968 6.5L V8 396cid
Chevrolet K30 Pickup 1968 4.1L L6 250cid
Chevrolet K30 Pickup 1968 4.8L L6 292cid
Chevrolet K30 Pickup 1968 5.3L V8 327cid
Chevrolet K30 Pickup 1968 5.4L V8 327cid
Chevrolet K30 Pickup 1968 5L V8 307cid
Chevrolet K30 Pickup 1968 6.5L V8 396cid
Chevrolet Malibu 1964-1966 3.2L L6 194cid
Chevrolet Malibu 1964-1966 3.8L L6 230cid
Chevrolet Malibu 1964-1966 4.6L V8 283cid
Chevrolet Malibu 1964-1966 5.3L V8 327cid
Chevrolet Malibu 1965-1966 6.5L V8 396cid
Chevrolet P10 Series 1963-1965 2.5L L4 153cid
Chevrolet P10 Series 1963-1967 3.8L L6 230cid
Chevrolet P10 Series 1966 3.2L L6 194cid
Chevrolet P10 Series 1966-1967 4.1L L6 250cid
Chevrolet P10 Series 1967 4.8L L6 292cid
Chevrolet P10 Van 1967
Chevrolet P10 Van 1968 3.8L L6 230cid
Chevrolet P10 Van 1968 4.1L L6 250cid
Chevrolet P20 Series 1963-1965 3.8L L6 230cid
Chevrolet P20 Series 1963-1967 4.8L L6 292cid
Chevrolet P20 Series 1966-1967 2.6L L3 159cid
Chevrolet P20 Series 1966-1967 4.1L L6 250cid
Chevrolet P20 Van 1968 4.8L L6 292cid
Chevrolet P20 Van 1968 5L V8 307cid
Chevrolet P30 Series 1963-1965 3.8L L6 230cid
Chevrolet P30 Series 1963-1965 5.7L V8 348cid
Chevrolet P30 Series 1963-1965 6.7L V8 409cid
Chevrolet P30 Series 1963-1967 4.8L L6 292cid
Chevrolet P30 Series 1965-1967 2.6L L3 159cid
Chevrolet P30 Series 1966-1967 4.1L L6 250cid
Chevrolet P30 Van 1968 2.6L L3 159cid
Chevrolet P30 Van 1968 4.8L L6 292cid
Chevrolet P30 Van 1968 5L V8 307cid
Chevrolet Suburban 1963-1966 3.8L L6 230cid
Chevrolet Suburban 1963-1966 4.6L V8 283cid
Chevrolet Suburban 1963-1966 4.8L L6 292cid
Chevrolet Suburban 1966 4.1L L6 250cid
Chevrolet Suburban 1966 5.3L V8 327cid
GMC 1000 Series 1963 4.6L V8 283cid
GMC 1000 Series 1963-1965 3.8L L6 230cid
GMC 1000 Series 1963-1965 4.8L L6 292cid
GMC 1000 Series 1963-1965 5L V6 305cid
GMC 1000 Series 1965 5.7L V6 351cid
GMC 1500 Series 1963 4.6L V8 283cid
GMC 1500 Series 1963-1965 3.8L L6 230cid
GMC 1500 Series 1963-1965 4.8L L6 292cid
GMC 1500 Series 1963-1965 5L V6 305cid
GMC 1500 Series 1965 5.7L V6 351cid
GMC 2500 Series 1963 3.8L L6 230cid
GMC 2500 Series 1963 4.6L V8 283cid
GMC 2500 Series 1963 4.8L L6 292cid
GMC 2500 Series 1963 5L V6 305cid
GMC C15/C1500 Pickup 1967 4.6L V8 283cid
GMC C15/C1500 Pickup 1967-1968 3.8L L6 230cid
GMC C15/C1500 Pickup 1967-1968 4.1L L6 250cid
GMC C15/C1500 Pickup 1967-1968 4.8L L6 292cid
GMC C15/C1500 Pickup 1967-1968 5.3L V8 327cid
GMC C15/C1500 Pickup 1967-1968 5.7L V6 351cid
GMC C15/C1500 Pickup 1967-1968 5L V6 305cid
GMC C15/C1500 Pickup 1968 5.4L V8 327cid
GMC C15/C1500 Pickup 1968 5L V8 307cid
GMC C15/C1500 Pickup 1968 6.5L V8 396cid
GMC C15/C1500 Suburban 1967 4.6L V8 283cid
GMC C15/C1500 Suburban 1967-1968 4.1L L6 250cid
GMC C15/C1500 Suburban 1967-1968 4.8L L6 292cid
GMC C15/C1500 Suburban 1967-1968 5.3L V8 327cid
GMC C15/C1500 Suburban 1967-1968 5.7L V6 351cid
GMC C15/C1500 Suburban 1967-1968 5L V6 305cid
GMC C15/C1500 Suburban 1968 5.4L V8 327cid
GMC C15/C1500 Suburban 1968 5L V8 307cid
GMC C15/C1500 Suburban 1968 6.5L V8 396cid
GMC C25/C2500 Pickup 1967 4.6L V8 283cid
GMC C25/C2500 Pickup 1967-1968 4.1L L6 250cid
GMC C25/C2500 Pickup 1967-1968 4.8L L6 292cid
GMC C25/C2500 Pickup 1967-1968 5.3L V8 327cid
GMC C25/C2500 Pickup 1967-1968 5.7L V6 351cid
GMC C25/C2500 Pickup 1967-1968 5L V6 305cid
GMC C25/C2500 Pickup 1968 5.4L V8 327cid
GMC C25/C2500 Pickup 1968 5L V8 307cid
GMC C25/C2500 Pickup 1968 6.5L V8 396cid
GMC C25/C2500 Suburban 1967 4.6L V8 283cid
GMC C25/C2500 Suburban 1967-1968 4.1L L6 250cid
GMC C25/C2500 Suburban 1967-1968 4.8L L6 292cid
GMC C25/C2500 Suburban 1967-1968 5.3L V8 327cid
GMC C25/C2500 Suburban 1967-1968 5.7L V6 351cid
GMC C25/C2500 Suburban 1967-1968 5L V6 305cid
GMC C25/C2500 Suburban 1968 5.4L V8 327cid
GMC C25/C2500 Suburban 1968 5L V8 307cid
GMC C25/C2500 Suburban 1968 6.5L V8 396cid
GMC C35/C3500 Pickup 1967 4.6L V8 283cid
GMC C35/C3500 Pickup 1967-1968 4.1L L6 250cid
GMC C35/C3500 Pickup 1967-1968 4.8L L6 292cid
GMC C35/C3500 Pickup 1967-1968 5.3L V8 327cid
GMC C35/C3500 Pickup 1967-1968 5.7L V6 351cid
GMC C35/C3500 Pickup 1967-1968 5L V6 305cid
GMC C35/C3500 Pickup 1968 5.4L V8 327cid
GMC C35/C3500 Pickup 1968 5L V8 307cid
GMC C35/C3500 Pickup 1968 6.5L V8 396cid
GMC G1000 Series 1964-1966 2.5L L4 153cid
GMC G1000 Series 1964-1966 3.2L L6 194cid
GMC G1000 Series 1964-1966 3.8L L6 230cid
GMC G15/G1500 Van 1967 4.6L V8 283cid
GMC G15/G1500 Van 1967 5.4L V8 327cid
GMC G15/G1500 Van 1967-1969 3.8L L6 230cid
GMC G15/G1500 Van 1967-1969 4.1L L6 250cid
GMC G15/G1500 Van 1968-1969 5L V8 307cid
GMC G25/G2500 Van 1967 4.6L V8 283cid
GMC G25/G2500 Van 1967 5.4L V8 327cid
GMC G25/G2500 Van 1967-1969 3.8L L6 230cid
GMC G25/G2500 Van 1967-1969 4.1L L6 250cid
GMC G25/G2500 Van 1968-1969 5L V8 307cid
GMC I1500 1966 4.1L L6 250cid
GMC I2500 1966 4.1L L6 250cid
GMC K15/K1500 Pickup 1966-1968 5.7L V6 351cid
GMC K15/K1500 Pickup 1966-1968 5L V6 305cid
GMC K15/K1500 Pickup 1967 4.6L V8 283cid
GMC K15/K1500 Pickup 1967-1968 3.8L L6 230cid
GMC K15/K1500 Pickup 1967-1968 4.1L L6 250cid
GMC K15/K1500 Pickup 1967-1968 4.8L L6 292cid
GMC K15/K1500 Pickup 1967-1968 5.3L V8 327cid
GMC K15/K1500 Pickup 1968 5.4L V8 327cid
GMC K15/K1500 Pickup 1968 5L V8 307cid
GMC K15/K1500 Pickup 1968 6.5L V8 396cid
GMC K15/K1500 Suburban 1967 4.6L V8 283cid
GMC K15/K1500 Suburban 1967-1968 4.1L L6 250cid
GMC K15/K1500 Suburban 1967-1968 4.8L L6 292cid
GMC K15/K1500 Suburban 1967-1968 5.3L V8 327cid
GMC K15/K1500 Suburban 1967-1968 5.7L V6 351cid
GMC K15/K1500 Suburban 1967-1968 5L V6 305cid
GMC K15/K1500 Suburban 1968 5.4L V8 327cid
GMC K15/K1500 Suburban 1968 5L V8 307cid
GMC K15/K1500 Suburban 1968 6.5L V8 396cid
GMC K25/K2500 Pickup 1967 4.6L V8 283cid
GMC K25/K2500 Pickup 1967-1968 4.1L L6 250cid
GMC K25/K2500 Pickup 1967-1968 4.8L L6 292cid
GMC K25/K2500 Pickup 1967-1968 5.3L V8 327cid
GMC K25/K2500 Pickup 1967-1968 5.7L V6 351cid
GMC K25/K2500 Pickup 1967-1968 5L V6 305cid
GMC K25/K2500 Pickup 1968 5.4L V8 327cid
GMC K25/K2500 Pickup 1968 5L V8 307cid
GMC K25/K2500 Pickup 1968 6.5L V8 396cid
GMC K25/K2500 Suburban 1967 4.6L V8 283cid
GMC K25/K2500 Suburban 1967-1968 4.1L L6 250cid
GMC K25/K2500 Suburban 1967-1968 4.8L L6 292cid
GMC K25/K2500 Suburban 1967-1968 5.3L V8 327cid
GMC K25/K2500 Suburban 1967-1968 5.7L V6 351cid
GMC K25/K2500 Suburban 1967-1968 5L V6 305cid
GMC K25/K2500 Suburban 1968 5.4L V8 327cid
GMC K25/K2500 Suburban 1968 5L V8 307cid
GMC K25/K2500 Suburban 1968 6.5L V8 396cid
GMC K35/K3500 Pickup 1968 4.1L L6 250cid
GMC K35/K3500 Pickup 1968 4.8L L6 292cid
GMC K35/K3500 Pickup 1968 5.3L V8 327cid
GMC K35/K3500 Pickup 1968 5.4L V8 327cid
GMC K35/K3500 Pickup 1968 5.7L V6 351cid
GMC K35/K3500 Pickup 1968 5L V6 305cid
GMC K35/K3500 Pickup 1968 5L V8 307cid
GMC K35/K3500 Pickup 1968 6.5L V8 396cid
GMC P15/P1500 Van 1967 4.6L V8 283cid
GMC P15/P1500 Van 1967 4.8L L6 292cid
GMC P15/P1500 Van 1967-1968 3.8L L6 230cid
GMC P15/P1500 Van 1968 4.1L L6 250cid
GMC P25/P2500 Van 1967 4.1L L6 250cid
GMC P25/P2500 Van 1967 4.6L V8 283cid
GMC P25/P2500 Van 1967-1968 2.6L L3 159cid
GMC P25/P2500 Van 1967-1968 4.8L L6 292cid
GMC P25/P2500 Van 1968 5L V8 307cid
GMC P35/P3500 Van 1967 4.1L L6 250cid
GMC P35/P3500 Van 1967 4.6L V8 283cid
GMC P35/P3500 Van 1967-1968 2.6L L3 159cid
GMC P35/P3500 Van 1967-1968 4.8L L6 292cid
GMC P35/P3500 Van 1968 5L V8 307cid
GMC PB1000 Series 1963-1965 2.5L L4 153cid
GMC PB1000 Series 1963-1965 3.8L L6 230cid
GMC PB15 Series 1966 4.1L L6 250cid
GMC PB15 Series 1966 4.8L L6 292cid
GMC PB25 Series 1966 4.1L L6 250cid
GMC PB25 Series 1966 4.8L L6 292cid
GMC PB2500 Series 1963 3.8L L6 230cid
GMC Suburban 1963-1965 4.6L V8 283cid
GMC Suburban 1963-1966 2.5L L4 153cid
GMC Suburban 1963-1966 3.8L L6 230cid
GMC Suburban 1963-1966 4.8L L6 292cid
GMC Suburban 1963-1966 5L V6 305cid
GMC Suburban 1965-1966 5.7L V6 351cid
GMC Suburban 1966 4.1L L6 250cid
Jeep J-100 1963-1966
Jeep J-100 1963-1966 3.8L L6 230cid
Jeep J-100 1965-1966 3.8L L6 232cid
Jeep J-100 1965-1966 5.3L V8 327cid
Jeep J-2500 1965-1966
Jeep J-2500 1965-1966 3.8L L6 230cid
Jeep J-2500 1965-1966 3.8L L6 232cid
Jeep J-2500 1965-1966 5.3L V8 327cid
Jeep Jeepster 1966 2.2L L4 134cid
Jeep Jeepster 1966 3.7L V6 225cid
Oldsmobile Cutlass 1964-1965 5.4L V8 330cid
Oldsmobile Cutlass 1965 6.6L V8 400cid
Oldsmobile F85 1964-1965 3.7L V6 225cid
Oldsmobile F85 1964-1965 5.4L V8 330cid
Oldsmobile F85 1965 6.6L V8 400cid
Pontiac GTO 1964-1966 6.4L V8 389cid
Pontiac GTO 1967 6.6L V8 400cid
Pontiac LeMans 1964-1965 3.5L L6 215cid
Pontiac LeMans 1964-1967 5.3L V8 326cid
Pontiac LeMans 1966-1967 3.8L L6 230cid
Pontiac Tempest 1964-1965 3.5L L6 215cid
Pontiac Tempest 1964-1967
Pontiac Tempest 1964-1967 5.3L V8 326cid
Pontiac Tempest 1965-1967 3.8L L6 230cid</t>
        </is>
      </c>
      <c r="I122" t="inlineStr">
        <is>
          <t>{"0": {"productDeskExternalKey": "CPCX|40-119"}, "1": {"Package Contents": "Wiper Motor; Instruction Sheet"}, "2": {"E-Waste": "Yes"}, "3": {"Product Condition": "Remanufactured"}, "4": {"Mounting Hole Quantity": "3"}, "5": {"Terminal Type": "Blade"}, "6": {"Mounting Type": "Grommet"}, "7": {"Weight PG": "3.9400"}, "8": {"Washer Pump Included": "No"}, "9": {"Part Type": "Windshield Wiper Motor"}, "10": {"Warranty Info": "1 Year/18,000 Mile"}, "11": {"Sustainable Choice": "Yes"}, "12": {"Lifecycle Status": "Available to Order"}, "13": {"ItemLevelGTIN": "00082617039536"}, "14": {"_addonCardone": "40-119::98271:101011:306"}, "15": {"Eligible for R&amp;R Service": "Yes"}}</t>
        </is>
      </c>
      <c r="J122" t="inlineStr">
        <is>
          <t>https://www.cardone.com/product/windshield-wiper-motor-40-119</t>
        </is>
      </c>
      <c r="K122">
        <f>DISPIMG("ID_77E87A419A3D49F2B89DC6BCFA7E3D75",1)</f>
        <v/>
      </c>
      <c r="L122" t="inlineStr">
        <is>
          <t>CPCX|40-119</t>
        </is>
      </c>
      <c r="M122" t="inlineStr">
        <is>
          <t>Wiper Motor; Instruction Sheet</t>
        </is>
      </c>
      <c r="N122" t="inlineStr">
        <is>
          <t>Yes</t>
        </is>
      </c>
      <c r="O122" t="inlineStr">
        <is>
          <t>Remanufactured</t>
        </is>
      </c>
      <c r="P122" t="inlineStr">
        <is>
          <t>3</t>
        </is>
      </c>
      <c r="Q122" t="inlineStr">
        <is>
          <t>Blade</t>
        </is>
      </c>
      <c r="R122" t="inlineStr">
        <is>
          <t>Grommet</t>
        </is>
      </c>
      <c r="S122" t="inlineStr">
        <is>
          <t>3.9400</t>
        </is>
      </c>
      <c r="T122" t="inlineStr">
        <is>
          <t>No</t>
        </is>
      </c>
      <c r="U122" t="inlineStr">
        <is>
          <t>1 Year/18,000 Mile</t>
        </is>
      </c>
      <c r="V122" t="inlineStr">
        <is>
          <t>Yes</t>
        </is>
      </c>
      <c r="W122" t="inlineStr">
        <is>
          <t>Available to Order</t>
        </is>
      </c>
      <c r="X122" t="inlineStr"/>
      <c r="Y122" t="inlineStr">
        <is>
          <t>00082617039536</t>
        </is>
      </c>
      <c r="Z122" t="inlineStr">
        <is>
          <t>40-119::98271:101011:306</t>
        </is>
      </c>
      <c r="AA122" t="inlineStr">
        <is>
          <t>Yes</t>
        </is>
      </c>
      <c r="AB122" t="inlineStr"/>
      <c r="AC122" t="inlineStr"/>
    </row>
    <row r="123">
      <c r="A123" t="inlineStr">
        <is>
          <t>122</t>
        </is>
      </c>
      <c r="B123" t="inlineStr">
        <is>
          <t>Windshield Wiper Motor</t>
        </is>
      </c>
      <c r="C123" t="inlineStr">
        <is>
          <t>40-120</t>
        </is>
      </c>
      <c r="D123" t="inlineStr">
        <is>
          <t>Windshield Wiper Motor - 40-120</t>
        </is>
      </c>
      <c r="E123" t="inlineStr">
        <is>
          <t>CARDONE Reman</t>
        </is>
      </c>
      <c r="F123" t="inlineStr">
        <is>
          <t>5045430;5045524;4914432;5045442;5045435;5045428;5045494;5045496;5045578;5045434;5045453;5045500;5045470;5045584;4916994;5045576;5045583;5045462;5045508;5045436;5045580;5045432;5045577;5045579;5045498;5045492</t>
        </is>
      </c>
      <c r="G123" t="inlineStr">
        <is>
          <t>Buick Skylark 1964-1967
Buick Special 1964-1967
Chevrolet Camaro 1967
Chevrolet Chevelle 1967
Chevrolet Chevy II 1963-1967
Chevrolet Corvair 1963-1969
Chevrolet El Camino 1967
Chevrolet Malibu 1967
Oldsmobile Cutlass 1965-1967
Oldsmobile F85 1965-1967
Pontiac Firebird 1967
Pontiac GTO 1964-1967
Pontiac LeMans 1964-1967
Pontiac Tempest 1964-1967</t>
        </is>
      </c>
      <c r="H123" t="inlineStr">
        <is>
          <t>Buick Skylark 1964-1967 3.7L V6 225cid
Buick Skylark 1964-1967 4.9L V8 300cid
Buick Skylark 1965-1966 6.6L V8 401cid
Buick Skylark 1966-1967 5.6L V8 340cid
Buick Skylark 1967 6.6L V8 400cid
Buick Special 1964-1967 3.7L V6 225cid
Buick Special 1964-1967 4.9L V8 300cid
Buick Special 1966-1967 5.6L V8 340cid
Chevrolet Camaro 1967 3.8L L6 230cid
Chevrolet Camaro 1967 4.1L L6 250cid
Chevrolet Camaro 1967 4.9L V8 302cid
Chevrolet Camaro 1967 5.3L V8 327cid
Chevrolet Camaro 1967 5.7L V8 350cid
Chevrolet Camaro 1967 6.5L V8 396cid
Chevrolet Chevelle 1967
Chevrolet Chevelle 1967 3.8L L6 230cid
Chevrolet Chevelle 1967 4.1L L6 250cid
Chevrolet Chevelle 1967 4.6L V8 283cid
Chevrolet Chevelle 1967 5.3L V8 327cid
Chevrolet Chevelle 1967 5.4L V8 327cid
Chevrolet Chevelle 1967 6.5L V8 396cid
Chevrolet Chevy II 1963-1967 2.5L L4 153cid
Chevrolet Chevy II 1963-1967 3.2L L6 194cid
Chevrolet Chevy II 1963-1967 4.6L V8 283cid
Chevrolet Chevy II 1964-1966 3.8L L6 230cid
Chevrolet Chevy II 1965-1966 5.4L V8 327cid
Chevrolet Chevy II 1965-1967 5.3L V8 327cid
Chevrolet Chevy II 1967 4.1L L6 250cid
Chevrolet Corvair 1963 2.4L H6 145cid
Chevrolet Corvair 1964-1969 2.7L H6 164cid
Chevrolet El Camino 1967 3.8L L6 230cid
Chevrolet El Camino 1967 4.1L L6 250cid
Chevrolet El Camino 1967 4.6L V8 283cid
Chevrolet El Camino 1967 5.3L V8 327cid
Chevrolet El Camino 1967 6.5L V8 396cid
Chevrolet Malibu 1967 3.8L L6 230cid
Chevrolet Malibu 1967 4.1L L6 250cid
Chevrolet Malibu 1967 4.6L V8 283cid
Chevrolet Malibu 1967 5.3L V8 327cid
Chevrolet Malibu 1967 6.5L V8 396cid
Oldsmobile Cutlass 1965-1967 5.4L V8 330cid
Oldsmobile Cutlass 1965-1967 6.6L V8 400cid
Oldsmobile Cutlass 1967 4.1L L6 250cid
Oldsmobile F85 1965 3.7L V6 225cid
Oldsmobile F85 1965-1966 6.6L V8 400cid
Oldsmobile F85 1965-1967 5.4L V8 330cid
Oldsmobile F85 1966-1967 4.1L L6 250cid
Pontiac Firebird 1967 3.8L L6 230cid
Pontiac Firebird 1967 5.3L V8 326cid
Pontiac Firebird 1967 6.6L V8 400cid
Pontiac GTO 1964-1966 6.4L V8 389cid
Pontiac GTO 1967 6.6L V8 400cid
Pontiac LeMans 1964-1965 3.5L L6 215cid
Pontiac LeMans 1964-1967 5.3L V8 326cid
Pontiac LeMans 1966-1967 3.8L L6 230cid
Pontiac Tempest 1964-1965 3.5L L6 215cid
Pontiac Tempest 1964-1967
Pontiac Tempest 1964-1967 5.3L V8 326cid
Pontiac Tempest 1965-1967 3.8L L6 230cid</t>
        </is>
      </c>
      <c r="I123" t="inlineStr">
        <is>
          <t>{"0": {"productDeskExternalKey": "CPCX|40-120"}, "1": {"Package Contents": "Wiper Motor; Instruction Sheet"}, "2": {"E-Waste": "Yes"}, "3": {"Product Condition": "Remanufactured"}, "4": {"Mounting Hole Quantity": "3"}, "5": {"Terminal Type": "Blade"}, "6": {"Mounting Type": "Eyelet; Grommet"}, "7": {"Weight PG": "4.5200"}, "8": {"Washer Pump Included": "No"}, "9": {"Part Type": "Windshield Wiper Motor"}, "10": {"Warranty Info": "1 Year/18,000 Mile"}, "11": {"Sustainable Choice": "Yes"}, "12": {"Lifecycle Status": "Available to Order"}, "13": {"ItemLevelGTIN": "00082617039543"}, "14": {"_addonCardone": "40-120::98271:101017:306"}, "15": {"Eligible for R&amp;R Service": "Yes"}}</t>
        </is>
      </c>
      <c r="J123" t="inlineStr">
        <is>
          <t>https://www.cardone.com/product/windshield-wiper-motor-40-120</t>
        </is>
      </c>
      <c r="K123">
        <f>DISPIMG("ID_7D2AA40EEAE14FB28804882B92F95084",1)</f>
        <v/>
      </c>
      <c r="L123" t="inlineStr">
        <is>
          <t>CPCX|40-120</t>
        </is>
      </c>
      <c r="M123" t="inlineStr">
        <is>
          <t>Wiper Motor; Instruction Sheet</t>
        </is>
      </c>
      <c r="N123" t="inlineStr">
        <is>
          <t>Yes</t>
        </is>
      </c>
      <c r="O123" t="inlineStr">
        <is>
          <t>Remanufactured</t>
        </is>
      </c>
      <c r="P123" t="inlineStr">
        <is>
          <t>3</t>
        </is>
      </c>
      <c r="Q123" t="inlineStr">
        <is>
          <t>Blade</t>
        </is>
      </c>
      <c r="R123" t="inlineStr">
        <is>
          <t>Eyelet; Grommet</t>
        </is>
      </c>
      <c r="S123" t="inlineStr">
        <is>
          <t>4.5200</t>
        </is>
      </c>
      <c r="T123" t="inlineStr">
        <is>
          <t>No</t>
        </is>
      </c>
      <c r="U123" t="inlineStr">
        <is>
          <t>1 Year/18,000 Mile</t>
        </is>
      </c>
      <c r="V123" t="inlineStr">
        <is>
          <t>Yes</t>
        </is>
      </c>
      <c r="W123" t="inlineStr">
        <is>
          <t>Available to Order</t>
        </is>
      </c>
      <c r="X123" t="inlineStr"/>
      <c r="Y123" t="inlineStr">
        <is>
          <t>00082617039543</t>
        </is>
      </c>
      <c r="Z123" t="inlineStr">
        <is>
          <t>40-120::98271:101017:306</t>
        </is>
      </c>
      <c r="AA123" t="inlineStr">
        <is>
          <t>Yes</t>
        </is>
      </c>
      <c r="AB123" t="inlineStr"/>
      <c r="AC123" t="inlineStr"/>
    </row>
    <row r="124">
      <c r="A124" t="inlineStr">
        <is>
          <t>123</t>
        </is>
      </c>
      <c r="B124" t="inlineStr">
        <is>
          <t>Windshield Wiper Motor</t>
        </is>
      </c>
      <c r="C124" t="inlineStr">
        <is>
          <t>40-121</t>
        </is>
      </c>
      <c r="D124" t="inlineStr">
        <is>
          <t>Windshield Wiper Motor - 40-121</t>
        </is>
      </c>
      <c r="E124" t="inlineStr">
        <is>
          <t>CARDONE Reman</t>
        </is>
      </c>
      <c r="F124" t="inlineStr"/>
      <c r="G124" t="inlineStr">
        <is>
          <t>Buick Skylark 1964-1967
Buick Special 1964-1967
Chevrolet Camaro 1967
Chevrolet Chevelle 1967
Chevrolet Chevy II 1963-1967
Chevrolet Corvair 1963-1969
Chevrolet El Camino 1967
Chevrolet Malibu 1967
Oldsmobile Cutlass 1965-1967
Oldsmobile F85 1965-1967
Pontiac Firebird 1967
Pontiac GTO 1964-1967
Pontiac LeMans 1964-1967
Pontiac Tempest 1964-1967</t>
        </is>
      </c>
      <c r="H124" t="inlineStr">
        <is>
          <t>Buick Skylark 1964-1967 3.7L V6 225cid
Buick Skylark 1964-1967 4.9L V8 300cid
Buick Skylark 1965-1966 6.6L V8 401cid
Buick Skylark 1966-1967 5.6L V8 340cid
Buick Skylark 1967 6.6L V8 400cid
Buick Special 1964-1967 3.7L V6 225cid
Buick Special 1964-1967 4.9L V8 300cid
Buick Special 1966-1967 5.6L V8 340cid
Chevrolet Camaro 1967 3.8L L6 230cid
Chevrolet Camaro 1967 4.1L L6 250cid
Chevrolet Camaro 1967 4.9L V8 302cid
Chevrolet Camaro 1967 5.3L V8 327cid
Chevrolet Camaro 1967 5.7L V8 350cid
Chevrolet Camaro 1967 6.5L V8 396cid
Chevrolet Chevelle 1967
Chevrolet Chevelle 1967 3.8L L6 230cid
Chevrolet Chevelle 1967 4.1L L6 250cid
Chevrolet Chevelle 1967 4.6L V8 283cid
Chevrolet Chevelle 1967 5.3L V8 327cid
Chevrolet Chevelle 1967 5.4L V8 327cid
Chevrolet Chevelle 1967 6.5L V8 396cid
Chevrolet Chevy II 1963-1967 2.5L L4 153cid
Chevrolet Chevy II 1963-1967 3.2L L6 194cid
Chevrolet Chevy II 1963-1967 4.6L V8 283cid
Chevrolet Chevy II 1964-1966 3.8L L6 230cid
Chevrolet Chevy II 1965-1966 5.4L V8 327cid
Chevrolet Chevy II 1965-1967 5.3L V8 327cid
Chevrolet Chevy II 1967 4.1L L6 250cid
Chevrolet Corvair 1963 2.4L H6 145cid
Chevrolet Corvair 1964-1969 2.7L H6 164cid
Chevrolet El Camino 1967 3.8L L6 230cid
Chevrolet El Camino 1967 4.1L L6 250cid
Chevrolet El Camino 1967 4.6L V8 283cid
Chevrolet El Camino 1967 5.3L V8 327cid
Chevrolet El Camino 1967 6.5L V8 396cid
Chevrolet Malibu 1967 3.8L L6 230cid
Chevrolet Malibu 1967 4.1L L6 250cid
Chevrolet Malibu 1967 4.6L V8 283cid
Chevrolet Malibu 1967 5.3L V8 327cid
Chevrolet Malibu 1967 6.5L V8 396cid
Oldsmobile Cutlass 1965-1967 5.4L V8 330cid
Oldsmobile Cutlass 1965-1967 6.6L V8 400cid
Oldsmobile Cutlass 1967 4.1L L6 250cid
Oldsmobile F85 1965 3.7L V6 225cid
Oldsmobile F85 1965-1966 6.6L V8 400cid
Oldsmobile F85 1965-1967 5.4L V8 330cid
Oldsmobile F85 1966-1967 4.1L L6 250cid
Pontiac Firebird 1967 3.8L L6 230cid
Pontiac Firebird 1967 5.3L V8 326cid
Pontiac Firebird 1967 6.6L V8 400cid
Pontiac GTO 1964-1966 6.4L V8 389cid
Pontiac GTO 1967 6.6L V8 400cid
Pontiac LeMans 1964-1965 3.5L L6 215cid
Pontiac LeMans 1964-1967 5.3L V8 326cid
Pontiac LeMans 1966-1967 3.8L L6 230cid
Pontiac Tempest 1964-1965 3.5L L6 215cid
Pontiac Tempest 1964-1967
Pontiac Tempest 1964-1967 5.3L V8 326cid
Pontiac Tempest 1965-1967 3.8L L6 230cid</t>
        </is>
      </c>
      <c r="I124" t="inlineStr">
        <is>
          <t>{"0": {"productDeskExternalKey": "CPCX|40-121"}, "1": {"Package Contents": "Wiper Motor; Instruction Sheet"}, "2": {"E-Waste": "Yes"}, "3": {"Product Condition": "Remanufactured"}, "4": {"Mounting Hole Quantity": "3"}, "5": {"Terminal Type": "Blade"}, "6": {"Mounting Type": "Grommet"}, "7": {"Weight PG": "4.4900"}, "8": {"Washer Pump Included": "No"}, "9": {"Part Type": "Windshield Wiper Motor"}, "10": {"Warranty Info": "1 Year/18,000 Mile"}, "11": {"Sustainable Choice": "Yes"}, "12": {"Lifecycle Status": "Available to Order"}, "13": {"ItemLevelGTIN": "00082617039550"}, "14": {"_addonCardone": "40-121::98271:101027:306"}, "15": {"Eligible for R&amp;R Service": "Yes"}}</t>
        </is>
      </c>
      <c r="J124" t="inlineStr">
        <is>
          <t>https://www.cardone.com/product/windshield-wiper-motor-40-121</t>
        </is>
      </c>
      <c r="K124">
        <f>DISPIMG("ID_4BF5822713ED4CFE8336F0464530B4D3",1)</f>
        <v/>
      </c>
      <c r="L124" t="inlineStr">
        <is>
          <t>CPCX|40-121</t>
        </is>
      </c>
      <c r="M124" t="inlineStr">
        <is>
          <t>Wiper Motor; Instruction Sheet</t>
        </is>
      </c>
      <c r="N124" t="inlineStr">
        <is>
          <t>Yes</t>
        </is>
      </c>
      <c r="O124" t="inlineStr">
        <is>
          <t>Remanufactured</t>
        </is>
      </c>
      <c r="P124" t="inlineStr">
        <is>
          <t>3</t>
        </is>
      </c>
      <c r="Q124" t="inlineStr">
        <is>
          <t>Blade</t>
        </is>
      </c>
      <c r="R124" t="inlineStr">
        <is>
          <t>Grommet</t>
        </is>
      </c>
      <c r="S124" t="inlineStr">
        <is>
          <t>4.4900</t>
        </is>
      </c>
      <c r="T124" t="inlineStr">
        <is>
          <t>No</t>
        </is>
      </c>
      <c r="U124" t="inlineStr">
        <is>
          <t>1 Year/18,000 Mile</t>
        </is>
      </c>
      <c r="V124" t="inlineStr">
        <is>
          <t>Yes</t>
        </is>
      </c>
      <c r="W124" t="inlineStr">
        <is>
          <t>Available to Order</t>
        </is>
      </c>
      <c r="X124" t="inlineStr"/>
      <c r="Y124" t="inlineStr">
        <is>
          <t>00082617039550</t>
        </is>
      </c>
      <c r="Z124" t="inlineStr">
        <is>
          <t>40-121::98271:101027:306</t>
        </is>
      </c>
      <c r="AA124" t="inlineStr">
        <is>
          <t>Yes</t>
        </is>
      </c>
      <c r="AB124" t="inlineStr"/>
      <c r="AC124" t="inlineStr"/>
    </row>
    <row r="125">
      <c r="A125" t="inlineStr">
        <is>
          <t>124</t>
        </is>
      </c>
      <c r="B125" t="inlineStr">
        <is>
          <t>Windshield Wiper Motor</t>
        </is>
      </c>
      <c r="C125" t="inlineStr">
        <is>
          <t>40-140</t>
        </is>
      </c>
      <c r="D125" t="inlineStr">
        <is>
          <t>Windshield Wiper Motor - 40-140</t>
        </is>
      </c>
      <c r="E125" t="inlineStr">
        <is>
          <t>CARDONE Reman</t>
        </is>
      </c>
      <c r="F125" t="inlineStr">
        <is>
          <t>22048242</t>
        </is>
      </c>
      <c r="G125" t="inlineStr">
        <is>
          <t>Buick Apollo 1973-1975
Buick Skyhawk 1975-1980
Buick Skylark 1968-1979
Buick Special 1968-1969
Chevrolet Camaro 1968-1978
Chevrolet Chevelle 1968-1972
Chevrolet Chevette 1976-1987
Chevrolet Chevy II 1968
Chevrolet El Camino 1968-1972
Chevrolet Monte Carlo 1970-1972
Chevrolet Monza 1975-1980
Chevrolet Nova 1969-1979
Chevrolet Vega 1971-1977
GMC Sprint 1971-1972
Oldsmobile Cutlass 1968-1972
Oldsmobile Cutlass Supreme 1971-1972
Oldsmobile F85 1968-1972
Oldsmobile Omega 1973-1979
Oldsmobile Starfire 1975-1980
Pontiac Acadian 1982-1987
Pontiac Astre 1975-1977
Pontiac Firebird 1968-1978
Pontiac GTO 1968-1971
Pontiac LeMans 1968-1972
Pontiac Phoenix 1977-1979
Pontiac Sunbird 1976-1980
Pontiac T1000 1981-1987
Pontiac Tempest 1968-1970
Pontiac Ventura 1971-1977</t>
        </is>
      </c>
      <c r="H125" t="inlineStr">
        <is>
          <t>Buick Apollo 1973-1975 4.1L L6 250cid
Buick Apollo 1973-1975 5.7L V8 350cid
Buick Apollo 1975 4.3L V8 260cid
Buick Skyhawk 1975-1980 3.8L V6 231cid
Buick Skylark 1968 6.6L V8 400cid
Buick Skylark 1968-1971 4.1L L6 250cid
Buick Skylark 1968-1979 5.7L V8 350cid
Buick Skylark 1970-1971 7.5L V8 455cid
Buick Skylark 1975-1976 4.3L V8 260cid
Buick Skylark 1975-1979 3.8L V6 231cid
Buick Skylark 1977 4.9L V8 301cid
Buick Skylark 1977-1979 5L V8 305cid
Buick Special 1968-1969 4.1L L6 250cid
Buick Special 1968-1969 5.7L V8 350cid
Chevrolet Camaro 1968-1969 3.8L L6 230cid
Chevrolet Camaro 1968-1969 4.9L V8 302cid
Chevrolet Camaro 1968-1969 5.3L V8 327cid
Chevrolet Camaro 1968-1969 5.4L V8 327cid
Chevrolet Camaro 1968-1969 6.5L V8 396cid
Chevrolet Camaro 1968-1978 4.1L L6 250cid
Chevrolet Camaro 1968-1978 5.7L V8 350cid
Chevrolet Camaro 1969 7L V8 427cid
Chevrolet Camaro 1969-1973 5L V8 307cid
Chevrolet Camaro 1970-1972 6.6L V8 402cid
Chevrolet Camaro 1976-1978 5L V8 305cid
Chevrolet Chevelle 1968 5.3L V8 327cid
Chevrolet Chevelle 1968 5.4L V8 327cid
Chevrolet Chevelle 1968-1969 3.8L L6 230cid
Chevrolet Chevelle 1968-1970 6.5L V8 396cid
Chevrolet Chevelle 1968-1972 4.1L L6 250cid
Chevrolet Chevelle 1968-1972 5.7L V8 350cid
Chevrolet Chevelle 1968-1972 5L V8 307cid
Chevrolet Chevelle 1970-1972 6.6L V8 400cid
Chevrolet Chevelle 1970-1972 6.6L V8 402cid
Chevrolet Chevelle 1970-1972 7.4L V8 454cid
Chevrolet Chevette 1976-1977 1.4L L4 85cid
Chevrolet Chevette 1976-1987 1.6L L4 98cid
Chevrolet Chevette 1981-1986 1.8L L4 110cid
Chevrolet Chevy II 1968 2.5L L4 153cid
Chevrolet Chevy II 1968 3.8L L6 230cid
Chevrolet Chevy II 1968 4.1L L6 250cid
Chevrolet Chevy II 1968 5.3L V8 327cid
Chevrolet Chevy II 1968 5.4L V8 327cid
Chevrolet Chevy II 1968 5.7L V8 350cid
Chevrolet Chevy II 1968 5L V8 307cid
Chevrolet Chevy II 1968 6.5L V8 396cid
Chevrolet El Camino 1968 5.4L V8 327cid
Chevrolet El Camino 1968-1969 3.8L L6 230cid
Chevrolet El Camino 1968-1969 5.3L V8 327cid
Chevrolet El Camino 1968-1970 6.5L V8 396cid
Chevrolet El Camino 1968-1972 4.1L L6 250cid
Chevrolet El Camino 1968-1972 5.7L V8 350cid
Chevrolet El Camino 1968-1972 5L V8 307cid
Chevrolet El Camino 1970-1972 6.6L V8 400cid
Chevrolet El Camino 1970-1972 6.6L V8 402cid
Chevrolet El Camino 1970-1972 7.4L V8 454cid
Chevrolet Monte Carlo 1970-1972 5.7L V8 350cid
Chevrolet Monte Carlo 1970-1972 6.6L V8 400cid
Chevrolet Monte Carlo 1970-1972 6.6L V8 402cid
Chevrolet Monte Carlo 1970-1972 7.4L V8 454cid
Chevrolet Monza 1975-1976 4.3L V8 262cid
Chevrolet Monza 1975-1977 2.3L L4 140cid
Chevrolet Monza 1976-1979 5L V8 305cid
Chevrolet Monza 1978-1979 3.2L V6 196cid
Chevrolet Monza 1978-1980 2.5L L4 151cid
Chevrolet Monza 1978-1980 3.8L V6 231cid
Chevrolet Nova 1969-1970 2.5L L4 153cid
Chevrolet Nova 1969-1970 3.8L L6 230cid
Chevrolet Nova 1969-1970 6.5L V8 396cid
Chevrolet Nova 1969-1973 5L V8 307cid
Chevrolet Nova 1969-1979 4.1L L6 250cid
Chevrolet Nova 1969-1979 5.7L V8 350cid
Chevrolet Nova 1970-1971 7.4L V8 454cid
Chevrolet Nova 1970-1972 6.6L V8 402cid
Chevrolet Nova 1975 4.3L V8 262cid
Chevrolet Nova 1976-1979 5L V8 305cid
Chevrolet Vega 1971-1977 2.3L L4 140cid
Chevrolet Vega 1975-1976 2L L4 122cid
GMC Sprint 1971-1972 4.1L L6 250cid
GMC Sprint 1971-1972 5.7L V8 350cid
GMC Sprint 1971-1972 5L V8 307cid
GMC Sprint 1971-1972 6.6L V8 400cid
GMC Sprint 1971-1972 6.6L V8 402cid
GMC Sprint 1971-1972 7.4L V8 454cid
Oldsmobile Cutlass 1968 6.6L V8 400cid
Oldsmobile Cutlass 1968-1971 4.1L L6 250cid
Oldsmobile Cutlass 1968-1972 5.7L V8 350cid
Oldsmobile Cutlass 1970-1972 7.5L V8 455cid
Oldsmobile Cutlass Supreme 1971-1972 5.7L V8 350cid
Oldsmobile Cutlass Supreme 1971-1972 7.5L V8 455cid
Oldsmobile F85 1968-1971 4.1L L6 250cid
Oldsmobile F85 1968-1972 5.7L V8 350cid
Oldsmobile F85 1970-1972 7.5L V8 455cid
Oldsmobile Omega 1973-1976 4.1L L6 250cid
Oldsmobile Omega 1973-1979 5.7L V8 350cid
Oldsmobile Omega 1975-1977 4.3L V8 260cid
Oldsmobile Omega 1977-1979 3.8L V6 231cid
Oldsmobile Omega 1977-1979 5L V8 305cid
Oldsmobile Starfire 1975-1980 3.8L V6 231cid
Oldsmobile Starfire 1976-1977 2.3L L4 140cid
Oldsmobile Starfire 1977-1979 5L V8 305cid
Oldsmobile Starfire 1978-1980 2.5L L4 151cid
Pontiac Acadian 1982-1986 1.8L L4 110cid
Pontiac Acadian 1982-1987 1.6L L4 98cid
Pontiac Astre 1975-1977 2.3L L4 140cid
Pontiac Astre 1977 2.5L L4 151cid
Pontiac Firebird 1968-1976 4.1L L6 250cid
Pontiac Firebird 1968-1978 5.7L V8 350cid
Pontiac Firebird 1968-1978 6.6L V8 400cid
Pontiac Firebird 1971-1976 7.5L V8 455cid
Pontiac Firebird 1977 4.9L V8 301cid
Pontiac Firebird 1977-1978 3.8L V6 231cid
Pontiac Firebird 1977-1978 5L V8 305cid
Pontiac Firebird 1977-1978 6.6L V8 403cid
Pontiac GTO 1968-1971 6.6L V8 400cid
Pontiac GTO 1970-1971 7.5L V8 455cid
Pontiac LeMans 1968-1972 4.1L L6 250cid
Pontiac LeMans 1968-1972 5.7L V8 350cid
Pontiac LeMans 1968-1972 6.6L V8 400cid
Pontiac LeMans 1970-1972 7.5L V8 455cid
Pontiac Phoenix 1977-1978 2.5L L4 151cid
Pontiac Phoenix 1977-1979 3.8L V6 231cid
Pontiac Phoenix 1977-1979 5.7L V8 350cid
Pontiac Phoenix 1977-1979 5L V8 305cid
Pontiac Sunbird 1976-1977 2.3L L4 140cid
Pontiac Sunbird 1976-1980 3.8L V6 231cid
Pontiac Sunbird 1977-1980 2.5L L4 151cid
Pontiac Sunbird 1978-1979 5L V8 305cid
Pontiac T1000 1981-1987 1.6L L4 98cid
Pontiac Tempest 1968-1970 4.1L L6 250cid
Pontiac Tempest 1968-1970 5.7L V8 350cid
Pontiac Tempest 1968-1970 6.6L V8 400cid
Pontiac Tempest 1970
Pontiac Ventura 1971-1973 5L V8 307cid
Pontiac Ventura 1971-1976 4.1L L6 250cid
Pontiac Ventura 1971-1977 5.7L V8 350cid
Pontiac Ventura 1975-1976 4.3L V8 260cid
Pontiac Ventura 1977 2.5L L4 151cid
Pontiac Ventura 1977 3.8L V6 231cid
Pontiac Ventura 1977 4.9L V8 301cid
Pontiac Ventura 1977 5L V8 305cid</t>
        </is>
      </c>
      <c r="I125" t="inlineStr">
        <is>
          <t>{"0": {"productDeskExternalKey": "CPCX|40-140"}, "1": {"Package Contents": "Wiper Motor; Instruction Sheet"}, "2": {"E-Waste": "Yes"}, "3": {"Product Condition": "Remanufactured"}, "4": {"Mounting Hole Quantity": "3"}, "5": {"Terminal Type": "Blade"}, "6": {"Mounting Type": "Eyelet; Grommet"}, "7": {"Weight PG": "4.6000"}, "8": {"Washer Pump Included": "No"}, "9": {"Part Type": "Windshield Wiper Motor"}, "10": {"Warranty Info": "1 Year/18,000 Mile"}, "11": {"Sustainable Choice": "Yes"}, "12": {"Lifecycle Status": "Available to Order"}, "13": {"ItemLevelGTIN": "00082617039680"}, "14": {"_addonCardone": "40-140::98271:101033:306"}, "15": {"Eligible for R&amp;R Service": "Yes"}}</t>
        </is>
      </c>
      <c r="J125" t="inlineStr">
        <is>
          <t>https://www.cardone.com/product/windshield-wiper-motor-40-140</t>
        </is>
      </c>
      <c r="K125">
        <f>DISPIMG("ID_04294B36D3934279AEE72209087289F4",1)</f>
        <v/>
      </c>
      <c r="L125" t="inlineStr">
        <is>
          <t>CPCX|40-140</t>
        </is>
      </c>
      <c r="M125" t="inlineStr">
        <is>
          <t>Wiper Motor; Instruction Sheet</t>
        </is>
      </c>
      <c r="N125" t="inlineStr">
        <is>
          <t>Yes</t>
        </is>
      </c>
      <c r="O125" t="inlineStr">
        <is>
          <t>Remanufactured</t>
        </is>
      </c>
      <c r="P125" t="inlineStr">
        <is>
          <t>3</t>
        </is>
      </c>
      <c r="Q125" t="inlineStr">
        <is>
          <t>Blade</t>
        </is>
      </c>
      <c r="R125" t="inlineStr">
        <is>
          <t>Eyelet; Grommet</t>
        </is>
      </c>
      <c r="S125" t="inlineStr">
        <is>
          <t>4.6000</t>
        </is>
      </c>
      <c r="T125" t="inlineStr">
        <is>
          <t>No</t>
        </is>
      </c>
      <c r="U125" t="inlineStr">
        <is>
          <t>1 Year/18,000 Mile</t>
        </is>
      </c>
      <c r="V125" t="inlineStr">
        <is>
          <t>Yes</t>
        </is>
      </c>
      <c r="W125" t="inlineStr">
        <is>
          <t>Available to Order</t>
        </is>
      </c>
      <c r="X125" t="inlineStr"/>
      <c r="Y125" t="inlineStr">
        <is>
          <t>00082617039680</t>
        </is>
      </c>
      <c r="Z125" t="inlineStr">
        <is>
          <t>40-140::98271:101033:306</t>
        </is>
      </c>
      <c r="AA125" t="inlineStr">
        <is>
          <t>Yes</t>
        </is>
      </c>
      <c r="AB125" t="inlineStr"/>
      <c r="AC125" t="inlineStr"/>
    </row>
    <row r="126">
      <c r="A126" t="inlineStr">
        <is>
          <t>125</t>
        </is>
      </c>
      <c r="B126" t="inlineStr">
        <is>
          <t>Windshield Wiper Motor</t>
        </is>
      </c>
      <c r="C126" t="inlineStr">
        <is>
          <t>40-142</t>
        </is>
      </c>
      <c r="D126" t="inlineStr">
        <is>
          <t>Windshield Wiper Motor - 40-142</t>
        </is>
      </c>
      <c r="E126" t="inlineStr">
        <is>
          <t>CARDONE Reman</t>
        </is>
      </c>
      <c r="F126" t="inlineStr">
        <is>
          <t>4919586;5044687;5044716;5044756;5044739;5044696;5044777;5044784;5044715;5044681;5044740;4918342;4919675;5044699;5044689;5044762;5044738</t>
        </is>
      </c>
      <c r="G126" t="inlineStr">
        <is>
          <t>Buick Century 1973
Buick Electra 1968-1973
Buick Estate Wagon 1970-1973
Buick LeSabre 1968-1973
Buick Regal 1973
Buick Riviera 1968-1973
Buick Skylark 1968-1972
Buick Special 1968-1969
Cadillac Calais 1968-1973
Cadillac Commercial Chassis 1968-1973
Cadillac DeVille 1968-1973
Cadillac Eldorado 1968-1973
Cadillac Fleetwood 1966-1973
Chevrolet Bel Air 1972-1973
Chevrolet Biscayne 1972
Chevrolet Camaro 1968-1973
Chevrolet Caprice 1972-1973
Chevrolet Chevelle 1969-1973
Chevrolet Corvette 1973
Chevrolet El Camino 1969-1973
Chevrolet Impala 1972-1973
Chevrolet Malibu 1973
Chevrolet Monte Carlo 1970-1973
GMC Sprint 1971-1973
Oldsmobile 98 1968-1973
Oldsmobile Custom Cruiser 1971-1973
Oldsmobile Cutlass 1968-1973
Oldsmobile Cutlass Supreme 1971-1973
Oldsmobile Delta 88 1968-1973
Oldsmobile F85 1968-1972
Oldsmobile Toronado 1968-1973
Pontiac Bonneville 1968-1973
Pontiac Catalina 1968-1973
Pontiac Firebird 1968-1973
Pontiac GTO 1968-1973
Pontiac Grand Am 1973
Pontiac Grand Prix 1968-1973
Pontiac LeMans 1968-1973
Pontiac Tempest 1968-1970
Pontiac Ventura 1971-1972</t>
        </is>
      </c>
      <c r="H126" t="inlineStr">
        <is>
          <t>Buick Century 1973 5.7L V8 350cid
Buick Century 1973 7.5L V8 455cid
Buick Electra 1968-1969 7L V8 430cid
Buick Electra 1970-1973 7.5L V8 455cid
Buick Estate Wagon 1970-1973 5.7L V8 350cid
Buick Estate Wagon 1970-1973 7.5L V8 455cid
Buick LeSabre 1968-1973 5.7L V8 350cid
Buick LeSabre 1970-1973 7.5L V8 455cid
Buick Regal 1973 5.7L V8 350cid
Buick Regal 1973 7.5L V8 455cid
Buick Riviera 1968-1969 7L V8 430cid
Buick Riviera 1970-1973 7.5L V8 455cid
Buick Skylark 1968 6.6L V8 400cid
Buick Skylark 1968-1971 4.1L L6 250cid
Buick Skylark 1968-1972 5.7L V8 350cid
Buick Skylark 1970-1971 7.5L V8 455cid
Buick Special 1968-1969 4.1L L6 250cid
Buick Special 1968-1969 5.7L V8 350cid
Cadillac Calais 1968-1973 7.7L V8 472cid
Cadillac Commercial Chassis 1968-1973
Cadillac Commercial Chassis 1968-1973 7.7L V8 472cid
Cadillac DeVille 1968-1973 7.7L V8 472cid
Cadillac Eldorado 1968-1969 7.7L V8 472cid
Cadillac Eldorado 1970-1973 8.2L V8 500cid
Cadillac Fleetwood 1966-1967 7L V8 429cid
Cadillac Fleetwood 1968-1973 7.7L V8 472cid
Chevrolet Bel Air 1972 6.6L V8 402cid
Chevrolet Bel Air 1972-1973 4.1L L6 250cid
Chevrolet Bel Air 1972-1973 5.7L V8 350cid
Chevrolet Bel Air 1972-1973 6.6L V8 400cid
Chevrolet Bel Air 1972-1973 7.4L V8 454cid
Chevrolet Biscayne 1972 4.1L L6 250cid
Chevrolet Biscayne 1972 5.7L V8 350cid
Chevrolet Biscayne 1972 6.6L V8 400cid
Chevrolet Biscayne 1972 6.6L V8 402cid
Chevrolet Biscayne 1972 7.4L V8 454cid
Chevrolet Camaro 1968-1969 3.8L L6 230cid
Chevrolet Camaro 1968-1969 4.9L V8 302cid
Chevrolet Camaro 1968-1969 5.3L V8 327cid
Chevrolet Camaro 1968-1969 5.4L V8 327cid
Chevrolet Camaro 1968-1969 6.5L V8 396cid
Chevrolet Camaro 1968-1973 4.1L L6 250cid
Chevrolet Camaro 1968-1973 5.7L V8 350cid
Chevrolet Camaro 1969 7L V8 427cid
Chevrolet Camaro 1969-1973 5L V8 307cid
Chevrolet Camaro 1970-1972 6.6L V8 402cid
Chevrolet Caprice 1972 6.6L V8 402cid
Chevrolet Caprice 1972-1973 4.1L L6 250cid
Chevrolet Caprice 1972-1973 5.7L V8 350cid
Chevrolet Caprice 1972-1973 5L V8 307cid
Chevrolet Caprice 1972-1973 6.6L V8 400cid
Chevrolet Caprice 1972-1973 7.4L V8 454cid
Chevrolet Chevelle 1969 3.8L L6 230cid
Chevrolet Chevelle 1969-1970 6.5L V8 396cid
Chevrolet Chevelle 1969-1973 4.1L L6 250cid
Chevrolet Chevelle 1969-1973 5.7L V8 350cid
Chevrolet Chevelle 1969-1973 5L V8 307cid
Chevrolet Chevelle 1970-1972 6.6L V8 402cid
Chevrolet Chevelle 1970-1973 6.6L V8 400cid
Chevrolet Chevelle 1970-1973 7.4L V8 454cid
Chevrolet Corvette 1973 5.7L V8 350cid
Chevrolet Corvette 1973 7.4L V8 454cid
Chevrolet El Camino 1969 3.8L L6 230cid
Chevrolet El Camino 1969 5.3L V8 327cid
Chevrolet El Camino 1969-1970 6.5L V8 396cid
Chevrolet El Camino 1969-1973 4.1L L6 250cid
Chevrolet El Camino 1969-1973 5.7L V8 350cid
Chevrolet El Camino 1969-1973 5L V8 307cid
Chevrolet El Camino 1970-1972 6.6L V8 402cid
Chevrolet El Camino 1970-1973 6.6L V8 400cid
Chevrolet El Camino 1970-1973 7.4L V8 454cid
Chevrolet Impala 1972 6.6L V8 402cid
Chevrolet Impala 1972-1973 4.1L L6 250cid
Chevrolet Impala 1972-1973 5.7L V8 350cid
Chevrolet Impala 1972-1973 5L V8 307cid
Chevrolet Impala 1972-1973 6.6L V8 400cid
Chevrolet Impala 1972-1973 7.4L V8 454cid
Chevrolet Malibu 1973 4.1L L6 250cid
Chevrolet Malibu 1973 5.7L V8 350cid
Chevrolet Malibu 1973 5L V8 307cid
Chevrolet Malibu 1973 6.6L V8 400cid
Chevrolet Malibu 1973 7.4L V8 454cid
Chevrolet Monte Carlo 1970-1972 6.6L V8 402cid
Chevrolet Monte Carlo 1970-1973 5.7L V8 350cid
Chevrolet Monte Carlo 1970-1973 6.6L V8 400cid
Chevrolet Monte Carlo 1970-1973 7.4L V8 454cid
GMC Sprint 1971-1972 6.6L V8 400cid
GMC Sprint 1971-1972 6.6L V8 402cid
GMC Sprint 1971-1973 4.1L L6 250cid
GMC Sprint 1971-1973 5.7L V8 350cid
GMC Sprint 1971-1973 5L V8 307cid
GMC Sprint 1971-1973 7.4L V8 454cid
Oldsmobile 98 1968-1973 7.5L V8 455cid
Oldsmobile Custom Cruiser 1971-1973 7.5L V8 455cid
Oldsmobile Cutlass 1968 6.6L V8 400cid
Oldsmobile Cutlass 1968-1971 4.1L L6 250cid
Oldsmobile Cutlass 1968-1973 5.7L V8 350cid
Oldsmobile Cutlass 1970-1973 7.5L V8 455cid
Oldsmobile Cutlass Supreme 1971-1973 5.7L V8 350cid
Oldsmobile Cutlass Supreme 1971-1973 7.5L V8 455cid
Oldsmobile Delta 88 1968-1973 5.7L V8 350cid
Oldsmobile Delta 88 1968-1973 7.5L V8 455cid
Oldsmobile F85 1968-1971 4.1L L6 250cid
Oldsmobile F85 1968-1972 5.7L V8 350cid
Oldsmobile F85 1970-1972 7.5L V8 455cid
Oldsmobile Toronado 1968-1973 7.5L V8 455cid
Pontiac Bonneville 1968-1969 7L V8 428cid
Pontiac Bonneville 1968-1973 6.6L V8 400cid
Pontiac Bonneville 1970-1973 7.5L V8 455cid
Pontiac Bonneville 1971 5.7L V8 350cid
Pontiac Catalina 1968-1969 7L V8 428cid
Pontiac Catalina 1968-1973 6.6L V8 400cid
Pontiac Catalina 1970-1973 5.7L V8 350cid
Pontiac Catalina 1970-1973 7.5L V8 455cid
Pontiac Firebird 1968-1973 4.1L L6 250cid
Pontiac Firebird 1968-1973 5.7L V8 350cid
Pontiac Firebird 1968-1973 6.6L V8 400cid
Pontiac Firebird 1971-1973 7.5L V8 455cid
Pontiac GTO 1968-1973 6.6L V8 400cid
Pontiac GTO 1970-1973 7.5L V8 455cid
Pontiac Grand Am 1973 5.7L V8 350cid
Pontiac Grand Am 1973 6.6L V8 400cid
Pontiac Grand Am 1973 7.5L V8 455cid
Pontiac Grand Prix 1968-1969 7L V8 428cid
Pontiac Grand Prix 1968-1973 6.6L V8 400cid
Pontiac Grand Prix 1970-1973 7.5L V8 455cid
Pontiac LeMans 1968-1973 4.1L L6 250cid
Pontiac LeMans 1968-1973 5.7L V8 350cid
Pontiac LeMans 1968-1973 6.6L V8 400cid
Pontiac LeMans 1970-1973 7.5L V8 455cid
Pontiac Tempest 1968-1970 4.1L L6 250cid
Pontiac Tempest 1968-1970 5.7L V8 350cid
Pontiac Tempest 1968-1970 6.6L V8 400cid
Pontiac Tempest 1970
Pontiac Ventura 1971-1972 4.1L L6 250cid
Pontiac Ventura 1971-1972 5.7L V8 350cid
Pontiac Ventura 1971-1972 5L V8 307cid</t>
        </is>
      </c>
      <c r="I126" t="inlineStr">
        <is>
          <t>{"0": {"productDeskExternalKey": "CPCX|40-142"}, "1": {"Package Contents": "Wiper Motor; Instruction Sheet; Nut; Alignment Tool"}, "2": {"E-Waste": "Yes"}, "3": {"Product Condition": "Remanufactured"}, "4": {"Mounting Hole Quantity": "3"}, "5": {"Terminal Type": "Blade"}, "6": {"Mounting Type": "Eyelet; Grommet"}, "7": {"Weight PG": "6.7200"}, "8": {"Washer Pump Included": "No"}, "9": {"Part Type": "Windshield Wiper Motor"}, "10": {"Warranty Info": "1 Year/18,000 Mile"}, "11": {"Sustainable Choice": "Yes"}, "12": {"Lifecycle Status": "Available to Order"}, "13": {"ItemLevelGTIN": "00082617039697"}, "14": {"_addonCardone": "40-142::98271:101041:306"}, "15": {"Eligible for R&amp;R Service": "Yes"}}</t>
        </is>
      </c>
      <c r="J126" t="inlineStr">
        <is>
          <t>https://www.cardone.com/product/windshield-wiper-motor-40-142</t>
        </is>
      </c>
      <c r="K126">
        <f>DISPIMG("ID_92A7EFABD9624A968EA5B7339224A531",1)</f>
        <v/>
      </c>
      <c r="L126" t="inlineStr">
        <is>
          <t>CPCX|40-142</t>
        </is>
      </c>
      <c r="M126" t="inlineStr">
        <is>
          <t>Wiper Motor; Instruction Sheet; Nut; Alignment Tool</t>
        </is>
      </c>
      <c r="N126" t="inlineStr">
        <is>
          <t>Yes</t>
        </is>
      </c>
      <c r="O126" t="inlineStr">
        <is>
          <t>Remanufactured</t>
        </is>
      </c>
      <c r="P126" t="inlineStr">
        <is>
          <t>3</t>
        </is>
      </c>
      <c r="Q126" t="inlineStr">
        <is>
          <t>Blade</t>
        </is>
      </c>
      <c r="R126" t="inlineStr">
        <is>
          <t>Eyelet; Grommet</t>
        </is>
      </c>
      <c r="S126" t="inlineStr">
        <is>
          <t>6.7200</t>
        </is>
      </c>
      <c r="T126" t="inlineStr">
        <is>
          <t>No</t>
        </is>
      </c>
      <c r="U126" t="inlineStr">
        <is>
          <t>1 Year/18,000 Mile</t>
        </is>
      </c>
      <c r="V126" t="inlineStr">
        <is>
          <t>Yes</t>
        </is>
      </c>
      <c r="W126" t="inlineStr">
        <is>
          <t>Available to Order</t>
        </is>
      </c>
      <c r="X126" t="inlineStr"/>
      <c r="Y126" t="inlineStr">
        <is>
          <t>00082617039697</t>
        </is>
      </c>
      <c r="Z126" t="inlineStr">
        <is>
          <t>40-142::98271:101041:306</t>
        </is>
      </c>
      <c r="AA126" t="inlineStr">
        <is>
          <t>Yes</t>
        </is>
      </c>
      <c r="AB126" t="inlineStr"/>
      <c r="AC126" t="inlineStr"/>
    </row>
    <row r="127">
      <c r="A127" t="inlineStr">
        <is>
          <t>126</t>
        </is>
      </c>
      <c r="B127" t="inlineStr">
        <is>
          <t>Windshield Wiper Motor</t>
        </is>
      </c>
      <c r="C127" t="inlineStr">
        <is>
          <t>40-146</t>
        </is>
      </c>
      <c r="D127" t="inlineStr">
        <is>
          <t>Windshield Wiper Motor - 40-146</t>
        </is>
      </c>
      <c r="E127" t="inlineStr">
        <is>
          <t>CARDONE Reman</t>
        </is>
      </c>
      <c r="F127" t="inlineStr"/>
      <c r="G127" t="inlineStr">
        <is>
          <t>Chevrolet Corvette 1968</t>
        </is>
      </c>
      <c r="H127" t="inlineStr">
        <is>
          <t>Chevrolet Corvette 1968 5.3L V8 327cid
Chevrolet Corvette 1968 5.4L V8 327cid
Chevrolet Corvette 1968 7L V8 427cid</t>
        </is>
      </c>
      <c r="I127" t="inlineStr">
        <is>
          <t>{"0": {"productDeskExternalKey": "CPCX|40-146"}, "1": {"Package Contents": "Wiper Motor; Instruction Sheet; Nut; Alignment Tool"}, "2": {"E-Waste": "Yes"}, "3": {"Product Condition": "Remanufactured"}, "4": {"Mounting Hole Quantity": "3"}, "5": {"Terminal Type": "Blade"}, "6": {"Mounting Type": "Grommet"}, "7": {"Weight PG": "5.9000"}, "8": {"Washer Pump Included": "No"}, "9": {"Part Type": "Windshield Wiper Motor"}, "10": {"Warranty Info": "1 Year/18,000 Mile"}, "11": {"Sustainable Choice": "Yes"}, "12": {"Lifecycle Status": "Available to Order"}, "13": {"Application Summary": "Chevrolet Corvette 1968"}, "14": {"ItemLevelGTIN": "00082617039710"}, "15": {"_addonCardone": "40-146::98271:101046:306"}, "16": {"Eligible for R&amp;R Service": "Yes"}}</t>
        </is>
      </c>
      <c r="J127" t="inlineStr">
        <is>
          <t>https://www.cardone.com/product/windshield-wiper-motor-40-146</t>
        </is>
      </c>
      <c r="K127">
        <f>DISPIMG("ID_AAB946F532E04738ADF225DDA5BCC64A",1)</f>
        <v/>
      </c>
      <c r="L127" t="inlineStr">
        <is>
          <t>CPCX|40-146</t>
        </is>
      </c>
      <c r="M127" t="inlineStr">
        <is>
          <t>Wiper Motor; Instruction Sheet; Nut; Alignment Tool</t>
        </is>
      </c>
      <c r="N127" t="inlineStr">
        <is>
          <t>Yes</t>
        </is>
      </c>
      <c r="O127" t="inlineStr">
        <is>
          <t>Remanufactured</t>
        </is>
      </c>
      <c r="P127" t="inlineStr">
        <is>
          <t>3</t>
        </is>
      </c>
      <c r="Q127" t="inlineStr">
        <is>
          <t>Blade</t>
        </is>
      </c>
      <c r="R127" t="inlineStr">
        <is>
          <t>Grommet</t>
        </is>
      </c>
      <c r="S127" t="inlineStr">
        <is>
          <t>5.9000</t>
        </is>
      </c>
      <c r="T127" t="inlineStr">
        <is>
          <t>No</t>
        </is>
      </c>
      <c r="U127" t="inlineStr">
        <is>
          <t>1 Year/18,000 Mile</t>
        </is>
      </c>
      <c r="V127" t="inlineStr">
        <is>
          <t>Yes</t>
        </is>
      </c>
      <c r="W127" t="inlineStr">
        <is>
          <t>Available to Order</t>
        </is>
      </c>
      <c r="X127" t="inlineStr">
        <is>
          <t>Chevrolet Corvette 1968</t>
        </is>
      </c>
      <c r="Y127" t="inlineStr">
        <is>
          <t>00082617039710</t>
        </is>
      </c>
      <c r="Z127" t="inlineStr">
        <is>
          <t>40-146::98271:101046:306</t>
        </is>
      </c>
      <c r="AA127" t="inlineStr">
        <is>
          <t>Yes</t>
        </is>
      </c>
      <c r="AB127" t="inlineStr"/>
      <c r="AC127" t="inlineStr"/>
    </row>
    <row r="128">
      <c r="A128" t="inlineStr">
        <is>
          <t>127</t>
        </is>
      </c>
      <c r="B128" t="inlineStr">
        <is>
          <t>Windshield Wiper Motor</t>
        </is>
      </c>
      <c r="C128" t="inlineStr">
        <is>
          <t>40-148</t>
        </is>
      </c>
      <c r="D128" t="inlineStr">
        <is>
          <t>Windshield Wiper Motor - 40-148</t>
        </is>
      </c>
      <c r="E128" t="inlineStr">
        <is>
          <t>CARDONE Reman</t>
        </is>
      </c>
      <c r="F128" t="inlineStr"/>
      <c r="G128" t="inlineStr">
        <is>
          <t>Chevrolet Bel Air 1968-1971
Chevrolet Biscayne 1968-1971
Chevrolet Caprice 1968-1971
Chevrolet Impala 1968-1971</t>
        </is>
      </c>
      <c r="H128" t="inlineStr">
        <is>
          <t>Chevrolet Bel Air 1968 5L V8 307cid
Chevrolet Bel Air 1968-1969 5.3L V8 327cid
Chevrolet Bel Air 1968-1969 5.4L V8 327cid
Chevrolet Bel Air 1968-1969 6.5L V8 396cid
Chevrolet Bel Air 1968-1969 7L V8 427cid
Chevrolet Bel Air 1968-1971 4.1L L6 250cid
Chevrolet Bel Air 1969-1971 5.7L V8 350cid
Chevrolet Bel Air 1970-1971 6.6L V8 400cid
Chevrolet Bel Air 1970-1971 6.6L V8 402cid
Chevrolet Bel Air 1970-1971 7.4L V8 454cid
Chevrolet Biscayne 1968 5L V8 307cid
Chevrolet Biscayne 1968-1969 5.3L V8 327cid
Chevrolet Biscayne 1968-1969 5.4L V8 327cid
Chevrolet Biscayne 1968-1969 6.5L V8 396cid
Chevrolet Biscayne 1968-1969 7L V8 427cid
Chevrolet Biscayne 1968-1971 4.1L L6 250cid
Chevrolet Biscayne 1969-1971 5.7L V8 350cid
Chevrolet Biscayne 1970-1971 6.6L V8 400cid
Chevrolet Biscayne 1970-1971 6.6L V8 402cid
Chevrolet Biscayne 1970-1971 7.4L V8 454cid
Chevrolet Caprice 1968-1969 5.3L V8 327cid
Chevrolet Caprice 1968-1969 5.4L V8 327cid
Chevrolet Caprice 1968-1969 6.5L V8 396cid
Chevrolet Caprice 1968-1969 7L V8 427cid
Chevrolet Caprice 1968-1971 4.1L L6 250cid
Chevrolet Caprice 1968-1971 5L V8 307cid
Chevrolet Caprice 1969-1971 5.7L V8 350cid
Chevrolet Caprice 1970-1971 6.6L V8 400cid
Chevrolet Caprice 1970-1971 6.6L V8 402cid
Chevrolet Caprice 1970-1971 7.4L V8 454cid
Chevrolet Impala 1968-1969 5.3L V8 327cid
Chevrolet Impala 1968-1969 5.4L V8 327cid
Chevrolet Impala 1968-1969 6.5L V8 396cid
Chevrolet Impala 1968-1969 7L V8 427cid
Chevrolet Impala 1968-1971 4.1L L6 250cid
Chevrolet Impala 1968-1971 5L V8 307cid
Chevrolet Impala 1969-1971 5.7L V8 350cid
Chevrolet Impala 1970-1971 6.6L V8 400cid
Chevrolet Impala 1970-1971 6.6L V8 402cid
Chevrolet Impala 1970-1971 7.4L V8 454cid</t>
        </is>
      </c>
      <c r="I128" t="inlineStr">
        <is>
          <t>{"0": {"productDeskExternalKey": "CPCX|40-148"}, "1": {"Package Contents": "Wiper Motor; Instruction Sheet; Nut; Alignment Tool"}, "2": {"E-Waste": "Yes"}, "3": {"Product Condition": "Remanufactured"}, "4": {"Mounting Hole Quantity": "3"}, "5": {"Terminal Type": "Blade"}, "6": {"Mounting Type": "Eyelet; Grommet"}, "7": {"Weight PG": "5.8000"}, "8": {"Washer Pump Included": "No"}, "9": {"Part Type": "Windshield Wiper Motor"}, "10": {"Warranty Info": "1 Year/18,000 Mile"}, "11": {"Sustainable Choice": "Yes"}, "12": {"Lifecycle Status": "Available to Order"}, "13": {"Application Summary": "Chevrolet Bel Air 1971-68, Biscayne 1971-68, Caprice 1971-68, Impala 1971-68"}, "14": {"ItemLevelGTIN": "00082617039727"}, "15": {"_addonCardone": "40-148::98271:101051:306"}, "16": {"Eligible for R&amp;R Service": "Yes"}}</t>
        </is>
      </c>
      <c r="J128" t="inlineStr">
        <is>
          <t>https://www.cardone.com/product/windshield-wiper-motor-40-148</t>
        </is>
      </c>
      <c r="K128">
        <f>DISPIMG("ID_2284AB7DD78A42D09E4FF6B6F6DD85B5",1)</f>
        <v/>
      </c>
      <c r="L128" t="inlineStr">
        <is>
          <t>CPCX|40-148</t>
        </is>
      </c>
      <c r="M128" t="inlineStr">
        <is>
          <t>Wiper Motor; Instruction Sheet; Nut; Alignment Tool</t>
        </is>
      </c>
      <c r="N128" t="inlineStr">
        <is>
          <t>Yes</t>
        </is>
      </c>
      <c r="O128" t="inlineStr">
        <is>
          <t>Remanufactured</t>
        </is>
      </c>
      <c r="P128" t="inlineStr">
        <is>
          <t>3</t>
        </is>
      </c>
      <c r="Q128" t="inlineStr">
        <is>
          <t>Blade</t>
        </is>
      </c>
      <c r="R128" t="inlineStr">
        <is>
          <t>Eyelet; Grommet</t>
        </is>
      </c>
      <c r="S128" t="inlineStr">
        <is>
          <t>5.8000</t>
        </is>
      </c>
      <c r="T128" t="inlineStr">
        <is>
          <t>No</t>
        </is>
      </c>
      <c r="U128" t="inlineStr">
        <is>
          <t>1 Year/18,000 Mile</t>
        </is>
      </c>
      <c r="V128" t="inlineStr">
        <is>
          <t>Yes</t>
        </is>
      </c>
      <c r="W128" t="inlineStr">
        <is>
          <t>Available to Order</t>
        </is>
      </c>
      <c r="X128" t="inlineStr">
        <is>
          <t>Chevrolet Bel Air 1971-68, Biscayne 1971-68, Caprice 1971-68, Impala 1971-68</t>
        </is>
      </c>
      <c r="Y128" t="inlineStr">
        <is>
          <t>00082617039727</t>
        </is>
      </c>
      <c r="Z128" t="inlineStr">
        <is>
          <t>40-148::98271:101051:306</t>
        </is>
      </c>
      <c r="AA128" t="inlineStr">
        <is>
          <t>Yes</t>
        </is>
      </c>
      <c r="AB128" t="inlineStr"/>
      <c r="AC128" t="inlineStr"/>
    </row>
    <row r="129">
      <c r="A129" t="inlineStr">
        <is>
          <t>128</t>
        </is>
      </c>
      <c r="B129" t="inlineStr">
        <is>
          <t>Windshield Wiper Motor</t>
        </is>
      </c>
      <c r="C129" t="inlineStr">
        <is>
          <t>40-152</t>
        </is>
      </c>
      <c r="D129" t="inlineStr">
        <is>
          <t>Windshield Wiper Motor - 40-152</t>
        </is>
      </c>
      <c r="E129" t="inlineStr">
        <is>
          <t>CARDONE Reman</t>
        </is>
      </c>
      <c r="F129" t="inlineStr"/>
      <c r="G129" t="inlineStr">
        <is>
          <t>Chevrolet Corvette 1969-1972</t>
        </is>
      </c>
      <c r="H129" t="inlineStr">
        <is>
          <t>Chevrolet Corvette 1969 7L V8 427cid
Chevrolet Corvette 1969-1972 5.7L V8 350cid
Chevrolet Corvette 1970-1972 7.4L V8 454cid</t>
        </is>
      </c>
      <c r="I129" t="inlineStr">
        <is>
          <t>{"0": {"productDeskExternalKey": "CPCX|40-152"}, "1": {"Package Contents": "Wiper Motor; Instruction Sheet; Nut; Alignment Tool"}, "2": {"E-Waste": "Yes"}, "3": {"Product Condition": "Remanufactured"}, "4": {"Mounting Hole Quantity": "3"}, "5": {"Terminal Type": "Blade"}, "6": {"Mounting Type": "Grommet"}, "7": {"Weight PG": "5.8600"}, "8": {"Washer Pump Included": "No"}, "9": {"Part Type": "Windshield Wiper Motor"}, "10": {"Warranty Info": "1 Year/18,000 Mile"}, "11": {"Sustainable Choice": "Yes"}, "12": {"Lifecycle Status": "Available to Order"}, "13": {"Application Summary": "Chevrolet Corvette 1972-69"}, "14": {"ItemLevelGTIN": "00082617039741"}, "15": {"_addonCardone": "40-152::98271:101056:306"}, "16": {"Eligible for R&amp;R Service": "Yes"}}</t>
        </is>
      </c>
      <c r="J129" t="inlineStr">
        <is>
          <t>https://www.cardone.com/product/windshield-wiper-motor-40-152</t>
        </is>
      </c>
      <c r="K129">
        <f>DISPIMG("ID_3A754978215C4A69A68319B8DA7C8130",1)</f>
        <v/>
      </c>
      <c r="L129" t="inlineStr">
        <is>
          <t>CPCX|40-152</t>
        </is>
      </c>
      <c r="M129" t="inlineStr">
        <is>
          <t>Wiper Motor; Instruction Sheet; Nut; Alignment Tool</t>
        </is>
      </c>
      <c r="N129" t="inlineStr">
        <is>
          <t>Yes</t>
        </is>
      </c>
      <c r="O129" t="inlineStr">
        <is>
          <t>Remanufactured</t>
        </is>
      </c>
      <c r="P129" t="inlineStr">
        <is>
          <t>3</t>
        </is>
      </c>
      <c r="Q129" t="inlineStr">
        <is>
          <t>Blade</t>
        </is>
      </c>
      <c r="R129" t="inlineStr">
        <is>
          <t>Grommet</t>
        </is>
      </c>
      <c r="S129" t="inlineStr">
        <is>
          <t>5.8600</t>
        </is>
      </c>
      <c r="T129" t="inlineStr">
        <is>
          <t>No</t>
        </is>
      </c>
      <c r="U129" t="inlineStr">
        <is>
          <t>1 Year/18,000 Mile</t>
        </is>
      </c>
      <c r="V129" t="inlineStr">
        <is>
          <t>Yes</t>
        </is>
      </c>
      <c r="W129" t="inlineStr">
        <is>
          <t>Available to Order</t>
        </is>
      </c>
      <c r="X129" t="inlineStr">
        <is>
          <t>Chevrolet Corvette 1972-69</t>
        </is>
      </c>
      <c r="Y129" t="inlineStr">
        <is>
          <t>00082617039741</t>
        </is>
      </c>
      <c r="Z129" t="inlineStr">
        <is>
          <t>40-152::98271:101056:306</t>
        </is>
      </c>
      <c r="AA129" t="inlineStr">
        <is>
          <t>Yes</t>
        </is>
      </c>
      <c r="AB129" t="inlineStr"/>
      <c r="AC129" t="inlineStr"/>
    </row>
    <row r="130">
      <c r="A130" t="inlineStr">
        <is>
          <t>129</t>
        </is>
      </c>
      <c r="B130" t="inlineStr">
        <is>
          <t>Windshield Wiper Motor</t>
        </is>
      </c>
      <c r="C130" t="inlineStr">
        <is>
          <t>40-154</t>
        </is>
      </c>
      <c r="D130" t="inlineStr">
        <is>
          <t>Windshield Wiper Motor - 40-154</t>
        </is>
      </c>
      <c r="E130" t="inlineStr">
        <is>
          <t>CARDONE Reman</t>
        </is>
      </c>
      <c r="F130" t="inlineStr"/>
      <c r="G130" t="inlineStr">
        <is>
          <t>Chevrolet B60 1980-1982
Chevrolet Blazer 1969-1972
Chevrolet C10 Panel 1963-1967
Chevrolet C10 Pickup 1963-1972
Chevrolet C10 Suburban 1967-1972
Chevrolet C20 Panel 1967
Chevrolet C20 Pickup 1963-1972
Chevrolet C20 Suburban 1967-1972
Chevrolet C30 Pickup 1963-1972
Chevrolet G10 Van 1964-1969
Chevrolet G20 Van 1967-1969
Chevrolet K10 Pickup 1963-1972
Chevrolet K10 Suburban 1967-1972
Chevrolet K20 Panel 1967
Chevrolet K20 Pickup 1963-1972
Chevrolet K20 Suburban 1967-1972
Chevrolet K30 Pickup 1968-1972
Chevrolet P10 1975-1980
Chevrolet P10 Series 1963-1967
Chevrolet P10 Van 1967-1974
Chevrolet P20 1975-1989
Chevrolet P20 Series 1963-1967
Chevrolet P20 Van 1968-1974
Chevrolet P30 1975-1991
Chevrolet P30 Series 1963-1967
Chevrolet P30 Van 1968-1974
Chevrolet Suburban 1963-1966
GMC 1000 Series 1963-1965
GMC 1500 Series 1963-1965
GMC 2500 Series 1963
GMC B6000 1980-1982
GMC C15/C1500 Pickup 1967-1972
GMC C15/C1500 Suburban 1967-1972
GMC C25/C2500 Pickup 1967-1972
GMC C25/C2500 Suburban 1967-1972
GMC C35/C3500 Pickup 1967-1972
GMC G1000 Series 1964-1966
GMC G15/G1500 Van 1967-1969
GMC G25/G2500 Van 1967-1969
GMC I1500 1966
GMC I2500 1966
GMC Jimmy 1970-1972
GMC K15/K1500 Pickup 1966-1972
GMC K15/K1500 Suburban 1967-1972
GMC K25/K2500 Pickup 1967-1972
GMC K25/K2500 Suburban 1967-1972
GMC K35/K3500 Pickup 1968-1972
GMC P15 1975-1978
GMC P15/P1500 Van 1967-1974
GMC P1500 1979-1980
GMC P25 1975-1978
GMC P25/P2500 Van 1967-1974
GMC P2500 1979-1989
GMC P35 1975-1978
GMC P35/P3500 Van 1967-1974
GMC P3500 1979-1991
GMC PB1000 Series 1963-1965
GMC PB15 Series 1966
GMC PB25 Series 1966
GMC PB2500 Series 1963
GMC Suburban 1963-1966
Jeep Cherokee 1974-1978
Jeep Commando 1968-1973
Jeep J-100 1963-1971
Jeep J-2500 1965-1973
Jeep J-2600 1968-1973
Jeep J-2700 1968-1970
Jeep J-2800 1968
Jeep J-3500 1968-1970
Jeep J-3600 1968-1970
Jeep J-3700 1968-1970
Jeep J-3800 1968-1970
Jeep J10 1974-1978
Jeep J20 1974-1978
Jeep Jeepster 1966-1971
Jeep Wagoneer 1963-1978</t>
        </is>
      </c>
      <c r="H130" t="inlineStr">
        <is>
          <t>Chevrolet B60 1980-1982 5.7L V8 350cid
Chevrolet B60 1980-1982 6L V8 366cid
Chevrolet B60 1980-1982 7L V8 427cid
Chevrolet B60 1981-1982 8.2L V8 501cid
Chevrolet Blazer 1969-1972 4.1L L6 250cid
Chevrolet Blazer 1969-1972 4.8L L6 292cid
Chevrolet Blazer 1969-1972 5.7L V8 350cid
Chevrolet Blazer 1969-1972 5L V8 307cid
Chevrolet C10 Panel 1963-1965 3.8L L6 230cid
Chevrolet C10 Panel 1966-1967 4.1L L6 250cid
Chevrolet C10 Pickup 1963-1967 4.6L V8 283cid
Chevrolet C10 Pickup 1963-1969 3.8L L6 230cid
Chevrolet C10 Pickup 1963-1972 4.8L L6 292cid
Chevrolet C10 Pickup 1966-1969 5.3L V8 327cid
Chevrolet C10 Pickup 1966-1972 4.1L L6 250cid
Chevrolet C10 Pickup 1968 5.4L V8 327cid
Chevrolet C10 Pickup 1968-1969 6.5L V8 396cid
Chevrolet C10 Pickup 1968-1972 5L V8 307cid
Chevrolet C10 Pickup 1969-1972 5.7L V8 350cid
Chevrolet C10 Pickup 1970-1972 6.6L V8 402cid
Chevrolet C10 Suburban 1967 4.6L V8 283cid
Chevrolet C10 Suburban 1967-1969 5.3L V8 327cid
Chevrolet C10 Suburban 1967-1972 4.1L L6 250cid
Chevrolet C10 Suburban 1967-1972 4.8L L6 292cid
Chevrolet C10 Suburban 1968 5.4L V8 327cid
Chevrolet C10 Suburban 1968-1969 6.5L V8 396cid
Chevrolet C10 Suburban 1968-1972 5L V8 307cid
Chevrolet C10 Suburban 1969-1972 5.7L V8 350cid
Chevrolet C10 Suburban 1970-1972 6.6L V8 402cid
Chevrolet C20 Panel 1967 4.1L L6 250cid
Chevrolet C20 Pickup 1963-1965 3.8L L6 230cid
Chevrolet C20 Pickup 1963-1967 4.6L V8 283cid
Chevrolet C20 Pickup 1963-1972 4.8L L6 292cid
Chevrolet C20 Pickup 1966-1969 5.3L V8 327cid
Chevrolet C20 Pickup 1966-1972 4.1L L6 250cid
Chevrolet C20 Pickup 1968 5.4L V8 327cid
Chevrolet C20 Pickup 1968-1969 6.5L V8 396cid
Chevrolet C20 Pickup 1968-1972 5L V8 307cid
Chevrolet C20 Pickup 1969-1972 5.7L V8 350cid
Chevrolet C20 Pickup 1970-1972 6.6L V8 402cid
Chevrolet C20 Suburban 1967 4.6L V8 283cid
Chevrolet C20 Suburban 1967-1969 5.3L V8 327cid
Chevrolet C20 Suburban 1967-1972 4.1L L6 250cid
Chevrolet C20 Suburban 1967-1972 4.8L L6 292cid
Chevrolet C20 Suburban 1968-1969 6.5L V8 396cid
Chevrolet C20 Suburban 1968-1972 5L V8 307cid
Chevrolet C20 Suburban 1969-1972 5.7L V8 350cid
Chevrolet C20 Suburban 1970-1972 6.6L V8 402cid
Chevrolet C30 Pickup 1963-1965 3.8L L6 230cid
Chevrolet C30 Pickup 1963-1967 4.6L V8 283cid
Chevrolet C30 Pickup 1963-1972 4.8L L6 292cid
Chevrolet C30 Pickup 1966-1969 5.3L V8 327cid
Chevrolet C30 Pickup 1966-1972 4.1L L6 250cid
Chevrolet C30 Pickup 1968 5.4L V8 327cid
Chevrolet C30 Pickup 1968-1969 6.5L V8 396cid
Chevrolet C30 Pickup 1968-1972 5L V8 307cid
Chevrolet C30 Pickup 1969-1972 5.7L V8 350cid
Chevrolet C30 Pickup 1970-1972 6.6L V8 402cid
Chevrolet G10 Van 1964-1965 2.5L L4 153cid
Chevrolet G10 Van 1964-1966 3.2L L6 194cid
Chevrolet G10 Van 1966-1969 3.8L L6 230cid
Chevrolet G10 Van 1967-1969 4.1L L6 250cid
Chevrolet G10 Van 1968-1969 5L V8 307cid
Chevrolet G20 Van 1967 4.6L V8 283cid
Chevrolet G20 Van 1967-1969 3.8L L6 230cid
Chevrolet G20 Van 1967-1969 4.1L L6 250cid
Chevrolet G20 Van 1968-1969 5L V8 307cid
Chevrolet K10 Pickup 1963-1967 4.6L V8 283cid
Chevrolet K10 Pickup 1963-1969 3.8L L6 230cid
Chevrolet K10 Pickup 1963-1972 4.8L L6 292cid
Chevrolet K10 Pickup 1966-1969 5.3L V8 327cid
Chevrolet K10 Pickup 1966-1972 4.1L L6 250cid
Chevrolet K10 Pickup 1968 5.4L V8 327cid
Chevrolet K10 Pickup 1968-1969 6.5L V8 396cid
Chevrolet K10 Pickup 1968-1972 5L V8 307cid
Chevrolet K10 Pickup 1969-1972 5.7L V8 350cid
Chevrolet K10 Pickup 1970-1972 6.6L V8 402cid
Chevrolet K10 Suburban 1967 4.6L V8 283cid
Chevrolet K10 Suburban 1967-1969 5.3L V8 327cid
Chevrolet K10 Suburban 1967-1970 4.8L L6 292cid
Chevrolet K10 Suburban 1967-1972 4.1L L6 250cid
Chevrolet K10 Suburban 1968 5.4L V8 327cid
Chevrolet K10 Suburban 1968-1969 6.5L V8 396cid
Chevrolet K10 Suburban 1968-1972 5L V8 307cid
Chevrolet K10 Suburban 1969-1972 5.7L V8 350cid
Chevrolet K10 Suburban 1970-1972 6.6L V8 402cid
Chevrolet K20 Panel 1967 4.1L L6 250cid
Chevrolet K20 Panel 1967 4.6L V8 283cid
Chevrolet K20 Panel 1967 5.4L V8 327cid
Chevrolet K20 Pickup 1963 3.8L L6 235cid
Chevrolet K20 Pickup 1963-1965 3.8L L6 230cid
Chevrolet K20 Pickup 1963-1967 4.6L V8 283cid
Chevrolet K20 Pickup 1963-1972 4.8L L6 292cid
Chevrolet K20 Pickup 1966-1969 5.3L V8 327cid
Chevrolet K20 Pickup 1966-1972 4.1L L6 250cid
Chevrolet K20 Pickup 1968 5.4L V8 327cid
Chevrolet K20 Pickup 1968-1969 6.5L V8 396cid
Chevrolet K20 Pickup 1968-1972 5L V8 307cid
Chevrolet K20 Pickup 1969-1972 5.7L V8 350cid
Chevrolet K20 Pickup 1970-1972 6.6L V8 402cid
Chevrolet K20 Suburban 1967 4.6L V8 283cid
Chevrolet K20 Suburban 1967-1969 5.3L V8 327cid
Chevrolet K20 Suburban 1967-1972 4.1L L6 250cid
Chevrolet K20 Suburban 1967-1972 4.8L L6 292cid
Chevrolet K20 Suburban 1968 5.4L V8 327cid
Chevrolet K20 Suburban 1968-1969 6.5L V8 396cid
Chevrolet K20 Suburban 1968-1972 5L V8 307cid
Chevrolet K20 Suburban 1969-1972 5.7L V8 350cid
Chevrolet K20 Suburban 1970-1972 6.6L V8 402cid
Chevrolet K30 Pickup 1968 5.4L V8 327cid
Chevrolet K30 Pickup 1968-1969 5.3L V8 327cid
Chevrolet K30 Pickup 1968-1969 6.5L V8 396cid
Chevrolet K30 Pickup 1968-1972 4.1L L6 250cid
Chevrolet K30 Pickup 1968-1972 4.8L L6 292cid
Chevrolet K30 Pickup 1968-1972 5L V8 307cid
Chevrolet K30 Pickup 1969-1972 5.7L V8 350cid
Chevrolet K30 Pickup 1970-1972 6.6L V8 402cid
Chevrolet P10 1975-1978 5.7L V8 350cid
Chevrolet P10 1975-1980 4.8L L6 292cid
Chevrolet P10 1977 6.6L V8 400cid
Chevrolet P10 1979 5L V8 305cid
Chevrolet P10 Series 1963-1965 2.5L L4 153cid
Chevrolet P10 Series 1963-1967 3.8L L6 230cid
Chevrolet P10 Series 1966 3.2L L6 194cid
Chevrolet P10 Series 1966-1967 4.1L L6 250cid
Chevrolet P10 Series 1967 4.8L L6 292cid
Chevrolet P10 Van 1967
Chevrolet P10 Van 1968-1969 3.8L L6 230cid
Chevrolet P10 Van 1968-1974 4.1L L6 250cid
Chevrolet P10 Van 1973 5.7L V8 350cid
Chevrolet P10 Van 1973 5L V8 307cid
Chevrolet P10 Van 1973 7.4L V8 454cid
Chevrolet P20 1975-1989 4.8L L6 292cid
Chevrolet P20 1975-1989 5.7L V8 350cid
Chevrolet P20 1976-1979 7.4L V8 454cid
Chevrolet P20 1982-1989 6.2L V8 379cid
Chevrolet P20 Series 1963-1965 3.8L L6 230cid
Chevrolet P20 Series 1963-1967 4.8L L6 292cid
Chevrolet P20 Series 1966-1967 2.6L L3 159cid
Chevrolet P20 Series 1966-1967 4.1L L6 250cid
Chevrolet P20 Van 1968-1973 5L V8 307cid
Chevrolet P20 Van 1968-1974 4.8L L6 292cid
Chevrolet P20 Van 1970-1973 7.4L V8 454cid
Chevrolet P20 Van 1970-1974 4.1L L6 250cid
Chevrolet P20 Van 1970-1974 5.7L V8 350cid
Chevrolet P30 1975-1989 4.8L L6 292cid
Chevrolet P30 1975-1991 5.7L V8 350cid
Chevrolet P30 1975-1991 7.4L V8 454cid
Chevrolet P30 1976 6.6L V8 400cid
Chevrolet P30 1976-1979 4.1L L6 250cid
Chevrolet P30 1982-1991 6.2L V8 379cid
Chevrolet P30 1990-1991 3.9L L4 239cid
Chevrolet P30 1990-1991 4.3L V6 262cid
Chevrolet P30 Series 1963-1965 3.8L L6 230cid
Chevrolet P30 Series 1963-1965 5.7L V8 348cid
Chevrolet P30 Series 1963-1965 6.7L V8 409cid
Chevrolet P30 Series 1963-1967 4.8L L6 292cid
Chevrolet P30 Series 1965-1967 2.6L L3 159cid
Chevrolet P30 Series 1966-1967 4.1L L6 250cid
Chevrolet P30 Van 1968-1970 2.6L L3 159cid
Chevrolet P30 Van 1968-1973 5L V8 307cid
Chevrolet P30 Van 1968-1974 4.8L L6 292cid
Chevrolet P30 Van 1970-1974 4.1L L6 250cid
Chevrolet P30 Van 1970-1974 5.7L V8 350cid
Chevrolet P30 Van 1970-1974 7.4L V8 454cid
Chevrolet P30 Van 1972 6.6L V8 402cid
Chevrolet Suburban 1963-1966 3.8L L6 230cid
Chevrolet Suburban 1963-1966 4.6L V8 283cid
Chevrolet Suburban 1963-1966 4.8L L6 292cid
Chevrolet Suburban 1966 4.1L L6 250cid
Chevrolet Suburban 1966 5.3L V8 327cid
GMC 1000 Series 1963 4.6L V8 283cid
GMC 1000 Series 1963-1965 3.8L L6 230cid
GMC 1000 Series 1963-1965 4.8L L6 292cid
GMC 1000 Series 1963-1965 5L V6 305cid
GMC 1000 Series 1965 5.7L V6 351cid
GMC 1500 Series 1963 4.6L V8 283cid
GMC 1500 Series 1963-1965 3.8L L6 230cid
GMC 1500 Series 1963-1965 4.8L L6 292cid
GMC 1500 Series 1963-1965 5L V6 305cid
GMC 1500 Series 1965 5.7L V6 351cid
GMC 2500 Series 1963 3.8L L6 230cid
GMC 2500 Series 1963 4.6L V8 283cid
GMC 2500 Series 1963 4.8L L6 292cid
GMC 2500 Series 1963 5L V6 305cid
GMC B6000 1980-1982 5.7L V8 350cid
GMC B6000 1980-1982 6L V8 366cid
GMC B6000 1980-1982 7L V8 427cid
GMC B6000 1981-1982 8.2L V8 501cid
GMC C15/C1500 Pickup 1967 4.6L V8 283cid
GMC C15/C1500 Pickup 1967-1968 5.3L V8 327cid
GMC C15/C1500 Pickup 1967-1968 5.7L V6 351cid
GMC C15/C1500 Pickup 1967-1969 3.8L L6 230cid
GMC C15/C1500 Pickup 1967-1969 5L V6 305cid
GMC C15/C1500 Pickup 1967-1972 4.1L L6 250cid
GMC C15/C1500 Pickup 1967-1972 4.8L L6 292cid
GMC C15/C1500 Pickup 1968 5.4L V8 327cid
GMC C15/C1500 Pickup 1968-1969 6.5L V8 396cid
GMC C15/C1500 Pickup 1968-1972 5L V8 307cid
GMC C15/C1500 Pickup 1969-1972 5.7L V8 350cid
GMC C15/C1500 Pickup 1970-1972 6.6L V8 402cid
GMC C15/C1500 Suburban 1967 4.6L V8 283cid
GMC C15/C1500 Suburban 1967-1968 5.3L V8 327cid
GMC C15/C1500 Suburban 1967-1968 5.7L V6 351cid
GMC C15/C1500 Suburban 1967-1969 5L V6 305cid
GMC C15/C1500 Suburban 1967-1972 4.1L L6 250cid
GMC C15/C1500 Suburban 1967-1972 4.8L L6 292cid
GMC C15/C1500 Suburban 1968 5.4L V8 327cid
GMC C15/C1500 Suburban 1968-1969 6.5L V8 396cid
GMC C15/C1500 Suburban 1968-1972 5L V8 307cid
GMC C15/C1500 Suburban 1969-1972 5.7L V8 350cid
GMC C15/C1500 Suburban 1970-1972 6.6L V8 402cid
GMC C25/C2500 Pickup 1967 4.6L V8 283cid
GMC C25/C2500 Pickup 1967-1968 5.3L V8 327cid
GMC C25/C2500 Pickup 1967-1968 5.7L V6 351cid
GMC C25/C2500 Pickup 1967-1969 5L V6 305cid
GMC C25/C2500 Pickup 1967-1972 4.1L L6 250cid
GMC C25/C2500 Pickup 1967-1972 4.8L L6 292cid
GMC C25/C2500 Pickup 1968 5.4L V8 327cid
GMC C25/C2500 Pickup 1968-1969 6.5L V8 396cid
GMC C25/C2500 Pickup 1968-1972 5L V8 307cid
GMC C25/C2500 Pickup 1969-1972 5.7L V8 350cid
GMC C25/C2500 Pickup 1970-1972 6.6L V8 402cid
GMC C25/C2500 Suburban 1967 4.6L V8 283cid
GMC C25/C2500 Suburban 1967-1968 5.3L V8 327cid
GMC C25/C2500 Suburban 1967-1968 5.7L V6 351cid
GMC C25/C2500 Suburban 1967-1969 5L V6 305cid
GMC C25/C2500 Suburban 1967-1972 4.1L L6 250cid
GMC C25/C2500 Suburban 1967-1972 4.8L L6 292cid
GMC C25/C2500 Suburban 1968 5.4L V8 327cid
GMC C25/C2500 Suburban 1968-1969 6.5L V8 396cid
GMC C25/C2500 Suburban 1968-1972 5L V8 307cid
GMC C25/C2500 Suburban 1969-1972 5.7L V8 350cid
GMC C25/C2500 Suburban 1970-1972 6.6L V8 402cid
GMC C35/C3500 Pickup 1967 4.6L V8 283cid
GMC C35/C3500 Pickup 1967-1968 5.3L V8 327cid
GMC C35/C3500 Pickup 1967-1968 5.7L V6 351cid
GMC C35/C3500 Pickup 1967-1969 5L V6 305cid
GMC C35/C3500 Pickup 1967-1972 4.1L L6 250cid
GMC C35/C3500 Pickup 1967-1972 4.8L L6 292cid
GMC C35/C3500 Pickup 1968 5.4L V8 327cid
GMC C35/C3500 Pickup 1968-1969 6.5L V8 396cid
GMC C35/C3500 Pickup 1968-1972 5L V8 307cid
GMC C35/C3500 Pickup 1969-1972 5.7L V8 350cid
GMC C35/C3500 Pickup 1970-1972 6.6L V8 402cid
GMC G1000 Series 1964-1966 2.5L L4 153cid
GMC G1000 Series 1964-1966 3.2L L6 194cid
GMC G1000 Series 1964-1966 3.8L L6 230cid
GMC G15/G1500 Van 1967 4.6L V8 283cid
GMC G15/G1500 Van 1967 5.4L V8 327cid
GMC G15/G1500 Van 1967-1969 3.8L L6 230cid
GMC G15/G1500 Van 1967-1969 4.1L L6 250cid
GMC G15/G1500 Van 1968-1969 5L V8 307cid
GMC G25/G2500 Van 1967 4.6L V8 283cid
GMC G25/G2500 Van 1967 5.4L V8 327cid
GMC G25/G2500 Van 1967-1969 3.8L L6 230cid
GMC G25/G2500 Van 1967-1969 4.1L L6 250cid
GMC G25/G2500 Van 1968-1969 5L V8 307cid
GMC I1500 1966 4.1L L6 250cid
GMC I2500 1966 4.1L L6 250cid
GMC Jimmy 1970-1972 4.1L L6 250cid
GMC Jimmy 1970-1972 4.8L L6 292cid
GMC Jimmy 1970-1972 5.7L V8 350cid
GMC Jimmy 1970-1972 5L V8 307cid
GMC K15/K1500 Pickup 1966-1968 5.7L V6 351cid
GMC K15/K1500 Pickup 1966-1969 5L V6 305cid
GMC K15/K1500 Pickup 1967 4.6L V8 283cid
GMC K15/K1500 Pickup 1967-1968 5.3L V8 327cid
GMC K15/K1500 Pickup 1967-1969 3.8L L6 230cid
GMC K15/K1500 Pickup 1967-1972 4.1L L6 250cid
GMC K15/K1500 Pickup 1967-1972 4.8L L6 292cid
GMC K15/K1500 Pickup 1968 5.4L V8 327cid
GMC K15/K1500 Pickup 1968-1969 6.5L V8 396cid
GMC K15/K1500 Pickup 1968-1972 5L V8 307cid
GMC K15/K1500 Pickup 1969-1972 5.7L V8 350cid
GMC K15/K1500 Pickup 1970-1972 6.6L V8 402cid
GMC K15/K1500 Suburban 1967 4.6L V8 283cid
GMC K15/K1500 Suburban 1967-1968 5.3L V8 327cid
GMC K15/K1500 Suburban 1967-1968 5.7L V6 351cid
GMC K15/K1500 Suburban 1967-1969 5L V6 305cid
GMC K15/K1500 Suburban 1967-1971 4.8L L6 292cid
GMC K15/K1500 Suburban 1967-1972 4.1L L6 250cid
GMC K15/K1500 Suburban 1968 5.4L V8 327cid
GMC K15/K1500 Suburban 1968-1969 6.5L V8 396cid
GMC K15/K1500 Suburban 1968-1972 5L V8 307cid
GMC K15/K1500 Suburban 1969-1972 5.7L V8 350cid
GMC K15/K1500 Suburban 1970-1972 6.6L V8 402cid
GMC K25/K2500 Pickup 1967 4.6L V8 283cid
GMC K25/K2500 Pickup 1967-1968 5.3L V8 327cid
GMC K25/K2500 Pickup 1967-1968 5.7L V6 351cid
GMC K25/K2500 Pickup 1967-1969 5L V6 305cid
GMC K25/K2500 Pickup 1967-1972 4.1L L6 250cid
GMC K25/K2500 Pickup 1967-1972 4.8L L6 292cid
GMC K25/K2500 Pickup 1968 5.4L V8 327cid
GMC K25/K2500 Pickup 1968-1969 6.5L V8 396cid
GMC K25/K2500 Pickup 1968-1972 5L V8 307cid
GMC K25/K2500 Pickup 1969-1972 5.7L V8 350cid
GMC K25/K2500 Pickup 1970-1972 6.6L V8 402cid
GMC K25/K2500 Suburban 1967 4.6L V8 283cid
GMC K25/K2500 Suburban 1967-1968 5.3L V8 327cid
GMC K25/K2500 Suburban 1967-1968 5.7L V6 351cid
GMC K25/K2500 Suburban 1967-1969 5L V6 305cid
GMC K25/K2500 Suburban 1967-1972 4.1L L6 250cid
GMC K25/K2500 Suburban 1967-1972 4.8L L6 292cid
GMC K25/K2500 Suburban 1968 5.4L V8 327cid
GMC K25/K2500 Suburban 1968-1969 6.5L V8 396cid
GMC K25/K2500 Suburban 1968-1972 5L V8 307cid
GMC K25/K2500 Suburban 1969-1972 5.7L V8 350cid
GMC K25/K2500 Suburban 1970-1972 6.6L V8 402cid
GMC K35/K3500 Pickup 1968 5.3L V8 327cid
GMC K35/K3500 Pickup 1968 5.4L V8 327cid
GMC K35/K3500 Pickup 1968 5.7L V6 351cid
GMC K35/K3500 Pickup 1968-1969 5L V6 305cid
GMC K35/K3500 Pickup 1968-1969 6.5L V8 396cid
GMC K35/K3500 Pickup 1968-1972 4.1L L6 250cid
GMC K35/K3500 Pickup 1968-1972 4.8L L6 292cid
GMC K35/K3500 Pickup 1968-1972 5L V8 307cid
GMC K35/K3500 Pickup 1969-1972 5.7L V8 350cid
GMC K35/K3500 Pickup 1970-1972 6.6L V8 402cid
GMC P15 1975-1978 4.8L L6 292cid
GMC P15/P1500 Van 1967 4.6L V8 283cid
GMC P15/P1500 Van 1967 4.8L L6 292cid
GMC P15/P1500 Van 1967-1969 3.8L L6 230cid
GMC P15/P1500 Van 1968-1974 4.1L L6 250cid
GMC P15/P1500 Van 1970-1973 5L V8 307cid
GMC P15/P1500 Van 1971-1972 6.6L V8 400cid
GMC P1500 1979 7.4L V8 454cid
GMC P1500 1979-1980 4.8L L6 292cid
GMC P25 1975-1978 4.8L L6 292cid
GMC P25 1975-1978 5.7L V8 350cid
GMC P25/P2500 Van 1967 4.6L V8 283cid
GMC P25/P2500 Van 1967-1969 2.6L L3 159cid
GMC P25/P2500 Van 1967-1974 4.1L L6 250cid
GMC P25/P2500 Van 1967-1974 4.8L L6 292cid
GMC P25/P2500 Van 1968-1973 5L V8 307cid
GMC P25/P2500 Van 1970-1971 7.4L V8 454cid
GMC P25/P2500 Van 1970-1974 5.7L V8 350cid
GMC P25/P2500 Van 1971-1972 6.6L V8 400cid
GMC P2500 1979-1989 4.8L L6 292cid
GMC P2500 1979-1989 5.7L V8 350cid
GMC P2500 1982-1989 6.2L V8 379cid
GMC P35 1975-1978 4.8L L6 292cid
GMC P35 1975-1978 5.7L V8 350cid
GMC P35 1975-1978 7.4L V8 454cid
GMC P35/P3500 Van 1967 4.6L V8 283cid
GMC P35/P3500 Van 1967-1969 2.6L L3 159cid
GMC P35/P3500 Van 1967-1974 4.1L L6 250cid
GMC P35/P3500 Van 1967-1974 4.8L L6 292cid
GMC P35/P3500 Van 1968-1973 5L V8 307cid
GMC P35/P3500 Van 1970-1974 5.7L V8 350cid
GMC P35/P3500 Van 1970-1974 7.4L V8 454cid
GMC P35/P3500 Van 1971-1972 6.6L V8 400cid
GMC P3500 1979-1989 4.8L L6 292cid
GMC P3500 1979-1991 5.7L V8 350cid
GMC P3500 1979-1991 7.4L V8 454cid
GMC P3500 1982-1991 6.2L V8 379cid
GMC P3500 1989-1991 3.9L L4 239cid
GMC P3500 1990-1991 4.3L V6 262cid
GMC PB1000 Series 1963-1965 2.5L L4 153cid
GMC PB1000 Series 1963-1965 3.8L L6 230cid
GMC PB15 Series 1966 4.1L L6 250cid
GMC PB15 Series 1966 4.8L L6 292cid
GMC PB25 Series 1966 4.1L L6 250cid
GMC PB25 Series 1966 4.8L L6 292cid
GMC PB2500 Series 1963 3.8L L6 230cid
GMC Suburban 1963-1965 4.6L V8 283cid
GMC Suburban 1963-1966 2.5L L4 153cid
GMC Suburban 1963-1966 3.8L L6 230cid
GMC Suburban 1963-1966 4.8L L6 292cid
GMC Suburban 1963-1966 5L V6 305cid
GMC Suburban 1965-1966 5.7L V6 351cid
GMC Suburban 1966 4.1L L6 250cid
Jeep Cherokee 1974-1978 4.2L L6 258cid
Jeep Cherokee 1974-1978 5.9L V8 360cid
Jeep Cherokee 1974-1978 6.6L V8 401cid
Jeep Commando 1968-1971 3.7L V6 225cid
Jeep Commando 1968-1973 2.2L L4 134cid
Jeep Commando 1972-1973 3.8L L6 232cid
Jeep Commando 1972-1973 4.2L L6 258cid
Jeep Commando 1972-1973 5L V8 304cid
Jeep J-100 1963-1967
Jeep J-100 1963-1967 3.8L L6 230cid
Jeep J-100 1965-1968 5.3L V8 327cid
Jeep J-100 1965-1971 3.8L L6 232cid
Jeep J-100 1968 5.4L V8 327cid
Jeep J-100 1968-1971 5.7L V8 350cid
Jeep J-100 1971 4.2L L6 258cid
Jeep J-100 1971 5.9L V8 360cid
Jeep J-100 1971 5L V8 304cid
Jeep J-2500 1965-1967
Jeep J-2500 1965-1967 3.8L L6 230cid
Jeep J-2500 1965-1970 5.3L V8 327cid
Jeep J-2500 1965-1971 3.8L L6 232cid
Jeep J-2500 1968 5.4L V8 327cid
Jeep J-2500 1969-1971 5.7L V8 350cid
Jeep J-2500 1970-1973 5.9L V8 360cid
Jeep J-2500 1971-1972 5L V8 304cid
Jeep J-2500 1971-1973 4.2L L6 258cid
Jeep J-2600 1968 5.4L V8 327cid
Jeep J-2600 1968-1970 3.8L L6 232cid
Jeep J-2600 1968-1970 5.3L V8 327cid
Jeep J-2600 1969-1970 5.7L V8 350cid
Jeep J-2600 1970-1973 5.9L V8 360cid
Jeep J-2600 1972 5L V8 304cid
Jeep J-2600 1972-1973 4.2L L6 258cid
Jeep J-2700 1968 5.4L V8 327cid
Jeep J-2700 1968-1970 3.8L L6 232cid
Jeep J-2700 1968-1970 5.3L V8 327cid
Jeep J-2700 1969-1970 5.7L V8 350cid
Jeep J-2800 1968 3.8L L6 232cid
Jeep J-2800 1968 5.3L V8 327cid
Jeep J-2800 1968 5.4L V8 327cid
Jeep J-3500 1968 5.4L V8 327cid
Jeep J-3500 1968-1970 3.8L L6 232cid
Jeep J-3500 1968-1970 5.3L V8 327cid
Jeep J-3500 1969-1970 5.7L V8 350cid
Jeep J-3600 1968 5.4L V8 327cid
Jeep J-3600 1968-1970 3.8L L6 232cid
Jeep J-3600 1968-1970 5.3L V8 327cid
Jeep J-3600 1969-1970 5.7L V8 350cid
Jeep J-3700 1968 5.4L V8 327cid
Jeep J-3700 1968-1970 3.8L L6 232cid
Jeep J-3700 1968-1970 5.3L V8 327cid
Jeep J-3700 1969-1970 5.7L V8 350cid
Jeep J-3800 1968 5.4L V8 327cid
Jeep J-3800 1968-1970 3.8L L6 232cid
Jeep J-3800 1968-1970 5.3L V8 327cid
Jeep J-3800 1969-1970 5.7L V8 350cid
Jeep J-3800 1970 5.9L V8 360cid
Jeep J10 1974-1978 4.2L L6 258cid
Jeep J10 1974-1978 5.9L V8 360cid
Jeep J10 1974-1978 6.6L V8 401cid
Jeep J10 1975-1978 4.6L L6 282cid
Jeep J20 1974-1976 4.2L L6 258cid
Jeep J20 1974-1978 5.9L V8 360cid
Jeep J20 1974-1978 6.6L V8 401cid
Jeep Jeepster 1966-1971 2.2L L4 134cid
Jeep Jeepster 1966-1971 3.7L V6 225cid
Jeep Wagoneer 1963-1967 3.8L L6 230cid
Jeep Wagoneer 1965-1968 5.3L V8 327cid
Jeep Wagoneer 1965-1971 3.8L L6 232cid
Jeep Wagoneer 1968-1971 5.7L V8 350cid
Jeep Wagoneer 1972 5L V8 304cid
Jeep Wagoneer 1972-1973 4.2L L6 258cid
Jeep Wagoneer 1972-1978 5.9L V8 360cid
Jeep Wagoneer 1974-1978 6.6L V8 401cid
Jeep Wagoneer 1975-1978 4.6L L6 282cid</t>
        </is>
      </c>
      <c r="I130" t="inlineStr">
        <is>
          <t>{"0": {"productDeskExternalKey": "CPCX|40-154"}, "1": {"Package Contents": "Wiper Motor; Instruction Sheet"}, "2": {"E-Waste": "Yes"}, "3": {"Product Condition": "Remanufactured"}, "4": {"Mounting Hole Quantity": "3"}, "5": {"Terminal Type": "Blade"}, "6": {"Mounting Type": "Grommet"}, "7": {"Weight PG": "4.5700"}, "8": {"Washer Pump Included": "No"}, "9": {"Part Type": "Windshield Wiper Motor"}, "10": {"Warranty Info": "1 Year/18,000 Mile"}, "11": {"Sustainable Choice": "Yes"}, "12": {"Lifecycle Status": "Available to Order"}, "13": {"ItemLevelGTIN": "00082617039758"}, "14": {"_addonCardone": "40-154::98271:101062:306"}, "15": {"Eligible for R&amp;R Service": "Yes"}}</t>
        </is>
      </c>
      <c r="J130" t="inlineStr">
        <is>
          <t>https://www.cardone.com/product/windshield-wiper-motor-40-154</t>
        </is>
      </c>
      <c r="K130">
        <f>DISPIMG("ID_F177FA292BB144359E8741A867CBCD6C",1)</f>
        <v/>
      </c>
      <c r="L130" t="inlineStr">
        <is>
          <t>CPCX|40-154</t>
        </is>
      </c>
      <c r="M130" t="inlineStr">
        <is>
          <t>Wiper Motor; Instruction Sheet</t>
        </is>
      </c>
      <c r="N130" t="inlineStr">
        <is>
          <t>Yes</t>
        </is>
      </c>
      <c r="O130" t="inlineStr">
        <is>
          <t>Remanufactured</t>
        </is>
      </c>
      <c r="P130" t="inlineStr">
        <is>
          <t>3</t>
        </is>
      </c>
      <c r="Q130" t="inlineStr">
        <is>
          <t>Blade</t>
        </is>
      </c>
      <c r="R130" t="inlineStr">
        <is>
          <t>Grommet</t>
        </is>
      </c>
      <c r="S130" t="inlineStr">
        <is>
          <t>4.5700</t>
        </is>
      </c>
      <c r="T130" t="inlineStr">
        <is>
          <t>No</t>
        </is>
      </c>
      <c r="U130" t="inlineStr">
        <is>
          <t>1 Year/18,000 Mile</t>
        </is>
      </c>
      <c r="V130" t="inlineStr">
        <is>
          <t>Yes</t>
        </is>
      </c>
      <c r="W130" t="inlineStr">
        <is>
          <t>Available to Order</t>
        </is>
      </c>
      <c r="X130" t="inlineStr"/>
      <c r="Y130" t="inlineStr">
        <is>
          <t>00082617039758</t>
        </is>
      </c>
      <c r="Z130" t="inlineStr">
        <is>
          <t>40-154::98271:101062:306</t>
        </is>
      </c>
      <c r="AA130" t="inlineStr">
        <is>
          <t>Yes</t>
        </is>
      </c>
      <c r="AB130" t="inlineStr"/>
      <c r="AC130" t="inlineStr"/>
    </row>
    <row r="131">
      <c r="A131" t="inlineStr">
        <is>
          <t>130</t>
        </is>
      </c>
      <c r="B131" t="inlineStr">
        <is>
          <t>Windshield Wiper Motor</t>
        </is>
      </c>
      <c r="C131" t="inlineStr">
        <is>
          <t>40-155</t>
        </is>
      </c>
      <c r="D131" t="inlineStr">
        <is>
          <t>Windshield Wiper Motor - 40-155</t>
        </is>
      </c>
      <c r="E131" t="inlineStr">
        <is>
          <t>CARDONE Reman</t>
        </is>
      </c>
      <c r="F131" t="inlineStr"/>
      <c r="G131" t="inlineStr">
        <is>
          <t>Chevrolet Blazer 1969-1972
Chevrolet C10 Panel 1963-1967
Chevrolet C10 Pickup 1963-1972
Chevrolet C10 Suburban 1967-1972
Chevrolet C20 Panel 1967
Chevrolet C20 Pickup 1963-1972
Chevrolet C20 Suburban 1967-1972
Chevrolet C30 Pickup 1963-1972
Chevrolet G10 Van 1964-1969
Chevrolet G20 Van 1967-1969
Chevrolet K10 Pickup 1963-1972
Chevrolet K10 Suburban 1967-1972
Chevrolet K20 Panel 1967
Chevrolet K20 Pickup 1963-1972
Chevrolet K20 Suburban 1967-1972
Chevrolet K30 Pickup 1968-1972
Chevrolet P10 Series 1963-1967
Chevrolet P10 Van 1967-1972
Chevrolet P20 Series 1963-1967
Chevrolet P20 Van 1968-1972
Chevrolet P30 Series 1963-1967
Chevrolet P30 Van 1968-1972
Chevrolet Suburban 1963-1966
GMC 1000 Series 1963-1965
GMC 1500 Series 1963-1965
GMC 2500 Series 1963
GMC C15/C1500 Pickup 1967-1972
GMC C15/C1500 Suburban 1967-1972
GMC C25/C2500 Pickup 1967-1972
GMC C25/C2500 Suburban 1967-1972
GMC C35/C3500 Pickup 1967-1972
GMC G1000 Series 1964-1966
GMC G15/G1500 Van 1967-1969
GMC G25/G2500 Van 1967-1969
GMC I1500 1966
GMC I2500 1966
GMC Jimmy 1970-1972
GMC K15/K1500 Pickup 1966-1972
GMC K15/K1500 Suburban 1967-1972
GMC K25/K2500 Pickup 1967-1972
GMC K25/K2500 Suburban 1967-1972
GMC K35/K3500 Pickup 1968-1972
GMC P15/P1500 Van 1967-1972
GMC P25/P2500 Van 1967-1972
GMC P35/P3500 Van 1967-1972
GMC PB1000 Series 1963-1965
GMC PB15 Series 1966
GMC PB25 Series 1966
GMC PB2500 Series 1963
GMC Suburban 1963-1966
Jeep Cherokee 1974-1978
Jeep Commando 1968-1973
Jeep J-100 1963-1971
Jeep J-2500 1965-1973
Jeep J-2600 1968-1973
Jeep J-2700 1968-1970
Jeep J-2800 1968
Jeep J-3500 1968-1970
Jeep J-3600 1968-1970
Jeep J-3700 1968-1970
Jeep J-3800 1968-1970
Jeep J10 1974-1978
Jeep J20 1974-1978
Jeep Jeepster 1966-1971
Jeep Wagoneer 1963-1978</t>
        </is>
      </c>
      <c r="H131" t="inlineStr">
        <is>
          <t>Chevrolet Blazer 1969-1972 4.1L L6 250cid
Chevrolet Blazer 1969-1972 4.8L L6 292cid
Chevrolet Blazer 1969-1972 5.7L V8 350cid
Chevrolet Blazer 1969-1972 5L V8 307cid
Chevrolet C10 Panel 1963-1965 3.8L L6 230cid
Chevrolet C10 Panel 1966-1967 4.1L L6 250cid
Chevrolet C10 Pickup 1963-1967 4.6L V8 283cid
Chevrolet C10 Pickup 1963-1969 3.8L L6 230cid
Chevrolet C10 Pickup 1963-1972 4.8L L6 292cid
Chevrolet C10 Pickup 1966-1969 5.3L V8 327cid
Chevrolet C10 Pickup 1966-1972 4.1L L6 250cid
Chevrolet C10 Pickup 1968 5.4L V8 327cid
Chevrolet C10 Pickup 1968-1969 6.5L V8 396cid
Chevrolet C10 Pickup 1968-1972 5L V8 307cid
Chevrolet C10 Pickup 1969-1972 5.7L V8 350cid
Chevrolet C10 Pickup 1970-1972 6.6L V8 402cid
Chevrolet C10 Suburban 1967 4.6L V8 283cid
Chevrolet C10 Suburban 1967-1969 5.3L V8 327cid
Chevrolet C10 Suburban 1967-1972 4.1L L6 250cid
Chevrolet C10 Suburban 1967-1972 4.8L L6 292cid
Chevrolet C10 Suburban 1968 5.4L V8 327cid
Chevrolet C10 Suburban 1968-1969 6.5L V8 396cid
Chevrolet C10 Suburban 1968-1972 5L V8 307cid
Chevrolet C10 Suburban 1969-1972 5.7L V8 350cid
Chevrolet C10 Suburban 1970-1972 6.6L V8 402cid
Chevrolet C20 Panel 1967 4.1L L6 250cid
Chevrolet C20 Pickup 1963-1965 3.8L L6 230cid
Chevrolet C20 Pickup 1963-1967 4.6L V8 283cid
Chevrolet C20 Pickup 1963-1972 4.8L L6 292cid
Chevrolet C20 Pickup 1966-1969 5.3L V8 327cid
Chevrolet C20 Pickup 1966-1972 4.1L L6 250cid
Chevrolet C20 Pickup 1968 5.4L V8 327cid
Chevrolet C20 Pickup 1968-1969 6.5L V8 396cid
Chevrolet C20 Pickup 1968-1972 5L V8 307cid
Chevrolet C20 Pickup 1969-1972 5.7L V8 350cid
Chevrolet C20 Pickup 1970-1972 6.6L V8 402cid
Chevrolet C20 Suburban 1967 4.6L V8 283cid
Chevrolet C20 Suburban 1967-1969 5.3L V8 327cid
Chevrolet C20 Suburban 1967-1972 4.1L L6 250cid
Chevrolet C20 Suburban 1967-1972 4.8L L6 292cid
Chevrolet C20 Suburban 1968-1969 6.5L V8 396cid
Chevrolet C20 Suburban 1968-1972 5L V8 307cid
Chevrolet C20 Suburban 1969-1972 5.7L V8 350cid
Chevrolet C20 Suburban 1970-1972 6.6L V8 402cid
Chevrolet C30 Pickup 1963-1965 3.8L L6 230cid
Chevrolet C30 Pickup 1963-1967 4.6L V8 283cid
Chevrolet C30 Pickup 1963-1972 4.8L L6 292cid
Chevrolet C30 Pickup 1966-1969 5.3L V8 327cid
Chevrolet C30 Pickup 1966-1972 4.1L L6 250cid
Chevrolet C30 Pickup 1968 5.4L V8 327cid
Chevrolet C30 Pickup 1968-1969 6.5L V8 396cid
Chevrolet C30 Pickup 1968-1972 5L V8 307cid
Chevrolet C30 Pickup 1969-1972 5.7L V8 350cid
Chevrolet C30 Pickup 1970-1972 6.6L V8 402cid
Chevrolet G10 Van 1964-1965 2.5L L4 153cid
Chevrolet G10 Van 1964-1966 3.2L L6 194cid
Chevrolet G10 Van 1966-1969 3.8L L6 230cid
Chevrolet G10 Van 1967-1969 4.1L L6 250cid
Chevrolet G10 Van 1968-1969 5L V8 307cid
Chevrolet G20 Van 1967 4.6L V8 283cid
Chevrolet G20 Van 1967-1969 3.8L L6 230cid
Chevrolet G20 Van 1967-1969 4.1L L6 250cid
Chevrolet G20 Van 1968-1969 5L V8 307cid
Chevrolet K10 Pickup 1963-1967 4.6L V8 283cid
Chevrolet K10 Pickup 1963-1969 3.8L L6 230cid
Chevrolet K10 Pickup 1963-1972 4.8L L6 292cid
Chevrolet K10 Pickup 1966-1969 5.3L V8 327cid
Chevrolet K10 Pickup 1966-1972 4.1L L6 250cid
Chevrolet K10 Pickup 1968 5.4L V8 327cid
Chevrolet K10 Pickup 1968-1969 6.5L V8 396cid
Chevrolet K10 Pickup 1968-1972 5L V8 307cid
Chevrolet K10 Pickup 1969-1972 5.7L V8 350cid
Chevrolet K10 Pickup 1970-1972 6.6L V8 402cid
Chevrolet K10 Suburban 1967 4.6L V8 283cid
Chevrolet K10 Suburban 1967-1969 5.3L V8 327cid
Chevrolet K10 Suburban 1967-1970 4.8L L6 292cid
Chevrolet K10 Suburban 1967-1972 4.1L L6 250cid
Chevrolet K10 Suburban 1968 5.4L V8 327cid
Chevrolet K10 Suburban 1968-1969 6.5L V8 396cid
Chevrolet K10 Suburban 1968-1972 5L V8 307cid
Chevrolet K10 Suburban 1969-1972 5.7L V8 350cid
Chevrolet K10 Suburban 1970-1972 6.6L V8 402cid
Chevrolet K20 Panel 1967 4.1L L6 250cid
Chevrolet K20 Panel 1967 4.6L V8 283cid
Chevrolet K20 Panel 1967 5.4L V8 327cid
Chevrolet K20 Pickup 1963 3.8L L6 235cid
Chevrolet K20 Pickup 1963-1965 3.8L L6 230cid
Chevrolet K20 Pickup 1963-1967 4.6L V8 283cid
Chevrolet K20 Pickup 1963-1972 4.8L L6 292cid
Chevrolet K20 Pickup 1966-1969 5.3L V8 327cid
Chevrolet K20 Pickup 1966-1972 4.1L L6 250cid
Chevrolet K20 Pickup 1968 5.4L V8 327cid
Chevrolet K20 Pickup 1968-1969 6.5L V8 396cid
Chevrolet K20 Pickup 1968-1972 5L V8 307cid
Chevrolet K20 Pickup 1969-1972 5.7L V8 350cid
Chevrolet K20 Pickup 1970-1972 6.6L V8 402cid
Chevrolet K20 Suburban 1967 4.6L V8 283cid
Chevrolet K20 Suburban 1967-1969 5.3L V8 327cid
Chevrolet K20 Suburban 1967-1972 4.1L L6 250cid
Chevrolet K20 Suburban 1967-1972 4.8L L6 292cid
Chevrolet K20 Suburban 1968 5.4L V8 327cid
Chevrolet K20 Suburban 1968-1969 6.5L V8 396cid
Chevrolet K20 Suburban 1968-1972 5L V8 307cid
Chevrolet K20 Suburban 1969-1972 5.7L V8 350cid
Chevrolet K20 Suburban 1970-1972 6.6L V8 402cid
Chevrolet K30 Pickup 1968 5.4L V8 327cid
Chevrolet K30 Pickup 1968-1969 5.3L V8 327cid
Chevrolet K30 Pickup 1968-1969 6.5L V8 396cid
Chevrolet K30 Pickup 1968-1972 4.1L L6 250cid
Chevrolet K30 Pickup 1968-1972 4.8L L6 292cid
Chevrolet K30 Pickup 1968-1972 5L V8 307cid
Chevrolet K30 Pickup 1969-1972 5.7L V8 350cid
Chevrolet K30 Pickup 1970-1972 6.6L V8 402cid
Chevrolet P10 Series 1963-1965 2.5L L4 153cid
Chevrolet P10 Series 1963-1967 3.8L L6 230cid
Chevrolet P10 Series 1966 3.2L L6 194cid
Chevrolet P10 Series 1966-1967 4.1L L6 250cid
Chevrolet P10 Series 1967 4.8L L6 292cid
Chevrolet P10 Van 1967
Chevrolet P10 Van 1968-1969 3.8L L6 230cid
Chevrolet P10 Van 1968-1972 4.1L L6 250cid
Chevrolet P20 Series 1963-1965 3.8L L6 230cid
Chevrolet P20 Series 1963-1967 4.8L L6 292cid
Chevrolet P20 Series 1966-1967 2.6L L3 159cid
Chevrolet P20 Series 1966-1967 4.1L L6 250cid
Chevrolet P20 Van 1968-1969 5L V8 307cid
Chevrolet P20 Van 1968-1972 4.8L L6 292cid
Chevrolet P20 Van 1970-1971 7.4L V8 454cid
Chevrolet P20 Van 1970-1972 4.1L L6 250cid
Chevrolet P20 Van 1970-1972 5.7L V8 350cid
Chevrolet P30 Series 1963-1965 3.8L L6 230cid
Chevrolet P30 Series 1963-1965 5.7L V8 348cid
Chevrolet P30 Series 1963-1965 6.7L V8 409cid
Chevrolet P30 Series 1963-1967 4.8L L6 292cid
Chevrolet P30 Series 1965-1967 2.6L L3 159cid
Chevrolet P30 Series 1966-1967 4.1L L6 250cid
Chevrolet P30 Van 1968-1969 5L V8 307cid
Chevrolet P30 Van 1968-1970 2.6L L3 159cid
Chevrolet P30 Van 1968-1972 4.8L L6 292cid
Chevrolet P30 Van 1970-1971 7.4L V8 454cid
Chevrolet P30 Van 1970-1972 4.1L L6 250cid
Chevrolet P30 Van 1970-1972 5.7L V8 350cid
Chevrolet P30 Van 1972 6.6L V8 402cid
Chevrolet Suburban 1963-1966 3.8L L6 230cid
Chevrolet Suburban 1963-1966 4.6L V8 283cid
Chevrolet Suburban 1963-1966 4.8L L6 292cid
Chevrolet Suburban 1966 4.1L L6 250cid
Chevrolet Suburban 1966 5.3L V8 327cid
GMC 1000 Series 1963 4.6L V8 283cid
GMC 1000 Series 1963-1965 3.8L L6 230cid
GMC 1000 Series 1963-1965 4.8L L6 292cid
GMC 1000 Series 1963-1965 5L V6 305cid
GMC 1000 Series 1965 5.7L V6 351cid
GMC 1500 Series 1963 4.6L V8 283cid
GMC 1500 Series 1963-1965 3.8L L6 230cid
GMC 1500 Series 1963-1965 4.8L L6 292cid
GMC 1500 Series 1963-1965 5L V6 305cid
GMC 1500 Series 1965 5.7L V6 351cid
GMC 2500 Series 1963 3.8L L6 230cid
GMC 2500 Series 1963 4.6L V8 283cid
GMC 2500 Series 1963 4.8L L6 292cid
GMC 2500 Series 1963 5L V6 305cid
GMC C15/C1500 Pickup 1967 4.6L V8 283cid
GMC C15/C1500 Pickup 1967-1968 5.3L V8 327cid
GMC C15/C1500 Pickup 1967-1968 5.7L V6 351cid
GMC C15/C1500 Pickup 1967-1969 3.8L L6 230cid
GMC C15/C1500 Pickup 1967-1969 5L V6 305cid
GMC C15/C1500 Pickup 1967-1972 4.1L L6 250cid
GMC C15/C1500 Pickup 1967-1972 4.8L L6 292cid
GMC C15/C1500 Pickup 1968 5.4L V8 327cid
GMC C15/C1500 Pickup 1968-1969 6.5L V8 396cid
GMC C15/C1500 Pickup 1968-1972 5L V8 307cid
GMC C15/C1500 Pickup 1969-1972 5.7L V8 350cid
GMC C15/C1500 Pickup 1970-1972 6.6L V8 402cid
GMC C15/C1500 Suburban 1967 4.6L V8 283cid
GMC C15/C1500 Suburban 1967-1968 5.3L V8 327cid
GMC C15/C1500 Suburban 1967-1968 5.7L V6 351cid
GMC C15/C1500 Suburban 1967-1969 5L V6 305cid
GMC C15/C1500 Suburban 1967-1972 4.1L L6 250cid
GMC C15/C1500 Suburban 1967-1972 4.8L L6 292cid
GMC C15/C1500 Suburban 1968 5.4L V8 327cid
GMC C15/C1500 Suburban 1968-1969 6.5L V8 396cid
GMC C15/C1500 Suburban 1968-1972 5L V8 307cid
GMC C15/C1500 Suburban 1969-1972 5.7L V8 350cid
GMC C15/C1500 Suburban 1970-1972 6.6L V8 402cid
GMC C25/C2500 Pickup 1967 4.6L V8 283cid
GMC C25/C2500 Pickup 1967-1968 5.3L V8 327cid
GMC C25/C2500 Pickup 1967-1968 5.7L V6 351cid
GMC C25/C2500 Pickup 1967-1969 5L V6 305cid
GMC C25/C2500 Pickup 1967-1972 4.1L L6 250cid
GMC C25/C2500 Pickup 1967-1972 4.8L L6 292cid
GMC C25/C2500 Pickup 1968 5.4L V8 327cid
GMC C25/C2500 Pickup 1968-1969 6.5L V8 396cid
GMC C25/C2500 Pickup 1968-1972 5L V8 307cid
GMC C25/C2500 Pickup 1969-1972 5.7L V8 350cid
GMC C25/C2500 Pickup 1970-1972 6.6L V8 402cid
GMC C25/C2500 Suburban 1967 4.6L V8 283cid
GMC C25/C2500 Suburban 1967-1968 5.3L V8 327cid
GMC C25/C2500 Suburban 1967-1968 5.7L V6 351cid
GMC C25/C2500 Suburban 1967-1969 5L V6 305cid
GMC C25/C2500 Suburban 1967-1972 4.1L L6 250cid
GMC C25/C2500 Suburban 1967-1972 4.8L L6 292cid
GMC C25/C2500 Suburban 1968 5.4L V8 327cid
GMC C25/C2500 Suburban 1968-1969 6.5L V8 396cid
GMC C25/C2500 Suburban 1968-1972 5L V8 307cid
GMC C25/C2500 Suburban 1969-1972 5.7L V8 350cid
GMC C25/C2500 Suburban 1970-1972 6.6L V8 402cid
GMC C35/C3500 Pickup 1967 4.6L V8 283cid
GMC C35/C3500 Pickup 1967-1968 5.3L V8 327cid
GMC C35/C3500 Pickup 1967-1968 5.7L V6 351cid
GMC C35/C3500 Pickup 1967-1969 5L V6 305cid
GMC C35/C3500 Pickup 1967-1972 4.1L L6 250cid
GMC C35/C3500 Pickup 1967-1972 4.8L L6 292cid
GMC C35/C3500 Pickup 1968 5.4L V8 327cid
GMC C35/C3500 Pickup 1968-1969 6.5L V8 396cid
GMC C35/C3500 Pickup 1968-1972 5L V8 307cid
GMC C35/C3500 Pickup 1969-1972 5.7L V8 350cid
GMC C35/C3500 Pickup 1970-1972 6.6L V8 402cid
GMC G1000 Series 1964-1966 2.5L L4 153cid
GMC G1000 Series 1964-1966 3.2L L6 194cid
GMC G1000 Series 1964-1966 3.8L L6 230cid
GMC G15/G1500 Van 1967 4.6L V8 283cid
GMC G15/G1500 Van 1967 5.4L V8 327cid
GMC G15/G1500 Van 1967-1969 3.8L L6 230cid
GMC G15/G1500 Van 1967-1969 4.1L L6 250cid
GMC G15/G1500 Van 1968-1969 5L V8 307cid
GMC G25/G2500 Van 1967 4.6L V8 283cid
GMC G25/G2500 Van 1967 5.4L V8 327cid
GMC G25/G2500 Van 1967-1969 3.8L L6 230cid
GMC G25/G2500 Van 1967-1969 4.1L L6 250cid
GMC G25/G2500 Van 1968-1969 5L V8 307cid
GMC I1500 1966 4.1L L6 250cid
GMC I2500 1966 4.1L L6 250cid
GMC Jimmy 1970-1972 4.1L L6 250cid
GMC Jimmy 1970-1972 4.8L L6 292cid
GMC Jimmy 1970-1972 5.7L V8 350cid
GMC Jimmy 1970-1972 5L V8 307cid
GMC K15/K1500 Pickup 1966-1968 5.7L V6 351cid
GMC K15/K1500 Pickup 1966-1969 5L V6 305cid
GMC K15/K1500 Pickup 1967 4.6L V8 283cid
GMC K15/K1500 Pickup 1967-1968 5.3L V8 327cid
GMC K15/K1500 Pickup 1967-1969 3.8L L6 230cid
GMC K15/K1500 Pickup 1967-1972 4.1L L6 250cid
GMC K15/K1500 Pickup 1967-1972 4.8L L6 292cid
GMC K15/K1500 Pickup 1968 5.4L V8 327cid
GMC K15/K1500 Pickup 1968-1969 6.5L V8 396cid
GMC K15/K1500 Pickup 1968-1972 5L V8 307cid
GMC K15/K1500 Pickup 1969-1972 5.7L V8 350cid
GMC K15/K1500 Pickup 1970-1972 6.6L V8 402cid
GMC K15/K1500 Suburban 1967 4.6L V8 283cid
GMC K15/K1500 Suburban 1967-1968 5.3L V8 327cid
GMC K15/K1500 Suburban 1967-1968 5.7L V6 351cid
GMC K15/K1500 Suburban 1967-1969 5L V6 305cid
GMC K15/K1500 Suburban 1967-1971 4.8L L6 292cid
GMC K15/K1500 Suburban 1967-1972 4.1L L6 250cid
GMC K15/K1500 Suburban 1968 5.4L V8 327cid
GMC K15/K1500 Suburban 1968-1969 6.5L V8 396cid
GMC K15/K1500 Suburban 1968-1972 5L V8 307cid
GMC K15/K1500 Suburban 1969-1972 5.7L V8 350cid
GMC K15/K1500 Suburban 1970-1972 6.6L V8 402cid
GMC K25/K2500 Pickup 1967 4.6L V8 283cid
GMC K25/K2500 Pickup 1967-1968 5.3L V8 327cid
GMC K25/K2500 Pickup 1967-1968 5.7L V6 351cid
GMC K25/K2500 Pickup 1967-1969 5L V6 305cid
GMC K25/K2500 Pickup 1967-1972 4.1L L6 250cid
GMC K25/K2500 Pickup 1967-1972 4.8L L6 292cid
GMC K25/K2500 Pickup 1968 5.4L V8 327cid
GMC K25/K2500 Pickup 1968-1969 6.5L V8 396cid
GMC K25/K2500 Pickup 1968-1972 5L V8 307cid
GMC K25/K2500 Pickup 1969-1972 5.7L V8 350cid
GMC K25/K2500 Pickup 1970-1972 6.6L V8 402cid
GMC K25/K2500 Suburban 1967 4.6L V8 283cid
GMC K25/K2500 Suburban 1967-1968 5.3L V8 327cid
GMC K25/K2500 Suburban 1967-1968 5.7L V6 351cid
GMC K25/K2500 Suburban 1967-1969 5L V6 305cid
GMC K25/K2500 Suburban 1967-1972 4.1L L6 250cid
GMC K25/K2500 Suburban 1967-1972 4.8L L6 292cid
GMC K25/K2500 Suburban 1968 5.4L V8 327cid
GMC K25/K2500 Suburban 1968-1969 6.5L V8 396cid
GMC K25/K2500 Suburban 1968-1972 5L V8 307cid
GMC K25/K2500 Suburban 1969-1972 5.7L V8 350cid
GMC K25/K2500 Suburban 1970-1972 6.6L V8 402cid
GMC K35/K3500 Pickup 1968 5.3L V8 327cid
GMC K35/K3500 Pickup 1968 5.4L V8 327cid
GMC K35/K3500 Pickup 1968 5.7L V6 351cid
GMC K35/K3500 Pickup 1968-1969 5L V6 305cid
GMC K35/K3500 Pickup 1968-1969 6.5L V8 396cid
GMC K35/K3500 Pickup 1968-1972 4.1L L6 250cid
GMC K35/K3500 Pickup 1968-1972 4.8L L6 292cid
GMC K35/K3500 Pickup 1968-1972 5L V8 307cid
GMC K35/K3500 Pickup 1969-1972 5.7L V8 350cid
GMC K35/K3500 Pickup 1970-1972 6.6L V8 402cid
GMC P15/P1500 Van 1967 4.6L V8 283cid
GMC P15/P1500 Van 1967 4.8L L6 292cid
GMC P15/P1500 Van 1967-1969 3.8L L6 230cid
GMC P15/P1500 Van 1968-1972 4.1L L6 250cid
GMC P15/P1500 Van 1970-1972 5L V8 307cid
GMC P15/P1500 Van 1971-1972 6.6L V8 400cid
GMC P25/P2500 Van 1967 4.6L V8 283cid
GMC P25/P2500 Van 1967-1969 2.6L L3 159cid
GMC P25/P2500 Van 1967-1972 4.1L L6 250cid
GMC P25/P2500 Van 1967-1972 4.8L L6 292cid
GMC P25/P2500 Van 1968-1972 5L V8 307cid
GMC P25/P2500 Van 1970-1971 7.4L V8 454cid
GMC P25/P2500 Van 1970-1972 5.7L V8 350cid
GMC P25/P2500 Van 1971-1972 6.6L V8 400cid
GMC P35/P3500 Van 1967 4.6L V8 283cid
GMC P35/P3500 Van 1967-1969 2.6L L3 159cid
GMC P35/P3500 Van 1967-1972 4.1L L6 250cid
GMC P35/P3500 Van 1967-1972 4.8L L6 292cid
GMC P35/P3500 Van 1968-1972 5L V8 307cid
GMC P35/P3500 Van 1970-1971 7.4L V8 454cid
GMC P35/P3500 Van 1970-1972 5.7L V8 350cid
GMC P35/P3500 Van 1971-1972 6.6L V8 400cid
GMC PB1000 Series 1963-1965 2.5L L4 153cid
GMC PB1000 Series 1963-1965 3.8L L6 230cid
GMC PB15 Series 1966 4.1L L6 250cid
GMC PB15 Series 1966 4.8L L6 292cid
GMC PB25 Series 1966 4.1L L6 250cid
GMC PB25 Series 1966 4.8L L6 292cid
GMC PB2500 Series 1963 3.8L L6 230cid
GMC Suburban 1963-1965 4.6L V8 283cid
GMC Suburban 1963-1966 2.5L L4 153cid
GMC Suburban 1963-1966 3.8L L6 230cid
GMC Suburban 1963-1966 4.8L L6 292cid
GMC Suburban 1963-1966 5L V6 305cid
GMC Suburban 1965-1966 5.7L V6 351cid
GMC Suburban 1966 4.1L L6 250cid
Jeep Cherokee 1974-1978 4.2L L6 258cid
Jeep Cherokee 1974-1978 5.9L V8 360cid
Jeep Cherokee 1974-1978 6.6L V8 401cid
Jeep Commando 1968-1971 3.7L V6 225cid
Jeep Commando 1968-1973 2.2L L4 134cid
Jeep Commando 1972-1973 3.8L L6 232cid
Jeep Commando 1972-1973 4.2L L6 258cid
Jeep Commando 1972-1973 5L V8 304cid
Jeep J-100 1963-1967
Jeep J-100 1963-1967 3.8L L6 230cid
Jeep J-100 1965-1968 5.3L V8 327cid
Jeep J-100 1965-1971 3.8L L6 232cid
Jeep J-100 1968 5.4L V8 327cid
Jeep J-100 1968-1971 5.7L V8 350cid
Jeep J-100 1971 4.2L L6 258cid
Jeep J-100 1971 5.9L V8 360cid
Jeep J-100 1971 5L V8 304cid
Jeep J-2500 1965-1967
Jeep J-2500 1965-1967 3.8L L6 230cid
Jeep J-2500 1965-1970 5.3L V8 327cid
Jeep J-2500 1965-1971 3.8L L6 232cid
Jeep J-2500 1968 5.4L V8 327cid
Jeep J-2500 1969-1971 5.7L V8 350cid
Jeep J-2500 1970-1973 5.9L V8 360cid
Jeep J-2500 1971-1972 5L V8 304cid
Jeep J-2500 1971-1973 4.2L L6 258cid
Jeep J-2600 1968 5.4L V8 327cid
Jeep J-2600 1968-1970 3.8L L6 232cid
Jeep J-2600 1968-1970 5.3L V8 327cid
Jeep J-2600 1969-1970 5.7L V8 350cid
Jeep J-2600 1970-1973 5.9L V8 360cid
Jeep J-2600 1972 5L V8 304cid
Jeep J-2600 1972-1973 4.2L L6 258cid
Jeep J-2700 1968 5.4L V8 327cid
Jeep J-2700 1968-1970 3.8L L6 232cid
Jeep J-2700 1968-1970 5.3L V8 327cid
Jeep J-2700 1969-1970 5.7L V8 350cid
Jeep J-2800 1968 3.8L L6 232cid
Jeep J-2800 1968 5.3L V8 327cid
Jeep J-2800 1968 5.4L V8 327cid
Jeep J-3500 1968 5.4L V8 327cid
Jeep J-3500 1968-1970 3.8L L6 232cid
Jeep J-3500 1968-1970 5.3L V8 327cid
Jeep J-3500 1969-1970 5.7L V8 350cid
Jeep J-3600 1968 5.4L V8 327cid
Jeep J-3600 1968-1970 3.8L L6 232cid
Jeep J-3600 1968-1970 5.3L V8 327cid
Jeep J-3600 1969-1970 5.7L V8 350cid
Jeep J-3700 1968 5.4L V8 327cid
Jeep J-3700 1968-1970 3.8L L6 232cid
Jeep J-3700 1968-1970 5.3L V8 327cid
Jeep J-3700 1969-1970 5.7L V8 350cid
Jeep J-3800 1968 5.4L V8 327cid
Jeep J-3800 1968-1970 3.8L L6 232cid
Jeep J-3800 1968-1970 5.3L V8 327cid
Jeep J-3800 1969-1970 5.7L V8 350cid
Jeep J-3800 1970 5.9L V8 360cid
Jeep J10 1974-1978 4.2L L6 258cid
Jeep J10 1974-1978 5.9L V8 360cid
Jeep J10 1974-1978 6.6L V8 401cid
Jeep J10 1975-1978 4.6L L6 282cid
Jeep J20 1974-1976 4.2L L6 258cid
Jeep J20 1974-1978 5.9L V8 360cid
Jeep J20 1974-1978 6.6L V8 401cid
Jeep Jeepster 1966-1971 2.2L L4 134cid
Jeep Jeepster 1966-1971 3.7L V6 225cid
Jeep Wagoneer 1963-1967 3.8L L6 230cid
Jeep Wagoneer 1965-1968 5.3L V8 327cid
Jeep Wagoneer 1965-1971 3.8L L6 232cid
Jeep Wagoneer 1968-1971 5.7L V8 350cid
Jeep Wagoneer 1972 5L V8 304cid
Jeep Wagoneer 1972-1973 4.2L L6 258cid
Jeep Wagoneer 1972-1978 5.9L V8 360cid
Jeep Wagoneer 1974-1978 6.6L V8 401cid
Jeep Wagoneer 1975-1978 4.6L L6 282cid</t>
        </is>
      </c>
      <c r="I131" t="inlineStr">
        <is>
          <t>{"0": {"productDeskExternalKey": "CPCX|40-155"}, "1": {"Package Contents": "Wiper Motor; Instruction Sheet"}, "2": {"E-Waste": "Yes"}, "3": {"Product Condition": "Remanufactured"}, "4": {"Mounting Hole Quantity": "3"}, "5": {"Terminal Type": "Blade"}, "6": {"Mounting Type": "Grommet"}, "7": {"Weight PG": "4.5300"}, "8": {"Washer Pump Included": "No"}, "9": {"Part Type": "Windshield Wiper Motor"}, "10": {"Warranty Info": "1 Year/18,000 Mile"}, "11": {"Sustainable Choice": "Yes"}, "12": {"Lifecycle Status": "Available to Order"}, "13": {"ItemLevelGTIN": "00082617039765"}, "14": {"_addonCardone": "40-155::98271:101065:306"}, "15": {"Eligible for R&amp;R Service": "Yes"}}</t>
        </is>
      </c>
      <c r="J131" t="inlineStr">
        <is>
          <t>https://www.cardone.com/product/windshield-wiper-motor-40-155</t>
        </is>
      </c>
      <c r="K131">
        <f>DISPIMG("ID_F14136C5F7B44F8D98AAFB731CC10DAF",1)</f>
        <v/>
      </c>
      <c r="L131" t="inlineStr">
        <is>
          <t>CPCX|40-155</t>
        </is>
      </c>
      <c r="M131" t="inlineStr">
        <is>
          <t>Wiper Motor; Instruction Sheet</t>
        </is>
      </c>
      <c r="N131" t="inlineStr">
        <is>
          <t>Yes</t>
        </is>
      </c>
      <c r="O131" t="inlineStr">
        <is>
          <t>Remanufactured</t>
        </is>
      </c>
      <c r="P131" t="inlineStr">
        <is>
          <t>3</t>
        </is>
      </c>
      <c r="Q131" t="inlineStr">
        <is>
          <t>Blade</t>
        </is>
      </c>
      <c r="R131" t="inlineStr">
        <is>
          <t>Grommet</t>
        </is>
      </c>
      <c r="S131" t="inlineStr">
        <is>
          <t>4.5300</t>
        </is>
      </c>
      <c r="T131" t="inlineStr">
        <is>
          <t>No</t>
        </is>
      </c>
      <c r="U131" t="inlineStr">
        <is>
          <t>1 Year/18,000 Mile</t>
        </is>
      </c>
      <c r="V131" t="inlineStr">
        <is>
          <t>Yes</t>
        </is>
      </c>
      <c r="W131" t="inlineStr">
        <is>
          <t>Available to Order</t>
        </is>
      </c>
      <c r="X131" t="inlineStr"/>
      <c r="Y131" t="inlineStr">
        <is>
          <t>00082617039765</t>
        </is>
      </c>
      <c r="Z131" t="inlineStr">
        <is>
          <t>40-155::98271:101065:306</t>
        </is>
      </c>
      <c r="AA131" t="inlineStr">
        <is>
          <t>Yes</t>
        </is>
      </c>
      <c r="AB131" t="inlineStr"/>
      <c r="AC131" t="inlineStr"/>
    </row>
    <row r="132">
      <c r="A132" t="inlineStr">
        <is>
          <t>131</t>
        </is>
      </c>
      <c r="B132" t="inlineStr">
        <is>
          <t>Windshield Wiper Motor</t>
        </is>
      </c>
      <c r="C132" t="inlineStr">
        <is>
          <t>40-156</t>
        </is>
      </c>
      <c r="D132" t="inlineStr">
        <is>
          <t>Windshield Wiper Motor - 40-156</t>
        </is>
      </c>
      <c r="E132" t="inlineStr">
        <is>
          <t>CARDONE Reman</t>
        </is>
      </c>
      <c r="F132" t="inlineStr">
        <is>
          <t>4919202;5044747;9940969</t>
        </is>
      </c>
      <c r="G132" t="inlineStr">
        <is>
          <t>Buick Electra 1968-1973
Buick Estate Wagon 1970-1973
Buick LeSabre 1968-1973
Buick Riviera 1968-1973
Buick Skylark 1968-1972
Buick Special 1968-1969
Chevrolet Chevelle 1971
Chevrolet El Camino 1971
Chevrolet Monte Carlo 1971
GMC Sprint 1971
Oldsmobile 98 1968-1973
Oldsmobile Custom Cruiser 1971-1973
Oldsmobile Cutlass 1968-1972
Oldsmobile Cutlass Supreme 1971-1972
Oldsmobile Delta 88 1968-1973
Oldsmobile F85 1968-1972
Oldsmobile Toronado 1968-1973</t>
        </is>
      </c>
      <c r="H132" t="inlineStr">
        <is>
          <t>Buick Electra 1968-1969 7L V8 430cid
Buick Electra 1970-1973 7.5L V8 455cid
Buick Estate Wagon 1970-1973 5.7L V8 350cid
Buick Estate Wagon 1970-1973 7.5L V8 455cid
Buick LeSabre 1968-1973 5.7L V8 350cid
Buick LeSabre 1970-1973 7.5L V8 455cid
Buick Riviera 1968-1969 7L V8 430cid
Buick Riviera 1970-1973 7.5L V8 455cid
Buick Skylark 1968 6.6L V8 400cid
Buick Skylark 1968-1971 4.1L L6 250cid
Buick Skylark 1968-1972 5.7L V8 350cid
Buick Skylark 1970-1971 7.5L V8 455cid
Buick Special 1968-1969 4.1L L6 250cid
Buick Special 1968-1969 5.7L V8 350cid
Chevrolet Chevelle 1971 4.1L L6 250cid
Chevrolet Chevelle 1971 5.7L V8 350cid
Chevrolet Chevelle 1971 5L V8 307cid
Chevrolet Chevelle 1971 6.6L V8 400cid
Chevrolet Chevelle 1971 6.6L V8 402cid
Chevrolet Chevelle 1971 7.4L V8 454cid
Chevrolet El Camino 1971 4.1L L6 250cid
Chevrolet El Camino 1971 5.7L V8 350cid
Chevrolet El Camino 1971 5L V8 307cid
Chevrolet El Camino 1971 6.6L V8 400cid
Chevrolet El Camino 1971 6.6L V8 402cid
Chevrolet El Camino 1971 7.4L V8 454cid
Chevrolet Monte Carlo 1971 5.7L V8 350cid
Chevrolet Monte Carlo 1971 6.6L V8 400cid
Chevrolet Monte Carlo 1971 6.6L V8 402cid
Chevrolet Monte Carlo 1971 7.4L V8 454cid
GMC Sprint 1971 4.1L L6 250cid
GMC Sprint 1971 5.7L V8 350cid
GMC Sprint 1971 5L V8 307cid
GMC Sprint 1971 6.6L V8 400cid
GMC Sprint 1971 6.6L V8 402cid
GMC Sprint 1971 7.4L V8 454cid
Oldsmobile 98 1968-1973 7.5L V8 455cid
Oldsmobile Custom Cruiser 1971-1973 7.5L V8 455cid
Oldsmobile Cutlass 1968 6.6L V8 400cid
Oldsmobile Cutlass 1968-1971 4.1L L6 250cid
Oldsmobile Cutlass 1968-1972 5.7L V8 350cid
Oldsmobile Cutlass 1970-1972 7.5L V8 455cid
Oldsmobile Cutlass Supreme 1971-1972 5.7L V8 350cid
Oldsmobile Cutlass Supreme 1971-1972 7.5L V8 455cid
Oldsmobile Delta 88 1968-1973 5.7L V8 350cid
Oldsmobile Delta 88 1968-1973 7.5L V8 455cid
Oldsmobile F85 1968-1971 4.1L L6 250cid
Oldsmobile F85 1968-1972 5.7L V8 350cid
Oldsmobile F85 1970-1972 7.5L V8 455cid
Oldsmobile Toronado 1968-1973 7.5L V8 455cid</t>
        </is>
      </c>
      <c r="I132" t="inlineStr">
        <is>
          <t>{"0": {"productDeskExternalKey": "CPCX|40-156"}, "1": {"Package Contents": "Wiper Motor; Instruction Sheet; Nut; Alignment Tool"}, "2": {"E-Waste": "Yes"}, "3": {"Product Condition": "Remanufactured"}, "4": {"Mounting Hole Quantity": "3"}, "5": {"Terminal Type": "Blade"}, "6": {"Mounting Type": "Grommet"}, "7": {"Weight PG": "5.6500"}, "8": {"Washer Pump Included": "No"}, "9": {"Part Type": "Windshield Wiper Motor"}, "10": {"Warranty Info": "1 Year/18,000 Mile"}, "11": {"Sustainable Choice": "Yes"}, "12": {"Lifecycle Status": "Available to Order"}, "13": {"ItemLevelGTIN": "00082617039772"}, "14": {"_addonCardone": "40-156::98271:101071:306"}, "15": {"Eligible for R&amp;R Service": "Yes"}}</t>
        </is>
      </c>
      <c r="J132" t="inlineStr">
        <is>
          <t>https://www.cardone.com/product/windshield-wiper-motor-40-156</t>
        </is>
      </c>
      <c r="K132">
        <f>DISPIMG("ID_515FB64131674E909D8BCFCD09865F2E",1)</f>
        <v/>
      </c>
      <c r="L132" t="inlineStr">
        <is>
          <t>CPCX|40-156</t>
        </is>
      </c>
      <c r="M132" t="inlineStr">
        <is>
          <t>Wiper Motor; Instruction Sheet; Nut; Alignment Tool</t>
        </is>
      </c>
      <c r="N132" t="inlineStr">
        <is>
          <t>Yes</t>
        </is>
      </c>
      <c r="O132" t="inlineStr">
        <is>
          <t>Remanufactured</t>
        </is>
      </c>
      <c r="P132" t="inlineStr">
        <is>
          <t>3</t>
        </is>
      </c>
      <c r="Q132" t="inlineStr">
        <is>
          <t>Blade</t>
        </is>
      </c>
      <c r="R132" t="inlineStr">
        <is>
          <t>Grommet</t>
        </is>
      </c>
      <c r="S132" t="inlineStr">
        <is>
          <t>5.6500</t>
        </is>
      </c>
      <c r="T132" t="inlineStr">
        <is>
          <t>No</t>
        </is>
      </c>
      <c r="U132" t="inlineStr">
        <is>
          <t>1 Year/18,000 Mile</t>
        </is>
      </c>
      <c r="V132" t="inlineStr">
        <is>
          <t>Yes</t>
        </is>
      </c>
      <c r="W132" t="inlineStr">
        <is>
          <t>Available to Order</t>
        </is>
      </c>
      <c r="X132" t="inlineStr"/>
      <c r="Y132" t="inlineStr">
        <is>
          <t>00082617039772</t>
        </is>
      </c>
      <c r="Z132" t="inlineStr">
        <is>
          <t>40-156::98271:101071:306</t>
        </is>
      </c>
      <c r="AA132" t="inlineStr">
        <is>
          <t>Yes</t>
        </is>
      </c>
      <c r="AB132" t="inlineStr"/>
      <c r="AC132" t="inlineStr"/>
    </row>
    <row r="133">
      <c r="A133" t="inlineStr">
        <is>
          <t>132</t>
        </is>
      </c>
      <c r="B133" t="inlineStr">
        <is>
          <t>Windshield Wiper Motor</t>
        </is>
      </c>
      <c r="C133" t="inlineStr">
        <is>
          <t>40-158</t>
        </is>
      </c>
      <c r="D133" t="inlineStr">
        <is>
          <t>Windshield Wiper Motor - 40-158</t>
        </is>
      </c>
      <c r="E133" t="inlineStr">
        <is>
          <t>CARDONE Reman</t>
        </is>
      </c>
      <c r="F133" t="inlineStr">
        <is>
          <t>15740719;12368702;15036007;22100736;22101097;15746785</t>
        </is>
      </c>
      <c r="G133" t="inlineStr">
        <is>
          <t>Cadillac Escalade 1999-2000
Chevrolet Blazer 1992-1994
Chevrolet C1500 1991-1999
Chevrolet C1500 Suburban 1992-1999
Chevrolet C2500 1991-2000
Chevrolet C2500 Suburban 1992-1999
Chevrolet C35 1991-2000
Chevrolet C3500 1991-2000
Chevrolet C3500HD 1991-2002
Chevrolet C50 1990
Chevrolet C5500 Kodiak 1990-1991
Chevrolet C60 1990
Chevrolet C60 Kodiak 1990-1996
Chevrolet C6500 Kodiak 1997-2002
Chevrolet C70 1990
Chevrolet C70 Kodiak 1990-1996
Chevrolet C7500 Kodiak 1997-2002
Chevrolet K1500 1991-1999
Chevrolet K1500 Suburban 1992-1999
Chevrolet K2500 1991-2000
Chevrolet K2500 Suburban 1992-1999
Chevrolet K3500 1991-2000
Chevrolet P30 1991-1993
Chevrolet Silverado 1995-1997
Chevrolet Tahoe 1995-2000
GMC C1500 1991-1999
GMC C1500 Suburban 1992-1999
GMC C2500 1991-2000
GMC C2500 Suburban 1992-1999
GMC C3500 1991-2000
GMC C3500HD 1991-2002
GMC C5000 1990
GMC C5000 Topkick 1990-1991
GMC C6000 1990
GMC C6000 Topkick 1990-1996
GMC C6500 Topkick 1997-2002
GMC C7000 1990
GMC C7000 Topkick 1990-1996
GMC C7500 Topkick 1997-2002
GMC K1500 1991-1999
GMC K1500 Suburban 1992-1999
GMC K2500 1991-2000
GMC K2500 Suburban 1992-1999
GMC K3500 1991-2000
GMC P3500 1991-1993
GMC Yukon 1992-2000</t>
        </is>
      </c>
      <c r="H133" t="inlineStr">
        <is>
          <t>Cadillac Escalade 1999-2000 5.7L V8 350cid
Chevrolet Blazer 1992-1994 5.7L V8 350cid
Chevrolet Blazer 1994 6.5L V8 395cid
Chevrolet C1500 1991-1993 6.2L V8 379cid
Chevrolet C1500 1991-1993 7.4L V8 454cid
Chevrolet C1500 1991-1998 4.1L L6 250cid
Chevrolet C1500 1991-1999 4.3L V6 262cid
Chevrolet C1500 1991-1999 5.7L V8 350cid
Chevrolet C1500 1991-1999 5L V8 305cid
Chevrolet C1500 1994-1998 6.5L V8 395cid
Chevrolet C1500 Suburban 1992-1999 5.7L V8 350cid
Chevrolet C1500 Suburban 1994-1999 6.5L V8 395cid
Chevrolet C2500 1991-1993 6.2L V8 379cid
Chevrolet C2500 1991-1995 4.3L V6 262cid
Chevrolet C2500 1991-1999 5L V8 305cid
Chevrolet C2500 1991-2000 5.7L V8 350cid
Chevrolet C2500 1991-2000 7.4L V8 454cid
Chevrolet C2500 1992-2000 6.5L V8 395cid
Chevrolet C2500 Suburban 1992-1999 5.7L V8 350cid
Chevrolet C2500 Suburban 1992-1999 7.4L V8 454cid
Chevrolet C2500 Suburban 1994-1999 6.5L V8 395cid
Chevrolet C35 1991-2000 5.7L V8 350cid
Chevrolet C3500 1991-1993 6.2L V8 379cid
Chevrolet C3500 1991-2000 5.7L V8 350cid
Chevrolet C3500 1991-2000 7.4L V8 454cid
Chevrolet C3500 1992-2000 6.5L V8 395cid
Chevrolet C3500HD 1991-1993 6.2L V8 379cid
Chevrolet C3500HD 1991-2000 5.7L V8 350cid
Chevrolet C3500HD 1991-2000 7.4L V8 454cid
Chevrolet C3500HD 1992-2002 6.5L V8 395cid
Chevrolet C3500HD 2001-2002 8.1L V8 496cid
Chevrolet C50 1990 5.7L V8 350cid
Chevrolet C5500 Kodiak 1990-1991 6L V8 366cid
Chevrolet C60 1990 5.7L V8 350cid
Chevrolet C60 1990 6L V8 366cid
Chevrolet C60 1990 7L V8 427cid
Chevrolet C60 1990 8.2L V8 501cid
Chevrolet C60 Kodiak 1990-1996 6.6L L6 403cid
Chevrolet C60 Kodiak 1990-1996 6L V8 366cid
Chevrolet C60 Kodiak 1990-1996 7L V8 427cid
Chevrolet C6500 Kodiak 1997-1998 6.6L L6 403cid
Chevrolet C6500 Kodiak 1997-1998 6L V8 366cid
Chevrolet C6500 Kodiak 1997-1998 7L V8 427cid
Chevrolet C6500 Kodiak 1998-2002 7.2L L6 441cid
Chevrolet C6500 Kodiak 1999-2000 7.4L V8 454cid
Chevrolet C6500 Kodiak 2001-2002 8.1L V8 496cid
Chevrolet C70 1990 10.4L V8 636cid
Chevrolet C70 1990 6L V8 366cid
Chevrolet C70 1990 7L V8 427cid
Chevrolet C70 1990 8.2L V8 501cid
Chevrolet C70 Kodiak 1990-1996 6.6L L6 403cid
Chevrolet C70 Kodiak 1990-1996 6L V8 366cid
Chevrolet C70 Kodiak 1990-1996 7L V8 427cid
Chevrolet C7500 Kodiak 1997-1998 6.6L L6 403cid
Chevrolet C7500 Kodiak 1997-1998 6L V8 366cid
Chevrolet C7500 Kodiak 1997-1998 7L V8 427cid
Chevrolet C7500 Kodiak 1998-2002 7.2L L6 441cid
Chevrolet C7500 Kodiak 1999-2000 7.4L V8 454cid
Chevrolet C7500 Kodiak 2001-2002 8.1L V8 496cid
Chevrolet K1500 1991-1993 6.2L V8 379cid
Chevrolet K1500 1991-1998 4.3L V6 262cid
Chevrolet K1500 1991-1999 5.7L V8 350cid
Chevrolet K1500 1991-1999 5L V8 305cid
Chevrolet K1500 1994-1998 6.5L V8 395cid
Chevrolet K1500 Suburban 1992-1999 5.7L V8 350cid
Chevrolet K1500 Suburban 1994-1999 6.5L V8 395cid
Chevrolet K2500 1991-1993 6.2L V8 379cid
Chevrolet K2500 1991-1995 4.3L V6 262cid
Chevrolet K2500 1991-1998 5L V8 305cid
Chevrolet K2500 1991-2000 5.7L V8 350cid
Chevrolet K2500 1991-2000 7.4L V8 454cid
Chevrolet K2500 1992-2000 6.5L V8 395cid
Chevrolet K2500 Suburban 1992-1999 5.7L V8 350cid
Chevrolet K2500 Suburban 1992-1999 7.4L V8 454cid
Chevrolet K2500 Suburban 1994-1999 6.5L V8 395cid
Chevrolet K3500 1991-1993 6.2L V8 379cid
Chevrolet K3500 1991-2000 5.7L V8 350cid
Chevrolet K3500 1991-2000 7.4L V8 454cid
Chevrolet K3500 1992-2000 6.5L V8 395cid
Chevrolet P30 1991 3.9L L4 239cid
Chevrolet P30 1991-1993 4.3L V6 262cid
Chevrolet P30 1991-1993 5.7L V8 350cid
Chevrolet P30 1991-1993 6.2L V8 379cid
Chevrolet P30 1991-1993 7.4L V8 454cid
Chevrolet Silverado 1995-1997 5.7L V8 350cid
Chevrolet Tahoe 1995-1999 6.5L V8 395cid
Chevrolet Tahoe 1995-2000 5.7L V8 350cid
GMC C1500 1991-1993 6.2L V8 379cid
GMC C1500 1991-1998 4.3L V6 262cid
GMC C1500 1991-1999 5.7L V8 350cid
GMC C1500 1991-1999 5L V8 305cid
GMC C1500 1994-1997 6.5L V8 395cid
GMC C1500 Suburban 1992-1999 5.7L V8 350cid
GMC C1500 Suburban 1995-1999 6.5L V8 395cid
GMC C2500 1991-1993 6.2L V8 379cid
GMC C2500 1991-1995 4.3L V6 262cid
GMC C2500 1991-1999 5L V8 305cid
GMC C2500 1991-2000 5.7L V8 350cid
GMC C2500 1991-2000 7.4L V8 454cid
GMC C2500 1992-2000 6.5L V8 395cid
GMC C2500 Suburban 1992-1999 5.7L V8 350cid
GMC C2500 Suburban 1992-1999 7.4L V8 454cid
GMC C2500 Suburban 1994-1999 6.5L V8 395cid
GMC C3500 1991-1993 6.2L V8 379cid
GMC C3500 1991-2000 5.7L V8 350cid
GMC C3500 1991-2000 7.4L V8 454cid
GMC C3500 1992-2000 6.5L V8 395cid
GMC C3500HD 1991-1993 6.2L V8 379cid
GMC C3500HD 1991-2000 5.7L V8 350cid
GMC C3500HD 1991-2000 7.4L V8 454cid
GMC C3500HD 1992-2002 6.5L V8 395cid
GMC C3500HD 2001-2002 8.1L V8 496cid
GMC C5000 1990 5.7L V8 350cid
GMC C5000 Topkick 1990-1991 6L V8 366cid
GMC C6000 1990 5.7L V8 350cid
GMC C6000 1990 6L V8 366cid
GMC C6000 1990 7L V8 427cid
GMC C6000 1990 8.2L V8 501cid
GMC C6000 Topkick 1990-1996 6.6L L6 403cid
GMC C6000 Topkick 1990-1996 6L V8 366cid
GMC C6000 Topkick 1990-1996 7L V8 427cid
GMC C6500 Topkick 1997-1998 6.6L L6 403cid
GMC C6500 Topkick 1997-1998 6L V8 366cid
GMC C6500 Topkick 1997-1998 7L V8 427cid
GMC C6500 Topkick 1998-2002 7.2L L6 441cid
GMC C6500 Topkick 1999-2000 7.4L V8 454cid
GMC C6500 Topkick 2001-2002 8.1L V8 496cid
GMC C7000 1990 10.4L V8 636cid
GMC C7000 1990 6L V8 366cid
GMC C7000 1990 7L V8 427cid
GMC C7000 1990 8.2L V8 501cid
GMC C7000 Topkick 1990-1996 6.6L L6 403cid
GMC C7000 Topkick 1990-1996 6L V8 366cid
GMC C7000 Topkick 1990-1996 7L V8 427cid
GMC C7500 Topkick 1997-1998 6.6L L6 403cid
GMC C7500 Topkick 1997-1998 6L V8 366cid
GMC C7500 Topkick 1997-1998 7L V8 427cid
GMC C7500 Topkick 1998-2002 7.2L L6 441cid
GMC C7500 Topkick 1999-2000 7.4L V8 454cid
GMC C7500 Topkick 2001-2002 8.1L V8 496cid
GMC K1500 1991-1993 6.2L V8 379cid
GMC K1500 1991-1998 4.3L V6 262cid
GMC K1500 1991-1999 5.7L V8 350cid
GMC K1500 1991-1999 5L V8 305cid
GMC K1500 1994-1998 6.5L V8 395cid
GMC K1500 Suburban 1992-1999 5.7L V8 350cid
GMC K1500 Suburban 1995-1999 6.5L V8 395cid
GMC K2500 1991-1993 6.2L V8 379cid
GMC K2500 1991-1995 4.3L V6 262cid
GMC K2500 1991-1998 5L V8 305cid
GMC K2500 1991-2000 5.7L V8 350cid
GMC K2500 1991-2000 7.4L V8 454cid
GMC K2500 1992-2000 6.5L V8 395cid
GMC K2500 Suburban 1992-1999 5.7L V8 350cid
GMC K2500 Suburban 1992-1999 7.4L V8 454cid
GMC K2500 Suburban 1994-1999 6.5L V8 395cid
GMC K3500 1991-1993 6.2L V8 379cid
GMC K3500 1991-2000 5.7L V8 350cid
GMC K3500 1991-2000 7.4L V8 454cid
GMC K3500 1992-2000 6.5L V8 395cid
GMC P3500 1991 3.9L L4 239cid
GMC P3500 1991-1993 4.3L V6 262cid
GMC P3500 1991-1993 5.7L V8 350cid
GMC P3500 1991-1993 6.2L V8 379cid
GMC P3500 1991-1993 7.4L V8 454cid
GMC Yukon 1992-2000 5.7L V8 350cid
GMC Yukon 1994-1997 6.5L V8 395cid</t>
        </is>
      </c>
      <c r="I133" t="inlineStr">
        <is>
          <t>{"0": {"productDeskExternalKey": "CPCX|40-158"}, "1": {"Package Contents": "Wiper Motor; Instruction Sheet"}, "2": {"E-Waste": "Yes"}, "3": {"Product Condition": "Remanufactured"}, "4": {"Mounting Hole Quantity": "3"}, "5": {"Terminal Type": "Blade"}, "6": {"Mounting Type": "Grommet"}, "7": {"Weight PG": "3.6000"}, "8": {"Washer Pump Included": "No"}, "9": {"Part Type": "Windshield Wiper Motor"}, "10": {"Warranty Info": "1 Year/18,000 Mile"}, "11": {"Sustainable Choice": "Yes"}, "12": {"Lifecycle Status": "Available to Order"}, "13": {"ItemLevelGTIN": "00082617185202"}, "14": {"_addonCardone": "40-158::98271:101074:306"}, "15": {"Eligible for R&amp;R Service": "Yes"}}</t>
        </is>
      </c>
      <c r="J133" t="inlineStr">
        <is>
          <t>https://www.cardone.com/product/windshield-wiper-motor-40-158</t>
        </is>
      </c>
      <c r="K133">
        <f>DISPIMG("ID_6D6B1D02C1EB4E5CA6309B56BF7EBAFA",1)</f>
        <v/>
      </c>
      <c r="L133" t="inlineStr">
        <is>
          <t>CPCX|40-158</t>
        </is>
      </c>
      <c r="M133" t="inlineStr">
        <is>
          <t>Wiper Motor; Instruction Sheet</t>
        </is>
      </c>
      <c r="N133" t="inlineStr">
        <is>
          <t>Yes</t>
        </is>
      </c>
      <c r="O133" t="inlineStr">
        <is>
          <t>Remanufactured</t>
        </is>
      </c>
      <c r="P133" t="inlineStr">
        <is>
          <t>3</t>
        </is>
      </c>
      <c r="Q133" t="inlineStr">
        <is>
          <t>Blade</t>
        </is>
      </c>
      <c r="R133" t="inlineStr">
        <is>
          <t>Grommet</t>
        </is>
      </c>
      <c r="S133" t="inlineStr">
        <is>
          <t>3.6000</t>
        </is>
      </c>
      <c r="T133" t="inlineStr">
        <is>
          <t>No</t>
        </is>
      </c>
      <c r="U133" t="inlineStr">
        <is>
          <t>1 Year/18,000 Mile</t>
        </is>
      </c>
      <c r="V133" t="inlineStr">
        <is>
          <t>Yes</t>
        </is>
      </c>
      <c r="W133" t="inlineStr">
        <is>
          <t>Available to Order</t>
        </is>
      </c>
      <c r="X133" t="inlineStr"/>
      <c r="Y133" t="inlineStr">
        <is>
          <t>00082617185202</t>
        </is>
      </c>
      <c r="Z133" t="inlineStr">
        <is>
          <t>40-158::98271:101074:306</t>
        </is>
      </c>
      <c r="AA133" t="inlineStr">
        <is>
          <t>Yes</t>
        </is>
      </c>
      <c r="AB133" t="inlineStr"/>
      <c r="AC133" t="inlineStr"/>
    </row>
    <row r="134">
      <c r="A134" t="inlineStr">
        <is>
          <t>133</t>
        </is>
      </c>
      <c r="B134" t="inlineStr">
        <is>
          <t>Windshield Wiper Motor</t>
        </is>
      </c>
      <c r="C134" t="inlineStr">
        <is>
          <t>40-159</t>
        </is>
      </c>
      <c r="D134" t="inlineStr">
        <is>
          <t>Windshield Wiper Motor - 40-159</t>
        </is>
      </c>
      <c r="E134" t="inlineStr">
        <is>
          <t>CARDONE Reman</t>
        </is>
      </c>
      <c r="F134" t="inlineStr">
        <is>
          <t>22110519</t>
        </is>
      </c>
      <c r="G134" t="inlineStr">
        <is>
          <t>Chevrolet G10 1992-1995
Chevrolet G20 1992-1995
Chevrolet G30 1992-1996
Chevrolet P30 1993-1999
GMC G1500 1992-1995
GMC G2500 1992-1995
GMC G3500 1992-1996
GMC P3500 1993-1999</t>
        </is>
      </c>
      <c r="H134" t="inlineStr">
        <is>
          <t>Chevrolet G10 1992-1993 5.7L V8 350cid
Chevrolet G10 1992-1995 4.3L V6 262cid
Chevrolet G10 1992-1995 5L V8 305cid
Chevrolet G20 1992-1993 6.2L V8 379cid
Chevrolet G20 1992-1995 4.3L V6 262cid
Chevrolet G20 1992-1995 5.7L V8 350cid
Chevrolet G20 1992-1995 5L V8 305cid
Chevrolet G20 1994-1995 6.5L V8 395cid
Chevrolet G30 1992-1993 6.2L V8 379cid
Chevrolet G30 1992-1996 4.3L V6 262cid
Chevrolet G30 1992-1996 5.7L V8 350cid
Chevrolet G30 1992-1996 7.4L V8 454cid
Chevrolet G30 1994-1996 6.5L V8 395cid
Chevrolet P30 1993 6.2L V8 379cid
Chevrolet P30 1993-1999 4.3L V6 262cid
Chevrolet P30 1993-1999 5.7L V8 350cid
Chevrolet P30 1993-1999 7.4L V8 454cid
Chevrolet P30 1994-1999 6.5L V8 395cid
Chevrolet P30 1998-1999 4.1L L6 250cid
GMC G1500 1992-1993 5.7L V8 350cid
GMC G1500 1992-1995 4.3L V6 262cid
GMC G1500 1992-1995 5L V8 305cid
GMC G2500 1992-1993 6.2L V8 379cid
GMC G2500 1992-1995 4.3L V6 262cid
GMC G2500 1992-1995 5.7L V8 350cid
GMC G2500 1992-1995 5L V8 305cid
GMC G2500 1994-1995 6.5L V8 395cid
GMC G3500 1992-1993 6.2L V8 379cid
GMC G3500 1992-1996 4.3L V6 262cid
GMC G3500 1992-1996 5.7L V8 350cid
GMC G3500 1992-1996 7.4L V8 454cid
GMC G3500 1994-1996 6.5L V8 395cid
GMC P3500 1993 6.2L V8 379cid
GMC P3500 1993-1999 4.3L V6 262cid
GMC P3500 1993-1999 5.7L V8 350cid
GMC P3500 1993-1999 7.4L V8 454cid
GMC P3500 1994-1999 6.5L V8 395cid</t>
        </is>
      </c>
      <c r="I134" t="inlineStr">
        <is>
          <t>{"0": {"productDeskExternalKey": "CPCX|40-159"}, "1": {"Package Contents": "Wiper Motor; Instruction Sheet"}, "2": {"E-Waste": "Yes"}, "3": {"Product Condition": "Remanufactured"}, "4": {"Mounting Hole Quantity": "3"}, "5": {"Terminal Type": "Blade"}, "6": {"Mounting Type": "Grommet"}, "7": {"Weight PG": "3.2600"}, "8": {"Washer Pump Included": "No"}, "9": {"Part Type": "Windshield Wiper Motor"}, "10": {"Warranty Info": "1 Year/18,000 Mile"}, "11": {"Sustainable Choice": "Yes"}, "12": {"Lifecycle Status": "Available to Order"}, "13": {"Application Summary": "Chevrolet G10 1995-92, G20 1995-92, G30 1996-92, P30 1999-93; GMC G1500 1995-92, G2500 1995-92, G3500 1996-92, P3500 1999-93"}, "14": {"ItemLevelGTIN": "00082617183475"}, "15": {"_addonCardone": "40-159::98271:101076:306"}, "16": {"Eligible for R&amp;R Service": "Yes"}}</t>
        </is>
      </c>
      <c r="J134" t="inlineStr">
        <is>
          <t>https://www.cardone.com/product/windshield-wiper-motor-40-159</t>
        </is>
      </c>
      <c r="K134">
        <f>DISPIMG("ID_45A3E291A7A94213960867C088D71446",1)</f>
        <v/>
      </c>
      <c r="L134" t="inlineStr">
        <is>
          <t>CPCX|40-159</t>
        </is>
      </c>
      <c r="M134" t="inlineStr">
        <is>
          <t>Wiper Motor; Instruction Sheet</t>
        </is>
      </c>
      <c r="N134" t="inlineStr">
        <is>
          <t>Yes</t>
        </is>
      </c>
      <c r="O134" t="inlineStr">
        <is>
          <t>Remanufactured</t>
        </is>
      </c>
      <c r="P134" t="inlineStr">
        <is>
          <t>3</t>
        </is>
      </c>
      <c r="Q134" t="inlineStr">
        <is>
          <t>Blade</t>
        </is>
      </c>
      <c r="R134" t="inlineStr">
        <is>
          <t>Grommet</t>
        </is>
      </c>
      <c r="S134" t="inlineStr">
        <is>
          <t>3.2600</t>
        </is>
      </c>
      <c r="T134" t="inlineStr">
        <is>
          <t>No</t>
        </is>
      </c>
      <c r="U134" t="inlineStr">
        <is>
          <t>1 Year/18,000 Mile</t>
        </is>
      </c>
      <c r="V134" t="inlineStr">
        <is>
          <t>Yes</t>
        </is>
      </c>
      <c r="W134" t="inlineStr">
        <is>
          <t>Available to Order</t>
        </is>
      </c>
      <c r="X134" t="inlineStr">
        <is>
          <t>Chevrolet G10 1995-92, G20 1995-92, G30 1996-92, P30 1999-93; GMC G1500 1995-92, G2500 1995-92, G3500 1996-92, P3500 1999-93</t>
        </is>
      </c>
      <c r="Y134" t="inlineStr">
        <is>
          <t>00082617183475</t>
        </is>
      </c>
      <c r="Z134" t="inlineStr">
        <is>
          <t>40-159::98271:101076:306</t>
        </is>
      </c>
      <c r="AA134" t="inlineStr">
        <is>
          <t>Yes</t>
        </is>
      </c>
      <c r="AB134" t="inlineStr"/>
      <c r="AC134" t="inlineStr"/>
    </row>
    <row r="135">
      <c r="A135" t="inlineStr">
        <is>
          <t>134</t>
        </is>
      </c>
      <c r="B135" t="inlineStr">
        <is>
          <t>Windshield Wiper Motor</t>
        </is>
      </c>
      <c r="C135" t="inlineStr">
        <is>
          <t>40-160</t>
        </is>
      </c>
      <c r="D135" t="inlineStr">
        <is>
          <t>Windshield Wiper Motor - 40-160</t>
        </is>
      </c>
      <c r="E135" t="inlineStr">
        <is>
          <t>CARDONE Reman</t>
        </is>
      </c>
      <c r="F135" t="inlineStr"/>
      <c r="G135" t="inlineStr">
        <is>
          <t>Chevrolet Blazer 1973-1974
Chevrolet C10 1975-1977
Chevrolet C10 Pickup 1973-1974
Chevrolet C10 Suburban 1973-1977
Chevrolet C20 1975-1977
Chevrolet C20 Pickup 1973-1974
Chevrolet C20 Suburban 1973-1977
Chevrolet C30 1975-1977
Chevrolet C30 Pickup 1973-1974
Chevrolet G10 1975-1977
Chevrolet G10 Van 1970-1974
Chevrolet G20 1975-1977
Chevrolet G20 Van 1970-1974
Chevrolet G30 1975-1977
Chevrolet G30 Van 1971-1974
Chevrolet K10 1975-1977
Chevrolet K10 Pickup 1973-1974
Chevrolet K10 Suburban 1973-1977
Chevrolet K20 1975-1977
Chevrolet K20 Pickup 1973-1974
Chevrolet K20 Suburban 1973-1977
Chevrolet K30 1977
Chevrolet K30 Pickup 1973-1974
Chevrolet K5 Blazer 1975-1977
GMC C15 1975-1977
GMC C15 Suburban 1975-1977
GMC C15/C1500 Pickup 1973-1974
GMC C15/C1500 Suburban 1973-1974
GMC C25 1975-1977
GMC C25 Suburban 1975-1977
GMC C25/C2500 Pickup 1973-1974
GMC C25/C2500 Suburban 1973-1974
GMC C35 1975-1977
GMC C35/C3500 Pickup 1973-1974
GMC G15 1975-1977
GMC G15/G1500 Van 1970-1974
GMC G25 1975-1977
GMC G25/G2500 Van 1970-1974
GMC G35 1975-1977
GMC G35/G3500 Van 1971-1974
GMC Jimmy 1973-1977
GMC K15 1975-1977
GMC K15 Suburban 1975-1977
GMC K15/K1500 Pickup 1973-1974
GMC K15/K1500 Suburban 1973-1974
GMC K25 1975-1977
GMC K25 Suburban 1975-1977
GMC K25/K2500 Pickup 1973-1974
GMC K25/K2500 Suburban 1973-1974
GMC K35 1977
GMC K35/K3500 Pickup 1973-1974</t>
        </is>
      </c>
      <c r="H135" t="inlineStr">
        <is>
          <t>Chevrolet Blazer 1973 5L V8 307cid
Chevrolet Blazer 1973-1974 4.1L L6 250cid
Chevrolet Blazer 1973-1974 4.8L L6 292cid
Chevrolet Blazer 1973-1974 5.7L V8 350cid
Chevrolet Blazer 1973-1974 7.4L V8 454cid
Chevrolet C10 1975-1977 4.1L L6 250cid
Chevrolet C10 1975-1977 4.8L L6 292cid
Chevrolet C10 1975-1977 5.7L V8 350cid
Chevrolet C10 1975-1977 7.4L V8 454cid
Chevrolet C10 1976-1977 6.6L V8 400cid
Chevrolet C10 1977 5L V8 305cid
Chevrolet C10 Pickup 1973 5L V8 307cid
Chevrolet C10 Pickup 1973-1974 4.1L L6 250cid
Chevrolet C10 Pickup 1973-1974 4.8L L6 292cid
Chevrolet C10 Pickup 1973-1974 5.7L V8 350cid
Chevrolet C10 Pickup 1973-1974 7.4L V8 454cid
Chevrolet C10 Suburban 1973 5L V8 307cid
Chevrolet C10 Suburban 1973-1974 4.8L L6 292cid
Chevrolet C10 Suburban 1973-1977 4.1L L6 250cid
Chevrolet C10 Suburban 1973-1977 5.7L V8 350cid
Chevrolet C10 Suburban 1973-1977 7.4L V8 454cid
Chevrolet C10 Suburban 1977 5L V8 305cid
Chevrolet C20 1975-1977 4.1L L6 250cid
Chevrolet C20 1975-1977 4.8L L6 292cid
Chevrolet C20 1975-1977 5.7L V8 350cid
Chevrolet C20 1975-1977 7.4L V8 454cid
Chevrolet C20 1976-1977 6.6L V8 400cid
Chevrolet C20 1977 5L V8 305cid
Chevrolet C20 Pickup 1973 5L V8 307cid
Chevrolet C20 Pickup 1973-1974 4.1L L6 250cid
Chevrolet C20 Pickup 1973-1974 4.8L L6 292cid
Chevrolet C20 Pickup 1973-1974 5.7L V8 350cid
Chevrolet C20 Pickup 1973-1974 7.4L V8 454cid
Chevrolet C20 Suburban 1973 5L V8 307cid
Chevrolet C20 Suburban 1973-1974 4.1L L6 250cid
Chevrolet C20 Suburban 1973-1977 4.8L L6 292cid
Chevrolet C20 Suburban 1973-1977 5.7L V8 350cid
Chevrolet C20 Suburban 1973-1977 7.4L V8 454cid
Chevrolet C20 Suburban 1976-1977 6.6L V8 400cid
Chevrolet C20 Suburban 1977 5L V8 305cid
Chevrolet C30 1975-1977 4.1L L6 250cid
Chevrolet C30 1975-1977 4.8L L6 292cid
Chevrolet C30 1975-1977 5.7L V8 350cid
Chevrolet C30 1975-1977 7.4L V8 454cid
Chevrolet C30 1976-1977 6.6L V8 400cid
Chevrolet C30 Pickup 1973 5L V8 307cid
Chevrolet C30 Pickup 1973-1974 4.1L L6 250cid
Chevrolet C30 Pickup 1973-1974 4.8L L6 292cid
Chevrolet C30 Pickup 1973-1974 5.7L V8 350cid
Chevrolet C30 Pickup 1973-1974 7.4L V8 454cid
Chevrolet G10 1975-1977 4.1L L6 250cid
Chevrolet G10 1975-1977 5.7L V8 350cid
Chevrolet G10 1976 6.6L V8 400cid
Chevrolet G10 1977 5L V8 305cid
Chevrolet G10 Van 1970-1973 5L V8 307cid
Chevrolet G10 Van 1970-1974 4.1L L6 250cid
Chevrolet G10 Van 1970-1974 5.7L V8 350cid
Chevrolet G10 Van 1973-1974 7.4L V8 454cid
Chevrolet G20 1975-1976 4.1L L6 250cid
Chevrolet G20 1975-1977 4.8L L6 292cid
Chevrolet G20 1975-1977 5.7L V8 350cid
Chevrolet G20 1975-1977 6.6L V8 400cid
Chevrolet G20 1976 7.4L V8 454cid
Chevrolet G20 Van 1970-1973 5L V8 307cid
Chevrolet G20 Van 1970-1974 4.1L L6 250cid
Chevrolet G20 Van 1970-1974 5.7L V8 350cid
Chevrolet G20 Van 1971-1974 4.8L L6 292cid
Chevrolet G20 Van 1973-1974 7.4L V8 454cid
Chevrolet G30 1975-1976 7.4L V8 454cid
Chevrolet G30 1975-1977 4.8L L6 292cid
Chevrolet G30 1975-1977 5.7L V8 350cid
Chevrolet G30 1975-1977 6.6L V8 400cid
Chevrolet G30 1976 4.1L L6 250cid
Chevrolet G30 Van 1971-1974 4.1L L6 250cid
Chevrolet G30 Van 1971-1974 4.8L L6 292cid
Chevrolet G30 Van 1971-1974 5.7L V8 350cid
Chevrolet G30 Van 1973-1974 7.4L V8 454cid
Chevrolet K10 1975-1976 4.8L L6 292cid
Chevrolet K10 1975-1977 4.1L L6 250cid
Chevrolet K10 1975-1977 5.7L V8 350cid
Chevrolet K10 1975-1977 6.6L V8 400cid
Chevrolet K10 1976 7.4L V8 454cid
Chevrolet K10 1977 5L V8 305cid
Chevrolet K10 Pickup 1973 5L V8 307cid
Chevrolet K10 Pickup 1973-1974 4.1L L6 250cid
Chevrolet K10 Pickup 1973-1974 4.8L L6 292cid
Chevrolet K10 Pickup 1973-1974 5.7L V8 350cid
Chevrolet K10 Pickup 1973-1974 7.4L V8 454cid
Chevrolet K10 Suburban 1973 5L V8 307cid
Chevrolet K10 Suburban 1973-1974 7.4L V8 454cid
Chevrolet K10 Suburban 1973-1977 4.1L L6 250cid
Chevrolet K10 Suburban 1973-1977 5.7L V8 350cid
Chevrolet K10 Suburban 1975-1977 6.6L V8 400cid
Chevrolet K10 Suburban 1977 5L V8 305cid
Chevrolet K20 1975-1976 4.1L L6 250cid
Chevrolet K20 1975-1977 4.8L L6 292cid
Chevrolet K20 1975-1977 5.7L V8 350cid
Chevrolet K20 1975-1977 6.6L V8 400cid
Chevrolet K20 1976-1977 7.4L V8 454cid
Chevrolet K20 1977 5L V8 305cid
Chevrolet K20 Pickup 1973 5L V8 307cid
Chevrolet K20 Pickup 1973-1974 4.1L L6 250cid
Chevrolet K20 Pickup 1973-1974 4.8L L6 292cid
Chevrolet K20 Pickup 1973-1974 5.7L V8 350cid
Chevrolet K20 Pickup 1973-1974 7.4L V8 454cid
Chevrolet K20 Suburban 1973 5L V8 307cid
Chevrolet K20 Suburban 1973-1974 4.1L L6 250cid
Chevrolet K20 Suburban 1973-1974 7.4L V8 454cid
Chevrolet K20 Suburban 1973-1977 4.8L L6 292cid
Chevrolet K20 Suburban 1973-1977 5.7L V8 350cid
Chevrolet K20 Suburban 1975-1977 6.6L V8 400cid
Chevrolet K20 Suburban 1977 5L V8 305cid
Chevrolet K30 1977 4.8L L6 292cid
Chevrolet K30 1977 5.7L V8 350cid
Chevrolet K30 1977 6.6L V8 400cid
Chevrolet K30 1977 7.4L V8 454cid
Chevrolet K30 Pickup 1973 5L V8 307cid
Chevrolet K30 Pickup 1973-1974 4.1L L6 250cid
Chevrolet K30 Pickup 1973-1974 4.8L L6 292cid
Chevrolet K30 Pickup 1973-1974 5.7L V8 350cid
Chevrolet K30 Pickup 1973-1974 7.4L V8 454cid
Chevrolet K5 Blazer 1975-1977 4.1L L6 250cid
Chevrolet K5 Blazer 1975-1977 5.7L V8 350cid
Chevrolet K5 Blazer 1975-1977 6.6L V8 400cid
Chevrolet K5 Blazer 1976-1977 7.4L V8 454cid
Chevrolet K5 Blazer 1977 5L V8 305cid
GMC C15 1975-1977 4.1L L6 250cid
GMC C15 1975-1977 4.8L L6 292cid
GMC C15 1975-1977 5.7L V8 350cid
GMC C15 1975-1977 7.4L V8 454cid
GMC C15 1976 6.6L V8 400cid
GMC C15 1977 5L V8 305cid
GMC C15 Suburban 1975-1977 4.1L L6 250cid
GMC C15 Suburban 1975-1977 5.7L V8 350cid
GMC C15 Suburban 1975-1977 7.4L V8 454cid
GMC C15 Suburban 1977 5L V8 305cid
GMC C15/C1500 Pickup 1973 5L V8 307cid
GMC C15/C1500 Pickup 1973-1974 4.1L L6 250cid
GMC C15/C1500 Pickup 1973-1974 4.8L L6 292cid
GMC C15/C1500 Pickup 1973-1974 5.7L V8 350cid
GMC C15/C1500 Pickup 1973-1974 7.4L V8 454cid
GMC C15/C1500 Suburban 1973 5L V8 307cid
GMC C15/C1500 Suburban 1973-1974 4.1L L6 250cid
GMC C15/C1500 Suburban 1973-1974 4.8L L6 292cid
GMC C15/C1500 Suburban 1973-1974 5.7L V8 350cid
GMC C15/C1500 Suburban 1973-1974 7.4L V8 454cid
GMC C25 1975-1977 4.1L L6 250cid
GMC C25 1975-1977 4.8L L6 292cid
GMC C25 1975-1977 5.7L V8 350cid
GMC C25 1975-1977 7.4L V8 454cid
GMC C25 1976-1977 6.6L V8 400cid
GMC C25 1977 5L V8 305cid
GMC C25 Suburban 1975-1977 4.8L L6 292cid
GMC C25 Suburban 1975-1977 5.7L V8 350cid
GMC C25 Suburban 1975-1977 7.4L V8 454cid
GMC C25 Suburban 1977 5L V8 305cid
GMC C25/C2500 Pickup 1973 5L V8 307cid
GMC C25/C2500 Pickup 1973-1974 4.1L L6 250cid
GMC C25/C2500 Pickup 1973-1974 4.8L L6 292cid
GMC C25/C2500 Pickup 1973-1974 5.7L V8 350cid
GMC C25/C2500 Pickup 1973-1974 7.4L V8 454cid
GMC C25/C2500 Suburban 1973 5L V8 307cid
GMC C25/C2500 Suburban 1973-1974 4.1L L6 250cid
GMC C25/C2500 Suburban 1973-1974 4.8L L6 292cid
GMC C25/C2500 Suburban 1973-1974 5.7L V8 350cid
GMC C25/C2500 Suburban 1973-1974 7.4L V8 454cid
GMC C35 1975 4.1L L6 250cid
GMC C35 1975-1977 4.8L L6 292cid
GMC C35 1975-1977 5.7L V8 350cid
GMC C35 1975-1977 7.4L V8 454cid
GMC C35 1976-1977 6.6L V8 400cid
GMC C35/C3500 Pickup 1973 5L V8 307cid
GMC C35/C3500 Pickup 1973-1974 4.1L L6 250cid
GMC C35/C3500 Pickup 1973-1974 4.8L L6 292cid
GMC C35/C3500 Pickup 1973-1974 5.7L V8 350cid
GMC C35/C3500 Pickup 1973-1974 7.4L V8 454cid
GMC G15 1975-1977 4.1L L6 250cid
GMC G15 1975-1977 5.7L V8 350cid
GMC G15 1976 6.6L V8 400cid
GMC G15 1977 5L V8 305cid
GMC G15/G1500 Van 1970-1973 5L V8 307cid
GMC G15/G1500 Van 1970-1974 4.1L L6 250cid
GMC G15/G1500 Van 1971-1974 5.7L V8 350cid
GMC G25 1975-1976 7.4L V8 454cid
GMC G25 1975-1977 4.8L L6 292cid
GMC G25 1975-1977 5.7L V8 350cid
GMC G25 1975-1977 6.6L V8 400cid
GMC G25/G2500 Van 1970-1973 5L V8 307cid
GMC G25/G2500 Van 1970-1974 4.1L L6 250cid
GMC G25/G2500 Van 1970-1974 5.7L V8 350cid
GMC G25/G2500 Van 1974 4.8L L6 292cid
GMC G35 1975-1977 4.8L L6 292cid
GMC G35 1975-1977 5.7L V8 350cid
GMC G35 1975-1977 6.6L V8 400cid
GMC G35 1976 7.4L V8 454cid
GMC G35/G3500 Van 1971-1973 5L V8 307cid
GMC G35/G3500 Van 1971-1974 4.1L L6 250cid
GMC G35/G3500 Van 1971-1974 5.7L V8 350cid
GMC G35/G3500 Van 1973-1974 7.4L V8 454cid
GMC G35/G3500 Van 1974 4.8L L6 292cid
GMC Jimmy 1973 5L V8 307cid
GMC Jimmy 1973-1974 4.8L L6 292cid
GMC Jimmy 1973-1976 7.4L V8 454cid
GMC Jimmy 1973-1977 4.1L L6 250cid
GMC Jimmy 1973-1977 5.7L V8 350cid
GMC Jimmy 1975-1977 6.6L V8 400cid
GMC Jimmy 1977 5L V8 305cid
GMC K15 1975-1976 4.8L L6 292cid
GMC K15 1975-1977 4.1L L6 250cid
GMC K15 1975-1977 5.7L V8 350cid
GMC K15 1975-1977 6.6L V8 400cid
GMC K15 1976 7.4L V8 454cid
GMC K15 1977 5L V8 305cid
GMC K15 Suburban 1975-1977 4.1L L6 250cid
GMC K15 Suburban 1975-1977 5.7L V8 350cid
GMC K15 Suburban 1975-1977 6.6L V8 400cid
GMC K15 Suburban 1977 5L V8 305cid
GMC K15/K1500 Pickup 1973 5L V8 307cid
GMC K15/K1500 Pickup 1973-1974 4.1L L6 250cid
GMC K15/K1500 Pickup 1973-1974 4.8L L6 292cid
GMC K15/K1500 Pickup 1973-1974 5.7L V8 350cid
GMC K15/K1500 Pickup 1973-1974 7.4L V8 454cid
GMC K15/K1500 Suburban 1973 5L V8 307cid
GMC K15/K1500 Suburban 1973-1974 4.1L L6 250cid
GMC K15/K1500 Suburban 1973-1974 5.7L V8 350cid
GMC K15/K1500 Suburban 1973-1974 7.4L V8 454cid
GMC K25 1975-1976 4.1L L6 250cid
GMC K25 1975-1977 4.8L L6 292cid
GMC K25 1975-1977 5.7L V8 350cid
GMC K25 1975-1977 6.6L V8 400cid
GMC K25 1976-1977 7.4L V8 454cid
GMC K25 1977 5L V8 305cid
GMC K25 Suburban 1975-1977 4.8L L6 292cid
GMC K25 Suburban 1975-1977 5.7L V8 350cid
GMC K25 Suburban 1975-1977 6.6L V8 400cid
GMC K25 Suburban 1976-1977 7.4L V8 454cid
GMC K25 Suburban 1977 5L V8 305cid
GMC K25/K2500 Pickup 1973 5L V8 307cid
GMC K25/K2500 Pickup 1973-1974 4.1L L6 250cid
GMC K25/K2500 Pickup 1973-1974 4.8L L6 292cid
GMC K25/K2500 Pickup 1973-1974 5.7L V8 350cid
GMC K25/K2500 Pickup 1973-1974 7.4L V8 454cid
GMC K25/K2500 Suburban 1973 5L V8 307cid
GMC K25/K2500 Suburban 1973-1974 4.1L L6 250cid
GMC K25/K2500 Suburban 1973-1974 4.8L L6 292cid
GMC K25/K2500 Suburban 1973-1974 5.7L V8 350cid
GMC K25/K2500 Suburban 1973-1974 7.4L V8 454cid
GMC K35 1977 4.8L L6 292cid
GMC K35 1977 5.7L V8 350cid
GMC K35 1977 6.6L V8 400cid
GMC K35/K3500 Pickup 1973 5L V8 307cid
GMC K35/K3500 Pickup 1973-1974 4.1L L6 250cid
GMC K35/K3500 Pickup 1973-1974 4.8L L6 292cid
GMC K35/K3500 Pickup 1973-1974 5.7L V8 350cid
GMC K35/K3500 Pickup 1973-1974 7.4L V8 454cid</t>
        </is>
      </c>
      <c r="I135" t="inlineStr">
        <is>
          <t>{"0": {"productDeskExternalKey": "CPCX|40-160"}, "1": {"Package Contents": "Wiper Motor; Instruction Sheet; Nut; Alignment Tool"}, "2": {"E-Waste": "Yes"}, "3": {"Product Condition": "Remanufactured"}, "4": {"Mounting Hole Quantity": "3"}, "5": {"Terminal Type": "Blade"}, "6": {"Mounting Type": "Grommet"}, "7": {"Weight PG": "4.9700"}, "8": {"Washer Pump Included": "No"}, "9": {"Part Type": "Windshield Wiper Motor"}, "10": {"Warranty Info": "1 Year/18,000 Mile"}, "11": {"Sustainable Choice": "Yes"}, "12": {"Lifecycle Status": "Available to Order"}, "13": {"ItemLevelGTIN": "00082617039789"}, "14": {"_addonCardone": "40-160::98271:101077:306"}, "15": {"Eligible for R&amp;R Service": "Yes"}}</t>
        </is>
      </c>
      <c r="J135" t="inlineStr">
        <is>
          <t>https://www.cardone.com/product/windshield-wiper-motor-40-160</t>
        </is>
      </c>
      <c r="K135">
        <f>DISPIMG("ID_1600DFA14A784650B25D479A11D659DB",1)</f>
        <v/>
      </c>
      <c r="L135" t="inlineStr">
        <is>
          <t>CPCX|40-160</t>
        </is>
      </c>
      <c r="M135" t="inlineStr">
        <is>
          <t>Wiper Motor; Instruction Sheet; Nut; Alignment Tool</t>
        </is>
      </c>
      <c r="N135" t="inlineStr">
        <is>
          <t>Yes</t>
        </is>
      </c>
      <c r="O135" t="inlineStr">
        <is>
          <t>Remanufactured</t>
        </is>
      </c>
      <c r="P135" t="inlineStr">
        <is>
          <t>3</t>
        </is>
      </c>
      <c r="Q135" t="inlineStr">
        <is>
          <t>Blade</t>
        </is>
      </c>
      <c r="R135" t="inlineStr">
        <is>
          <t>Grommet</t>
        </is>
      </c>
      <c r="S135" t="inlineStr">
        <is>
          <t>4.9700</t>
        </is>
      </c>
      <c r="T135" t="inlineStr">
        <is>
          <t>No</t>
        </is>
      </c>
      <c r="U135" t="inlineStr">
        <is>
          <t>1 Year/18,000 Mile</t>
        </is>
      </c>
      <c r="V135" t="inlineStr">
        <is>
          <t>Yes</t>
        </is>
      </c>
      <c r="W135" t="inlineStr">
        <is>
          <t>Available to Order</t>
        </is>
      </c>
      <c r="X135" t="inlineStr"/>
      <c r="Y135" t="inlineStr">
        <is>
          <t>00082617039789</t>
        </is>
      </c>
      <c r="Z135" t="inlineStr">
        <is>
          <t>40-160::98271:101077:306</t>
        </is>
      </c>
      <c r="AA135" t="inlineStr">
        <is>
          <t>Yes</t>
        </is>
      </c>
      <c r="AB135" t="inlineStr"/>
      <c r="AC135" t="inlineStr"/>
    </row>
    <row r="136">
      <c r="A136" t="inlineStr">
        <is>
          <t>135</t>
        </is>
      </c>
      <c r="B136" t="inlineStr">
        <is>
          <t>Windshield Wiper Motor</t>
        </is>
      </c>
      <c r="C136" t="inlineStr">
        <is>
          <t>40-162</t>
        </is>
      </c>
      <c r="D136" t="inlineStr">
        <is>
          <t>Windshield Wiper Motor - 40-162</t>
        </is>
      </c>
      <c r="E136" t="inlineStr">
        <is>
          <t>CARDONE Reman</t>
        </is>
      </c>
      <c r="F136" t="inlineStr">
        <is>
          <t>22048253</t>
        </is>
      </c>
      <c r="G136" t="inlineStr">
        <is>
          <t>Buick Century 1973-1983
Buick Electra 1973-1989
Buick Estate Wagon 1973-1983
Buick LeSabre 1973-1989
Buick Regal 1973-1983
Buick Riviera 1973-1985
Cadillac Brougham 1987-1989
Cadillac Calais 1973-1976
Cadillac Commercial Chassis 1973-1984
Cadillac DeVille 1973-1984
Cadillac Eldorado 1973-1978
Cadillac Fleetwood 1973-1989
Chevrolet Bel Air 1973-1975
Chevrolet Camaro 1973-1983
Chevrolet Caprice 1973-1990
Chevrolet Celebrity 1982-1983
Chevrolet Chevelle 1973
Chevrolet Corvette 1973-1982
Chevrolet El Camino 1973-1983
Chevrolet Impala 1973-1985
Chevrolet Malibu 1973-1983
Chevrolet Monte Carlo 1973-1983
GMC Caballero 1978-1983
GMC Sprint 1973-1977
Oldsmobile 98 1973-1984
Oldsmobile Custom Cruiser 1973-1990
Oldsmobile Cutlass 1973-1981
Oldsmobile Cutlass Ciera 1982-1983
Oldsmobile Cutlass Cruiser 1980-1983
Oldsmobile Cutlass Salon 1975-1980
Oldsmobile Cutlass Supreme 1973-1983
Oldsmobile Delta 88 1973-1985
Oldsmobile Toronado 1973-1985
Pontiac 6000 1982-1983
Pontiac Bonneville 1973-1983
Pontiac Catalina 1973-1981
Pontiac Firebird 1973-1983
Pontiac Grand Am 1973-1980
Pontiac Grand Prix 1973-1983
Pontiac Grand Safari 1975
Pontiac LeMans 1973-1981
Pontiac Parisienne 1982-1986
Pontiac Safari 1987-1989</t>
        </is>
      </c>
      <c r="H136" t="inlineStr">
        <is>
          <t>Buick Century 1973-1974 7.5L V8 455cid
Buick Century 1973-1981 5.7L V8 350cid
Buick Century 1975-1981 3.8L V6 231cid
Buick Century 1977 6.6L V8 403cid
Buick Century 1977-1981 5L V8 305cid
Buick Century 1978-1979 3.2L V6 196cid
Buick Century 1979-1980 4.9L V8 301cid
Buick Century 1980-1981 4.3L V8 265cid
Buick Century 1981 4.4L V8 267cid
Buick Century 1982-1983 2.5L L4 151cid
Buick Century 1982-1983 2.8L V6 173cid
Buick Century 1982-1983 3L V6 181cid
Buick Century 1982-1983 4.3L V6 260cid
Buick Electra 1973-1976 7.5L V8 455cid
Buick Electra 1976-1984 5.7L V8 350cid
Buick Electra 1977-1979 6.6L V8 403cid
Buick Electra 1980 4.9L V8 301cid
Buick Electra 1980-1984 4.1L V6 252cid
Buick Electra 1981-1989 5L V8 307cid
Buick Estate Wagon 1973-1976 7.5L V8 455cid
Buick Estate Wagon 1973-1983 5.7L V8 350cid
Buick Estate Wagon 1977-1979 6.6L V8 403cid
Buick Estate Wagon 1980 4.9L V8 301cid
Buick Estate Wagon 1981-1983 5L V8 307cid
Buick LeSabre 1973-1976 7.5L V8 455cid
Buick LeSabre 1973-1985 5.7L V8 350cid
Buick LeSabre 1975 6.6L V8 400cid
Buick LeSabre 1976-1985 3.8L V6 231cid
Buick LeSabre 1977-1978 6.6L V8 403cid
Buick LeSabre 1977-1980 4.9L V8 301cid
Buick LeSabre 1978 5L V8 305cid
Buick LeSabre 1980-1984 4.1L V6 252cid
Buick LeSabre 1981-1989 5L V8 307cid
Buick LeSabre 1982 4.4L V8 267cid
Buick Regal 1973-1974 7.5L V8 455cid
Buick Regal 1973-1983 5.7L V8 350cid
Buick Regal 1975-1983 3.8L V6 231cid
Buick Regal 1977-1983 5L V8 305cid
Buick Regal 1978-1979 3.2L V6 196cid
Buick Regal 1979-1980 4.9L V8 301cid
Buick Regal 1980-1981 4.3L V8 265cid
Buick Regal 1981-1982 4.4L V8 267cid
Buick Regal 1982-1983 4.1L V6 252cid
Buick Regal 1982-1983 4.3L V6 260cid
Buick Riviera 1973-1976 7.5L V8 455cid
Buick Riviera 1977-1978 6.6L V8 403cid
Buick Riviera 1977-1985 5.7L V8 350cid
Buick Riviera 1979-1985 3.8L V6 231cid
Buick Riviera 1980-1985 5L V8 307cid
Buick Riviera 1981-1984 4.1L V6 252cid
Cadillac Brougham 1987-1989 5L V8 307cid
Cadillac Calais 1973-1974 7.7L V8 472cid
Cadillac Calais 1975-1976 8.2L V8 500cid
Cadillac Commercial Chassis 1973-1974
Cadillac Commercial Chassis 1973-1974 7.7L V8 472cid
Cadillac Commercial Chassis 1975-1976 8.2L V8 500cid
Cadillac Commercial Chassis 1977-1979 7L V8 425cid
Cadillac Commercial Chassis 1980-1984 6L V8 368cid
Cadillac DeVille 1973-1974 7.7L V8 472cid
Cadillac DeVille 1975-1976 8.2L V8 500cid
Cadillac DeVille 1977-1979 7L V8 425cid
Cadillac DeVille 1979-1984 5.7L V8 350cid
Cadillac DeVille 1980-1981 6L V8 368cid
Cadillac DeVille 1980-1982 4.1L V6 252cid
Cadillac DeVille 1982-1984 4.1L V8 250cid
Cadillac Eldorado 1973-1976 8.2L V8 500cid
Cadillac Eldorado 1977-1978 7L V8 425cid
Cadillac Fleetwood 1973-1974 7.7L V8 472cid
Cadillac Fleetwood 1975-1976 8.2L V8 500cid
Cadillac Fleetwood 1977-1979 7L V8 425cid
Cadillac Fleetwood 1979-1985 5.7L V8 350cid
Cadillac Fleetwood 1980-1982 4.1L V6 252cid
Cadillac Fleetwood 1980-1984 6L V8 368cid
Cadillac Fleetwood 1982-1987 4.1L V8 250cid
Cadillac Fleetwood 1985 4.3L V6 260cid
Cadillac Fleetwood 1986 5L V8 307cid
Cadillac Fleetwood 1988-1989 4.5L V8 273cid
Chevrolet Bel Air 1973 4.1L L6 250cid
Chevrolet Bel Air 1973-1975 5.7L V8 350cid
Chevrolet Bel Air 1973-1975 6.6L V8 400cid
Chevrolet Bel Air 1973-1975 7.4L V8 454cid
Chevrolet Camaro 1973 5L V8 307cid
Chevrolet Camaro 1973-1979 4.1L L6 250cid
Chevrolet Camaro 1973-1981 5.7L V8 350cid
Chevrolet Camaro 1976-1983 5L V8 305cid
Chevrolet Camaro 1980-1981 3.8L V6 229cid
Chevrolet Camaro 1980-1981 3.8L V6 231cid
Chevrolet Camaro 1980-1981 4.4L V8 267cid
Chevrolet Camaro 1982-1983 2.5L L4 151cid
Chevrolet Camaro 1982-1983 2.8L V6 173cid
Chevrolet Caprice 1973-1976 6.6L V8 400cid
Chevrolet Caprice 1973-1976 7.4L V8 454cid
Chevrolet Caprice 1973-1979 4.1L L6 250cid
Chevrolet Caprice 1973-1990 5.7L V8 350cid
Chevrolet Caprice 1973-1990 5L V8 307cid
Chevrolet Caprice 1977-1990 5L V8 305cid
Chevrolet Caprice 1980-1982 4.4L V8 267cid
Chevrolet Caprice 1980-1984 3.8L V6 229cid
Chevrolet Caprice 1980-1985 3.8L V6 231cid
Chevrolet Caprice 1985-1990 4.3L V6 262cid
Chevrolet Celebrity 1982-1983 2.5L L4 151cid
Chevrolet Celebrity 1982-1983 2.8L V6 173cid
Chevrolet Celebrity 1982-1983 4.3L V6 260cid
Chevrolet Chevelle 1973 4.1L L6 250cid
Chevrolet Chevelle 1973 5.7L V8 350cid
Chevrolet Chevelle 1973 5L V8 307cid
Chevrolet Chevelle 1973 6.6L V8 400cid
Chevrolet Chevelle 1973 7.4L V8 454cid
Chevrolet Corvette 1973-1974 7.4L V8 454cid
Chevrolet Corvette 1973-1982 5.7L V8 350cid
Chevrolet Corvette 1980 5L V8 305cid
Chevrolet El Camino 1973 5L V8 307cid
Chevrolet El Camino 1973-1975 7.4L V8 454cid
Chevrolet El Camino 1973-1976 6.6L V8 400cid
Chevrolet El Camino 1973-1977 4.1L L6 250cid
Chevrolet El Camino 1973-1983 5.7L V8 350cid
Chevrolet El Camino 1976-1983 5L V8 305cid
Chevrolet El Camino 1978-1979 3.3L V6 200cid
Chevrolet El Camino 1978-1983 3.8L V6 231cid
Chevrolet El Camino 1979-1982 4.4L V8 267cid
Chevrolet El Camino 1980-1983 3.8L V6 229cid
Chevrolet Impala 1973 5L V8 307cid
Chevrolet Impala 1973-1976 6.6L V8 400cid
Chevrolet Impala 1973-1976 7.4L V8 454cid
Chevrolet Impala 1973-1979 4.1L L6 250cid
Chevrolet Impala 1973-1985 5.7L V8 350cid
Chevrolet Impala 1977-1985 5L V8 305cid
Chevrolet Impala 1980-1982 4.4L V8 267cid
Chevrolet Impala 1980-1984 3.8L V6 229cid
Chevrolet Impala 1980-1985 3.8L V6 231cid
Chevrolet Impala 1985 4.3L V6 262cid
Chevrolet Malibu 1973 5L V8 307cid
Chevrolet Malibu 1973-1975 7.4L V8 454cid
Chevrolet Malibu 1973-1976 6.6L V8 400cid
Chevrolet Malibu 1973-1981 4.1L L6 250cid
Chevrolet Malibu 1973-1983 5.7L V8 350cid
Chevrolet Malibu 1976-1983 5L V8 305cid
Chevrolet Malibu 1978-1979 3.3L V6 200cid
Chevrolet Malibu 1978-1983 3.8L V6 231cid
Chevrolet Malibu 1979-1982 4.4L V8 267cid
Chevrolet Malibu 1980-1983 3.8L V6 229cid
Chevrolet Malibu 1982-1983 4.3L V6 260cid
Chevrolet Monte Carlo 1973-1975 7.4L V8 454cid
Chevrolet Monte Carlo 1973-1976 6.6L V8 400cid
Chevrolet Monte Carlo 1973-1983 5.7L V8 350cid
Chevrolet Monte Carlo 1976-1983 5L V8 305cid
Chevrolet Monte Carlo 1978-1979 3.3L V6 200cid
Chevrolet Monte Carlo 1978-1983 3.8L V6 231cid
Chevrolet Monte Carlo 1979-1982 4.4L V8 267cid
Chevrolet Monte Carlo 1980-1983 3.8L V6 229cid
Chevrolet Monte Carlo 1982-1983 4.3L V6 260cid
GMC Caballero 1978-1979 3.3L V6 200cid
GMC Caballero 1978-1983 3.8L V6 231cid
GMC Caballero 1978-1983 5.7L V8 350cid
GMC Caballero 1978-1983 5L V8 305cid
GMC Caballero 1979-1982 4.4L V8 267cid
GMC Caballero 1980-1983 3.8L V6 229cid
GMC Sprint 1973 5L V8 307cid
GMC Sprint 1973-1975 7.4L V8 454cid
GMC Sprint 1973-1977 4.1L L6 250cid
GMC Sprint 1973-1977 5.7L V8 350cid
GMC Sprint 1974-1975 6.6L V8 402cid
GMC Sprint 1974-1976 6.6L V8 400cid
GMC Sprint 1976-1977 5L V8 305cid
Oldsmobile 98 1973-1976 7.5L V8 455cid
Oldsmobile 98 1975 6.6L V8 400cid
Oldsmobile 98 1977-1979 6.6L V8 403cid
Oldsmobile 98 1977-1984 5.7L V8 350cid
Oldsmobile 98 1980-1984 5L V8 307cid
Oldsmobile 98 1981-1983 4.1L V6 252cid
Oldsmobile Custom Cruiser 1973-1976 7.5L V8 455cid
Oldsmobile Custom Cruiser 1975 6.6L V8 400cid
Oldsmobile Custom Cruiser 1977-1979 6.6L V8 403cid
Oldsmobile Custom Cruiser 1977-1985 5.7L V8 350cid
Oldsmobile Custom Cruiser 1980-1990 5L V8 307cid
Oldsmobile Cutlass 1973-1976 7.5L V8 455cid
Oldsmobile Cutlass 1973-1981 5.7L V8 350cid
Oldsmobile Cutlass 1975-1976 4.1L L6 250cid
Oldsmobile Cutlass 1975-1981 4.3L V8 260cid
Oldsmobile Cutlass 1977 6.6L V8 403cid
Oldsmobile Cutlass 1977-1981 3.8L V6 231cid
Oldsmobile Cutlass 1978-1980 5L V8 305cid
Oldsmobile Cutlass 1981 4.4L V8 267cid
Oldsmobile Cutlass Ciera 1982-1983 2.5L L4 151cid
Oldsmobile Cutlass Ciera 1982-1983 2.8L V6 173cid
Oldsmobile Cutlass Ciera 1982-1983 3L V6 181cid
Oldsmobile Cutlass Ciera 1982-1983 4.3L V6 260cid
Oldsmobile Cutlass Cruiser 1980-1982 4.3L V8 260cid
Oldsmobile Cutlass Cruiser 1980-1983 3.8L V6 231cid
Oldsmobile Cutlass Cruiser 1980-1983 5.7L V8 350cid
Oldsmobile Cutlass Cruiser 1980-1983 5L V8 305cid
Oldsmobile Cutlass Cruiser 1981-1983 5L V8 307cid
Oldsmobile Cutlass Cruiser 1982 4.4L V8 267cid
Oldsmobile Cutlass Salon 1975-1976 7.5L V8 455cid
Oldsmobile Cutlass Salon 1975-1980 4.3L V8 260cid
Oldsmobile Cutlass Salon 1975-1980 5.7L V8 350cid
Oldsmobile Cutlass Salon 1977 6.6L V8 403cid
Oldsmobile Cutlass Salon 1978-1980 3.8L V6 231cid
Oldsmobile Cutlass Salon 1978-1980 5L V8 305cid
Oldsmobile Cutlass Supreme 1973-1976 7.5L V8 455cid
Oldsmobile Cutlass Supreme 1973-1983 5.7L V8 350cid
Oldsmobile Cutlass Supreme 1975-1976 4.1L L6 250cid
Oldsmobile Cutlass Supreme 1975-1982 4.3L V8 260cid
Oldsmobile Cutlass Supreme 1977 6.6L V8 403cid
Oldsmobile Cutlass Supreme 1977-1983 3.8L V6 231cid
Oldsmobile Cutlass Supreme 1978-1983 5L V8 305cid
Oldsmobile Cutlass Supreme 1982 4.4L V8 267cid
Oldsmobile Cutlass Supreme 1982-1983 4.3L V6 260cid
Oldsmobile Cutlass Supreme 1982-1983 5L V8 307cid
Oldsmobile Delta 88 1973-1976 7.5L V8 455cid
Oldsmobile Delta 88 1973-1985 5.7L V8 350cid
Oldsmobile Delta 88 1975 6.6L V8 400cid
Oldsmobile Delta 88 1977-1979 6.6L V8 403cid
Oldsmobile Delta 88 1977-1982 4.3L V8 260cid
Oldsmobile Delta 88 1977-1985 3.8L V6 231cid
Oldsmobile Delta 88 1979 4.9L V8 301cid
Oldsmobile Delta 88 1980-1985 5L V8 307cid
Oldsmobile Delta 88 1981-1982 4.4L V8 267cid
Oldsmobile Toronado 1973-1976 7.5L V8 455cid
Oldsmobile Toronado 1977-1978 6.6L V8 403cid
Oldsmobile Toronado 1979-1985 5.7L V8 350cid
Oldsmobile Toronado 1980-1985 5L V8 307cid
Oldsmobile Toronado 1981-1984 4.1L V6 252cid
Pontiac 6000 1982-1983 2.5L L4 151cid
Pontiac 6000 1982-1983 2.8L V6 173cid
Pontiac 6000 1982-1983 4.3L V6 260cid
Pontiac Bonneville 1973-1976 7.5L V8 455cid
Pontiac Bonneville 1973-1978 6.6L V8 400cid
Pontiac Bonneville 1974-1983 5.7L V8 350cid
Pontiac Bonneville 1977-1979 6.6L V8 403cid
Pontiac Bonneville 1977-1980 4.9L V8 301cid
Pontiac Bonneville 1980-1981 4.3L V8 265cid
Pontiac Bonneville 1980-1983 3.8L V6 231cid
Pontiac Bonneville 1981 5L V8 307cid
Pontiac Bonneville 1982 4.1L V6 252cid
Pontiac Bonneville 1983 5L V8 305cid
Pontiac Catalina 1973-1976 7.5L V8 455cid
Pontiac Catalina 1973-1978 6.6L V8 400cid
Pontiac Catalina 1973-1981 5.7L V8 350cid
Pontiac Catalina 1977-1979 4.1L L6 250cid
Pontiac Catalina 1977-1979 6.6L V8 403cid
Pontiac Catalina 1977-1980 4.9L V8 301cid
Pontiac Catalina 1977-1981 3.8L V6 231cid
Pontiac Catalina 1980 3.8L V6 229cid
Pontiac Catalina 1980-1981 4.3L V8 265cid
Pontiac Catalina 1980-1981 4.4L V8 267cid
Pontiac Catalina 1980-1981 5L V8 305cid
Pontiac Catalina 1981 5L V8 307cid
Pontiac Firebird 1973-1976 4.1L L6 250cid
Pontiac Firebird 1973-1976 7.5L V8 455cid
Pontiac Firebird 1973-1979 5.7L V8 350cid
Pontiac Firebird 1973-1979 6.6L V8 400cid
Pontiac Firebird 1977-1979 6.6L V8 403cid
Pontiac Firebird 1977-1981 3.8L V6 231cid
Pontiac Firebird 1977-1981 4.9L V8 301cid
Pontiac Firebird 1977-1983 5L V8 305cid
Pontiac Firebird 1980-1981 4.3L V8 265cid
Pontiac Firebird 1981 4.4L V8 267cid
Pontiac Firebird 1982-1983 2.5L L4 151cid
Pontiac Firebird 1982-1983 2.8L V6 173cid
Pontiac Grand Am 1973-1975 5.7L V8 350cid
Pontiac Grand Am 1973-1975 6.6L V8 400cid
Pontiac Grand Am 1973-1975 7.5L V8 455cid
Pontiac Grand Am 1978-1980 4.9L V8 301cid
Pontiac Grand Am 1978-1980 5L V8 305cid
Pontiac Grand Am 1979 3.8L V6 231cid
Pontiac Grand Prix 1973-1976 7.5L V8 455cid
Pontiac Grand Prix 1973-1977 6.6L V8 400cid
Pontiac Grand Prix 1976-1983 5.7L V8 350cid
Pontiac Grand Prix 1977 6.6L V8 403cid
Pontiac Grand Prix 1977-1980 4.9L V8 301cid
Pontiac Grand Prix 1978-1983 3.8L V6 231cid
Pontiac Grand Prix 1978-1983 5L V8 305cid
Pontiac Grand Prix 1980-1981 4.3L V8 265cid
Pontiac Grand Prix 1981-1982 4.4L V8 267cid
Pontiac Grand Prix 1982 4.1L V6 252cid
Pontiac Grand Safari 1975 6.6L V8 400cid
Pontiac Grand Safari 1975 7.5L V8 455cid
Pontiac LeMans 1973-1976 7.5L V8 455cid
Pontiac LeMans 1973-1977 4.1L L6 250cid
Pontiac LeMans 1973-1977 6.6L V8 400cid
Pontiac LeMans 1973-1979 5.7L V8 350cid
Pontiac LeMans 1976 4.3L V8 260cid
Pontiac LeMans 1976-1981 5L V8 305cid
Pontiac LeMans 1977 6.6L V8 403cid
Pontiac LeMans 1977-1981 3.8L V6 231cid
Pontiac LeMans 1977-1981 4.9L V8 301cid
Pontiac LeMans 1978-1979 3.3L V6 200cid
Pontiac LeMans 1979-1981 4.4L V8 267cid
Pontiac LeMans 1980-1981 3.8L V6 229cid
Pontiac LeMans 1980-1981 4.3L V8 265cid
Pontiac Parisienne 1982 4.4L V8 267cid
Pontiac Parisienne 1982-1985 3.8L V6 231cid
Pontiac Parisienne 1982-1985 5.7L V8 350cid
Pontiac Parisienne 1982-1986 5L V8 305cid
Pontiac Parisienne 1985-1986 4.3L V6 262cid
Pontiac Parisienne 1986 5L V8 307cid
Pontiac Safari 1987-1989 5L V8 307cid</t>
        </is>
      </c>
      <c r="I136" t="inlineStr">
        <is>
          <t>{"0": {"productDeskExternalKey": "CPCX|40-162"}, "1": {"Package Contents": "Wiper Motor; Instruction Sheet; Nut; Alignment Tool"}, "2": {"E-Waste": "Yes"}, "3": {"Product Condition": "Remanufactured"}, "4": {"Mounting Hole Quantity": "3"}, "5": {"Terminal Type": "Blade"}, "6": {"Mounting Type": "Eyelet; Grommet"}, "7": {"Weight PG": "5.7900"}, "8": {"Washer Pump Included": "No"}, "9": {"Part Type": "Windshield Wiper Motor"}, "10": {"Warranty Info": "1 Year/18,000 Mile"}, "11": {"Sustainable Choice": "Yes"}, "12": {"Lifecycle Status": "Available to Order"}, "13": {"ItemLevelGTIN": "00082617039796"}, "14": {"_addonCardone": "40-162::98271:101080:306"}, "15": {"Eligible for R&amp;R Service": "Yes"}}</t>
        </is>
      </c>
      <c r="J136" t="inlineStr">
        <is>
          <t>https://www.cardone.com/product/windshield-wiper-motor-40-162</t>
        </is>
      </c>
      <c r="K136">
        <f>DISPIMG("ID_3EACA55EC0DE4399A0D73BAAF750DF8E",1)</f>
        <v/>
      </c>
      <c r="L136" t="inlineStr">
        <is>
          <t>CPCX|40-162</t>
        </is>
      </c>
      <c r="M136" t="inlineStr">
        <is>
          <t>Wiper Motor; Instruction Sheet; Nut; Alignment Tool</t>
        </is>
      </c>
      <c r="N136" t="inlineStr">
        <is>
          <t>Yes</t>
        </is>
      </c>
      <c r="O136" t="inlineStr">
        <is>
          <t>Remanufactured</t>
        </is>
      </c>
      <c r="P136" t="inlineStr">
        <is>
          <t>3</t>
        </is>
      </c>
      <c r="Q136" t="inlineStr">
        <is>
          <t>Blade</t>
        </is>
      </c>
      <c r="R136" t="inlineStr">
        <is>
          <t>Eyelet; Grommet</t>
        </is>
      </c>
      <c r="S136" t="inlineStr">
        <is>
          <t>5.7900</t>
        </is>
      </c>
      <c r="T136" t="inlineStr">
        <is>
          <t>No</t>
        </is>
      </c>
      <c r="U136" t="inlineStr">
        <is>
          <t>1 Year/18,000 Mile</t>
        </is>
      </c>
      <c r="V136" t="inlineStr">
        <is>
          <t>Yes</t>
        </is>
      </c>
      <c r="W136" t="inlineStr">
        <is>
          <t>Available to Order</t>
        </is>
      </c>
      <c r="X136" t="inlineStr"/>
      <c r="Y136" t="inlineStr">
        <is>
          <t>00082617039796</t>
        </is>
      </c>
      <c r="Z136" t="inlineStr">
        <is>
          <t>40-162::98271:101080:306</t>
        </is>
      </c>
      <c r="AA136" t="inlineStr">
        <is>
          <t>Yes</t>
        </is>
      </c>
      <c r="AB136" t="inlineStr"/>
      <c r="AC136" t="inlineStr"/>
    </row>
    <row r="137">
      <c r="A137" t="inlineStr">
        <is>
          <t>136</t>
        </is>
      </c>
      <c r="B137" t="inlineStr">
        <is>
          <t>Windshield Wiper Motor</t>
        </is>
      </c>
      <c r="C137" t="inlineStr">
        <is>
          <t>40-163</t>
        </is>
      </c>
      <c r="D137" t="inlineStr">
        <is>
          <t>Windshield Wiper Motor - 40-163</t>
        </is>
      </c>
      <c r="E137" t="inlineStr">
        <is>
          <t>CARDONE Reman</t>
        </is>
      </c>
      <c r="F137" t="inlineStr">
        <is>
          <t>22094381</t>
        </is>
      </c>
      <c r="G137" t="inlineStr">
        <is>
          <t>Chevrolet Lumina APV 1990-1993
Oldsmobile Silhouette 1990-1993
Pontiac Trans Sport 1990-1993</t>
        </is>
      </c>
      <c r="H137" t="inlineStr">
        <is>
          <t>Chevrolet Lumina APV 1990-1993 3.1L V6 189cid
Chevrolet Lumina APV 1992-1993 3.8L V6 231cid
Oldsmobile Silhouette 1990-1993 3.1L V6 189cid
Oldsmobile Silhouette 1992-1993 3.8L V6 231cid
Pontiac Trans Sport 1990-1993 3.1L V6 189cid
Pontiac Trans Sport 1992-1993 3.8L V6 231cid</t>
        </is>
      </c>
      <c r="I137" t="inlineStr">
        <is>
          <t>{"0": {"productDeskExternalKey": "CPCX|40-163"}, "1": {"Package Contents": "Wiper Motor; Instruction Sheet"}, "2": {"E-Waste": "Yes"}, "3": {"Product Condition": "Remanufactured"}, "4": {"Mounting Hole Quantity": "2"}, "5": {"Terminal Type": "Blade"}, "6": {"Mounting Type": "Grommet"}, "7": {"Weight PG": "2.3400"}, "8": {"Washer Pump Included": "No"}, "9": {"Part Type": "Windshield Wiper Motor"}, "10": {"Warranty Info": "1 Year/18,000 Mile"}, "11": {"Sustainable Choice": "Yes"}, "12": {"Lifecycle Status": "Available to Order"}, "13": {"Application Summary": "Chevrolet Lumina APV 1993-90; Oldsmobile Silhouette 1993-90; Pontiac Trans Sport 1993-90"}, "14": {"ItemLevelGTIN": "00082617176460"}, "15": {"_addonCardone": "40-163::98271:101082:306"}, "16": {"Eligible for R&amp;R Service": "Yes"}}</t>
        </is>
      </c>
      <c r="J137" t="inlineStr">
        <is>
          <t>https://www.cardone.com/product/windshield-wiper-motor-40-163</t>
        </is>
      </c>
      <c r="K137">
        <f>DISPIMG("ID_AB04968658CB4242A6D12B2B6724CADC",1)</f>
        <v/>
      </c>
      <c r="L137" t="inlineStr">
        <is>
          <t>CPCX|40-163</t>
        </is>
      </c>
      <c r="M137" t="inlineStr">
        <is>
          <t>Wiper Motor; Instruction Sheet</t>
        </is>
      </c>
      <c r="N137" t="inlineStr">
        <is>
          <t>Yes</t>
        </is>
      </c>
      <c r="O137" t="inlineStr">
        <is>
          <t>Remanufactured</t>
        </is>
      </c>
      <c r="P137" t="inlineStr">
        <is>
          <t>2</t>
        </is>
      </c>
      <c r="Q137" t="inlineStr">
        <is>
          <t>Blade</t>
        </is>
      </c>
      <c r="R137" t="inlineStr">
        <is>
          <t>Grommet</t>
        </is>
      </c>
      <c r="S137" t="inlineStr">
        <is>
          <t>2.3400</t>
        </is>
      </c>
      <c r="T137" t="inlineStr">
        <is>
          <t>No</t>
        </is>
      </c>
      <c r="U137" t="inlineStr">
        <is>
          <t>1 Year/18,000 Mile</t>
        </is>
      </c>
      <c r="V137" t="inlineStr">
        <is>
          <t>Yes</t>
        </is>
      </c>
      <c r="W137" t="inlineStr">
        <is>
          <t>Available to Order</t>
        </is>
      </c>
      <c r="X137" t="inlineStr">
        <is>
          <t>Chevrolet Lumina APV 1993-90; Oldsmobile Silhouette 1993-90; Pontiac Trans Sport 1993-90</t>
        </is>
      </c>
      <c r="Y137" t="inlineStr">
        <is>
          <t>00082617176460</t>
        </is>
      </c>
      <c r="Z137" t="inlineStr">
        <is>
          <t>40-163::98271:101082:306</t>
        </is>
      </c>
      <c r="AA137" t="inlineStr">
        <is>
          <t>Yes</t>
        </is>
      </c>
      <c r="AB137" t="inlineStr"/>
      <c r="AC137" t="inlineStr"/>
    </row>
    <row r="138">
      <c r="A138" t="inlineStr">
        <is>
          <t>137</t>
        </is>
      </c>
      <c r="B138" t="inlineStr">
        <is>
          <t>Windshield Wiper Motor</t>
        </is>
      </c>
      <c r="C138" t="inlineStr">
        <is>
          <t>40-166</t>
        </is>
      </c>
      <c r="D138" t="inlineStr">
        <is>
          <t>Windshield Wiper Motor - 40-166</t>
        </is>
      </c>
      <c r="E138" t="inlineStr">
        <is>
          <t>CARDONE Reman</t>
        </is>
      </c>
      <c r="F138" t="inlineStr">
        <is>
          <t>9651058</t>
        </is>
      </c>
      <c r="G138" t="inlineStr">
        <is>
          <t>Buick Electra 1974-1975
Buick Estate Wagon 1974-1975
Buick LeSabre 1974-1975
Buick Regal 1974-1975
Buick Riviera 1974-1975
Cadillac Calais 1974-1975
Cadillac Commercial Chassis 1974
Cadillac DeVille 1974-1975
Cadillac Eldorado 1974-1975
Cadillac Fleetwood 1974-1975
Oldsmobile 98 1974-1975
Oldsmobile Custom Cruiser 1974-1975
Oldsmobile Delta 88 1974-1975
Oldsmobile Toronado 1974-1975
Pontiac Bonneville 1975
Pontiac Catalina 1975
Pontiac Grand Safari 1975</t>
        </is>
      </c>
      <c r="H138" t="inlineStr">
        <is>
          <t>Buick Electra 1974-1975 7.5L V8 455cid
Buick Estate Wagon 1974-1975 7.5L V8 455cid
Buick LeSabre 1974-1975 5.7L V8 350cid
Buick LeSabre 1974-1975 7.5L V8 455cid
Buick LeSabre 1975 6.6L V8 400cid
Buick Regal 1974 7.5L V8 455cid
Buick Regal 1974-1975 5.7L V8 350cid
Buick Regal 1975 3.8L V6 231cid
Buick Riviera 1974-1975 7.5L V8 455cid
Cadillac Calais 1974 7.7L V8 472cid
Cadillac Calais 1975 8.2L V8 500cid
Cadillac Commercial Chassis 1974
Cadillac Commercial Chassis 1974 7.7L V8 472cid
Cadillac DeVille 1974 7.7L V8 472cid
Cadillac DeVille 1975 8.2L V8 500cid
Cadillac Eldorado 1974-1975 8.2L V8 500cid
Cadillac Fleetwood 1974 7.7L V8 472cid
Cadillac Fleetwood 1975 8.2L V8 500cid
Oldsmobile 98 1974-1975 7.5L V8 455cid
Oldsmobile 98 1975 6.6L V8 400cid
Oldsmobile Custom Cruiser 1974-1975 7.5L V8 455cid
Oldsmobile Custom Cruiser 1975 6.6L V8 400cid
Oldsmobile Delta 88 1974-1975 5.7L V8 350cid
Oldsmobile Delta 88 1974-1975 7.5L V8 455cid
Oldsmobile Delta 88 1975 6.6L V8 400cid
Oldsmobile Toronado 1974-1975 7.5L V8 455cid
Pontiac Bonneville 1975 6.6L V8 400cid
Pontiac Bonneville 1975 7.5L V8 455cid
Pontiac Catalina 1975 6.6L V8 400cid
Pontiac Catalina 1975 7.5L V8 455cid
Pontiac Grand Safari 1975 6.6L V8 400cid
Pontiac Grand Safari 1975 7.5L V8 455cid</t>
        </is>
      </c>
      <c r="I138" t="inlineStr">
        <is>
          <t>{"0": {"productDeskExternalKey": "CPCX|40-166"}, "1": {"Package Contents": "Wiper Motor; Instruction Sheet; Nut; Alignment Tool"}, "2": {"E-Waste": "Yes"}, "3": {"Product Condition": "Remanufactured"}, "4": {"Mounting Hole Quantity": "3"}, "5": {"Terminal Type": "Blade"}, "6": {"Mounting Type": "Grommet"}, "7": {"Weight PG": "5.8000"}, "8": {"Washer Pump Included": "No"}, "9": {"Part Type": "Windshield Wiper Motor"}, "10": {"Warranty Info": "1 Year/18,000 Mile"}, "11": {"Sustainable Choice": "Yes"}, "12": {"Lifecycle Status": "Available to Order"}, "13": {"ItemLevelGTIN": "00082617039819"}, "14": {"_addonCardone": "40-166::98271:101085:306"}, "15": {"Eligible for R&amp;R Service": "Yes"}}</t>
        </is>
      </c>
      <c r="J138" t="inlineStr">
        <is>
          <t>https://www.cardone.com/product/windshield-wiper-motor-40-166</t>
        </is>
      </c>
      <c r="K138">
        <f>DISPIMG("ID_4926B57F051C4D25B818DB689ABE2BA8",1)</f>
        <v/>
      </c>
      <c r="L138" t="inlineStr">
        <is>
          <t>CPCX|40-166</t>
        </is>
      </c>
      <c r="M138" t="inlineStr">
        <is>
          <t>Wiper Motor; Instruction Sheet; Nut; Alignment Tool</t>
        </is>
      </c>
      <c r="N138" t="inlineStr">
        <is>
          <t>Yes</t>
        </is>
      </c>
      <c r="O138" t="inlineStr">
        <is>
          <t>Remanufactured</t>
        </is>
      </c>
      <c r="P138" t="inlineStr">
        <is>
          <t>3</t>
        </is>
      </c>
      <c r="Q138" t="inlineStr">
        <is>
          <t>Blade</t>
        </is>
      </c>
      <c r="R138" t="inlineStr">
        <is>
          <t>Grommet</t>
        </is>
      </c>
      <c r="S138" t="inlineStr">
        <is>
          <t>5.8000</t>
        </is>
      </c>
      <c r="T138" t="inlineStr">
        <is>
          <t>No</t>
        </is>
      </c>
      <c r="U138" t="inlineStr">
        <is>
          <t>1 Year/18,000 Mile</t>
        </is>
      </c>
      <c r="V138" t="inlineStr">
        <is>
          <t>Yes</t>
        </is>
      </c>
      <c r="W138" t="inlineStr">
        <is>
          <t>Available to Order</t>
        </is>
      </c>
      <c r="X138" t="inlineStr"/>
      <c r="Y138" t="inlineStr">
        <is>
          <t>00082617039819</t>
        </is>
      </c>
      <c r="Z138" t="inlineStr">
        <is>
          <t>40-166::98271:101085:306</t>
        </is>
      </c>
      <c r="AA138" t="inlineStr">
        <is>
          <t>Yes</t>
        </is>
      </c>
      <c r="AB138" t="inlineStr"/>
      <c r="AC138" t="inlineStr"/>
    </row>
    <row r="139">
      <c r="A139" t="inlineStr">
        <is>
          <t>138</t>
        </is>
      </c>
      <c r="B139" t="inlineStr">
        <is>
          <t>Windshield Wiper Motor</t>
        </is>
      </c>
      <c r="C139" t="inlineStr">
        <is>
          <t>40-168</t>
        </is>
      </c>
      <c r="D139" t="inlineStr">
        <is>
          <t>Windshield Wiper Motor - 40-168</t>
        </is>
      </c>
      <c r="E139" t="inlineStr">
        <is>
          <t>CARDONE Reman</t>
        </is>
      </c>
      <c r="F139" t="inlineStr">
        <is>
          <t>4961608</t>
        </is>
      </c>
      <c r="G139" t="inlineStr">
        <is>
          <t>Buick Century 1974-1983
Buick Electra 1975-1989
Buick Estate Wagon 1975-1983
Buick LeSabre 1975-1990
Buick Regal 1975-1983
Buick Riviera 1975-1985
Cadillac Brougham 1987-1991
Cadillac Calais 1975-1976
Cadillac Commercial Chassis 1975-1984
Cadillac DeVille 1975-1984
Cadillac Eldorado 1975-1985
Cadillac Fleetwood 1975-1991
Cadillac Seville 1976-1985
Chevrolet Bel Air 1975
Chevrolet Camaro 1977-1983
Chevrolet Caprice 1975-1990
Chevrolet Celebrity 1982-1983
Chevrolet El Camino 1975-1983
Chevrolet Impala 1975-1985
Chevrolet Malibu 1975-1983
Chevrolet Monte Carlo 1975-1983
GMC Caballero 1978-1983
GMC Sprint 1975-1977
Oldsmobile 98 1975-1984
Oldsmobile Custom Cruiser 1975-1990
Oldsmobile Cutlass 1974-1981
Oldsmobile Cutlass Ciera 1982-1983
Oldsmobile Cutlass Cruiser 1980-1983
Oldsmobile Cutlass Salon 1975-1980
Oldsmobile Cutlass Supreme 1974-1983
Oldsmobile Delta 88 1975-1985
Oldsmobile Toronado 1975-1985
Pontiac 6000 1982-1983
Pontiac Bonneville 1975-1983
Pontiac Catalina 1975-1981
Pontiac Firebird 1978-1983
Pontiac Grand Am 1975-1980
Pontiac Grand Prix 1975-1983
Pontiac Grand Safari 1975
Pontiac LeMans 1975-1981
Pontiac Parisienne 1982-1986
Pontiac Safari 1987-1989</t>
        </is>
      </c>
      <c r="H139" t="inlineStr">
        <is>
          <t>Buick Century 1974 7.5L V8 455cid
Buick Century 1974-1981 5.7L V8 350cid
Buick Century 1975-1981 3.8L V6 231cid
Buick Century 1977 6.6L V8 403cid
Buick Century 1977-1981 5L V8 305cid
Buick Century 1978-1979 3.2L V6 196cid
Buick Century 1979-1980 4.9L V8 301cid
Buick Century 1980-1981 4.3L V8 265cid
Buick Century 1981 4.4L V8 267cid
Buick Century 1982-1983 2.5L L4 151cid
Buick Century 1982-1983 2.8L V6 173cid
Buick Century 1982-1983 3L V6 181cid
Buick Century 1982-1983 4.3L V6 260cid
Buick Electra 1975-1976 7.5L V8 455cid
Buick Electra 1976-1984 5.7L V8 350cid
Buick Electra 1977-1979 6.6L V8 403cid
Buick Electra 1980 4.9L V8 301cid
Buick Electra 1980-1984 4.1L V6 252cid
Buick Electra 1981-1989 5L V8 307cid
Buick Estate Wagon 1975-1976 7.5L V8 455cid
Buick Estate Wagon 1977-1979 6.6L V8 403cid
Buick Estate Wagon 1977-1983 5.7L V8 350cid
Buick Estate Wagon 1980 4.9L V8 301cid
Buick Estate Wagon 1981-1983 5L V8 307cid
Buick LeSabre 1975 6.6L V8 400cid
Buick LeSabre 1975-1976 7.5L V8 455cid
Buick LeSabre 1975-1985 5.7L V8 350cid
Buick LeSabre 1976-1985 3.8L V6 231cid
Buick LeSabre 1977-1978 6.6L V8 403cid
Buick LeSabre 1977-1980 4.9L V8 301cid
Buick LeSabre 1978 5L V8 305cid
Buick LeSabre 1980-1984 4.1L V6 252cid
Buick LeSabre 1981-1990 5L V8 307cid
Buick LeSabre 1982 4.4L V8 267cid
Buick Regal 1975-1983 3.8L V6 231cid
Buick Regal 1975-1983 5.7L V8 350cid
Buick Regal 1977-1983 5L V8 305cid
Buick Regal 1978-1979 3.2L V6 196cid
Buick Regal 1979-1980 4.9L V8 301cid
Buick Regal 1980-1981 4.3L V8 265cid
Buick Regal 1981-1982 4.4L V8 267cid
Buick Regal 1982-1983 4.1L V6 252cid
Buick Regal 1982-1983 4.3L V6 260cid
Buick Riviera 1975-1976 7.5L V8 455cid
Buick Riviera 1977-1978 6.6L V8 403cid
Buick Riviera 1977-1985 5.7L V8 350cid
Buick Riviera 1979-1985 3.8L V6 231cid
Buick Riviera 1980-1985 5L V8 307cid
Buick Riviera 1981-1984 4.1L V6 252cid
Cadillac Brougham 1987-1990 5L V8 307cid
Cadillac Brougham 1990-1991 5.7L V8 350cid
Cadillac Brougham 1991 5L V8 305cid
Cadillac Calais 1975-1976 8.2L V8 500cid
Cadillac Commercial Chassis 1975-1976 8.2L V8 500cid
Cadillac Commercial Chassis 1977-1979 7L V8 425cid
Cadillac Commercial Chassis 1980-1984 6L V8 368cid
Cadillac DeVille 1975-1976 8.2L V8 500cid
Cadillac DeVille 1977-1979 7L V8 425cid
Cadillac DeVille 1979-1984 5.7L V8 350cid
Cadillac DeVille 1980-1981 6L V8 368cid
Cadillac DeVille 1980-1982 4.1L V6 252cid
Cadillac DeVille 1982-1984 4.1L V8 250cid
Cadillac Eldorado 1975-1976 8.2L V8 500cid
Cadillac Eldorado 1977-1978 7L V8 425cid
Cadillac Eldorado 1979-1985 5.7L V8 350cid
Cadillac Eldorado 1980-1981 6L V8 368cid
Cadillac Eldorado 1981-1982 4.1L V6 252cid
Cadillac Eldorado 1982-1985 4.1L V8 250cid
Cadillac Fleetwood 1975-1976 8.2L V8 500cid
Cadillac Fleetwood 1977-1979 7L V8 425cid
Cadillac Fleetwood 1979-1985 5.7L V8 350cid
Cadillac Fleetwood 1980-1982 4.1L V6 252cid
Cadillac Fleetwood 1980-1984 6L V8 368cid
Cadillac Fleetwood 1982-1987 4.1L V8 250cid
Cadillac Fleetwood 1985 4.3L V6 260cid
Cadillac Fleetwood 1986 5L V8 307cid
Cadillac Fleetwood 1988-1990 4.5L V8 273cid
Cadillac Fleetwood 1991 4.9L V8 300cid
Cadillac Seville 1976-1985 5.7L V8 350cid
Cadillac Seville 1980-1981 6L V8 368cid
Cadillac Seville 1981-1982 4.1L V6 252cid
Cadillac Seville 1982-1985 4.1L V8 250cid
Chevrolet Bel Air 1975 5.7L V8 350cid
Chevrolet Bel Air 1975 6.6L V8 400cid
Chevrolet Bel Air 1975 7.4L V8 454cid
Chevrolet Camaro 1977-1979 4.1L L6 250cid
Chevrolet Camaro 1977-1981 5.7L V8 350cid
Chevrolet Camaro 1977-1983 5L V8 305cid
Chevrolet Camaro 1980-1981 3.8L V6 229cid
Chevrolet Camaro 1980-1981 3.8L V6 231cid
Chevrolet Camaro 1980-1981 4.4L V8 267cid
Chevrolet Camaro 1982-1983 2.5L L4 151cid
Chevrolet Camaro 1982-1983 2.8L V6 173cid
Chevrolet Caprice 1975-1976 6.6L V8 400cid
Chevrolet Caprice 1975-1976 7.4L V8 454cid
Chevrolet Caprice 1975-1990 5.7L V8 350cid
Chevrolet Caprice 1977-1979 4.1L L6 250cid
Chevrolet Caprice 1977-1990 5L V8 305cid
Chevrolet Caprice 1980-1982 4.4L V8 267cid
Chevrolet Caprice 1980-1984 3.8L V6 229cid
Chevrolet Caprice 1980-1985 3.8L V6 231cid
Chevrolet Caprice 1985-1990 4.3L V6 262cid
Chevrolet Caprice 1986-1990 5L V8 307cid
Chevrolet Celebrity 1982-1983 2.5L L4 151cid
Chevrolet Celebrity 1982-1983 2.8L V6 173cid
Chevrolet Celebrity 1982-1983 4.3L V6 260cid
Chevrolet El Camino 1975 7.4L V8 454cid
Chevrolet El Camino 1975-1976 6.6L V8 400cid
Chevrolet El Camino 1975-1977 4.1L L6 250cid
Chevrolet El Camino 1975-1983 5.7L V8 350cid
Chevrolet El Camino 1976-1983 5L V8 305cid
Chevrolet El Camino 1978-1979 3.3L V6 200cid
Chevrolet El Camino 1978-1983 3.8L V6 231cid
Chevrolet El Camino 1979-1982 4.4L V8 267cid
Chevrolet El Camino 1980-1983 3.8L V6 229cid
Chevrolet Impala 1975-1976 6.6L V8 400cid
Chevrolet Impala 1975-1976 7.4L V8 454cid
Chevrolet Impala 1975-1985 5.7L V8 350cid
Chevrolet Impala 1977-1979 4.1L L6 250cid
Chevrolet Impala 1977-1985 5L V8 305cid
Chevrolet Impala 1980-1982 4.4L V8 267cid
Chevrolet Impala 1980-1984 3.8L V6 229cid
Chevrolet Impala 1980-1985 3.8L V6 231cid
Chevrolet Impala 1985 4.3L V6 262cid
Chevrolet Malibu 1975 7.4L V8 454cid
Chevrolet Malibu 1975-1976 6.6L V8 400cid
Chevrolet Malibu 1975-1981 4.1L L6 250cid
Chevrolet Malibu 1975-1983 5.7L V8 350cid
Chevrolet Malibu 1976-1983 5L V8 305cid
Chevrolet Malibu 1978-1979 3.3L V6 200cid
Chevrolet Malibu 1978-1983 3.8L V6 231cid
Chevrolet Malibu 1979-1982 4.4L V8 267cid
Chevrolet Malibu 1980-1983 3.8L V6 229cid
Chevrolet Malibu 1982-1983 4.3L V6 260cid
Chevrolet Monte Carlo 1975 7.4L V8 454cid
Chevrolet Monte Carlo 1975-1976 6.6L V8 400cid
Chevrolet Monte Carlo 1975-1983 5.7L V8 350cid
Chevrolet Monte Carlo 1976-1983 5L V8 305cid
Chevrolet Monte Carlo 1978-1979 3.3L V6 200cid
Chevrolet Monte Carlo 1978-1983 3.8L V6 231cid
Chevrolet Monte Carlo 1979-1982 4.4L V8 267cid
Chevrolet Monte Carlo 1980-1983 3.8L V6 229cid
Chevrolet Monte Carlo 1982-1983 4.3L V6 260cid
GMC Caballero 1978-1979 3.3L V6 200cid
GMC Caballero 1978-1983 3.8L V6 231cid
GMC Caballero 1978-1983 5.7L V8 350cid
GMC Caballero 1978-1983 5L V8 305cid
GMC Caballero 1979-1982 4.4L V8 267cid
GMC Caballero 1980-1983 3.8L V6 229cid
GMC Sprint 1975 6.6L V8 402cid
GMC Sprint 1975 7.4L V8 454cid
GMC Sprint 1975-1976 6.6L V8 400cid
GMC Sprint 1975-1977 4.1L L6 250cid
GMC Sprint 1975-1977 5.7L V8 350cid
GMC Sprint 1976-1977 5L V8 305cid
Oldsmobile 98 1975 6.6L V8 400cid
Oldsmobile 98 1975-1976 7.5L V8 455cid
Oldsmobile 98 1977-1979 6.6L V8 403cid
Oldsmobile 98 1977-1984 5.7L V8 350cid
Oldsmobile 98 1980-1984 5L V8 307cid
Oldsmobile 98 1981-1983 4.1L V6 252cid
Oldsmobile Custom Cruiser 1975 6.6L V8 400cid
Oldsmobile Custom Cruiser 1975-1976 7.5L V8 455cid
Oldsmobile Custom Cruiser 1977-1979 6.6L V8 403cid
Oldsmobile Custom Cruiser 1977-1985 5.7L V8 350cid
Oldsmobile Custom Cruiser 1980-1990 5L V8 307cid
Oldsmobile Cutlass 1974-1976 7.5L V8 455cid
Oldsmobile Cutlass 1974-1981 5.7L V8 350cid
Oldsmobile Cutlass 1975-1976 4.1L L6 250cid
Oldsmobile Cutlass 1975-1981 4.3L V8 260cid
Oldsmobile Cutlass 1977 6.6L V8 403cid
Oldsmobile Cutlass 1977-1981 3.8L V6 231cid
Oldsmobile Cutlass 1978-1980 5L V8 305cid
Oldsmobile Cutlass 1981 4.4L V8 267cid
Oldsmobile Cutlass Ciera 1982-1983 2.5L L4 151cid
Oldsmobile Cutlass Ciera 1982-1983 2.8L V6 173cid
Oldsmobile Cutlass Ciera 1982-1983 3L V6 181cid
Oldsmobile Cutlass Ciera 1982-1983 4.3L V6 260cid
Oldsmobile Cutlass Cruiser 1980-1982 4.3L V8 260cid
Oldsmobile Cutlass Cruiser 1980-1983 3.8L V6 231cid
Oldsmobile Cutlass Cruiser 1980-1983 5.7L V8 350cid
Oldsmobile Cutlass Cruiser 1980-1983 5L V8 305cid
Oldsmobile Cutlass Cruiser 1981-1983 5L V8 307cid
Oldsmobile Cutlass Cruiser 1982 4.4L V8 267cid
Oldsmobile Cutlass Salon 1975-1976 7.5L V8 455cid
Oldsmobile Cutlass Salon 1975-1980 4.3L V8 260cid
Oldsmobile Cutlass Salon 1975-1980 5.7L V8 350cid
Oldsmobile Cutlass Salon 1977 6.6L V8 403cid
Oldsmobile Cutlass Salon 1978-1980 3.8L V6 231cid
Oldsmobile Cutlass Salon 1978-1980 5L V8 305cid
Oldsmobile Cutlass Supreme 1974-1976 7.5L V8 455cid
Oldsmobile Cutlass Supreme 1974-1983 5.7L V8 350cid
Oldsmobile Cutlass Supreme 1975-1976 4.1L L6 250cid
Oldsmobile Cutlass Supreme 1975-1982 4.3L V8 260cid
Oldsmobile Cutlass Supreme 1977 6.6L V8 403cid
Oldsmobile Cutlass Supreme 1977-1983 3.8L V6 231cid
Oldsmobile Cutlass Supreme 1978-1983 5L V8 305cid
Oldsmobile Cutlass Supreme 1982 4.4L V8 267cid
Oldsmobile Cutlass Supreme 1982-1983 4.3L V6 260cid
Oldsmobile Cutlass Supreme 1982-1983 5L V8 307cid
Oldsmobile Delta 88 1975 6.6L V8 400cid
Oldsmobile Delta 88 1975-1976 7.5L V8 455cid
Oldsmobile Delta 88 1975-1985 5.7L V8 350cid
Oldsmobile Delta 88 1977-1979 6.6L V8 403cid
Oldsmobile Delta 88 1977-1982 4.3L V8 260cid
Oldsmobile Delta 88 1977-1985 3.8L V6 231cid
Oldsmobile Delta 88 1979 4.9L V8 301cid
Oldsmobile Delta 88 1980-1985 5L V8 307cid
Oldsmobile Delta 88 1981-1982 4.4L V8 267cid
Oldsmobile Toronado 1975-1976 7.5L V8 455cid
Oldsmobile Toronado 1977-1978 6.6L V8 403cid
Oldsmobile Toronado 1979-1985 5.7L V8 350cid
Oldsmobile Toronado 1980-1985 5L V8 307cid
Oldsmobile Toronado 1981-1984 4.1L V6 252cid
Pontiac 6000 1982-1983 2.5L L4 151cid
Pontiac 6000 1982-1983 2.8L V6 173cid
Pontiac 6000 1982-1983 4.3L V6 260cid
Pontiac Bonneville 1975-1976 7.5L V8 455cid
Pontiac Bonneville 1975-1978 6.6L V8 400cid
Pontiac Bonneville 1977-1979 6.6L V8 403cid
Pontiac Bonneville 1977-1980 4.9L V8 301cid
Pontiac Bonneville 1977-1983 5.7L V8 350cid
Pontiac Bonneville 1980-1981 4.3L V8 265cid
Pontiac Bonneville 1980-1983 3.8L V6 231cid
Pontiac Bonneville 1981 5L V8 307cid
Pontiac Bonneville 1982 4.1L V6 252cid
Pontiac Bonneville 1983 5L V8 305cid
Pontiac Catalina 1975-1976 7.5L V8 455cid
Pontiac Catalina 1975-1978 6.6L V8 400cid
Pontiac Catalina 1976-1981 5.7L V8 350cid
Pontiac Catalina 1977-1979 4.1L L6 250cid
Pontiac Catalina 1977-1979 6.6L V8 403cid
Pontiac Catalina 1977-1980 4.9L V8 301cid
Pontiac Catalina 1977-1981 3.8L V6 231cid
Pontiac Catalina 1980 3.8L V6 229cid
Pontiac Catalina 1980-1981 4.3L V8 265cid
Pontiac Catalina 1980-1981 4.4L V8 267cid
Pontiac Catalina 1980-1981 5L V8 305cid
Pontiac Catalina 1981 5L V8 307cid
Pontiac Firebird 1978-1979 5.7L V8 350cid
Pontiac Firebird 1978-1979 6.6L V8 400cid
Pontiac Firebird 1978-1979 6.6L V8 403cid
Pontiac Firebird 1978-1981 3.8L V6 231cid
Pontiac Firebird 1978-1983 5L V8 305cid
Pontiac Firebird 1979-1981 4.9L V8 301cid
Pontiac Firebird 1980-1981 4.3L V8 265cid
Pontiac Firebird 1981 4.4L V8 267cid
Pontiac Firebird 1982-1983 2.5L L4 151cid
Pontiac Firebird 1982-1983 2.8L V6 173cid
Pontiac Grand Am 1975 5.7L V8 350cid
Pontiac Grand Am 1975 6.6L V8 400cid
Pontiac Grand Am 1975 7.5L V8 455cid
Pontiac Grand Am 1978-1980 4.9L V8 301cid
Pontiac Grand Am 1978-1980 5L V8 305cid
Pontiac Grand Am 1979 3.8L V6 231cid
Pontiac Grand Prix 1975-1976 7.5L V8 455cid
Pontiac Grand Prix 1975-1977 6.6L V8 400cid
Pontiac Grand Prix 1976-1983 5.7L V8 350cid
Pontiac Grand Prix 1977 6.6L V8 403cid
Pontiac Grand Prix 1977-1980 4.9L V8 301cid
Pontiac Grand Prix 1978-1983 3.8L V6 231cid
Pontiac Grand Prix 1978-1983 5L V8 305cid
Pontiac Grand Prix 1980-1981 4.3L V8 265cid
Pontiac Grand Prix 1981-1982 4.4L V8 267cid
Pontiac Grand Prix 1982 4.1L V6 252cid
Pontiac Grand Safari 1975 6.6L V8 400cid
Pontiac Grand Safari 1975 7.5L V8 455cid
Pontiac LeMans 1975-1977 4.1L L6 250cid
Pontiac LeMans 1975-1977 6.6L V8 400cid
Pontiac LeMans 1975-1979 5.7L V8 350cid
Pontiac LeMans 1976 4.3L V8 260cid
Pontiac LeMans 1976 7.5L V8 455cid
Pontiac LeMans 1976-1981 5L V8 305cid
Pontiac LeMans 1977 6.6L V8 403cid
Pontiac LeMans 1977-1981 3.8L V6 231cid
Pontiac LeMans 1977-1981 4.9L V8 301cid
Pontiac LeMans 1978-1979 3.3L V6 200cid
Pontiac LeMans 1979-1981 4.4L V8 267cid
Pontiac LeMans 1980-1981 3.8L V6 229cid
Pontiac LeMans 1980-1981 4.3L V8 265cid
Pontiac Parisienne 1982 4.4L V8 267cid
Pontiac Parisienne 1982-1985 3.8L V6 231cid
Pontiac Parisienne 1982-1985 5.7L V8 350cid
Pontiac Parisienne 1982-1986 5L V8 305cid
Pontiac Parisienne 1985-1986 4.3L V6 262cid
Pontiac Parisienne 1986 5L V8 307cid
Pontiac Safari 1987-1989 5L V8 307cid</t>
        </is>
      </c>
      <c r="I139" t="inlineStr">
        <is>
          <t>{"0": {"productDeskExternalKey": "CPCX|40-168"}, "1": {"Package Contents": "Wiper Motor; Instruction Sheet; Nut; Alignment Tool"}, "2": {"E-Waste": "Yes"}, "3": {"Product Condition": "Remanufactured"}, "4": {"Mounting Hole Quantity": "3"}, "5": {"Terminal Type": "Blade"}, "6": {"Mounting Type": "Eyelet; Grommet"}, "7": {"Weight PG": "5.7500"}, "8": {"Washer Pump Included": "No"}, "9": {"Part Type": "Windshield Wiper Motor"}, "10": {"Warranty Info": "1 Year/18,000 Mile"}, "11": {"Sustainable Choice": "Yes"}, "12": {"Lifecycle Status": "Available to Order"}, "13": {"ItemLevelGTIN": "00082617039833"}, "14": {"_addonCardone": "40-168::98271:101088:306"}, "15": {"Eligible for R&amp;R Service": "Yes"}}</t>
        </is>
      </c>
      <c r="J139" t="inlineStr">
        <is>
          <t>https://www.cardone.com/product/windshield-wiper-motor-40-168</t>
        </is>
      </c>
      <c r="K139">
        <f>DISPIMG("ID_215BC7F0FCAC4F7B90C4F0AC9094B7E3",1)</f>
        <v/>
      </c>
      <c r="L139" t="inlineStr">
        <is>
          <t>CPCX|40-168</t>
        </is>
      </c>
      <c r="M139" t="inlineStr">
        <is>
          <t>Wiper Motor; Instruction Sheet; Nut; Alignment Tool</t>
        </is>
      </c>
      <c r="N139" t="inlineStr">
        <is>
          <t>Yes</t>
        </is>
      </c>
      <c r="O139" t="inlineStr">
        <is>
          <t>Remanufactured</t>
        </is>
      </c>
      <c r="P139" t="inlineStr">
        <is>
          <t>3</t>
        </is>
      </c>
      <c r="Q139" t="inlineStr">
        <is>
          <t>Blade</t>
        </is>
      </c>
      <c r="R139" t="inlineStr">
        <is>
          <t>Eyelet; Grommet</t>
        </is>
      </c>
      <c r="S139" t="inlineStr">
        <is>
          <t>5.7500</t>
        </is>
      </c>
      <c r="T139" t="inlineStr">
        <is>
          <t>No</t>
        </is>
      </c>
      <c r="U139" t="inlineStr">
        <is>
          <t>1 Year/18,000 Mile</t>
        </is>
      </c>
      <c r="V139" t="inlineStr">
        <is>
          <t>Yes</t>
        </is>
      </c>
      <c r="W139" t="inlineStr">
        <is>
          <t>Available to Order</t>
        </is>
      </c>
      <c r="X139" t="inlineStr"/>
      <c r="Y139" t="inlineStr">
        <is>
          <t>00082617039833</t>
        </is>
      </c>
      <c r="Z139" t="inlineStr">
        <is>
          <t>40-168::98271:101088:306</t>
        </is>
      </c>
      <c r="AA139" t="inlineStr">
        <is>
          <t>Yes</t>
        </is>
      </c>
      <c r="AB139" t="inlineStr"/>
      <c r="AC139" t="inlineStr"/>
    </row>
    <row r="140">
      <c r="A140" t="inlineStr">
        <is>
          <t>139</t>
        </is>
      </c>
      <c r="B140" t="inlineStr">
        <is>
          <t>Windshield Wiper Motor</t>
        </is>
      </c>
      <c r="C140" t="inlineStr">
        <is>
          <t>40-1681</t>
        </is>
      </c>
      <c r="D140" t="inlineStr">
        <is>
          <t>Windshield Wiper Motor - 40-1681</t>
        </is>
      </c>
      <c r="E140" t="inlineStr">
        <is>
          <t>CARDONE Reman</t>
        </is>
      </c>
      <c r="F140" t="inlineStr">
        <is>
          <t>22048344</t>
        </is>
      </c>
      <c r="G140" t="inlineStr">
        <is>
          <t>Buick Century 1980-1983
Buick Electra 1980-1989
Buick Estate Wagon 1980-1983
Buick LeSabre 1980-1990
Buick Regal 1980-1983
Buick Riviera 1980-1985
Cadillac Brougham 1987-1992
Cadillac Commercial Chassis 1980-1984
Cadillac DeVille 1980-1984
Cadillac Eldorado 1980-1985
Cadillac Fleetwood 1980-1986
Cadillac Seville 1980-1985
Chevrolet Camaro 1979-1983
Chevrolet Caprice 1980-1990
Chevrolet Celebrity 1982-1983
Chevrolet El Camino 1980-1983
Chevrolet Impala 1980-1985
Chevrolet Malibu 1980-1983
Chevrolet Monte Carlo 1980-1983
GMC Caballero 1980-1983
Oldsmobile 98 1980-1984
Oldsmobile Custom Cruiser 1980-1990
Oldsmobile Cutlass 1980-1981
Oldsmobile Cutlass Ciera 1982-1983
Oldsmobile Cutlass Cruiser 1980-1983
Oldsmobile Cutlass Salon 1980
Oldsmobile Cutlass Supreme 1980-1983
Oldsmobile Delta 88 1980-1985
Oldsmobile Toronado 1980-1985
Pontiac 6000 1982-1983
Pontiac Bonneville 1980-1983
Pontiac Catalina 1980-1981
Pontiac Firebird 1980-1983
Pontiac Grand Am 1980
Pontiac Grand Prix 1980-1983
Pontiac LeMans 1980-1981
Pontiac Parisienne 1983-1986
Pontiac Safari 1987-1989</t>
        </is>
      </c>
      <c r="H140" t="inlineStr">
        <is>
          <t>Buick Century 1980 4.9L V8 301cid
Buick Century 1980-1981 3.8L V6 231cid
Buick Century 1980-1981 4.3L V8 265cid
Buick Century 1980-1981 5L V8 305cid
Buick Century 1981 4.4L V8 267cid
Buick Century 1981 5.7L V8 350cid
Buick Century 1982-1983 2.5L L4 151cid
Buick Century 1982-1983 2.8L V6 173cid
Buick Century 1982-1983 3L V6 181cid
Buick Century 1982-1983 4.3L V6 260cid
Buick Electra 1980 4.9L V8 301cid
Buick Electra 1980-1984 4.1L V6 252cid
Buick Electra 1980-1985 5.7L V8 350cid
Buick Electra 1981-1989 5L V8 307cid
Buick Estate Wagon 1980 4.9L V8 301cid
Buick Estate Wagon 1980-1983 5.7L V8 350cid
Buick Estate Wagon 1981-1983 5L V8 307cid
Buick LeSabre 1980 4.9L V8 301cid
Buick LeSabre 1980-1984 4.1L V6 252cid
Buick LeSabre 1980-1985 3.8L V6 231cid
Buick LeSabre 1980-1985 5.7L V8 350cid
Buick LeSabre 1981-1990 5L V8 307cid
Buick LeSabre 1982 4.4L V8 267cid
Buick Regal 1980 4.9L V8 301cid
Buick Regal 1980-1981 4.3L V8 265cid
Buick Regal 1980-1983 3.8L V6 231cid
Buick Regal 1980-1983 5L V8 305cid
Buick Regal 1981-1982 4.4L V8 267cid
Buick Regal 1981-1983 5.7L V8 350cid
Buick Regal 1982-1983 4.1L V6 252cid
Buick Regal 1982-1983 4.3L V6 260cid
Buick Riviera 1980-1985 3.8L V6 231cid
Buick Riviera 1980-1985 5.7L V8 350cid
Buick Riviera 1980-1985 5L V8 307cid
Buick Riviera 1981-1984 4.1L V6 252cid
Cadillac Brougham 1987-1990 5L V8 307cid
Cadillac Brougham 1990-1992 5.7L V8 350cid
Cadillac Brougham 1991-1992 5L V8 305cid
Cadillac Commercial Chassis 1980-1984 6L V8 368cid
Cadillac DeVille 1980-1981 6L V8 368cid
Cadillac DeVille 1980-1982 4.1L V6 252cid
Cadillac DeVille 1980-1984 5.7L V8 350cid
Cadillac DeVille 1982-1984 4.1L V8 250cid
Cadillac Eldorado 1980-1981 6L V8 368cid
Cadillac Eldorado 1980-1985 5.7L V8 350cid
Cadillac Eldorado 1981-1982 4.1L V6 252cid
Cadillac Eldorado 1982-1985 4.1L V8 250cid
Cadillac Fleetwood 1980-1982 4.1L V6 252cid
Cadillac Fleetwood 1980-1984 6L V8 368cid
Cadillac Fleetwood 1980-1985 5.7L V8 350cid
Cadillac Fleetwood 1982-1985 4.1L V8 250cid
Cadillac Fleetwood 1986 5L V8 307cid
Cadillac Seville 1980-1981 6L V8 368cid
Cadillac Seville 1980-1985 5.7L V8 350cid
Cadillac Seville 1981-1982 4.1L V6 252cid
Cadillac Seville 1982-1985 4.1L V8 250cid
Chevrolet Camaro 1979 4.1L L6 250cid
Chevrolet Camaro 1979-1981 5.7L V8 350cid
Chevrolet Camaro 1979-1983 5L V8 305cid
Chevrolet Camaro 1980-1981 3.8L V6 229cid
Chevrolet Camaro 1980-1981 3.8L V6 231cid
Chevrolet Camaro 1980-1981 4.4L V8 267cid
Chevrolet Camaro 1982-1983 2.5L L4 151cid
Chevrolet Camaro 1982-1983 2.8L V6 173cid
Chevrolet Caprice 1980-1982 4.4L V8 267cid
Chevrolet Caprice 1980-1984 3.8L V6 229cid
Chevrolet Caprice 1980-1985 3.8L V6 231cid
Chevrolet Caprice 1980-1990 5.7L V8 350cid
Chevrolet Caprice 1980-1990 5L V8 305cid
Chevrolet Caprice 1985-1990 4.3L V6 262cid
Chevrolet Caprice 1986-1990 5L V8 307cid
Chevrolet Celebrity 1982-1983 2.5L L4 151cid
Chevrolet Celebrity 1982-1983 2.8L V6 173cid
Chevrolet Celebrity 1982-1983 4.3L V6 260cid
Chevrolet El Camino 1980-1982 4.4L V8 267cid
Chevrolet El Camino 1980-1983 3.8L V6 229cid
Chevrolet El Camino 1980-1983 3.8L V6 231cid
Chevrolet El Camino 1980-1983 5L V8 305cid
Chevrolet El Camino 1983 5.7L V8 350cid
Chevrolet Impala 1980-1982 4.4L V8 267cid
Chevrolet Impala 1980-1984 3.8L V6 229cid
Chevrolet Impala 1980-1985 3.8L V6 231cid
Chevrolet Impala 1980-1985 5.7L V8 350cid
Chevrolet Impala 1980-1985 5L V8 305cid
Chevrolet Impala 1985 4.3L V6 262cid
Chevrolet Malibu 1980-1981 4.1L L6 250cid
Chevrolet Malibu 1980-1982 4.4L V8 267cid
Chevrolet Malibu 1980-1983 3.8L V6 229cid
Chevrolet Malibu 1980-1983 3.8L V6 231cid
Chevrolet Malibu 1980-1983 5.7L V8 350cid
Chevrolet Malibu 1980-1983 5L V8 305cid
Chevrolet Malibu 1982-1983 4.3L V6 260cid
Chevrolet Monte Carlo 1980-1982 4.4L V8 267cid
Chevrolet Monte Carlo 1980-1983 3.8L V6 229cid
Chevrolet Monte Carlo 1980-1983 3.8L V6 231cid
Chevrolet Monte Carlo 1980-1983 5L V8 305cid
Chevrolet Monte Carlo 1981-1983 5.7L V8 350cid
Chevrolet Monte Carlo 1982-1983 4.3L V6 260cid
GMC Caballero 1980-1982 4.4L V8 267cid
GMC Caballero 1980-1983 3.8L V6 229cid
GMC Caballero 1980-1983 3.8L V6 231cid
GMC Caballero 1980-1983 5L V8 305cid
GMC Caballero 1983 5.7L V8 350cid
Oldsmobile 98 1980-1984 5.7L V8 350cid
Oldsmobile 98 1980-1984 5L V8 307cid
Oldsmobile 98 1981-1983 4.1L V6 252cid
Oldsmobile Custom Cruiser 1980-1985 5.7L V8 350cid
Oldsmobile Custom Cruiser 1980-1990 5L V8 307cid
Oldsmobile Cutlass 1980 5L V8 305cid
Oldsmobile Cutlass 1980-1981 3.8L V6 231cid
Oldsmobile Cutlass 1980-1981 4.3L V8 260cid
Oldsmobile Cutlass 1980-1981 5.7L V8 350cid
Oldsmobile Cutlass 1981 4.4L V8 267cid
Oldsmobile Cutlass Ciera 1982-1983 2.5L L4 151cid
Oldsmobile Cutlass Ciera 1982-1983 2.8L V6 173cid
Oldsmobile Cutlass Ciera 1982-1983 3L V6 181cid
Oldsmobile Cutlass Ciera 1982-1983 4.3L V6 260cid
Oldsmobile Cutlass Cruiser 1980-1982 4.3L V8 260cid
Oldsmobile Cutlass Cruiser 1980-1983 3.8L V6 231cid
Oldsmobile Cutlass Cruiser 1980-1983 5.7L V8 350cid
Oldsmobile Cutlass Cruiser 1980-1983 5L V8 305cid
Oldsmobile Cutlass Cruiser 1981-1983 5L V8 307cid
Oldsmobile Cutlass Cruiser 1982 4.4L V8 267cid
Oldsmobile Cutlass Salon 1980 3.8L V6 231cid
Oldsmobile Cutlass Salon 1980 4.3L V8 260cid
Oldsmobile Cutlass Salon 1980 5.7L V8 350cid
Oldsmobile Cutlass Salon 1980 5L V8 305cid
Oldsmobile Cutlass Supreme 1980-1982 4.3L V8 260cid
Oldsmobile Cutlass Supreme 1980-1983 3.8L V6 231cid
Oldsmobile Cutlass Supreme 1980-1983 5.7L V8 350cid
Oldsmobile Cutlass Supreme 1980-1983 5L V8 305cid
Oldsmobile Cutlass Supreme 1982 4.4L V8 267cid
Oldsmobile Cutlass Supreme 1982-1983 4.3L V6 260cid
Oldsmobile Cutlass Supreme 1982-1983 5L V8 307cid
Oldsmobile Delta 88 1980-1982 4.3L V8 260cid
Oldsmobile Delta 88 1980-1985 3.8L V6 231cid
Oldsmobile Delta 88 1980-1985 5.7L V8 350cid
Oldsmobile Delta 88 1980-1985 5L V8 307cid
Oldsmobile Delta 88 1981-1982 4.4L V8 267cid
Oldsmobile Toronado 1980-1985 5.7L V8 350cid
Oldsmobile Toronado 1980-1985 5L V8 307cid
Oldsmobile Toronado 1981-1984 4.1L V6 252cid
Pontiac 6000 1982-1983 2.5L L4 151cid
Pontiac 6000 1982-1983 2.8L V6 173cid
Pontiac 6000 1982-1983 4.3L V6 260cid
Pontiac Bonneville 1980 4.9L V8 301cid
Pontiac Bonneville 1980-1981 4.3L V8 265cid
Pontiac Bonneville 1980-1983 3.8L V6 231cid
Pontiac Bonneville 1980-1983 5.7L V8 350cid
Pontiac Bonneville 1981 5L V8 307cid
Pontiac Bonneville 1982 4.1L V6 252cid
Pontiac Bonneville 1983 5L V8 305cid
Pontiac Catalina 1980 3.8L V6 229cid
Pontiac Catalina 1980 4.9L V8 301cid
Pontiac Catalina 1980-1981 3.8L V6 231cid
Pontiac Catalina 1980-1981 4.3L V8 265cid
Pontiac Catalina 1980-1981 4.4L V8 267cid
Pontiac Catalina 1980-1981 5.7L V8 350cid
Pontiac Catalina 1980-1981 5L V8 305cid
Pontiac Catalina 1981 5L V8 307cid
Pontiac Firebird 1980-1981 3.8L V6 231cid
Pontiac Firebird 1980-1981 4.3L V8 265cid
Pontiac Firebird 1980-1981 4.9L V8 301cid
Pontiac Firebird 1980-1983 5L V8 305cid
Pontiac Firebird 1981 4.4L V8 267cid
Pontiac Firebird 1982-1983 2.5L L4 151cid
Pontiac Firebird 1982-1983 2.8L V6 173cid
Pontiac Grand Am 1980 4.9L V8 301cid
Pontiac Grand Am 1980 5L V8 305cid
Pontiac Grand Prix 1980 4.9L V8 301cid
Pontiac Grand Prix 1980-1981 4.3L V8 265cid
Pontiac Grand Prix 1980-1983 3.8L V6 231cid
Pontiac Grand Prix 1980-1983 5L V8 305cid
Pontiac Grand Prix 1981-1982 4.4L V8 267cid
Pontiac Grand Prix 1981-1983 5.7L V8 350cid
Pontiac Grand Prix 1982 4.1L V6 252cid
Pontiac LeMans 1980-1981 3.8L V6 229cid
Pontiac LeMans 1980-1981 3.8L V6 231cid
Pontiac LeMans 1980-1981 4.3L V8 265cid
Pontiac LeMans 1980-1981 4.4L V8 267cid
Pontiac LeMans 1980-1981 4.9L V8 301cid
Pontiac LeMans 1980-1981 5L V8 305cid
Pontiac Parisienne 1983-1985 3.8L V6 231cid
Pontiac Parisienne 1983-1985 5.7L V8 350cid
Pontiac Parisienne 1983-1986 5L V8 305cid
Pontiac Parisienne 1985-1986 4.3L V6 262cid
Pontiac Parisienne 1986 5L V8 307cid
Pontiac Safari 1987-1989 5L V8 307cid</t>
        </is>
      </c>
      <c r="I140" t="inlineStr">
        <is>
          <t>{"0": {"productDeskExternalKey": "CPCX|40-1681"}, "1": {"Package Contents": "Wiper Motor; Instruction Sheet"}, "2": {"E-Waste": "Yes"}, "3": {"Product Condition": "Remanufactured"}, "4": {"Mounting Hole Quantity": "3"}, "5": {"Terminal Type": "Blade"}, "6": {"Mounting Type": "Grommet"}, "7": {"Weight PG": "7.6500"}, "8": {"Washer Pump Included": "Yes"}, "9": {"Part Type": "Windshield Wiper Motor"}, "10": {"Warranty Info": "1 Year/18,000 Mile"}, "11": {"Sustainable Choice": "Yes"}, "12": {"Lifecycle Status": "Available to Order"}, "13": {"ItemLevelGTIN": "00082617266093"}, "14": {"_addonCardone": "40-1681::98271:101091:306"}, "15": {"Eligible for R&amp;R Service": "Yes"}}</t>
        </is>
      </c>
      <c r="J140" t="inlineStr">
        <is>
          <t>https://www.cardone.com/product/windshield-wiper-motor-40-1681</t>
        </is>
      </c>
      <c r="K140">
        <f>DISPIMG("ID_749B03451D76483AA1701FF5568C0E75",1)</f>
        <v/>
      </c>
      <c r="L140" t="inlineStr">
        <is>
          <t>CPCX|40-1681</t>
        </is>
      </c>
      <c r="M140" t="inlineStr">
        <is>
          <t>Wiper Motor; Instruction Sheet</t>
        </is>
      </c>
      <c r="N140" t="inlineStr">
        <is>
          <t>Yes</t>
        </is>
      </c>
      <c r="O140" t="inlineStr">
        <is>
          <t>Remanufactured</t>
        </is>
      </c>
      <c r="P140" t="inlineStr">
        <is>
          <t>3</t>
        </is>
      </c>
      <c r="Q140" t="inlineStr">
        <is>
          <t>Blade</t>
        </is>
      </c>
      <c r="R140" t="inlineStr">
        <is>
          <t>Grommet</t>
        </is>
      </c>
      <c r="S140" t="inlineStr">
        <is>
          <t>7.6500</t>
        </is>
      </c>
      <c r="T140" t="inlineStr">
        <is>
          <t>Yes</t>
        </is>
      </c>
      <c r="U140" t="inlineStr">
        <is>
          <t>1 Year/18,000 Mile</t>
        </is>
      </c>
      <c r="V140" t="inlineStr">
        <is>
          <t>Yes</t>
        </is>
      </c>
      <c r="W140" t="inlineStr">
        <is>
          <t>Available to Order</t>
        </is>
      </c>
      <c r="X140" t="inlineStr"/>
      <c r="Y140" t="inlineStr">
        <is>
          <t>00082617266093</t>
        </is>
      </c>
      <c r="Z140" t="inlineStr">
        <is>
          <t>40-1681::98271:101091:306</t>
        </is>
      </c>
      <c r="AA140" t="inlineStr">
        <is>
          <t>Yes</t>
        </is>
      </c>
      <c r="AB140" t="inlineStr"/>
      <c r="AC140" t="inlineStr"/>
    </row>
    <row r="141">
      <c r="A141" t="inlineStr">
        <is>
          <t>140</t>
        </is>
      </c>
      <c r="B141" t="inlineStr">
        <is>
          <t>Windshield Wiper Motor</t>
        </is>
      </c>
      <c r="C141" t="inlineStr">
        <is>
          <t>40-1682</t>
        </is>
      </c>
      <c r="D141" t="inlineStr">
        <is>
          <t>Windshield Wiper Motor - 40-1682</t>
        </is>
      </c>
      <c r="E141" t="inlineStr">
        <is>
          <t>CARDONE Reman</t>
        </is>
      </c>
      <c r="F141" t="inlineStr"/>
      <c r="G141" t="inlineStr">
        <is>
          <t>Buick Century 1975-1979
Buick Electra 1975-1979
Buick Estate Wagon 1975-1979
Buick LeSabre 1975-1979
Buick Regal 1975-1979
Buick Riviera 1975-1979
Cadillac Calais 1975-1976
Cadillac Commercial Chassis 1975-1979
Cadillac DeVille 1975-1979
Cadillac Eldorado 1975-1979
Cadillac Fleetwood 1975-1979
Cadillac Seville 1976-1979
Chevrolet Bel Air 1975
Chevrolet Camaro 1977-1978
Chevrolet Caprice 1975-1979
Chevrolet El Camino 1975-1979
Chevrolet Impala 1975-1979
Chevrolet Malibu 1975-1979
Chevrolet Monte Carlo 1975-1979
GMC Caballero 1978-1979
GMC Sprint 1975-1977
Oldsmobile 98 1975-1979
Oldsmobile Custom Cruiser 1975-1979
Oldsmobile Cutlass 1974-1979
Oldsmobile Cutlass Salon 1975-1979
Oldsmobile Cutlass Supreme 1974-1979
Oldsmobile Delta 88 1975-1979
Oldsmobile Toronado 1975-1979
Pontiac Bonneville 1975-1979
Pontiac Catalina 1975-1979
Pontiac Firebird 1978-1979
Pontiac Grand Am 1975-1979
Pontiac Grand Prix 1975-1979
Pontiac LeMans 1975-1979</t>
        </is>
      </c>
      <c r="H141" t="inlineStr">
        <is>
          <t>Buick Century 1975-1979 3.8L V6 231cid
Buick Century 1975-1979 5.7L V8 350cid
Buick Century 1977 6.6L V8 403cid
Buick Century 1977-1979 5L V8 305cid
Buick Century 1978-1979 3.2L V6 196cid
Buick Century 1979 4.9L V8 301cid
Buick Electra 1975-1976 7.5L V8 455cid
Buick Electra 1976-1979 5.7L V8 350cid
Buick Electra 1977-1979 6.6L V8 403cid
Buick Estate Wagon 1975-1976 7.5L V8 455cid
Buick Estate Wagon 1977-1979 5.7L V8 350cid
Buick Estate Wagon 1977-1979 6.6L V8 403cid
Buick LeSabre 1975 6.6L V8 400cid
Buick LeSabre 1975-1976 7.5L V8 455cid
Buick LeSabre 1975-1979 5.7L V8 350cid
Buick LeSabre 1976-1979 3.8L V6 231cid
Buick LeSabre 1977-1978 6.6L V8 403cid
Buick LeSabre 1977-1979 4.9L V8 301cid
Buick LeSabre 1978 5L V8 305cid
Buick Regal 1975-1977 5.7L V8 350cid
Buick Regal 1975-1979 3.8L V6 231cid
Buick Regal 1977-1979 5L V8 305cid
Buick Regal 1978-1979 3.2L V6 196cid
Buick Regal 1979 4.9L V8 301cid
Buick Riviera 1975-1976 7.5L V8 455cid
Buick Riviera 1977-1978 6.6L V8 403cid
Buick Riviera 1977-1979 5.7L V8 350cid
Buick Riviera 1979 3.8L V6 231cid
Cadillac Calais 1975-1976 8.2L V8 500cid
Cadillac Commercial Chassis 1975-1976 8.2L V8 500cid
Cadillac Commercial Chassis 1977-1979 7L V8 425cid
Cadillac DeVille 1975-1976 8.2L V8 500cid
Cadillac DeVille 1977-1979 7L V8 425cid
Cadillac DeVille 1979 5.7L V8 350cid
Cadillac Eldorado 1975-1976 8.2L V8 500cid
Cadillac Eldorado 1977-1978 7L V8 425cid
Cadillac Eldorado 1979 5.7L V8 350cid
Cadillac Fleetwood 1975-1976 8.2L V8 500cid
Cadillac Fleetwood 1977-1979 7L V8 425cid
Cadillac Fleetwood 1979 5.7L V8 350cid
Cadillac Seville 1976-1979 5.7L V8 350cid
Chevrolet Bel Air 1975 5.7L V8 350cid
Chevrolet Bel Air 1975 6.6L V8 400cid
Chevrolet Bel Air 1975 7.4L V8 454cid
Chevrolet Camaro 1977-1978 4.1L L6 250cid
Chevrolet Camaro 1977-1978 5.7L V8 350cid
Chevrolet Camaro 1977-1978 5L V8 305cid
Chevrolet Caprice 1975-1976 6.6L V8 400cid
Chevrolet Caprice 1975-1976 7.4L V8 454cid
Chevrolet Caprice 1975-1979 5.7L V8 350cid
Chevrolet Caprice 1977-1979 4.1L L6 250cid
Chevrolet Caprice 1977-1979 5L V8 305cid
Chevrolet El Camino 1975 7.4L V8 454cid
Chevrolet El Camino 1975-1976 6.6L V8 400cid
Chevrolet El Camino 1975-1977 4.1L L6 250cid
Chevrolet El Camino 1975-1979 5.7L V8 350cid
Chevrolet El Camino 1976-1979 5L V8 305cid
Chevrolet El Camino 1978-1979 3.3L V6 200cid
Chevrolet El Camino 1978-1979 3.8L V6 231cid
Chevrolet El Camino 1979 4.4L V8 267cid
Chevrolet Impala 1975-1976 6.6L V8 400cid
Chevrolet Impala 1975-1976 7.4L V8 454cid
Chevrolet Impala 1975-1979 5.7L V8 350cid
Chevrolet Impala 1977-1979 4.1L L6 250cid
Chevrolet Impala 1977-1979 5L V8 305cid
Chevrolet Malibu 1975 7.4L V8 454cid
Chevrolet Malibu 1975-1976 6.6L V8 400cid
Chevrolet Malibu 1975-1979 4.1L L6 250cid
Chevrolet Malibu 1975-1979 5.7L V8 350cid
Chevrolet Malibu 1976-1979 5L V8 305cid
Chevrolet Malibu 1978-1979 3.3L V6 200cid
Chevrolet Malibu 1978-1979 3.8L V6 231cid
Chevrolet Malibu 1979 4.4L V8 267cid
Chevrolet Monte Carlo 1975 7.4L V8 454cid
Chevrolet Monte Carlo 1975-1976 6.6L V8 400cid
Chevrolet Monte Carlo 1975-1977 5.7L V8 350cid
Chevrolet Monte Carlo 1976-1979 5L V8 305cid
Chevrolet Monte Carlo 1978-1979 3.3L V6 200cid
Chevrolet Monte Carlo 1978-1979 3.8L V6 231cid
Chevrolet Monte Carlo 1979 4.4L V8 267cid
GMC Caballero 1978-1979 3.3L V6 200cid
GMC Caballero 1978-1979 3.8L V6 231cid
GMC Caballero 1978-1979 5.7L V8 350cid
GMC Caballero 1978-1979 5L V8 305cid
GMC Caballero 1979 4.4L V8 267cid
GMC Sprint 1975 6.6L V8 402cid
GMC Sprint 1975 7.4L V8 454cid
GMC Sprint 1975-1976 6.6L V8 400cid
GMC Sprint 1975-1977 4.1L L6 250cid
GMC Sprint 1975-1977 5.7L V8 350cid
GMC Sprint 1976-1977 5L V8 305cid
Oldsmobile 98 1975 6.6L V8 400cid
Oldsmobile 98 1975-1976 7.5L V8 455cid
Oldsmobile 98 1977-1979 5.7L V8 350cid
Oldsmobile 98 1977-1979 6.6L V8 403cid
Oldsmobile Custom Cruiser 1975 6.6L V8 400cid
Oldsmobile Custom Cruiser 1975-1976 7.5L V8 455cid
Oldsmobile Custom Cruiser 1977-1979 5.7L V8 350cid
Oldsmobile Custom Cruiser 1977-1979 6.6L V8 403cid
Oldsmobile Cutlass 1974-1976 7.5L V8 455cid
Oldsmobile Cutlass 1974-1979 5.7L V8 350cid
Oldsmobile Cutlass 1975-1976 4.1L L6 250cid
Oldsmobile Cutlass 1975-1979 4.3L V8 260cid
Oldsmobile Cutlass 1977 6.6L V8 403cid
Oldsmobile Cutlass 1977-1979 3.8L V6 231cid
Oldsmobile Cutlass 1978-1979 5L V8 305cid
Oldsmobile Cutlass Salon 1975-1976 7.5L V8 455cid
Oldsmobile Cutlass Salon 1975-1979 4.3L V8 260cid
Oldsmobile Cutlass Salon 1975-1979 5.7L V8 350cid
Oldsmobile Cutlass Salon 1977 6.6L V8 403cid
Oldsmobile Cutlass Salon 1978-1979 3.8L V6 231cid
Oldsmobile Cutlass Salon 1978-1979 5L V8 305cid
Oldsmobile Cutlass Supreme 1974-1976 7.5L V8 455cid
Oldsmobile Cutlass Supreme 1974-1979 5.7L V8 350cid
Oldsmobile Cutlass Supreme 1975-1976 4.1L L6 250cid
Oldsmobile Cutlass Supreme 1975-1979 4.3L V8 260cid
Oldsmobile Cutlass Supreme 1977 6.6L V8 403cid
Oldsmobile Cutlass Supreme 1977-1979 3.8L V6 231cid
Oldsmobile Cutlass Supreme 1978-1979 5L V8 305cid
Oldsmobile Delta 88 1975 6.6L V8 400cid
Oldsmobile Delta 88 1975-1976 7.5L V8 455cid
Oldsmobile Delta 88 1975-1979 5.7L V8 350cid
Oldsmobile Delta 88 1977-1979 3.8L V6 231cid
Oldsmobile Delta 88 1977-1979 4.3L V8 260cid
Oldsmobile Delta 88 1977-1979 6.6L V8 403cid
Oldsmobile Delta 88 1979 4.9L V8 301cid
Oldsmobile Toronado 1975-1976 7.5L V8 455cid
Oldsmobile Toronado 1977-1978 6.6L V8 403cid
Oldsmobile Toronado 1979 5.7L V8 350cid
Pontiac Bonneville 1975-1976 7.5L V8 455cid
Pontiac Bonneville 1975-1978 6.6L V8 400cid
Pontiac Bonneville 1977-1979 4.9L V8 301cid
Pontiac Bonneville 1977-1979 5.7L V8 350cid
Pontiac Bonneville 1977-1979 6.6L V8 403cid
Pontiac Catalina 1975-1976 7.5L V8 455cid
Pontiac Catalina 1975-1978 6.6L V8 400cid
Pontiac Catalina 1976-1979 5.7L V8 350cid
Pontiac Catalina 1977-1979 3.8L V6 231cid
Pontiac Catalina 1977-1979 4.1L L6 250cid
Pontiac Catalina 1977-1979 4.9L V8 301cid
Pontiac Catalina 1977-1979 6.6L V8 403cid
Pontiac Firebird 1978-1979 3.8L V6 231cid
Pontiac Firebird 1978-1979 5.7L V8 350cid
Pontiac Firebird 1978-1979 5L V8 305cid
Pontiac Firebird 1978-1979 6.6L V8 400cid
Pontiac Firebird 1978-1979 6.6L V8 403cid
Pontiac Firebird 1979 4.9L V8 301cid
Pontiac Grand Am 1975 5.7L V8 350cid
Pontiac Grand Am 1975 6.6L V8 400cid
Pontiac Grand Am 1975 7.5L V8 455cid
Pontiac Grand Am 1978-1979 4.9L V8 301cid
Pontiac Grand Am 1978-1979 5L V8 305cid
Pontiac Grand Am 1979 3.8L V6 231cid
Pontiac Grand Prix 1975-1976 7.5L V8 455cid
Pontiac Grand Prix 1975-1977 6.6L V8 400cid
Pontiac Grand Prix 1976-1977 5.7L V8 350cid
Pontiac Grand Prix 1977 6.6L V8 403cid
Pontiac Grand Prix 1977-1979 4.9L V8 301cid
Pontiac Grand Prix 1978-1979 3.8L V6 231cid
Pontiac Grand Prix 1978-1979 5L V8 305cid
Pontiac LeMans 1975-1977 4.1L L6 250cid
Pontiac LeMans 1975-1977 6.6L V8 400cid
Pontiac LeMans 1975-1979 5.7L V8 350cid
Pontiac LeMans 1976 4.3L V8 260cid
Pontiac LeMans 1976 7.5L V8 455cid
Pontiac LeMans 1976-1979 5L V8 305cid
Pontiac LeMans 1977 6.6L V8 403cid
Pontiac LeMans 1977-1979 3.8L V6 231cid
Pontiac LeMans 1977-1979 4.9L V8 301cid
Pontiac LeMans 1978-1979 3.3L V6 200cid
Pontiac LeMans 1979 4.4L V8 267cid</t>
        </is>
      </c>
      <c r="I141" t="inlineStr">
        <is>
          <t>{"0": {"productDeskExternalKey": "CPCX|40-1682"}, "1": {"Package Contents": "Wiper Motor; Instruction Sheet"}, "2": {"E-Waste": "Yes"}, "3": {"Product Condition": "Remanufactured"}, "4": {"Mounting Hole Quantity": "3"}, "5": {"Terminal Type": "Blade"}, "6": {"Mounting Type": "Grommet"}, "7": {"Weight PG": "7.6500"}, "8": {"Washer Pump Included": "Yes"}, "9": {"Part Type": "Windshield Wiper Motor"}, "10": {"Warranty Info": "1 Year/18,000 Mile"}, "11": {"Sustainable Choice": "Yes"}, "12": {"Lifecycle Status": "Available to Order"}, "13": {"ItemLevelGTIN": "00082617266109"}, "14": {"_addonCardone": "40-1682::98271:101093:306"}, "15": {"Eligible for R&amp;R Service": "Yes"}}</t>
        </is>
      </c>
      <c r="J141" t="inlineStr">
        <is>
          <t>https://www.cardone.com/product/windshield-wiper-motor-40-1682</t>
        </is>
      </c>
      <c r="K141">
        <f>DISPIMG("ID_C85A724915CB496EAABDA465D5D2C70F",1)</f>
        <v/>
      </c>
      <c r="L141" t="inlineStr">
        <is>
          <t>CPCX|40-1682</t>
        </is>
      </c>
      <c r="M141" t="inlineStr">
        <is>
          <t>Wiper Motor; Instruction Sheet</t>
        </is>
      </c>
      <c r="N141" t="inlineStr">
        <is>
          <t>Yes</t>
        </is>
      </c>
      <c r="O141" t="inlineStr">
        <is>
          <t>Remanufactured</t>
        </is>
      </c>
      <c r="P141" t="inlineStr">
        <is>
          <t>3</t>
        </is>
      </c>
      <c r="Q141" t="inlineStr">
        <is>
          <t>Blade</t>
        </is>
      </c>
      <c r="R141" t="inlineStr">
        <is>
          <t>Grommet</t>
        </is>
      </c>
      <c r="S141" t="inlineStr">
        <is>
          <t>7.6500</t>
        </is>
      </c>
      <c r="T141" t="inlineStr">
        <is>
          <t>Yes</t>
        </is>
      </c>
      <c r="U141" t="inlineStr">
        <is>
          <t>1 Year/18,000 Mile</t>
        </is>
      </c>
      <c r="V141" t="inlineStr">
        <is>
          <t>Yes</t>
        </is>
      </c>
      <c r="W141" t="inlineStr">
        <is>
          <t>Available to Order</t>
        </is>
      </c>
      <c r="X141" t="inlineStr"/>
      <c r="Y141" t="inlineStr">
        <is>
          <t>00082617266109</t>
        </is>
      </c>
      <c r="Z141" t="inlineStr">
        <is>
          <t>40-1682::98271:101093:306</t>
        </is>
      </c>
      <c r="AA141" t="inlineStr">
        <is>
          <t>Yes</t>
        </is>
      </c>
      <c r="AB141" t="inlineStr"/>
      <c r="AC141" t="inlineStr"/>
    </row>
    <row r="142">
      <c r="A142" t="inlineStr">
        <is>
          <t>141</t>
        </is>
      </c>
      <c r="B142" t="inlineStr">
        <is>
          <t>Windshield Wiper Motor</t>
        </is>
      </c>
      <c r="C142" t="inlineStr">
        <is>
          <t>40-169</t>
        </is>
      </c>
      <c r="D142" t="inlineStr">
        <is>
          <t>Windshield Wiper Motor - 40-169</t>
        </is>
      </c>
      <c r="E142" t="inlineStr">
        <is>
          <t>CARDONE Reman</t>
        </is>
      </c>
      <c r="F142" t="inlineStr">
        <is>
          <t>22101097;22100736</t>
        </is>
      </c>
      <c r="G142" t="inlineStr">
        <is>
          <t>Cadillac Escalade 1999-2000
Chevrolet Blazer 1992-1994
Chevrolet C1500 1991-1999
Chevrolet C1500 Suburban 1992-1999
Chevrolet C2500 1991-2000
Chevrolet C2500 Suburban 1992-1999
Chevrolet C35 1991-2000
Chevrolet C3500 1991-2000
Chevrolet C3500HD 1991-2000
Chevrolet C50 1990
Chevrolet C5500 Kodiak 1990-1991
Chevrolet C60 1990
Chevrolet C60 Kodiak 1990-1996
Chevrolet C6500 Kodiak 1997-2001
Chevrolet C70 1990
Chevrolet C70 Kodiak 1990-1996
Chevrolet C7500 Kodiak 1997-2001
Chevrolet K1500 1991-1999
Chevrolet K1500 Suburban 1992-1999
Chevrolet K2500 1991-2000
Chevrolet K2500 Suburban 1992-1999
Chevrolet K3500 1991-2000
Chevrolet P30 1991-1993
Chevrolet Silverado 1995-1997
Chevrolet Tahoe 1995-2000
GMC C1500 1991-1999
GMC C1500 Suburban 1992-1999
GMC C2500 1991-2000
GMC C2500 Suburban 1992-1999
GMC C3500 1991-2000
GMC C3500HD 1991-2000
GMC C5000 1990
GMC C5000 Topkick 1990-1991
GMC C6000 1990
GMC C6000 Topkick 1990-1996
GMC C6500 Topkick 1997-2001
GMC C7000 1990
GMC C7000 Topkick 1990-1996
GMC C7500 Topkick 1997-2001
GMC K1500 1991-1999
GMC K1500 Suburban 1992-1999
GMC K2500 1991-2000
GMC K2500 Suburban 1992-1999
GMC K3500 1991-2000
GMC P3500 1991-1993
GMC Yukon 1992-2000</t>
        </is>
      </c>
      <c r="H142" t="inlineStr">
        <is>
          <t>Cadillac Escalade 1999-2000 5.7L V8 350cid
Chevrolet Blazer 1992-1994 5.7L V8 350cid
Chevrolet Blazer 1994 6.5L V8 395cid
Chevrolet C1500 1991-1993 6.2L V8 379cid
Chevrolet C1500 1991-1993 7.4L V8 454cid
Chevrolet C1500 1991-1998 4.1L L6 250cid
Chevrolet C1500 1991-1999 4.3L V6 262cid
Chevrolet C1500 1991-1999 5.7L V8 350cid
Chevrolet C1500 1991-1999 5L V8 305cid
Chevrolet C1500 1994-1998 6.5L V8 395cid
Chevrolet C1500 Suburban 1992-1999 5.7L V8 350cid
Chevrolet C1500 Suburban 1994-1999 6.5L V8 395cid
Chevrolet C2500 1991-1993 6.2L V8 379cid
Chevrolet C2500 1991-1995 4.3L V6 262cid
Chevrolet C2500 1991-1999 5L V8 305cid
Chevrolet C2500 1991-2000 5.7L V8 350cid
Chevrolet C2500 1991-2000 7.4L V8 454cid
Chevrolet C2500 1992-2000 6.5L V8 395cid
Chevrolet C2500 Suburban 1992-1999 5.7L V8 350cid
Chevrolet C2500 Suburban 1992-1999 7.4L V8 454cid
Chevrolet C2500 Suburban 1994-1999 6.5L V8 395cid
Chevrolet C35 1991-2000 5.7L V8 350cid
Chevrolet C3500 1991-1993 6.2L V8 379cid
Chevrolet C3500 1991-2000 5.7L V8 350cid
Chevrolet C3500 1991-2000 7.4L V8 454cid
Chevrolet C3500 1992-2000 6.5L V8 395cid
Chevrolet C3500HD 1991-1993 6.2L V8 379cid
Chevrolet C3500HD 1991-2000 5.7L V8 350cid
Chevrolet C3500HD 1991-2000 7.4L V8 454cid
Chevrolet C3500HD 1992-2000 6.5L V8 395cid
Chevrolet C50 1990 5.7L V8 350cid
Chevrolet C5500 Kodiak 1990-1991 6L V8 366cid
Chevrolet C60 1990 5.7L V8 350cid
Chevrolet C60 1990 6L V8 366cid
Chevrolet C60 1990 7L V8 427cid
Chevrolet C60 1990 8.2L V8 501cid
Chevrolet C60 Kodiak 1990-1996 6.6L L6 403cid
Chevrolet C60 Kodiak 1990-1996 6L V8 366cid
Chevrolet C60 Kodiak 1990-1996 7L V8 427cid
Chevrolet C6500 Kodiak 1997-1998 6.6L L6 403cid
Chevrolet C6500 Kodiak 1997-1998 6L V8 366cid
Chevrolet C6500 Kodiak 1997-1998 7L V8 427cid
Chevrolet C6500 Kodiak 1998-2001 7.2L L6 441cid
Chevrolet C6500 Kodiak 1999-2000 7.4L V8 454cid
Chevrolet C6500 Kodiak 2001 8.1L V8 496cid
Chevrolet C70 1990 10.4L V8 636cid
Chevrolet C70 1990 6L V8 366cid
Chevrolet C70 1990 7L V8 427cid
Chevrolet C70 1990 8.2L V8 501cid
Chevrolet C70 Kodiak 1990-1996 6.6L L6 403cid
Chevrolet C70 Kodiak 1990-1996 6L V8 366cid
Chevrolet C70 Kodiak 1990-1996 7L V8 427cid
Chevrolet C7500 Kodiak 1997-1998 6.6L L6 403cid
Chevrolet C7500 Kodiak 1997-1998 6L V8 366cid
Chevrolet C7500 Kodiak 1997-1998 7L V8 427cid
Chevrolet C7500 Kodiak 1998-2001 7.2L L6 441cid
Chevrolet C7500 Kodiak 1999-2000 7.4L V8 454cid
Chevrolet C7500 Kodiak 2001 8.1L V8 496cid
Chevrolet K1500 1991-1993 6.2L V8 379cid
Chevrolet K1500 1991-1998 4.3L V6 262cid
Chevrolet K1500 1991-1999 5.7L V8 350cid
Chevrolet K1500 1991-1999 5L V8 305cid
Chevrolet K1500 1994-1998 6.5L V8 395cid
Chevrolet K1500 Suburban 1992-1999 5.7L V8 350cid
Chevrolet K1500 Suburban 1994-1999 6.5L V8 395cid
Chevrolet K2500 1991-1993 6.2L V8 379cid
Chevrolet K2500 1991-1995 4.3L V6 262cid
Chevrolet K2500 1991-1998 5L V8 305cid
Chevrolet K2500 1991-2000 5.7L V8 350cid
Chevrolet K2500 1991-2000 7.4L V8 454cid
Chevrolet K2500 1992-2000 6.5L V8 395cid
Chevrolet K2500 Suburban 1992-1999 5.7L V8 350cid
Chevrolet K2500 Suburban 1992-1999 7.4L V8 454cid
Chevrolet K2500 Suburban 1994-1999 6.5L V8 395cid
Chevrolet K3500 1991-1993 6.2L V8 379cid
Chevrolet K3500 1991-2000 5.7L V8 350cid
Chevrolet K3500 1991-2000 7.4L V8 454cid
Chevrolet K3500 1992-2000 6.5L V8 395cid
Chevrolet P30 1991 3.9L L4 239cid
Chevrolet P30 1991-1993 4.3L V6 262cid
Chevrolet P30 1991-1993 5.7L V8 350cid
Chevrolet P30 1991-1993 6.2L V8 379cid
Chevrolet P30 1991-1993 7.4L V8 454cid
Chevrolet Silverado 1995-1997 5.7L V8 350cid
Chevrolet Tahoe 1995-1999 6.5L V8 395cid
Chevrolet Tahoe 1995-2000 5.7L V8 350cid
GMC C1500 1991-1993 6.2L V8 379cid
GMC C1500 1991-1998 4.3L V6 262cid
GMC C1500 1991-1999 5.7L V8 350cid
GMC C1500 1991-1999 5L V8 305cid
GMC C1500 1994-1997 6.5L V8 395cid
GMC C1500 Suburban 1992-1999 5.7L V8 350cid
GMC C1500 Suburban 1995-1999 6.5L V8 395cid
GMC C2500 1991-1993 6.2L V8 379cid
GMC C2500 1991-1995 4.3L V6 262cid
GMC C2500 1991-1999 5L V8 305cid
GMC C2500 1991-2000 5.7L V8 350cid
GMC C2500 1991-2000 7.4L V8 454cid
GMC C2500 1992-2000 6.5L V8 395cid
GMC C2500 Suburban 1992-1999 5.7L V8 350cid
GMC C2500 Suburban 1992-1999 7.4L V8 454cid
GMC C2500 Suburban 1994-1999 6.5L V8 395cid
GMC C3500 1991-1993 6.2L V8 379cid
GMC C3500 1991-2000 5.7L V8 350cid
GMC C3500 1991-2000 7.4L V8 454cid
GMC C3500 1992-2000 6.5L V8 395cid
GMC C3500HD 1991-1993 6.2L V8 379cid
GMC C3500HD 1991-2000 5.7L V8 350cid
GMC C3500HD 1991-2000 7.4L V8 454cid
GMC C3500HD 1992-2000 6.5L V8 395cid
GMC C5000 1990 5.7L V8 350cid
GMC C5000 Topkick 1990-1991 6L V8 366cid
GMC C6000 1990 5.7L V8 350cid
GMC C6000 1990 6L V8 366cid
GMC C6000 1990 7L V8 427cid
GMC C6000 1990 8.2L V8 501cid
GMC C6000 Topkick 1990-1996 6.6L L6 403cid
GMC C6000 Topkick 1990-1996 6L V8 366cid
GMC C6000 Topkick 1990-1996 7L V8 427cid
GMC C6500 Topkick 1997-1998 6.6L L6 403cid
GMC C6500 Topkick 1997-1998 6L V8 366cid
GMC C6500 Topkick 1997-1998 7L V8 427cid
GMC C6500 Topkick 1998-2001 7.2L L6 441cid
GMC C6500 Topkick 1999-2000 7.4L V8 454cid
GMC C6500 Topkick 2001 8.1L V8 496cid
GMC C7000 1990 10.4L V8 636cid
GMC C7000 1990 6L V8 366cid
GMC C7000 1990 7L V8 427cid
GMC C7000 1990 8.2L V8 501cid
GMC C7000 Topkick 1990-1996 6.6L L6 403cid
GMC C7000 Topkick 1990-1996 6L V8 366cid
GMC C7000 Topkick 1990-1996 7L V8 427cid
GMC C7500 Topkick 1997-1998 6.6L L6 403cid
GMC C7500 Topkick 1997-1998 6L V8 366cid
GMC C7500 Topkick 1997-1998 7L V8 427cid
GMC C7500 Topkick 1998-2001 7.2L L6 441cid
GMC C7500 Topkick 1999-2000 7.4L V8 454cid
GMC C7500 Topkick 2001 8.1L V8 496cid
GMC K1500 1991-1993 6.2L V8 379cid
GMC K1500 1991-1998 4.3L V6 262cid
GMC K1500 1991-1999 5.7L V8 350cid
GMC K1500 1991-1999 5L V8 305cid
GMC K1500 1994-1998 6.5L V8 395cid
GMC K1500 Suburban 1992-1999 5.7L V8 350cid
GMC K1500 Suburban 1995-1999 6.5L V8 395cid
GMC K2500 1991-1993 6.2L V8 379cid
GMC K2500 1991-1995 4.3L V6 262cid
GMC K2500 1991-1998 5L V8 305cid
GMC K2500 1991-2000 5.7L V8 350cid
GMC K2500 1991-2000 7.4L V8 454cid
GMC K2500 1992-2000 6.5L V8 395cid
GMC K2500 Suburban 1992-1999 5.7L V8 350cid
GMC K2500 Suburban 1992-1999 7.4L V8 454cid
GMC K2500 Suburban 1994-1999 6.5L V8 395cid
GMC K3500 1991-1993 6.2L V8 379cid
GMC K3500 1991-2000 5.7L V8 350cid
GMC K3500 1991-2000 7.4L V8 454cid
GMC K3500 1992-2000 6.5L V8 395cid
GMC P3500 1991 3.9L L4 239cid
GMC P3500 1991-1993 4.3L V6 262cid
GMC P3500 1991-1993 5.7L V8 350cid
GMC P3500 1991-1993 6.2L V8 379cid
GMC P3500 1991-1993 7.4L V8 454cid
GMC Yukon 1992-2000 5.7L V8 350cid
GMC Yukon 1994-1997 6.5L V8 395cid</t>
        </is>
      </c>
      <c r="I142" t="inlineStr">
        <is>
          <t>{"0": {"productDeskExternalKey": "CPCX|40-169"}, "1": {"Package Contents": "Wiper Motor; Instruction Sheet"}, "2": {"E-Waste": "Yes"}, "3": {"Product Condition": "Remanufactured"}, "4": {"Mounting Hole Quantity": "3"}, "5": {"Terminal Type": "Blade"}, "6": {"Mounting Type": "Grommet"}, "7": {"Weight PG": "3.7600"}, "8": {"Washer Pump Included": "No"}, "9": {"Part Type": "Windshield Wiper Motor"}, "10": {"Warranty Info": "1 Year/18,000 Mile"}, "11": {"Sustainable Choice": "Yes"}, "12": {"Lifecycle Status": "Available to Order"}, "13": {"ItemLevelGTIN": "00082617176507"}, "14": {"_addonCardone": "40-169::98271:101097:306"}, "15": {"Eligible for R&amp;R Service": "Yes"}}</t>
        </is>
      </c>
      <c r="J142" t="inlineStr">
        <is>
          <t>https://www.cardone.com/product/windshield-wiper-motor-40-169</t>
        </is>
      </c>
      <c r="K142">
        <f>DISPIMG("ID_27C95C05B9B247589ADCB3F917DF3683",1)</f>
        <v/>
      </c>
      <c r="L142" t="inlineStr">
        <is>
          <t>CPCX|40-169</t>
        </is>
      </c>
      <c r="M142" t="inlineStr">
        <is>
          <t>Wiper Motor; Instruction Sheet</t>
        </is>
      </c>
      <c r="N142" t="inlineStr">
        <is>
          <t>Yes</t>
        </is>
      </c>
      <c r="O142" t="inlineStr">
        <is>
          <t>Remanufactured</t>
        </is>
      </c>
      <c r="P142" t="inlineStr">
        <is>
          <t>3</t>
        </is>
      </c>
      <c r="Q142" t="inlineStr">
        <is>
          <t>Blade</t>
        </is>
      </c>
      <c r="R142" t="inlineStr">
        <is>
          <t>Grommet</t>
        </is>
      </c>
      <c r="S142" t="inlineStr">
        <is>
          <t>3.7600</t>
        </is>
      </c>
      <c r="T142" t="inlineStr">
        <is>
          <t>No</t>
        </is>
      </c>
      <c r="U142" t="inlineStr">
        <is>
          <t>1 Year/18,000 Mile</t>
        </is>
      </c>
      <c r="V142" t="inlineStr">
        <is>
          <t>Yes</t>
        </is>
      </c>
      <c r="W142" t="inlineStr">
        <is>
          <t>Available to Order</t>
        </is>
      </c>
      <c r="X142" t="inlineStr"/>
      <c r="Y142" t="inlineStr">
        <is>
          <t>00082617176507</t>
        </is>
      </c>
      <c r="Z142" t="inlineStr">
        <is>
          <t>40-169::98271:101097:306</t>
        </is>
      </c>
      <c r="AA142" t="inlineStr">
        <is>
          <t>Yes</t>
        </is>
      </c>
      <c r="AB142" t="inlineStr"/>
      <c r="AC142" t="inlineStr"/>
    </row>
    <row r="143">
      <c r="A143" t="inlineStr">
        <is>
          <t>142</t>
        </is>
      </c>
      <c r="B143" t="inlineStr">
        <is>
          <t>Windshield Wiper Motor</t>
        </is>
      </c>
      <c r="C143" t="inlineStr">
        <is>
          <t>40-175</t>
        </is>
      </c>
      <c r="D143" t="inlineStr">
        <is>
          <t>Windshield Wiper Motor - 40-175</t>
        </is>
      </c>
      <c r="E143" t="inlineStr">
        <is>
          <t>CARDONE Reman</t>
        </is>
      </c>
      <c r="F143" t="inlineStr">
        <is>
          <t>22039687</t>
        </is>
      </c>
      <c r="G143" t="inlineStr">
        <is>
          <t>Buick Century 1984-1986
Buick Regal 1984-1987
Chevrolet Camaro 1984-1987
Chevrolet Celebrity 1984-1986
Chevrolet Corvette 1984-1988
Chevrolet El Camino 1984-1987
Chevrolet Monte Carlo 1984-1987
GMC Caballero 1984-1987
Oldsmobile Cutlass 1985-1987
Oldsmobile Cutlass Ciera 1984-1986
Oldsmobile Cutlass Salon 1985-1987
Oldsmobile Cutlass Supreme 1984-1987
Pontiac 6000 1984-1986
Pontiac Bonneville 1984-1986
Pontiac Firebird 1984-1987
Pontiac Grand Prix 1984-1987</t>
        </is>
      </c>
      <c r="H143" t="inlineStr">
        <is>
          <t>Buick Century 1984-1985 3L V6 181cid
Buick Century 1984-1985 4.3L V6 260cid
Buick Century 1984-1986 2.5L L4 151cid
Buick Century 1984-1986 2.8L V6 173cid
Buick Century 1984-1986 3.8L V6 231cid
Buick Regal 1984 4.1L V6 252cid
Buick Regal 1984-1985 4.3L V6 260cid
Buick Regal 1984-1987 3.8L V6 231cid
Buick Regal 1984-1987 5L V8 305cid
Buick Regal 1985 5.7L V8 350cid
Buick Regal 1986-1987 5L V8 307cid
Chevrolet Camaro 1984-1986 2.5L L4 151cid
Chevrolet Camaro 1984-1987 2.8L V6 173cid
Chevrolet Camaro 1984-1987 5L V8 305cid
Chevrolet Camaro 1987 5.7L V8 350cid
Chevrolet Celebrity 1984-1985 4.3L V6 260cid
Chevrolet Celebrity 1984-1986 2.5L L4 151cid
Chevrolet Celebrity 1984-1986 2.8L V6 173cid
Chevrolet Corvette 1984-1988 5.7L V8 350cid
Chevrolet El Camino 1984 3.8L V6 229cid
Chevrolet El Camino 1984 3.8L V6 231cid
Chevrolet El Camino 1984 5.7L V8 350cid
Chevrolet El Camino 1984-1987 5L V8 305cid
Chevrolet El Camino 1985-1987 4.3L V6 262cid
Chevrolet Monte Carlo 1984 3.8L V6 229cid
Chevrolet Monte Carlo 1984 5.7L V8 350cid
Chevrolet Monte Carlo 1984-1987 3.8L V6 231cid
Chevrolet Monte Carlo 1984-1987 5L V8 305cid
Chevrolet Monte Carlo 1985-1987 4.3L V6 262cid
GMC Caballero 1984 3.8L V6 229cid
GMC Caballero 1984 3.8L V6 231cid
GMC Caballero 1984 5.7L V8 350cid
GMC Caballero 1984-1987 5L V8 305cid
GMC Caballero 1985-1987 4.3L V6 262cid
Oldsmobile Cutlass 1985-1987 5L V8 305cid
Oldsmobile Cutlass 1987 2.8L V6 173cid
Oldsmobile Cutlass 1987 3.1L V6 189cid
Oldsmobile Cutlass Ciera 1984-1985 3L V6 181cid
Oldsmobile Cutlass Ciera 1984-1985 4.3L V6 260cid
Oldsmobile Cutlass Ciera 1984-1986 2.5L L4 151cid
Oldsmobile Cutlass Ciera 1984-1986 2.8L V6 173cid
Oldsmobile Cutlass Ciera 1984-1986 3.8L V6 231cid
Oldsmobile Cutlass Salon 1985 5.7L V8 350cid
Oldsmobile Cutlass Salon 1985-1987 3.8L V6 231cid
Oldsmobile Cutlass Salon 1985-1987 5L V8 307cid
Oldsmobile Cutlass Supreme 1984 4.3L V6 260cid
Oldsmobile Cutlass Supreme 1984-1985 5.7L V8 350cid
Oldsmobile Cutlass Supreme 1984-1987 3.8L V6 231cid
Oldsmobile Cutlass Supreme 1984-1987 5L V8 307cid
Oldsmobile Cutlass Supreme 1985-1987 5L V8 305cid
Pontiac 6000 1984-1985 4.3L V6 260cid
Pontiac 6000 1984-1986 2.5L L4 151cid
Pontiac 6000 1984-1986 2.8L V6 173cid
Pontiac Bonneville 1984 5.7L V8 350cid
Pontiac Bonneville 1984-1986 3.8L V6 231cid
Pontiac Bonneville 1984-1986 5L V8 305cid
Pontiac Bonneville 1986 4.3L V6 262cid
Pontiac Firebird 1984-1986 2.5L L4 151cid
Pontiac Firebird 1984-1987 2.8L V6 173cid
Pontiac Firebird 1984-1987 5L V8 305cid
Pontiac Firebird 1987 5.7L V8 350cid
Pontiac Grand Prix 1984 5.7L V8 350cid
Pontiac Grand Prix 1984-1987 3.8L V6 231cid
Pontiac Grand Prix 1984-1987 5L V8 305cid
Pontiac Grand Prix 1986-1987 4.3L V6 262cid</t>
        </is>
      </c>
      <c r="I143" t="inlineStr">
        <is>
          <t>{"0": {"productDeskExternalKey": "CPCX|40-175"}, "1": {"Package Contents": "Wiper Motor; Instruction Sheet"}, "2": {"E-Waste": "Yes"}, "3": {"Product Condition": "Remanufactured"}, "4": {"Mounting Hole Quantity": "3"}, "5": {"Terminal Type": "Blade"}, "6": {"Mounting Type": "Grommet"}, "7": {"Washer Pump Included": "No"}, "8": {"Part Type": "Windshield Wiper Motor"}, "9": {"Warranty Info": "1 Year/18,000 Mile"}, "10": {"Sustainable Choice": "Yes"}, "11": {"Lifecycle Status": "Available to Order"}, "12": {"Weight PG": "4.3600"}, "13": {"ItemLevelGTIN": "00082617039895"}, "14": {"_addonCardone": "40-175::98271:101100:306"}, "15": {"Eligible for R&amp;R Service": "Yes"}}</t>
        </is>
      </c>
      <c r="J143" t="inlineStr">
        <is>
          <t>https://www.cardone.com/product/windshield-wiper-motor-40-175</t>
        </is>
      </c>
      <c r="K143">
        <f>DISPIMG("ID_34C865266E494E619ABC5DD0E45D294C",1)</f>
        <v/>
      </c>
      <c r="L143" t="inlineStr">
        <is>
          <t>CPCX|40-175</t>
        </is>
      </c>
      <c r="M143" t="inlineStr">
        <is>
          <t>Wiper Motor; Instruction Sheet</t>
        </is>
      </c>
      <c r="N143" t="inlineStr">
        <is>
          <t>Yes</t>
        </is>
      </c>
      <c r="O143" t="inlineStr">
        <is>
          <t>Remanufactured</t>
        </is>
      </c>
      <c r="P143" t="inlineStr">
        <is>
          <t>3</t>
        </is>
      </c>
      <c r="Q143" t="inlineStr">
        <is>
          <t>Blade</t>
        </is>
      </c>
      <c r="R143" t="inlineStr">
        <is>
          <t>Grommet</t>
        </is>
      </c>
      <c r="S143" t="inlineStr">
        <is>
          <t>4.3600</t>
        </is>
      </c>
      <c r="T143" t="inlineStr">
        <is>
          <t>No</t>
        </is>
      </c>
      <c r="U143" t="inlineStr">
        <is>
          <t>1 Year/18,000 Mile</t>
        </is>
      </c>
      <c r="V143" t="inlineStr">
        <is>
          <t>Yes</t>
        </is>
      </c>
      <c r="W143" t="inlineStr">
        <is>
          <t>Available to Order</t>
        </is>
      </c>
      <c r="X143" t="inlineStr"/>
      <c r="Y143" t="inlineStr">
        <is>
          <t>00082617039895</t>
        </is>
      </c>
      <c r="Z143" t="inlineStr">
        <is>
          <t>40-175::98271:101100:306</t>
        </is>
      </c>
      <c r="AA143" t="inlineStr">
        <is>
          <t>Yes</t>
        </is>
      </c>
      <c r="AB143" t="inlineStr"/>
      <c r="AC143" t="inlineStr"/>
    </row>
    <row r="144">
      <c r="A144" t="inlineStr">
        <is>
          <t>143</t>
        </is>
      </c>
      <c r="B144" t="inlineStr">
        <is>
          <t>Windshield Wiper Motor</t>
        </is>
      </c>
      <c r="C144" t="inlineStr">
        <is>
          <t>40-176</t>
        </is>
      </c>
      <c r="D144" t="inlineStr">
        <is>
          <t>Windshield Wiper Motor - 40-176</t>
        </is>
      </c>
      <c r="E144" t="inlineStr">
        <is>
          <t>CARDONE Reman</t>
        </is>
      </c>
      <c r="F144" t="inlineStr">
        <is>
          <t>22054198;22072789;22039328</t>
        </is>
      </c>
      <c r="G144" t="inlineStr">
        <is>
          <t>Buick Electra 1985-1986
Buick LeSabre 1986
Buick Riviera 1986-1987
Buick Skylark 1986-1987
Buick Somerset 1986-1987
Buick Somerset Regal 1985
Cadillac Allante 1987
Cadillac Commercial Chassis 1985-1986
Cadillac DeVille 1985-1986
Cadillac Eldorado 1986-1987
Cadillac Fleetwood 1985-1986
Cadillac Seville 1986-1987
Chevrolet Beretta 1987
Chevrolet Corsica 1987
Oldsmobile 98 1985-1986
Oldsmobile Calais 1985-1987
Oldsmobile Delta 88 1986
Oldsmobile Toronado 1986-1987
Pontiac Grand Am 1985-1987</t>
        </is>
      </c>
      <c r="H144" t="inlineStr">
        <is>
          <t>Buick Electra 1985 3L V6 181cid
Buick Electra 1985 4.3L V6 260cid
Buick Electra 1985-1986 3.8L V6 231cid
Buick LeSabre 1986 3.8L V6 231cid
Buick LeSabre 1986 3L V6 181cid
Buick Riviera 1986-1987 3.8L V6 231cid
Buick Skylark 1986-1987 2.5L L4 151cid
Buick Skylark 1986-1987 3L V6 181cid
Buick Somerset 1986-1987 2.5L L4 151cid
Buick Somerset 1986-1987 3L V6 181cid
Buick Somerset Regal 1985 2.5L L4 151cid
Buick Somerset Regal 1985 3L V6 181cid
Cadillac Allante 1987 4.1L V8 250cid
Cadillac Commercial Chassis 1985 4.3L V6 260cid
Cadillac Commercial Chassis 1985-1986 4.1L V8 250cid
Cadillac DeVille 1985 4.3L V6 260cid
Cadillac DeVille 1985-1986 4.1L V8 250cid
Cadillac Eldorado 1986-1987 4.1L V8 250cid
Cadillac Fleetwood 1985 4.3L V6 260cid
Cadillac Fleetwood 1985-1986 4.1L V8 250cid
Cadillac Seville 1986-1987 4.1L V8 250cid
Chevrolet Beretta 1987 2.8L V6 173cid
Chevrolet Beretta 1987 2L L4 122cid
Chevrolet Corsica 1987 2.8L V6 173cid
Chevrolet Corsica 1987 2L L4 122cid
Oldsmobile 98 1985 3L V6 181cid
Oldsmobile 98 1985 4.3L V6 260cid
Oldsmobile 98 1985-1986 3.8L V6 231cid
Oldsmobile Calais 1985-1987 2.5L L4 151cid
Oldsmobile Calais 1985-1987 3L V6 181cid
Oldsmobile Calais 1987 2.3L L4 138cid
Oldsmobile Delta 88 1986 3.8L V6 231cid
Oldsmobile Delta 88 1986 3L V6 181cid
Oldsmobile Toronado 1986-1987 3.8L V6 231cid
Pontiac Grand Am 1985-1987 2.5L L4 151cid
Pontiac Grand Am 1985-1987 3L V6 181cid
Pontiac Grand Am 1987 2L L4 122cid</t>
        </is>
      </c>
      <c r="I144" t="inlineStr">
        <is>
          <t>{"0": {"productDeskExternalKey": "CPCX|40-176"}, "1": {"Package Contents": "Wiper Motor; Instruction Sheet"}, "2": {"E-Waste": "Yes"}, "3": {"Product Condition": "Remanufactured"}, "4": {"Mounting Hole Quantity": "3"}, "5": {"Terminal Type": "Blade"}, "6": {"Mounting Type": "Grommet"}, "7": {"Weight PG": "4.4300"}, "8": {"Washer Pump Included": "No"}, "9": {"Part Type": "Windshield Wiper Motor"}, "10": {"Warranty Info": "1 Year/18,000 Mile"}, "11": {"Sustainable Choice": "Yes"}, "12": {"Lifecycle Status": "Available to Order"}, "13": {"ItemLevelGTIN": "00082617039901"}, "14": {"_addonCardone": "40-176::98271:101103:306"}, "15": {"Eligible for R&amp;R Service": "Yes"}}</t>
        </is>
      </c>
      <c r="J144" t="inlineStr">
        <is>
          <t>https://www.cardone.com/product/windshield-wiper-motor-40-176</t>
        </is>
      </c>
      <c r="K144">
        <f>DISPIMG("ID_769ED6E0C15B44F1B01FE472DE63A315",1)</f>
        <v/>
      </c>
      <c r="L144" t="inlineStr">
        <is>
          <t>CPCX|40-176</t>
        </is>
      </c>
      <c r="M144" t="inlineStr">
        <is>
          <t>Wiper Motor; Instruction Sheet</t>
        </is>
      </c>
      <c r="N144" t="inlineStr">
        <is>
          <t>Yes</t>
        </is>
      </c>
      <c r="O144" t="inlineStr">
        <is>
          <t>Remanufactured</t>
        </is>
      </c>
      <c r="P144" t="inlineStr">
        <is>
          <t>3</t>
        </is>
      </c>
      <c r="Q144" t="inlineStr">
        <is>
          <t>Blade</t>
        </is>
      </c>
      <c r="R144" t="inlineStr">
        <is>
          <t>Grommet</t>
        </is>
      </c>
      <c r="S144" t="inlineStr">
        <is>
          <t>4.4300</t>
        </is>
      </c>
      <c r="T144" t="inlineStr">
        <is>
          <t>No</t>
        </is>
      </c>
      <c r="U144" t="inlineStr">
        <is>
          <t>1 Year/18,000 Mile</t>
        </is>
      </c>
      <c r="V144" t="inlineStr">
        <is>
          <t>Yes</t>
        </is>
      </c>
      <c r="W144" t="inlineStr">
        <is>
          <t>Available to Order</t>
        </is>
      </c>
      <c r="X144" t="inlineStr"/>
      <c r="Y144" t="inlineStr">
        <is>
          <t>00082617039901</t>
        </is>
      </c>
      <c r="Z144" t="inlineStr">
        <is>
          <t>40-176::98271:101103:306</t>
        </is>
      </c>
      <c r="AA144" t="inlineStr">
        <is>
          <t>Yes</t>
        </is>
      </c>
      <c r="AB144" t="inlineStr"/>
      <c r="AC144" t="inlineStr"/>
    </row>
    <row r="145">
      <c r="A145" t="inlineStr">
        <is>
          <t>144</t>
        </is>
      </c>
      <c r="B145" t="inlineStr">
        <is>
          <t>Windshield Wiper Motor</t>
        </is>
      </c>
      <c r="C145" t="inlineStr">
        <is>
          <t>40-177</t>
        </is>
      </c>
      <c r="D145" t="inlineStr">
        <is>
          <t>Windshield Wiper Motor - 40-177</t>
        </is>
      </c>
      <c r="E145" t="inlineStr">
        <is>
          <t>CARDONE Reman</t>
        </is>
      </c>
      <c r="F145" t="inlineStr">
        <is>
          <t>22072789</t>
        </is>
      </c>
      <c r="G145" t="inlineStr">
        <is>
          <t>Cadillac Allante 1988-1989
Chevrolet Beretta 1988
Chevrolet Corsica 1988</t>
        </is>
      </c>
      <c r="H145" t="inlineStr">
        <is>
          <t>Cadillac Allante 1988 4.1L V8 250cid
Cadillac Allante 1989 4.5L V8 273cid
Chevrolet Beretta 1988 2.8L V6 173cid
Chevrolet Beretta 1988 2L L4 122cid
Chevrolet Corsica 1988 2.8L V6 173cid
Chevrolet Corsica 1988 2L L4 122cid</t>
        </is>
      </c>
      <c r="I145" t="inlineStr">
        <is>
          <t>{"0": {"productDeskExternalKey": "CPCX|40-177"}, "1": {"Package Contents": "Wiper Motor; Instruction Sheet"}, "2": {"E-Waste": "Yes"}, "3": {"Product Condition": "Remanufactured"}, "4": {"Mounting Hole Quantity": "3"}, "5": {"Terminal Type": "Blade"}, "6": {"Mounting Type": "Grommet"}, "7": {"Weight PG": "4.4000"}, "8": {"Washer Pump Included": "No"}, "9": {"Part Type": "Windshield Wiper Motor"}, "10": {"Warranty Info": "1 Year/18,000 Mile"}, "11": {"Sustainable Choice": "Yes"}, "12": {"Lifecycle Status": "Available to Order"}, "13": {"Application Summary": "Cadillac Allante 1989-88; Chevrolet Beretta 1988, Corsica 1988"}, "14": {"ItemLevelGTIN": "00082617076036"}, "15": {"_addonCardone": "40-177::98271:101106:306"}, "16": {"Eligible for R&amp;R Service": "Yes"}}</t>
        </is>
      </c>
      <c r="J145" t="inlineStr">
        <is>
          <t>https://www.cardone.com/product/windshield-wiper-motor-40-177</t>
        </is>
      </c>
      <c r="K145">
        <f>DISPIMG("ID_445A0A3FE3EE49268EE30B228C838FD7",1)</f>
        <v/>
      </c>
      <c r="L145" t="inlineStr">
        <is>
          <t>CPCX|40-177</t>
        </is>
      </c>
      <c r="M145" t="inlineStr">
        <is>
          <t>Wiper Motor; Instruction Sheet</t>
        </is>
      </c>
      <c r="N145" t="inlineStr">
        <is>
          <t>Yes</t>
        </is>
      </c>
      <c r="O145" t="inlineStr">
        <is>
          <t>Remanufactured</t>
        </is>
      </c>
      <c r="P145" t="inlineStr">
        <is>
          <t>3</t>
        </is>
      </c>
      <c r="Q145" t="inlineStr">
        <is>
          <t>Blade</t>
        </is>
      </c>
      <c r="R145" t="inlineStr">
        <is>
          <t>Grommet</t>
        </is>
      </c>
      <c r="S145" t="inlineStr">
        <is>
          <t>4.4000</t>
        </is>
      </c>
      <c r="T145" t="inlineStr">
        <is>
          <t>No</t>
        </is>
      </c>
      <c r="U145" t="inlineStr">
        <is>
          <t>1 Year/18,000 Mile</t>
        </is>
      </c>
      <c r="V145" t="inlineStr">
        <is>
          <t>Yes</t>
        </is>
      </c>
      <c r="W145" t="inlineStr">
        <is>
          <t>Available to Order</t>
        </is>
      </c>
      <c r="X145" t="inlineStr">
        <is>
          <t>Cadillac Allante 1989-88; Chevrolet Beretta 1988, Corsica 1988</t>
        </is>
      </c>
      <c r="Y145" t="inlineStr">
        <is>
          <t>00082617076036</t>
        </is>
      </c>
      <c r="Z145" t="inlineStr">
        <is>
          <t>40-177::98271:101106:306</t>
        </is>
      </c>
      <c r="AA145" t="inlineStr">
        <is>
          <t>Yes</t>
        </is>
      </c>
      <c r="AB145" t="inlineStr"/>
      <c r="AC145" t="inlineStr"/>
    </row>
    <row r="146">
      <c r="A146" t="inlineStr">
        <is>
          <t>145</t>
        </is>
      </c>
      <c r="B146" t="inlineStr">
        <is>
          <t>Windshield Wiper Motor</t>
        </is>
      </c>
      <c r="C146" t="inlineStr">
        <is>
          <t>40-178</t>
        </is>
      </c>
      <c r="D146" t="inlineStr">
        <is>
          <t>Windshield Wiper Motor - 40-178</t>
        </is>
      </c>
      <c r="E146" t="inlineStr">
        <is>
          <t>CARDONE Reman</t>
        </is>
      </c>
      <c r="F146" t="inlineStr">
        <is>
          <t>22110871</t>
        </is>
      </c>
      <c r="G146" t="inlineStr">
        <is>
          <t>Buick Electra 1987-1990
Buick LeSabre 1987-1999
Buick Park Avenue 1991-1996
Buick Reatta 1988-1991
Buick Riviera 1988-1999
Buick Roadmaster 1991-1996
Buick Skylark 1988-1998
Cadillac 60 Special 1993
Cadillac Allante 1990-1993
Cadillac Brougham 1990-1992
Cadillac Commercial Chassis 1987-1996
Cadillac DeVille 1987-1999
Cadillac Eldorado 1988-2002
Cadillac Fleetwood 1987-1996
Cadillac Seville 1988-1997
Chevrolet Beretta 1989-1996
Chevrolet Caprice 1991-1996
Chevrolet Corsica 1989-1996
Chevrolet Impala 1994-1996
Oldsmobile 88 1992-1999
Oldsmobile 98 1987-1996
Oldsmobile Achieva 1992-1998
Oldsmobile Aurora 1995-1999
Oldsmobile Custom Cruiser 1991-1992
Oldsmobile Cutlass Calais 1988-1991
Oldsmobile Delta 88 1987-1991
Oldsmobile LSS 1996-1999
Oldsmobile Regency 1997-1998
Oldsmobile Toronado 1988-1992
Pontiac Bonneville 1987-1999
Pontiac Grand Am 1988-1998</t>
        </is>
      </c>
      <c r="H146" t="inlineStr">
        <is>
          <t>Buick Electra 1987-1990 3.8L V6 231cid
Buick LeSabre 1987-1999 3.8L V6 231cid
Buick Park Avenue 1991-1996 3.8L V6 231cid
Buick Reatta 1988-1991 3.8L V6 231cid
Buick Riviera 1988-1999 3.8L V6 231cid
Buick Roadmaster 1991 5L V8 305cid
Buick Roadmaster 1992-1996 5.7L V8 350cid
Buick Skylark 1988 3L V6 181cid
Buick Skylark 1988-1991 2.5L L4 151cid
Buick Skylark 1988-1995 2.3L L4 138cid
Buick Skylark 1989-1993 3.3L V6 204cid
Buick Skylark 1994-1998 3.1L V6 189cid
Buick Skylark 1996-1998 2.4L L4 146cid
Cadillac 60 Special 1993 4.9L V8 300cid
Cadillac Allante 1990-1992 4.5L V8 273cid
Cadillac Allante 1993 4.6L V8 281cid
Cadillac Brougham 1990 5L V8 307cid
Cadillac Brougham 1990-1992 5.7L V8 350cid
Cadillac Brougham 1991-1992 5L V8 305cid
Cadillac Commercial Chassis 1987 4.1L V8 250cid
Cadillac Commercial Chassis 1988-1990 4.5L V8 273cid
Cadillac Commercial Chassis 1991-1993 4.9L V8 300cid
Cadillac Commercial Chassis 1992-1996 5.7L V8 350cid
Cadillac DeVille 1987 4.1L V8 250cid
Cadillac DeVille 1988-1990 4.5L V8 273cid
Cadillac DeVille 1991-1995 4.9L V8 300cid
Cadillac DeVille 1994-1999 4.6L V8 281cid
Cadillac Eldorado 1988-1990 4.5L V8 273cid
Cadillac Eldorado 1991-1993 4.9L V8 300cid
Cadillac Eldorado 1993-2002 4.6L V8 281cid
Cadillac Fleetwood 1987 4.1L V8 250cid
Cadillac Fleetwood 1988-1990 4.5L V8 273cid
Cadillac Fleetwood 1991-1992 4.9L V8 300cid
Cadillac Fleetwood 1993-1996 5.7L V8 350cid
Cadillac Seville 1988-1990 4.5L V8 273cid
Cadillac Seville 1991-1993 4.9L V8 300cid
Cadillac Seville 1993-1997 4.6L V8 281cid
Chevrolet Beretta 1989 2.8L V6 173cid
Chevrolet Beretta 1989 2L L4 122cid
Chevrolet Beretta 1990-1994 2.3L L4 140cid
Chevrolet Beretta 1990-1996 2.2L L4 134cid
Chevrolet Beretta 1990-1996 3.1L V6 189cid
Chevrolet Caprice 1991-1993 5L V8 305cid
Chevrolet Caprice 1991-1996 5.7L V8 350cid
Chevrolet Caprice 1992-1993 4.3L V6 262cid
Chevrolet Caprice 1994-1996 4.3L V8 265cid
Chevrolet Corsica 1989 2.8L V6 173cid
Chevrolet Corsica 1989 2L L4 122cid
Chevrolet Corsica 1990-1996 2.2L L4 134cid
Chevrolet Corsica 1990-1996 3.1L V6 189cid
Chevrolet Impala 1994-1996 5.7L V8 350cid
Oldsmobile 88 1992-1999 3.8L V6 231cid
Oldsmobile 98 1987-1996 3.8L V6 231cid
Oldsmobile Achieva 1992-1993 3.3L V6 204cid
Oldsmobile Achieva 1992-1994 2.3L L4 140cid
Oldsmobile Achieva 1992-1995 2.3L L4 138cid
Oldsmobile Achieva 1994-1998 3.1L V6 189cid
Oldsmobile Achieva 1996-1998 2.4L L4 146cid
Oldsmobile Aurora 1995-1999 4L V8 244cid
Oldsmobile Custom Cruiser 1991-1992 5L V8 305cid
Oldsmobile Custom Cruiser 1992 5.7L V8 350cid
Oldsmobile Cutlass Calais 1988 3L V6 181cid
Oldsmobile Cutlass Calais 1988-1991 2.3L L4 138cid
Oldsmobile Cutlass Calais 1988-1991 2.5L L4 151cid
Oldsmobile Cutlass Calais 1989-1991 2.3L L4 140cid
Oldsmobile Cutlass Calais 1989-1991 3.3L V6 204cid
Oldsmobile Delta 88 1987-1991 3.8L V6 231cid
Oldsmobile LSS 1996-1999 3.8L V6 231cid
Oldsmobile Regency 1997-1998 3.8L V6 231cid
Oldsmobile Toronado 1988-1992 3.8L V6 231cid
Pontiac Bonneville 1987-1999 3.8L V6 231cid
Pontiac Grand Am 1988-1989 2L L4 122cid
Pontiac Grand Am 1988-1991 2.5L L4 151cid
Pontiac Grand Am 1988-1995 2.3L L4 138cid
Pontiac Grand Am 1989-1994 2.3L L4 140cid
Pontiac Grand Am 1992-1993 3.3L V6 204cid
Pontiac Grand Am 1994-1998 3.1L V6 189cid
Pontiac Grand Am 1996-1998 2.4L L4 146cid</t>
        </is>
      </c>
      <c r="I146" t="inlineStr">
        <is>
          <t>{"0": {"productDeskExternalKey": "CPCX|40-178"}, "1": {"Package Contents": "Wiper Motor; Instruction Sheet"}, "2": {"E-Waste": "Yes"}, "3": {"Product Condition": "Remanufactured"}, "4": {"Mounting Hole Quantity": "3"}, "5": {"Terminal Type": "Blade"}, "6": {"Mounting Type": "Grommet"}, "7": {"Weight PG": "4.4000"}, "8": {"Washer Pump Included": "No"}, "9": {"Part Type": "Windshield Wiper Motor"}, "10": {"Warranty Info": "1 Year/18,000 Mile"}, "11": {"Sustainable Choice": "Yes"}, "12": {"Lifecycle Status": "Available to Order"}, "13": {"ItemLevelGTIN": "00082617076043"}, "14": {"_addonCardone": "40-178::98271:101111:306"}, "15": {"Eligible for R&amp;R Service": "Yes"}}</t>
        </is>
      </c>
      <c r="J146" t="inlineStr">
        <is>
          <t>https://www.cardone.com/product/windshield-wiper-motor-40-178</t>
        </is>
      </c>
      <c r="K146">
        <f>DISPIMG("ID_876D0E044A0142FE83AE5CB0DA01E4C9",1)</f>
        <v/>
      </c>
      <c r="L146" t="inlineStr">
        <is>
          <t>CPCX|40-178</t>
        </is>
      </c>
      <c r="M146" t="inlineStr">
        <is>
          <t>Wiper Motor; Instruction Sheet</t>
        </is>
      </c>
      <c r="N146" t="inlineStr">
        <is>
          <t>Yes</t>
        </is>
      </c>
      <c r="O146" t="inlineStr">
        <is>
          <t>Remanufactured</t>
        </is>
      </c>
      <c r="P146" t="inlineStr">
        <is>
          <t>3</t>
        </is>
      </c>
      <c r="Q146" t="inlineStr">
        <is>
          <t>Blade</t>
        </is>
      </c>
      <c r="R146" t="inlineStr">
        <is>
          <t>Grommet</t>
        </is>
      </c>
      <c r="S146" t="inlineStr">
        <is>
          <t>4.4000</t>
        </is>
      </c>
      <c r="T146" t="inlineStr">
        <is>
          <t>No</t>
        </is>
      </c>
      <c r="U146" t="inlineStr">
        <is>
          <t>1 Year/18,000 Mile</t>
        </is>
      </c>
      <c r="V146" t="inlineStr">
        <is>
          <t>Yes</t>
        </is>
      </c>
      <c r="W146" t="inlineStr">
        <is>
          <t>Available to Order</t>
        </is>
      </c>
      <c r="X146" t="inlineStr"/>
      <c r="Y146" t="inlineStr">
        <is>
          <t>00082617076043</t>
        </is>
      </c>
      <c r="Z146" t="inlineStr">
        <is>
          <t>40-178::98271:101111:306</t>
        </is>
      </c>
      <c r="AA146" t="inlineStr">
        <is>
          <t>Yes</t>
        </is>
      </c>
      <c r="AB146" t="inlineStr"/>
      <c r="AC146" t="inlineStr"/>
    </row>
    <row r="147">
      <c r="A147" t="inlineStr">
        <is>
          <t>146</t>
        </is>
      </c>
      <c r="B147" t="inlineStr">
        <is>
          <t>Windshield Wiper Motor</t>
        </is>
      </c>
      <c r="C147" t="inlineStr">
        <is>
          <t>40-179</t>
        </is>
      </c>
      <c r="D147" t="inlineStr">
        <is>
          <t>Windshield Wiper Motor - 40-179</t>
        </is>
      </c>
      <c r="E147" t="inlineStr">
        <is>
          <t>CARDONE Reman</t>
        </is>
      </c>
      <c r="F147" t="inlineStr">
        <is>
          <t>22110872</t>
        </is>
      </c>
      <c r="G147" t="inlineStr">
        <is>
          <t>Buick Regal 1988-1993
Chevrolet Lumina 1990-1993
Oldsmobile Cutlass Supreme 1988-1993
Pontiac Grand Prix 1988-1993</t>
        </is>
      </c>
      <c r="H147" t="inlineStr">
        <is>
          <t>Buick Regal 1988-1989 2.8L V6 173cid
Buick Regal 1989-1993 3.1L V6 189cid
Buick Regal 1990-1993 3.8L V6 231cid
Chevrolet Lumina 1990-1992 2.5L L4 151cid
Chevrolet Lumina 1990-1993 3.1L V6 189cid
Chevrolet Lumina 1991-1993 3.4L V6 207cid
Chevrolet Lumina 1993 2.2L L4 134cid
Oldsmobile Cutlass Supreme 1988-1989 2.8L V6 173cid
Oldsmobile Cutlass Supreme 1989-1993 3.1L V6 189cid
Oldsmobile Cutlass Supreme 1990 2.3L L4 140cid
Oldsmobile Cutlass Supreme 1990-1991 2.3L L4 138cid
Oldsmobile Cutlass Supreme 1991-1993 3.4L V6 207cid
Pontiac Grand Prix 1988-1989 2.8L V6 173cid
Pontiac Grand Prix 1989-1993 3.1L V6 189cid
Pontiac Grand Prix 1990-1991 2.3L L4 138cid
Pontiac Grand Prix 1991-1993 3.4L V6 207cid</t>
        </is>
      </c>
      <c r="I147" t="inlineStr">
        <is>
          <t>{"0": {"productDeskExternalKey": "CPCX|40-179"}, "1": {"Package Contents": "Wiper Motor; Instruction Sheet"}, "2": {"E-Waste": "Yes"}, "3": {"Product Condition": "Remanufactured"}, "4": {"Mounting Hole Quantity": "3"}, "5": {"Terminal Type": "Blade"}, "6": {"Mounting Type": "Direct Bolt"}, "7": {"Weight PG": "4.3000"}, "8": {"Washer Pump Included": "No"}, "9": {"Part Type": "Windshield Wiper Motor"}, "10": {"Warranty Info": "1 Year/18,000 Mile"}, "11": {"Sustainable Choice": "Yes"}, "12": {"Lifecycle Status": "Available to Order"}, "13": {"Application Summary": "Buick Regal 1993-88; Chevrolet Lumina 1993-90; Oldsmobile Cutlass Supreme 1993-88; Pontiac Grand Prix 1993-88"}, "14": {"ItemLevelGTIN": "00082617076050"}, "15": {"_addonCardone": "40-179::98271:101115:306"}, "16": {"Eligible for R&amp;R Service": "Yes"}}</t>
        </is>
      </c>
      <c r="J147" t="inlineStr">
        <is>
          <t>https://www.cardone.com/product/windshield-wiper-motor-40-179</t>
        </is>
      </c>
      <c r="K147">
        <f>DISPIMG("ID_B46026BA2513492DA59CD1140BBB6395",1)</f>
        <v/>
      </c>
      <c r="L147" t="inlineStr">
        <is>
          <t>CPCX|40-179</t>
        </is>
      </c>
      <c r="M147" t="inlineStr">
        <is>
          <t>Wiper Motor; Instruction Sheet</t>
        </is>
      </c>
      <c r="N147" t="inlineStr">
        <is>
          <t>Yes</t>
        </is>
      </c>
      <c r="O147" t="inlineStr">
        <is>
          <t>Remanufactured</t>
        </is>
      </c>
      <c r="P147" t="inlineStr">
        <is>
          <t>3</t>
        </is>
      </c>
      <c r="Q147" t="inlineStr">
        <is>
          <t>Blade</t>
        </is>
      </c>
      <c r="R147" t="inlineStr">
        <is>
          <t>Direct Bolt</t>
        </is>
      </c>
      <c r="S147" t="inlineStr">
        <is>
          <t>4.3000</t>
        </is>
      </c>
      <c r="T147" t="inlineStr">
        <is>
          <t>No</t>
        </is>
      </c>
      <c r="U147" t="inlineStr">
        <is>
          <t>1 Year/18,000 Mile</t>
        </is>
      </c>
      <c r="V147" t="inlineStr">
        <is>
          <t>Yes</t>
        </is>
      </c>
      <c r="W147" t="inlineStr">
        <is>
          <t>Available to Order</t>
        </is>
      </c>
      <c r="X147" t="inlineStr">
        <is>
          <t>Buick Regal 1993-88; Chevrolet Lumina 1993-90; Oldsmobile Cutlass Supreme 1993-88; Pontiac Grand Prix 1993-88</t>
        </is>
      </c>
      <c r="Y147" t="inlineStr">
        <is>
          <t>00082617076050</t>
        </is>
      </c>
      <c r="Z147" t="inlineStr">
        <is>
          <t>40-179::98271:101115:306</t>
        </is>
      </c>
      <c r="AA147" t="inlineStr">
        <is>
          <t>Yes</t>
        </is>
      </c>
      <c r="AB147" t="inlineStr"/>
      <c r="AC147" t="inlineStr"/>
    </row>
    <row r="148">
      <c r="A148" t="inlineStr">
        <is>
          <t>147</t>
        </is>
      </c>
      <c r="B148" t="inlineStr">
        <is>
          <t>Windshield Wiper Motor</t>
        </is>
      </c>
      <c r="C148" t="inlineStr">
        <is>
          <t>40-180</t>
        </is>
      </c>
      <c r="D148" t="inlineStr">
        <is>
          <t>Windshield Wiper Motor - 40-180</t>
        </is>
      </c>
      <c r="E148" t="inlineStr">
        <is>
          <t>CARDONE Reman</t>
        </is>
      </c>
      <c r="F148" t="inlineStr">
        <is>
          <t>22048352</t>
        </is>
      </c>
      <c r="G148" t="inlineStr">
        <is>
          <t>Chevrolet C10 1978-1984
Chevrolet C10 Suburban 1978-1984
Chevrolet C20 1978-1984
Chevrolet C20 Suburban 1978-1984
Chevrolet C30 1978-1984
Chevrolet C50 1983-1987
Chevrolet C60 1983-1987
Chevrolet C70 1983-1987
Chevrolet G10 1978-1982
Chevrolet G20 1978-1982
Chevrolet G30 1978-1982
Chevrolet K10 1978-1984
Chevrolet K10 Suburban 1978-1984
Chevrolet K20 1978-1984
Chevrolet K20 Suburban 1978-1984
Chevrolet K30 1978-1984
Chevrolet K5 Blazer 1978-1984
GMC C15 1978
GMC C15 Suburban 1978
GMC C1500 1979-1984
GMC C1500 Suburban 1979-1984
GMC C25 1978
GMC C25 Suburban 1978
GMC C2500 1979-1984
GMC C2500 Suburban 1979-1984
GMC C35 1978
GMC C3500 1979-1984
GMC C5000 1983-1987
GMC C6000 1983-1987
GMC C7000 1983-1987
GMC G15 1978
GMC G1500 1979-1982
GMC G25 1978
GMC G2500 1979-1982
GMC G35 1978
GMC G3500 1979-1982
GMC Jimmy 1978-1984
GMC K15 1978
GMC K15 Suburban 1978
GMC K1500 1979-1984
GMC K1500 Suburban 1979-1984
GMC K25 1978
GMC K25 Suburban 1978
GMC K2500 1979-1984
GMC K2500 Suburban 1979-1984
GMC K35 1978
GMC K3500 1979-1984</t>
        </is>
      </c>
      <c r="H148" t="inlineStr">
        <is>
          <t>Chevrolet C10 1978-1980 6.6L V8 400cid
Chevrolet C10 1978-1980 7.4L V8 454cid
Chevrolet C10 1978-1981 4.8L L6 292cid
Chevrolet C10 1978-1984 4.1L L6 250cid
Chevrolet C10 1978-1984 5.7L V8 350cid
Chevrolet C10 1978-1984 5L V8 305cid
Chevrolet C10 1982-1984 6.2L V8 379cid
Chevrolet C10 Suburban 1978-1980 4.1L L6 250cid
Chevrolet C10 Suburban 1978-1980 7.4L V8 454cid
Chevrolet C10 Suburban 1978-1984 5.7L V8 350cid
Chevrolet C10 Suburban 1978-1984 5L V8 305cid
Chevrolet C10 Suburban 1982-1984 6.2L V8 379cid
Chevrolet C20 1978-1980 6.6L V8 400cid
Chevrolet C20 1978-1984 4.1L L6 250cid
Chevrolet C20 1978-1984 4.8L L6 292cid
Chevrolet C20 1978-1984 5.7L V8 350cid
Chevrolet C20 1978-1984 5L V8 305cid
Chevrolet C20 1978-1984 7.4L V8 454cid
Chevrolet C20 1982-1984 6.2L V8 379cid
Chevrolet C20 Suburban 1978-1980 6.6L V8 400cid
Chevrolet C20 Suburban 1978-1982 4.8L L6 292cid
Chevrolet C20 Suburban 1978-1984 5.7L V8 350cid
Chevrolet C20 Suburban 1978-1984 5L V8 305cid
Chevrolet C20 Suburban 1978-1984 7.4L V8 454cid
Chevrolet C20 Suburban 1982-1984 6.2L V8 379cid
Chevrolet C30 1978 5L V8 305cid
Chevrolet C30 1978 6.6L V8 400cid
Chevrolet C30 1978-1982 4.1L L6 250cid
Chevrolet C30 1978-1984 4.8L L6 292cid
Chevrolet C30 1978-1984 5.7L V8 350cid
Chevrolet C30 1978-1984 7.4L V8 454cid
Chevrolet C30 1982-1984 6.2L V8 379cid
Chevrolet C50 1983-1986 4.8L L6 292cid
Chevrolet C50 1983-1987 5.7L V8 350cid
Chevrolet C50 1986 7L V8 427cid
Chevrolet C60 1983 6.1L L6 374cid
Chevrolet C60 1983-1985 10.4L V8 636cid
Chevrolet C60 1983-1986 4.8L L6 292cid
Chevrolet C60 1983-1987 5.7L V8 350cid
Chevrolet C60 1983-1987 6L V8 366cid
Chevrolet C60 1983-1987 8.2L V8 501cid
Chevrolet C60 1985 7L V8 427cid
Chevrolet C60 1986 14L L6 855cid
Chevrolet C70 1983-1985 6.1L L6 374cid
Chevrolet C70 1983-1987 10.4L V8 636cid
Chevrolet C70 1983-1987 6L V8 366cid
Chevrolet C70 1983-1987 7L V8 427cid
Chevrolet C70 1983-1987 8.2L V8 501cid
Chevrolet C70 1986 14L L6 855cid
Chevrolet C70 1986 5.7L V8 350cid
Chevrolet G10 1978-1982 4.1L L6 250cid
Chevrolet G10 1978-1982 5.7L V8 350cid
Chevrolet G10 1978-1982 5L V8 305cid
Chevrolet G20 1978 4.8L L6 292cid
Chevrolet G20 1978-1980 6.6L V8 400cid
Chevrolet G20 1978-1982 5.7L V8 350cid
Chevrolet G20 1979-1982 4.1L L6 250cid
Chevrolet G20 1980-1982 5L V8 305cid
Chevrolet G30 1978-1979 4.8L L6 292cid
Chevrolet G30 1978-1980 6.6L V8 400cid
Chevrolet G30 1978-1982 4.1L L6 250cid
Chevrolet G30 1978-1982 5.7L V8 350cid
Chevrolet G30 1978-1982 5L V8 305cid
Chevrolet K10 1978-1980 6.6L V8 400cid
Chevrolet K10 1978-1984 4.1L L6 250cid
Chevrolet K10 1978-1984 5.7L V8 350cid
Chevrolet K10 1978-1984 5L V8 305cid
Chevrolet K10 1980 4.8L L6 292cid
Chevrolet K10 1980 7.4L V8 454cid
Chevrolet K10 1982-1984 6.2L V8 379cid
Chevrolet K10 Suburban 1978-1979 6.6L V8 400cid
Chevrolet K10 Suburban 1978-1980 4.1L L6 250cid
Chevrolet K10 Suburban 1978-1983 5L V8 305cid
Chevrolet K10 Suburban 1978-1984 5.7L V8 350cid
Chevrolet K10 Suburban 1982-1984 6.2L V8 379cid
Chevrolet K20 1978 5L V8 305cid
Chevrolet K20 1978 7.4L V8 454cid
Chevrolet K20 1978-1980 4.1L L6 250cid
Chevrolet K20 1978-1980 6.6L V8 400cid
Chevrolet K20 1978-1984 4.8L L6 292cid
Chevrolet K20 1978-1984 5.7L V8 350cid
Chevrolet K20 1982-1984 6.2L V8 379cid
Chevrolet K20 Suburban 1978 5L V8 305cid
Chevrolet K20 Suburban 1978-1980 6.6L V8 400cid
Chevrolet K20 Suburban 1978-1982 4.8L L6 292cid
Chevrolet K20 Suburban 1978-1984 5.7L V8 350cid
Chevrolet K20 Suburban 1982-1984 6.2L V8 379cid
Chevrolet K30 1978-1980 6.6L V8 400cid
Chevrolet K30 1978-1984 4.8L L6 292cid
Chevrolet K30 1978-1984 5.7L V8 350cid
Chevrolet K30 1980-1984 7.4L V8 454cid
Chevrolet K30 1982-1984 6.2L V8 379cid
Chevrolet K5 Blazer 1978 7.4L V8 454cid
Chevrolet K5 Blazer 1978-1979 6.6L V8 400cid
Chevrolet K5 Blazer 1978-1982 4.1L L6 250cid
Chevrolet K5 Blazer 1978-1984 5.7L V8 350cid
Chevrolet K5 Blazer 1978-1984 5L V8 305cid
Chevrolet K5 Blazer 1982-1984 6.2L V8 379cid
GMC C15 1978 4.1L L6 250cid
GMC C15 1978 4.8L L6 292cid
GMC C15 1978 5.7L V8 350cid
GMC C15 1978 5L V8 305cid
GMC C15 1978 6.6L V8 400cid
GMC C15 1978 7.4L V8 454cid
GMC C15 Suburban 1978 4.1L L6 250cid
GMC C15 Suburban 1978 5.7L V8 350cid
GMC C15 Suburban 1978 5L V8 305cid
GMC C15 Suburban 1978 7.4L V8 454cid
GMC C1500 1979-1980 4.8L L6 292cid
GMC C1500 1979-1980 6.6L V8 400cid
GMC C1500 1979-1980 7.4L V8 454cid
GMC C1500 1979-1984 4.1L L6 250cid
GMC C1500 1979-1984 5.7L V8 350cid
GMC C1500 1979-1984 5L V8 305cid
GMC C1500 1982-1984 6.2L V8 379cid
GMC C1500 Suburban 1979-1980 4.1L L6 250cid
GMC C1500 Suburban 1979-1980 7.4L V8 454cid
GMC C1500 Suburban 1979-1984 5.7L V8 350cid
GMC C1500 Suburban 1979-1984 5L V8 305cid
GMC C1500 Suburban 1982-1984 6.2L V8 379cid
GMC C25 1978 4.1L L6 250cid
GMC C25 1978 4.8L L6 292cid
GMC C25 1978 5.7L V8 350cid
GMC C25 1978 5L V8 305cid
GMC C25 1978 6.6L V8 400cid
GMC C25 1978 7.4L V8 454cid
GMC C25 Suburban 1978 4.8L L6 292cid
GMC C25 Suburban 1978 5.7L V8 350cid
GMC C25 Suburban 1978 5L V8 305cid
GMC C25 Suburban 1978 6.6L V8 400cid
GMC C25 Suburban 1978 7.4L V8 454cid
GMC C2500 1979 6.6L V8 400cid
GMC C2500 1979-1984 4.1L L6 250cid
GMC C2500 1979-1984 5.7L V8 350cid
GMC C2500 1979-1984 7.4L V8 454cid
GMC C2500 1980-1984 4.8L L6 292cid
GMC C2500 1980-1984 5L V8 305cid
GMC C2500 1982-1984 6.2L V8 379cid
GMC C2500 Suburban 1979-1984 4.8L L6 292cid
GMC C2500 Suburban 1979-1984 5.7L V8 350cid
GMC C2500 Suburban 1979-1984 7.4L V8 454cid
GMC C2500 Suburban 1980 6.6L V8 400cid
GMC C2500 Suburban 1982-1984 5L V8 305cid
GMC C2500 Suburban 1982-1984 6.2L V8 379cid
GMC C35 1978 4.1L L6 250cid
GMC C35 1978 4.8L L6 292cid
GMC C35 1978 5.7L V8 350cid
GMC C35 1978 5L V8 305cid
GMC C35 1978 6.6L V8 400cid
GMC C35 1978 7.4L V8 454cid
GMC C3500 1979 6.6L V8 400cid
GMC C3500 1979-1980 4.1L L6 250cid
GMC C3500 1979-1984 4.8L L6 292cid
GMC C3500 1979-1984 5.7L V8 350cid
GMC C3500 1979-1984 7.4L V8 454cid
GMC C3500 1982-1984 6.2L V8 379cid
GMC C5000 1983-1987 4.8L L6 292cid
GMC C5000 1983-1987 5.7L V8 350cid
GMC C6000 1983-1984 10.4L V8 636cid
GMC C6000 1983-1986 4.8L L6 292cid
GMC C6000 1983-1987 5.7L V8 350cid
GMC C6000 1983-1987 6L V8 366cid
GMC C6000 1983-1987 8.2L V8 501cid
GMC C6000 1985 14L L6 855cid
GMC C6000 1985 7L V8 427cid
GMC C7000 1983-1985 6.1L L6 374cid
GMC C7000 1983-1987 10.4L V8 636cid
GMC C7000 1983-1987 6L V8 366cid
GMC C7000 1983-1987 7L V8 427cid
GMC C7000 1983-1987 8.2L V8 501cid
GMC G15 1978 4.1L L6 250cid
GMC G15 1978 5.7L V8 350cid
GMC G15 1978 5L V8 305cid
GMC G1500 1979 6.6L V8 400cid
GMC G1500 1979-1982 4.1L L6 250cid
GMC G1500 1979-1982 5.7L V8 350cid
GMC G1500 1979-1982 5L V8 305cid
GMC G25 1978 4.8L L6 292cid
GMC G25 1978 5.7L V8 350cid
GMC G25 1978 6.6L V8 400cid
GMC G2500 1979-1980 6.6L V8 400cid
GMC G2500 1979-1982 4.1L L6 250cid
GMC G2500 1979-1982 5.7L V8 350cid
GMC G2500 1981-1982 5L V8 305cid
GMC G35 1978 4.1L L6 250cid
GMC G35 1978 4.8L L6 292cid
GMC G35 1978 5.7L V8 350cid
GMC G35 1978 6.6L V8 400cid
GMC G3500 1979-1980 6.6L V8 400cid
GMC G3500 1979-1982 4.1L L6 250cid
GMC G3500 1979-1982 5.7L V8 350cid
GMC Jimmy 1978-1979 6.6L V8 400cid
GMC Jimmy 1978-1982 4.1L L6 250cid
GMC Jimmy 1978-1984 5.7L V8 350cid
GMC Jimmy 1978-1984 5L V8 305cid
GMC Jimmy 1982-1984 6.2L V8 379cid
GMC K15 1978 4.1L L6 250cid
GMC K15 1978 5.7L V8 350cid
GMC K15 1978 5L V8 305cid
GMC K15 1978 6.6L V8 400cid
GMC K15 Suburban 1978 4.1L L6 250cid
GMC K15 Suburban 1978 5.7L V8 350cid
GMC K15 Suburban 1978 5L V8 305cid
GMC K15 Suburban 1978 6.6L V8 400cid
GMC K1500 1979-1980 6.6L V8 400cid
GMC K1500 1979-1984 4.1L L6 250cid
GMC K1500 1979-1984 5.7L V8 350cid
GMC K1500 1980 4.8L L6 292cid
GMC K1500 1980 7.4L V8 454cid
GMC K1500 1981-1984 5L V8 305cid
GMC K1500 1982-1984 6.2L V8 379cid
GMC K1500 Suburban 1979-1980 4.1L L6 250cid
GMC K1500 Suburban 1979-1980 6.6L V8 400cid
GMC K1500 Suburban 1979-1982 5L V8 305cid
GMC K1500 Suburban 1979-1984 5.7L V8 350cid
GMC K1500 Suburban 1982-1984 6.2L V8 379cid
GMC K25 1978 4.1L L6 250cid
GMC K25 1978 4.8L L6 292cid
GMC K25 1978 5.7L V8 350cid
GMC K25 1978 5L V8 305cid
GMC K25 1978 6.6L V8 400cid
GMC K25 1978 7.4L V8 454cid
GMC K25 Suburban 1978 4.8L L6 292cid
GMC K25 Suburban 1978 5.7L V8 350cid
GMC K25 Suburban 1978 5L V8 305cid
GMC K25 Suburban 1978 6.6L V8 400cid
GMC K2500 1979-1980 6.6L V8 400cid
GMC K2500 1979-1984 4.8L L6 292cid
GMC K2500 1979-1984 5.7L V8 350cid
GMC K2500 1980 4.1L L6 250cid
GMC K2500 1982-1984 6.2L V8 379cid
GMC K2500 Suburban 1979-1980 6.6L V8 400cid
GMC K2500 Suburban 1979-1984 4.8L L6 292cid
GMC K2500 Suburban 1979-1984 5.7L V8 350cid
GMC K2500 Suburban 1982-1984 6.2L V8 379cid
GMC K35 1978 4.8L L6 292cid
GMC K35 1978 5.7L V8 350cid
GMC K35 1978 6.6L V8 400cid
GMC K3500 1979-1980 6.6L V8 400cid
GMC K3500 1979-1984 4.8L L6 292cid
GMC K3500 1979-1984 5.7L V8 350cid
GMC K3500 1979-1984 7.4L V8 454cid
GMC K3500 1982-1984 6.2L V8 379cid</t>
        </is>
      </c>
      <c r="I148" t="inlineStr">
        <is>
          <t>{"0": {"productDeskExternalKey": "CPCX|40-180"}, "1": {"Package Contents": "Wiper Motor; Instruction Sheet"}, "2": {"E-Waste": "Yes"}, "3": {"Product Condition": "Remanufactured"}, "4": {"Mounting Hole Quantity": "3"}, "5": {"Terminal Type": "Blade"}, "6": {"Mounting Type": "Grommet"}, "7": {"Weight PG": "4.8000"}, "8": {"Washer Pump Included": "Yes"}, "9": {"Part Type": "Windshield Wiper Motor"}, "10": {"Warranty Info": "1 Year/18,000 Mile"}, "11": {"Sustainable Choice": "Yes"}, "12": {"Lifecycle Status": "Available to Order"}, "13": {"ItemLevelGTIN": "00082617039918"}, "14": {"_addonCardone": "40-180::98271:101118:306"}, "15": {"Eligible for R&amp;R Service": "Yes"}}</t>
        </is>
      </c>
      <c r="J148" t="inlineStr">
        <is>
          <t>https://www.cardone.com/product/windshield-wiper-motor-40-180</t>
        </is>
      </c>
      <c r="K148">
        <f>DISPIMG("ID_2C66E33C815642E3A9B049BAAD13B534",1)</f>
        <v/>
      </c>
      <c r="L148" t="inlineStr">
        <is>
          <t>CPCX|40-180</t>
        </is>
      </c>
      <c r="M148" t="inlineStr">
        <is>
          <t>Wiper Motor; Instruction Sheet</t>
        </is>
      </c>
      <c r="N148" t="inlineStr">
        <is>
          <t>Yes</t>
        </is>
      </c>
      <c r="O148" t="inlineStr">
        <is>
          <t>Remanufactured</t>
        </is>
      </c>
      <c r="P148" t="inlineStr">
        <is>
          <t>3</t>
        </is>
      </c>
      <c r="Q148" t="inlineStr">
        <is>
          <t>Blade</t>
        </is>
      </c>
      <c r="R148" t="inlineStr">
        <is>
          <t>Grommet</t>
        </is>
      </c>
      <c r="S148" t="inlineStr">
        <is>
          <t>4.8000</t>
        </is>
      </c>
      <c r="T148" t="inlineStr">
        <is>
          <t>Yes</t>
        </is>
      </c>
      <c r="U148" t="inlineStr">
        <is>
          <t>1 Year/18,000 Mile</t>
        </is>
      </c>
      <c r="V148" t="inlineStr">
        <is>
          <t>Yes</t>
        </is>
      </c>
      <c r="W148" t="inlineStr">
        <is>
          <t>Available to Order</t>
        </is>
      </c>
      <c r="X148" t="inlineStr"/>
      <c r="Y148" t="inlineStr">
        <is>
          <t>00082617039918</t>
        </is>
      </c>
      <c r="Z148" t="inlineStr">
        <is>
          <t>40-180::98271:101118:306</t>
        </is>
      </c>
      <c r="AA148" t="inlineStr">
        <is>
          <t>Yes</t>
        </is>
      </c>
      <c r="AB148" t="inlineStr"/>
      <c r="AC148" t="inlineStr"/>
    </row>
    <row r="149">
      <c r="A149" t="inlineStr">
        <is>
          <t>148</t>
        </is>
      </c>
      <c r="B149" t="inlineStr">
        <is>
          <t>Windshield Wiper Motor</t>
        </is>
      </c>
      <c r="C149" t="inlineStr">
        <is>
          <t>40-181</t>
        </is>
      </c>
      <c r="D149" t="inlineStr">
        <is>
          <t>Windshield Wiper Motor - 40-181</t>
        </is>
      </c>
      <c r="E149" t="inlineStr">
        <is>
          <t>CARDONE Reman</t>
        </is>
      </c>
      <c r="F149" t="inlineStr">
        <is>
          <t>22039729</t>
        </is>
      </c>
      <c r="G149" t="inlineStr">
        <is>
          <t>Buick Skylark 1980-1985
Chevrolet Citation 1980-1985
Chevrolet Citation II 1984-1985
Oldsmobile Omega 1980-1984
Pontiac Phoenix 1980-1984</t>
        </is>
      </c>
      <c r="H149" t="inlineStr">
        <is>
          <t>Buick Skylark 1980-1985 2.5L L4 151cid
Buick Skylark 1980-1985 2.8L V6 173cid
Chevrolet Citation 1980-1983 2.5L L4 151cid
Chevrolet Citation 1980-1985 2.8L V6 173cid
Chevrolet Citation II 1984-1985 2.5L L4 151cid
Chevrolet Citation II 1984-1985 2.8L V6 173cid
Oldsmobile Omega 1980-1984 2.5L L4 151cid
Oldsmobile Omega 1980-1984 2.8L V6 173cid
Pontiac Phoenix 1980-1984 2.5L L4 151cid
Pontiac Phoenix 1980-1984 2.8L V6 173cid</t>
        </is>
      </c>
      <c r="I149" t="inlineStr">
        <is>
          <t>{"0": {"productDeskExternalKey": "CPCX|40-181"}, "1": {"Package Contents": "Wiper Motor; Instruction Sheet"}, "2": {"E-Waste": "Yes"}, "3": {"Product Condition": "Remanufactured"}, "4": {"Mounting Hole Quantity": "3"}, "5": {"Terminal Type": "Blade"}, "6": {"Mounting Type": "Grommet"}, "7": {"Weight PG": "5.1200"}, "8": {"Washer Pump Included": "No"}, "9": {"Part Type": "Windshield Wiper Motor"}, "10": {"Warranty Info": "1 Year/18,000 Mile"}, "11": {"Sustainable Choice": "Yes"}, "12": {"Lifecycle Status": "Available to Order"}, "13": {"Application Summary": "Buick Skylark 1985-80; Chevrolet Citation 1985-80, Citation II 1985-84; Oldsmobile Omega 1984-80; Pontiac Phoenix 1984-80"}, "14": {"ItemLevelGTIN": "00082617039925"}, "15": {"_addonCardone": "40-181::98271:101125:306"}, "16": {"Eligible for R&amp;R Service": "Yes"}}</t>
        </is>
      </c>
      <c r="J149" t="inlineStr">
        <is>
          <t>https://www.cardone.com/product/windshield-wiper-motor-40-181</t>
        </is>
      </c>
      <c r="K149">
        <f>DISPIMG("ID_B28B0999371B469183EF224BE9AC29A8",1)</f>
        <v/>
      </c>
      <c r="L149" t="inlineStr">
        <is>
          <t>CPCX|40-181</t>
        </is>
      </c>
      <c r="M149" t="inlineStr">
        <is>
          <t>Wiper Motor; Instruction Sheet</t>
        </is>
      </c>
      <c r="N149" t="inlineStr">
        <is>
          <t>Yes</t>
        </is>
      </c>
      <c r="O149" t="inlineStr">
        <is>
          <t>Remanufactured</t>
        </is>
      </c>
      <c r="P149" t="inlineStr">
        <is>
          <t>3</t>
        </is>
      </c>
      <c r="Q149" t="inlineStr">
        <is>
          <t>Blade</t>
        </is>
      </c>
      <c r="R149" t="inlineStr">
        <is>
          <t>Grommet</t>
        </is>
      </c>
      <c r="S149" t="inlineStr">
        <is>
          <t>5.1200</t>
        </is>
      </c>
      <c r="T149" t="inlineStr">
        <is>
          <t>No</t>
        </is>
      </c>
      <c r="U149" t="inlineStr">
        <is>
          <t>1 Year/18,000 Mile</t>
        </is>
      </c>
      <c r="V149" t="inlineStr">
        <is>
          <t>Yes</t>
        </is>
      </c>
      <c r="W149" t="inlineStr">
        <is>
          <t>Available to Order</t>
        </is>
      </c>
      <c r="X149" t="inlineStr">
        <is>
          <t>Buick Skylark 1985-80; Chevrolet Citation 1985-80, Citation II 1985-84; Oldsmobile Omega 1984-80; Pontiac Phoenix 1984-80</t>
        </is>
      </c>
      <c r="Y149" t="inlineStr">
        <is>
          <t>00082617039925</t>
        </is>
      </c>
      <c r="Z149" t="inlineStr">
        <is>
          <t>40-181::98271:101125:306</t>
        </is>
      </c>
      <c r="AA149" t="inlineStr">
        <is>
          <t>Yes</t>
        </is>
      </c>
      <c r="AB149" t="inlineStr"/>
      <c r="AC149" t="inlineStr"/>
    </row>
    <row r="150">
      <c r="A150" t="inlineStr">
        <is>
          <t>149</t>
        </is>
      </c>
      <c r="B150" t="inlineStr">
        <is>
          <t>Windshield Wiper Motor</t>
        </is>
      </c>
      <c r="C150" t="inlineStr">
        <is>
          <t>40-182</t>
        </is>
      </c>
      <c r="D150" t="inlineStr">
        <is>
          <t>Windshield Wiper Motor - 40-182</t>
        </is>
      </c>
      <c r="E150" t="inlineStr">
        <is>
          <t>CARDONE Reman</t>
        </is>
      </c>
      <c r="F150" t="inlineStr">
        <is>
          <t>22049809</t>
        </is>
      </c>
      <c r="G150" t="inlineStr">
        <is>
          <t>Chevrolet Blazer 1987-1991
Chevrolet C10 1985-1986
Chevrolet C10 Suburban 1985-1986
Chevrolet C20 1985-1986
Chevrolet C20 Suburban 1985-1986
Chevrolet C30 1985-1986
Chevrolet G10 1983-1991
Chevrolet G20 1983-1991
Chevrolet G30 1983-1991
Chevrolet K10 1985-1986
Chevrolet K10 Suburban 1985-1986
Chevrolet K20 1985-1986
Chevrolet K20 Suburban 1985-1986
Chevrolet K30 1985-1986
Chevrolet K5 Blazer 1985-1986
Chevrolet R10 1987
Chevrolet R10 Suburban 1987-1988
Chevrolet R1500 Suburban 1989-1991
Chevrolet R20 1987-1988
Chevrolet R20 Suburban 1987-1988
Chevrolet R2500 1989
Chevrolet R2500 Suburban 1989-1991
Chevrolet R30 1987-1988
Chevrolet R3500 1989-1991
Chevrolet V10 1987
Chevrolet V10 Suburban 1987-1988
Chevrolet V1500 Suburban 1989-1991
Chevrolet V20 1987
Chevrolet V20 Suburban 1987-1988
Chevrolet V2500 Suburban 1989-1991
Chevrolet V30 1987-1988
Chevrolet V3500 1989-1991
GMC C1500 1985-1986
GMC C1500 Suburban 1985-1986
GMC C2500 1985-1986
GMC C2500 Suburban 1985-1986
GMC C3500 1985-1986
GMC G1500 1983-1991
GMC G2500 1983-1991
GMC G3500 1983-1991
GMC Jimmy 1985-1991
GMC K1500 1985-1986
GMC K1500 Suburban 1985-1986
GMC K2500 1985-1986
GMC K2500 Suburban 1985-1986
GMC K3500 1985-1986
GMC R1500 1987
GMC R1500 Suburban 1987-1991
GMC R2500 1987-1989
GMC R2500 Suburban 1987-1991
GMC R3500 1987-1991
GMC V1500 1987
GMC V1500 Suburban 1987-1991
GMC V2500 1987
GMC V2500 Suburban 1987-1991
GMC V3500 1987-1991</t>
        </is>
      </c>
      <c r="H150" t="inlineStr">
        <is>
          <t>Chevrolet Blazer 1987 5L V8 305cid
Chevrolet Blazer 1987-1991 5.7L V8 350cid
Chevrolet Blazer 1987-1991 6.2L V8 379cid
Chevrolet C10 1985-1986 4.3L V6 262cid
Chevrolet C10 1985-1986 5.7L V8 350cid
Chevrolet C10 1985-1986 5L V8 305cid
Chevrolet C10 1985-1986 6.2L V8 379cid
Chevrolet C10 Suburban 1985-1986 5.7L V8 350cid
Chevrolet C10 Suburban 1985-1986 5L V8 305cid
Chevrolet C10 Suburban 1985-1986 6.2L V8 379cid
Chevrolet C20 1985-1986 4.3L V6 262cid
Chevrolet C20 1985-1986 4.8L L6 292cid
Chevrolet C20 1985-1986 5.7L V8 350cid
Chevrolet C20 1985-1986 5L V8 305cid
Chevrolet C20 1985-1986 6.2L V8 379cid
Chevrolet C20 1985-1986 7.4L V8 454cid
Chevrolet C20 Suburban 1985-1986 5.7L V8 350cid
Chevrolet C20 Suburban 1985-1986 5L V8 305cid
Chevrolet C20 Suburban 1985-1986 6.2L V8 379cid
Chevrolet C20 Suburban 1985-1986 7.4L V8 454cid
Chevrolet C30 1985-1986 4.8L L6 292cid
Chevrolet C30 1985-1986 5.7L V8 350cid
Chevrolet C30 1985-1986 6.2L V8 379cid
Chevrolet C30 1985-1986 7.4L V8 454cid
Chevrolet G10 1983-1984 4.1L L6 250cid
Chevrolet G10 1983-1991 5.7L V8 350cid
Chevrolet G10 1983-1991 5L V8 305cid
Chevrolet G10 1985-1991 4.3L V6 262cid
Chevrolet G20 1983-1984 4.1L L6 250cid
Chevrolet G20 1983-1991 5.7L V8 350cid
Chevrolet G20 1983-1991 5L V8 305cid
Chevrolet G20 1983-1991 6.2L V8 379cid
Chevrolet G20 1985-1991 4.3L V6 262cid
Chevrolet G30 1983-1984 4.1L L6 250cid
Chevrolet G30 1983-1991 5.7L V8 350cid
Chevrolet G30 1983-1991 6.2L V8 379cid
Chevrolet G30 1985 5L V8 305cid
Chevrolet G30 1985-1991 4.3L V6 262cid
Chevrolet G30 1988-1991 7.4L V8 454cid
Chevrolet K10 1985-1986 4.3L V6 262cid
Chevrolet K10 1985-1986 5.7L V8 350cid
Chevrolet K10 1985-1986 5L V8 305cid
Chevrolet K10 1985-1986 6.2L V8 379cid
Chevrolet K10 Suburban 1985-1986 5.7L V8 350cid
Chevrolet K10 Suburban 1985-1986 6.2L V8 379cid
Chevrolet K10 Suburban 1986 5L V8 305cid
Chevrolet K20 1985 4.3L V6 262cid
Chevrolet K20 1985 5L V8 305cid
Chevrolet K20 1985-1986 4.8L L6 292cid
Chevrolet K20 1985-1986 5.7L V8 350cid
Chevrolet K20 1985-1986 6.2L V8 379cid
Chevrolet K20 Suburban 1985 7.4L V8 454cid
Chevrolet K20 Suburban 1985-1986 5.7L V8 350cid
Chevrolet K20 Suburban 1985-1986 5L V8 305cid
Chevrolet K20 Suburban 1985-1986 6.2L V8 379cid
Chevrolet K30 1985-1986 4.8L L6 292cid
Chevrolet K30 1985-1986 5.7L V8 350cid
Chevrolet K30 1985-1986 6.2L V8 379cid
Chevrolet K30 1985-1986 7.4L V8 454cid
Chevrolet K5 Blazer 1985-1986 5.7L V8 350cid
Chevrolet K5 Blazer 1985-1986 5L V8 305cid
Chevrolet K5 Blazer 1985-1986 6.2L V8 379cid
Chevrolet R10 1987 4.3L V6 262cid
Chevrolet R10 1987 5.7L V8 350cid
Chevrolet R10 1987 5L V8 305cid
Chevrolet R10 1987 6.2L V8 379cid
Chevrolet R10 Suburban 1987 5L V8 305cid
Chevrolet R10 Suburban 1987-1988 5.7L V8 350cid
Chevrolet R10 Suburban 1987-1988 6.2L V8 379cid
Chevrolet R1500 Suburban 1989-1991 5.7L V8 350cid
Chevrolet R1500 Suburban 1989-1991 6.2L V8 379cid
Chevrolet R20 1987-1988 4.3L V6 262cid
Chevrolet R20 1987-1988 4.8L L6 292cid
Chevrolet R20 1987-1988 5.7L V8 350cid
Chevrolet R20 1987-1988 5L V8 305cid
Chevrolet R20 1987-1988 6.2L V8 379cid
Chevrolet R20 1987-1988 7.4L V8 454cid
Chevrolet R20 Suburban 1987-1988 5.7L V8 350cid
Chevrolet R20 Suburban 1987-1988 6.2L V8 379cid
Chevrolet R20 Suburban 1987-1988 7.4L V8 454cid
Chevrolet R2500 1989 5.7L V8 350cid
Chevrolet R2500 1989 6.2L V8 379cid
Chevrolet R2500 1989 7.4L V8 454cid
Chevrolet R2500 Suburban 1989-1991 5.7L V8 350cid
Chevrolet R2500 Suburban 1989-1991 6.2L V8 379cid
Chevrolet R2500 Suburban 1989-1991 7.4L V8 454cid
Chevrolet R30 1987-1988 4.8L L6 292cid
Chevrolet R30 1987-1988 5.7L V8 350cid
Chevrolet R30 1987-1988 6.2L V8 379cid
Chevrolet R30 1987-1988 7.4L V8 454cid
Chevrolet R3500 1989-1991 5.7L V8 350cid
Chevrolet R3500 1989-1991 6.2L V8 379cid
Chevrolet R3500 1989-1991 7.4L V8 454cid
Chevrolet V10 1987 4.3L V6 262cid
Chevrolet V10 1987 5.7L V8 350cid
Chevrolet V10 1987 5L V8 305cid
Chevrolet V10 1987 6.2L V8 379cid
Chevrolet V10 Suburban 1987-1988 5.7L V8 350cid
Chevrolet V10 Suburban 1987-1988 6.2L V8 379cid
Chevrolet V1500 Suburban 1989-1991 5.7L V8 350cid
Chevrolet V1500 Suburban 1989-1991 6.2L V8 379cid
Chevrolet V20 1987 4.8L L6 292cid
Chevrolet V20 1987 5.7L V8 350cid
Chevrolet V20 1987 6.2L V8 379cid
Chevrolet V20 Suburban 1987-1988 5.7L V8 350cid
Chevrolet V20 Suburban 1987-1988 6.2L V8 379cid
Chevrolet V20 Suburban 1987-1988 7.4L V8 454cid
Chevrolet V2500 Suburban 1989-1991 5.7L V8 350cid
Chevrolet V2500 Suburban 1989-1991 6.2L V8 379cid
Chevrolet V2500 Suburban 1990 7.4L V8 454cid
Chevrolet V30 1987-1988 4.8L L6 292cid
Chevrolet V30 1987-1988 5.7L V8 350cid
Chevrolet V30 1987-1988 6.2L V8 379cid
Chevrolet V30 1987-1988 7.4L V8 454cid
Chevrolet V3500 1989-1991 5.7L V8 350cid
Chevrolet V3500 1989-1991 6.2L V8 379cid
Chevrolet V3500 1989-1991 7.4L V8 454cid
GMC C1500 1985-1986 4.3L V6 262cid
GMC C1500 1985-1986 5.7L V8 350cid
GMC C1500 1985-1986 5L V8 305cid
GMC C1500 1985-1986 6.2L V8 379cid
GMC C1500 Suburban 1985-1986 5.7L V8 350cid
GMC C1500 Suburban 1985-1986 5L V8 305cid
GMC C1500 Suburban 1985-1986 6.2L V8 379cid
GMC C2500 1985-1986 4.3L V6 262cid
GMC C2500 1985-1986 4.8L L6 292cid
GMC C2500 1985-1986 5.7L V8 350cid
GMC C2500 1985-1986 5L V8 305cid
GMC C2500 1985-1986 6.2L V8 379cid
GMC C2500 1985-1986 7.4L V8 454cid
GMC C2500 Suburban 1985-1986 5.7L V8 350cid
GMC C2500 Suburban 1985-1986 5L V8 305cid
GMC C2500 Suburban 1985-1986 6.2L V8 379cid
GMC C2500 Suburban 1985-1986 7.4L V8 454cid
GMC C3500 1985-1986 4.8L L6 292cid
GMC C3500 1985-1986 5.7L V8 350cid
GMC C3500 1985-1986 6.2L V8 379cid
GMC C3500 1985-1986 7.4L V8 454cid
GMC C3500 1986 5L V8 305cid
GMC G1500 1983-1984 4.1L L6 250cid
GMC G1500 1983-1991 5.7L V8 350cid
GMC G1500 1983-1991 5L V8 305cid
GMC G1500 1985-1991 4.3L V6 262cid
GMC G2500 1983-1984 4.1L L6 250cid
GMC G2500 1983-1991 5.7L V8 350cid
GMC G2500 1983-1991 5L V8 305cid
GMC G2500 1983-1991 6.2L V8 379cid
GMC G2500 1985-1991 4.3L V6 262cid
GMC G3500 1983-1984 4.1L L6 250cid
GMC G3500 1983-1991 5.7L V8 350cid
GMC G3500 1983-1991 6.2L V8 379cid
GMC G3500 1985-1991 4.3L V6 262cid
GMC G3500 1988-1991 7.4L V8 454cid
GMC Jimmy 1985-1987 5L V8 305cid
GMC Jimmy 1985-1991 5.7L V8 350cid
GMC Jimmy 1985-1991 6.2L V8 379cid
GMC K1500 1985-1986 4.3L V6 262cid
GMC K1500 1985-1986 5.7L V8 350cid
GMC K1500 1985-1986 5L V8 305cid
GMC K1500 1985-1986 6.2L V8 379cid
GMC K1500 Suburban 1985-1986 5.7L V8 350cid
GMC K1500 Suburban 1985-1986 6.2L V8 379cid
GMC K2500 1985 4.3L V6 262cid
GMC K2500 1985-1986 4.8L L6 292cid
GMC K2500 1985-1986 5.7L V8 350cid
GMC K2500 1985-1986 6.2L V8 379cid
GMC K2500 Suburban 1985-1986 5.7L V8 350cid
GMC K2500 Suburban 1985-1986 6.2L V8 379cid
GMC K3500 1985-1986 4.8L L6 292cid
GMC K3500 1985-1986 5.7L V8 350cid
GMC K3500 1985-1986 6.2L V8 379cid
GMC K3500 1985-1986 7.4L V8 454cid
GMC R1500 1987 4.3L V6 262cid
GMC R1500 1987 5.7L V8 350cid
GMC R1500 1987 5L V8 305cid
GMC R1500 1987 6.2L V8 379cid
GMC R1500 Suburban 1987 5L V8 305cid
GMC R1500 Suburban 1987-1991 5.7L V8 350cid
GMC R1500 Suburban 1987-1991 6.2L V8 379cid
GMC R2500 1987 4.3L V6 262cid
GMC R2500 1987 5L V8 305cid
GMC R2500 1987-1988 4.8L L6 292cid
GMC R2500 1987-1989 5.7L V8 350cid
GMC R2500 1987-1989 6.2L V8 379cid
GMC R2500 1987-1989 7.4L V8 454cid
GMC R2500 Suburban 1987-1991 5.7L V8 350cid
GMC R2500 Suburban 1987-1991 6.2L V8 379cid
GMC R2500 Suburban 1987-1991 7.4L V8 454cid
GMC R3500 1987-1988 4.8L L6 292cid
GMC R3500 1987-1991 5.7L V8 350cid
GMC R3500 1987-1991 6.2L V8 379cid
GMC R3500 1987-1991 7.4L V8 454cid
GMC V1500 1987 4.3L V6 262cid
GMC V1500 1987 5.7L V8 350cid
GMC V1500 1987 5L V8 305cid
GMC V1500 1987 6.2L V8 379cid
GMC V1500 Suburban 1987-1991 5.7L V8 350cid
GMC V1500 Suburban 1987-1991 6.2L V8 379cid
GMC V2500 1987 4.8L L6 292cid
GMC V2500 1987 5.7L V8 350cid
GMC V2500 1987 6.2L V8 379cid
GMC V2500 Suburban 1987-1991 5.7L V8 350cid
GMC V2500 Suburban 1987-1991 6.2L V8 379cid
GMC V3500 1987-1988 4.8L L6 292cid
GMC V3500 1987-1991 5.7L V8 350cid
GMC V3500 1987-1991 6.2L V8 379cid
GMC V3500 1987-1991 7.4L V8 454cid</t>
        </is>
      </c>
      <c r="I150" t="inlineStr">
        <is>
          <t>{"0": {"productDeskExternalKey": "CPCX|40-182"}, "1": {"Package Contents": "Wiper Motor; Instruction Sheet"}, "2": {"E-Waste": "Yes"}, "3": {"Product Condition": "Remanufactured"}, "4": {"Mounting Hole Quantity": "3"}, "5": {"Terminal Type": "Blade"}, "6": {"Mounting Type": "Grommet"}, "7": {"Weight PG": "4.2700"}, "8": {"Washer Pump Included": "No"}, "9": {"Part Type": "Windshield Wiper Motor"}, "10": {"Warranty Info": "1 Year/18,000 Mile"}, "11": {"Sustainable Choice": "Yes"}, "12": {"Lifecycle Status": "Available to Order"}, "13": {"ItemLevelGTIN": "00082617039932"}, "14": {"_addonCardone": "40-182::98271:101130:306"}, "15": {"Eligible for R&amp;R Service": "Yes"}}</t>
        </is>
      </c>
      <c r="J150" t="inlineStr">
        <is>
          <t>https://www.cardone.com/product/windshield-wiper-motor-40-182</t>
        </is>
      </c>
      <c r="K150">
        <f>DISPIMG("ID_F69A22CC4FC148D2AA94D24CAEC2A412",1)</f>
        <v/>
      </c>
      <c r="L150" t="inlineStr">
        <is>
          <t>CPCX|40-182</t>
        </is>
      </c>
      <c r="M150" t="inlineStr">
        <is>
          <t>Wiper Motor; Instruction Sheet</t>
        </is>
      </c>
      <c r="N150" t="inlineStr">
        <is>
          <t>Yes</t>
        </is>
      </c>
      <c r="O150" t="inlineStr">
        <is>
          <t>Remanufactured</t>
        </is>
      </c>
      <c r="P150" t="inlineStr">
        <is>
          <t>3</t>
        </is>
      </c>
      <c r="Q150" t="inlineStr">
        <is>
          <t>Blade</t>
        </is>
      </c>
      <c r="R150" t="inlineStr">
        <is>
          <t>Grommet</t>
        </is>
      </c>
      <c r="S150" t="inlineStr">
        <is>
          <t>4.2700</t>
        </is>
      </c>
      <c r="T150" t="inlineStr">
        <is>
          <t>No</t>
        </is>
      </c>
      <c r="U150" t="inlineStr">
        <is>
          <t>1 Year/18,000 Mile</t>
        </is>
      </c>
      <c r="V150" t="inlineStr">
        <is>
          <t>Yes</t>
        </is>
      </c>
      <c r="W150" t="inlineStr">
        <is>
          <t>Available to Order</t>
        </is>
      </c>
      <c r="X150" t="inlineStr"/>
      <c r="Y150" t="inlineStr">
        <is>
          <t>00082617039932</t>
        </is>
      </c>
      <c r="Z150" t="inlineStr">
        <is>
          <t>40-182::98271:101130:306</t>
        </is>
      </c>
      <c r="AA150" t="inlineStr">
        <is>
          <t>Yes</t>
        </is>
      </c>
      <c r="AB150" t="inlineStr"/>
      <c r="AC150" t="inlineStr"/>
    </row>
    <row r="151">
      <c r="A151" t="inlineStr">
        <is>
          <t>150</t>
        </is>
      </c>
      <c r="B151" t="inlineStr">
        <is>
          <t>Windshield Wiper Motor</t>
        </is>
      </c>
      <c r="C151" t="inlineStr">
        <is>
          <t>40-183</t>
        </is>
      </c>
      <c r="D151" t="inlineStr">
        <is>
          <t>Windshield Wiper Motor - 40-183</t>
        </is>
      </c>
      <c r="E151" t="inlineStr">
        <is>
          <t>CARDONE Reman</t>
        </is>
      </c>
      <c r="F151" t="inlineStr">
        <is>
          <t>22072790</t>
        </is>
      </c>
      <c r="G151" t="inlineStr">
        <is>
          <t>Chevrolet Camaro 1986-1987
Chevrolet Corvette 1987-1996
Chevrolet Monte Carlo 1988
Oldsmobile Cutlass Supreme 1988
Pontiac Firebird 1986-1987</t>
        </is>
      </c>
      <c r="H151" t="inlineStr">
        <is>
          <t>Chevrolet Camaro 1986 2.5L L4 151cid
Chevrolet Camaro 1986-1987 2.8L V6 173cid
Chevrolet Camaro 1986-1987 5L V8 305cid
Chevrolet Camaro 1987 5.7L V8 350cid
Chevrolet Corvette 1987-1996 5.7L V8 350cid
Chevrolet Monte Carlo 1988 4.3L V6 262cid
Chevrolet Monte Carlo 1988 5L V8 305cid
Oldsmobile Cutlass Supreme 1988 5L V8 307cid
Pontiac Firebird 1986 2.5L L4 151cid
Pontiac Firebird 1986-1987 2.8L V6 173cid
Pontiac Firebird 1986-1987 5L V8 305cid
Pontiac Firebird 1987 5.7L V8 350cid</t>
        </is>
      </c>
      <c r="I151" t="inlineStr">
        <is>
          <t>{"0": {"productDeskExternalKey": "CPCX|40-183"}, "1": {"Package Contents": "Wiper Motor; Instruction Sheet"}, "2": {"E-Waste": "Yes"}, "3": {"Product Condition": "Remanufactured"}, "4": {"Mounting Hole Quantity": "3"}, "5": {"Terminal Type": "Blade"}, "6": {"Mounting Type": "Grommet"}, "7": {"Weight PG": "4.3600"}, "8": {"Washer Pump Included": "No"}, "9": {"Part Type": "Windshield Wiper Motor"}, "10": {"Warranty Info": "1 Year/18,000 Mile"}, "11": {"Sustainable Choice": "Yes"}, "12": {"Lifecycle Status": "Available to Order"}, "13": {"Application Summary": "Chevrolet Camaro 1987-86, Corvette 1996-87, Monte Carlo 1988; Oldsmobile Cutlass Supreme 1988; Pontiac Firebird 1987-86"}, "14": {"ItemLevelGTIN": "00082617076067"}, "15": {"_addonCardone": "40-183::98271:101136:306"}, "16": {"Eligible for R&amp;R Service": "Yes"}}</t>
        </is>
      </c>
      <c r="J151" t="inlineStr">
        <is>
          <t>https://www.cardone.com/product/windshield-wiper-motor-40-183</t>
        </is>
      </c>
      <c r="K151">
        <f>DISPIMG("ID_0DBB6EB7FC344B92A29F462E5171F058",1)</f>
        <v/>
      </c>
      <c r="L151" t="inlineStr">
        <is>
          <t>CPCX|40-183</t>
        </is>
      </c>
      <c r="M151" t="inlineStr">
        <is>
          <t>Wiper Motor; Instruction Sheet</t>
        </is>
      </c>
      <c r="N151" t="inlineStr">
        <is>
          <t>Yes</t>
        </is>
      </c>
      <c r="O151" t="inlineStr">
        <is>
          <t>Remanufactured</t>
        </is>
      </c>
      <c r="P151" t="inlineStr">
        <is>
          <t>3</t>
        </is>
      </c>
      <c r="Q151" t="inlineStr">
        <is>
          <t>Blade</t>
        </is>
      </c>
      <c r="R151" t="inlineStr">
        <is>
          <t>Grommet</t>
        </is>
      </c>
      <c r="S151" t="inlineStr">
        <is>
          <t>4.3600</t>
        </is>
      </c>
      <c r="T151" t="inlineStr">
        <is>
          <t>No</t>
        </is>
      </c>
      <c r="U151" t="inlineStr">
        <is>
          <t>1 Year/18,000 Mile</t>
        </is>
      </c>
      <c r="V151" t="inlineStr">
        <is>
          <t>Yes</t>
        </is>
      </c>
      <c r="W151" t="inlineStr">
        <is>
          <t>Available to Order</t>
        </is>
      </c>
      <c r="X151" t="inlineStr">
        <is>
          <t>Chevrolet Camaro 1987-86, Corvette 1996-87, Monte Carlo 1988; Oldsmobile Cutlass Supreme 1988; Pontiac Firebird 1987-86</t>
        </is>
      </c>
      <c r="Y151" t="inlineStr">
        <is>
          <t>00082617076067</t>
        </is>
      </c>
      <c r="Z151" t="inlineStr">
        <is>
          <t>40-183::98271:101136:306</t>
        </is>
      </c>
      <c r="AA151" t="inlineStr">
        <is>
          <t>Yes</t>
        </is>
      </c>
      <c r="AB151" t="inlineStr"/>
      <c r="AC151" t="inlineStr"/>
    </row>
    <row r="152">
      <c r="A152" t="inlineStr">
        <is>
          <t>151</t>
        </is>
      </c>
      <c r="B152" t="inlineStr">
        <is>
          <t>Windshield Wiper Motor</t>
        </is>
      </c>
      <c r="C152" t="inlineStr">
        <is>
          <t>40-184</t>
        </is>
      </c>
      <c r="D152" t="inlineStr">
        <is>
          <t>Windshield Wiper Motor - 40-184</t>
        </is>
      </c>
      <c r="E152" t="inlineStr">
        <is>
          <t>CARDONE Reman</t>
        </is>
      </c>
      <c r="F152" t="inlineStr">
        <is>
          <t>22072788</t>
        </is>
      </c>
      <c r="G152" t="inlineStr">
        <is>
          <t>Buick Century 1987-1996
Chevrolet Camaro 1988-1992
Chevrolet Celebrity 1987-1990
Oldsmobile Cutlass Ciera 1987-1996
Oldsmobile Cutlass Cruiser 1987-1994
Pontiac 6000 1987-1991
Pontiac Firebird 1988-1992</t>
        </is>
      </c>
      <c r="H152" t="inlineStr">
        <is>
          <t>Buick Century 1987-1988 3.8L V6 231cid
Buick Century 1987-1989 2.8L V6 173cid
Buick Century 1987-1992 2.5L L4 151cid
Buick Century 1989-1993 3.3L V6 204cid
Buick Century 1989-1996 3.1L V6 189cid
Buick Century 1993-1996 2.2L L4 134cid
Chevrolet Camaro 1988-1989 2.8L V6 173cid
Chevrolet Camaro 1988-1992 5.7L V8 350cid
Chevrolet Camaro 1988-1992 5L V8 305cid
Chevrolet Camaro 1990-1992 3.1L V6 189cid
Chevrolet Celebrity 1987-1989 2.8L V6 173cid
Chevrolet Celebrity 1987-1990 2.5L L4 151cid
Chevrolet Celebrity 1990 3.1L V6 189cid
Oldsmobile Cutlass Ciera 1987-1988 3.8L V6 231cid
Oldsmobile Cutlass Ciera 1987-1989 2.8L V6 173cid
Oldsmobile Cutlass Ciera 1987-1992 2.5L L4 151cid
Oldsmobile Cutlass Ciera 1989-1993 3.3L V6 204cid
Oldsmobile Cutlass Ciera 1993-1996 2.2L L4 134cid
Oldsmobile Cutlass Ciera 1994-1996 3.1L V6 189cid
Oldsmobile Cutlass Cruiser 1987-1988 3.8L V6 231cid
Oldsmobile Cutlass Cruiser 1987-1989 2.8L V6 173cid
Oldsmobile Cutlass Cruiser 1987-1992 2.5L L4 151cid
Oldsmobile Cutlass Cruiser 1989-1993 3.3L V6 204cid
Oldsmobile Cutlass Cruiser 1994 3.1L V6 189cid
Pontiac 6000 1987-1989 2.8L V6 173cid
Pontiac 6000 1987-1991 2.5L L4 151cid
Pontiac 6000 1988-1991 3.1L V6 189cid
Pontiac Firebird 1988-1989 2.8L V6 173cid
Pontiac Firebird 1988-1992 5.7L V8 350cid
Pontiac Firebird 1988-1992 5L V8 305cid
Pontiac Firebird 1989 3.8L V6 231cid
Pontiac Firebird 1990-1992 3.1L V6 189cid</t>
        </is>
      </c>
      <c r="I152" t="inlineStr">
        <is>
          <t>{"0": {"productDeskExternalKey": "CPCX|40-184"}, "1": {"Package Contents": "Wiper Motor; Instruction Sheet"}, "2": {"E-Waste": "Yes"}, "3": {"Product Condition": "Remanufactured"}, "4": {"Mounting Hole Quantity": "3"}, "5": {"Terminal Type": "Blade"}, "6": {"Mounting Type": "Grommet"}, "7": {"Weight PG": "4.4100"}, "8": {"Washer Pump Included": "No"}, "9": {"Part Type": "Windshield Wiper Motor"}, "10": {"Warranty Info": "1 Year/18,000 Mile"}, "11": {"Sustainable Choice": "Yes"}, "12": {"Lifecycle Status": "Available to Order"}, "13": {"Application Summary": "Buick Century 1996-87; Chevrolet Camaro 1992-88, Celebrity 1990-87; Oldsmobile Cutlass Ciera 1996-87, Cutlass Cruiser 1994-87; Pontiac 6000 1991-87, Firebird 1992-88"}, "14": {"ItemLevelGTIN": "00082617076074"}, "15": {"_addonCardone": "40-184::98271:101141:306"}, "16": {"Eligible for R&amp;R Service": "Yes"}}</t>
        </is>
      </c>
      <c r="J152" t="inlineStr">
        <is>
          <t>https://www.cardone.com/product/windshield-wiper-motor-40-184</t>
        </is>
      </c>
      <c r="K152">
        <f>DISPIMG("ID_E4460AE7BD1F4FD5A75A4BC27E5448D0",1)</f>
        <v/>
      </c>
      <c r="L152" t="inlineStr">
        <is>
          <t>CPCX|40-184</t>
        </is>
      </c>
      <c r="M152" t="inlineStr">
        <is>
          <t>Wiper Motor; Instruction Sheet</t>
        </is>
      </c>
      <c r="N152" t="inlineStr">
        <is>
          <t>Yes</t>
        </is>
      </c>
      <c r="O152" t="inlineStr">
        <is>
          <t>Remanufactured</t>
        </is>
      </c>
      <c r="P152" t="inlineStr">
        <is>
          <t>3</t>
        </is>
      </c>
      <c r="Q152" t="inlineStr">
        <is>
          <t>Blade</t>
        </is>
      </c>
      <c r="R152" t="inlineStr">
        <is>
          <t>Grommet</t>
        </is>
      </c>
      <c r="S152" t="inlineStr">
        <is>
          <t>4.4100</t>
        </is>
      </c>
      <c r="T152" t="inlineStr">
        <is>
          <t>No</t>
        </is>
      </c>
      <c r="U152" t="inlineStr">
        <is>
          <t>1 Year/18,000 Mile</t>
        </is>
      </c>
      <c r="V152" t="inlineStr">
        <is>
          <t>Yes</t>
        </is>
      </c>
      <c r="W152" t="inlineStr">
        <is>
          <t>Available to Order</t>
        </is>
      </c>
      <c r="X152" t="inlineStr">
        <is>
          <t>Buick Century 1996-87; Chevrolet Camaro 1992-88, Celebrity 1990-87; Oldsmobile Cutlass Ciera 1996-87, Cutlass Cruiser 1994-87; Pontiac 6000 1991-87, Firebird 1992-88</t>
        </is>
      </c>
      <c r="Y152" t="inlineStr">
        <is>
          <t>00082617076074</t>
        </is>
      </c>
      <c r="Z152" t="inlineStr">
        <is>
          <t>40-184::98271:101141:306</t>
        </is>
      </c>
      <c r="AA152" t="inlineStr">
        <is>
          <t>Yes</t>
        </is>
      </c>
      <c r="AB152" t="inlineStr"/>
      <c r="AC152" t="inlineStr"/>
    </row>
    <row r="153">
      <c r="A153" t="inlineStr">
        <is>
          <t>152</t>
        </is>
      </c>
      <c r="B153" t="inlineStr">
        <is>
          <t>Windshield Wiper Motor</t>
        </is>
      </c>
      <c r="C153" t="inlineStr">
        <is>
          <t>40-185</t>
        </is>
      </c>
      <c r="D153" t="inlineStr">
        <is>
          <t>Windshield Wiper Motor - 40-185</t>
        </is>
      </c>
      <c r="E153" t="inlineStr">
        <is>
          <t>CARDONE Reman</t>
        </is>
      </c>
      <c r="F153" t="inlineStr">
        <is>
          <t>22071769</t>
        </is>
      </c>
      <c r="G153" t="inlineStr">
        <is>
          <t>Chevrolet C1500 1988-1990
Chevrolet C2500 1988-1990
Chevrolet C35 1988-1990
Chevrolet C3500 1988-1990
Chevrolet K1500 1988-1990
Chevrolet K2500 1988-1990
Chevrolet K3500 1988-1990
GMC C1500 1988-1990
GMC C2500 1988-1990
GMC C3500 1988-1990
GMC K1500 1988-1990
GMC K2500 1988-1990
GMC K3500 1988-1990</t>
        </is>
      </c>
      <c r="H153" t="inlineStr">
        <is>
          <t>Chevrolet C1500 1988-1990 4.3L V6 262cid
Chevrolet C1500 1988-1990 5.7L V8 350cid
Chevrolet C1500 1988-1990 5L V8 305cid
Chevrolet C1500 1988-1990 6.2L V8 379cid
Chevrolet C1500 1989-1990 4.1L L6 250cid
Chevrolet C1500 1990 7.4L V8 454cid
Chevrolet C2500 1988-1990 4.3L V6 262cid
Chevrolet C2500 1988-1990 5.7L V8 350cid
Chevrolet C2500 1988-1990 5L V8 305cid
Chevrolet C2500 1988-1990 6.2L V8 379cid
Chevrolet C35 1988-1990 5.7L V8 350cid
Chevrolet C3500 1988-1990 5.7L V8 350cid
Chevrolet C3500 1988-1990 6.2L V8 379cid
Chevrolet C3500 1988-1990 7.4L V8 454cid
Chevrolet K1500 1988-1990 4.3L V6 262cid
Chevrolet K1500 1988-1990 5.7L V8 350cid
Chevrolet K1500 1988-1990 5L V8 305cid
Chevrolet K1500 1988-1990 6.2L V8 379cid
Chevrolet K2500 1988-1990 4.3L V6 262cid
Chevrolet K2500 1988-1990 5.7L V8 350cid
Chevrolet K2500 1988-1990 5L V8 305cid
Chevrolet K2500 1988-1990 6.2L V8 379cid
Chevrolet K3500 1988-1990 5.7L V8 350cid
Chevrolet K3500 1988-1990 6.2L V8 379cid
Chevrolet K3500 1988-1990 7.4L V8 454cid
GMC C1500 1988-1990 4.3L V6 262cid
GMC C1500 1988-1990 5.7L V8 350cid
GMC C1500 1988-1990 5L V8 305cid
GMC C1500 1988-1990 6.2L V8 379cid
GMC C2500 1988-1990 4.3L V6 262cid
GMC C2500 1988-1990 5.7L V8 350cid
GMC C2500 1988-1990 5L V8 305cid
GMC C2500 1988-1990 6.2L V8 379cid
GMC C3500 1988-1990 5.7L V8 350cid
GMC C3500 1988-1990 6.2L V8 379cid
GMC C3500 1988-1990 7.4L V8 454cid
GMC K1500 1988-1990 4.3L V6 262cid
GMC K1500 1988-1990 5.7L V8 350cid
GMC K1500 1988-1990 5L V8 305cid
GMC K1500 1988-1990 6.2L V8 379cid
GMC K2500 1988-1990 4.3L V6 262cid
GMC K2500 1988-1990 5.7L V8 350cid
GMC K2500 1988-1990 5L V8 305cid
GMC K2500 1988-1990 6.2L V8 379cid
GMC K3500 1988-1990 5.7L V8 350cid
GMC K3500 1988-1990 6.2L V8 379cid
GMC K3500 1988-1990 7.4L V8 454cid</t>
        </is>
      </c>
      <c r="I153" t="inlineStr">
        <is>
          <t>{"0": {"productDeskExternalKey": "CPCX|40-185"}, "1": {"Package Contents": "Wiper Motor; Instruction Sheet"}, "2": {"E-Waste": "Yes"}, "3": {"Product Condition": "Remanufactured"}, "4": {"Mounting Hole Quantity": "3"}, "5": {"Terminal Type": "Blade"}, "6": {"Mounting Type": "Grommet"}, "7": {"Weight PG": "3.3000"}, "8": {"Washer Pump Included": "No"}, "9": {"Part Type": "Windshield Wiper Motor"}, "10": {"Warranty Info": "1 Year/18,000 Mile"}, "11": {"Sustainable Choice": "Yes"}, "12": {"Lifecycle Status": "Available to Order"}, "13": {"Application Summary": "Chevrolet C1500 1990-88, C2500 1990-88, C35 1990-88, C3500 1990-88, K1500 1990-88, K2500 1990-88, K3500 1990-88; GMC C1500 1990-88, C2500 1990-88, C3500 1990-88, K1500 1990-88, K2500 1990-88, K3500 1990-88"}, "14": {"ItemLevelGTIN": "00082617071666"}, "15": {"_addonCardone": "40-185::98271:101147:306"}, "16": {"Eligible for R&amp;R Service": "Yes"}}</t>
        </is>
      </c>
      <c r="J153" t="inlineStr">
        <is>
          <t>https://www.cardone.com/product/windshield-wiper-motor-40-185</t>
        </is>
      </c>
      <c r="K153">
        <f>DISPIMG("ID_FA0A6DE81A3342D4863C7AE12C1E202D",1)</f>
        <v/>
      </c>
      <c r="L153" t="inlineStr">
        <is>
          <t>CPCX|40-185</t>
        </is>
      </c>
      <c r="M153" t="inlineStr">
        <is>
          <t>Wiper Motor; Instruction Sheet</t>
        </is>
      </c>
      <c r="N153" t="inlineStr">
        <is>
          <t>Yes</t>
        </is>
      </c>
      <c r="O153" t="inlineStr">
        <is>
          <t>Remanufactured</t>
        </is>
      </c>
      <c r="P153" t="inlineStr">
        <is>
          <t>3</t>
        </is>
      </c>
      <c r="Q153" t="inlineStr">
        <is>
          <t>Blade</t>
        </is>
      </c>
      <c r="R153" t="inlineStr">
        <is>
          <t>Grommet</t>
        </is>
      </c>
      <c r="S153" t="inlineStr">
        <is>
          <t>3.3000</t>
        </is>
      </c>
      <c r="T153" t="inlineStr">
        <is>
          <t>No</t>
        </is>
      </c>
      <c r="U153" t="inlineStr">
        <is>
          <t>1 Year/18,000 Mile</t>
        </is>
      </c>
      <c r="V153" t="inlineStr">
        <is>
          <t>Yes</t>
        </is>
      </c>
      <c r="W153" t="inlineStr">
        <is>
          <t>Available to Order</t>
        </is>
      </c>
      <c r="X153" t="inlineStr">
        <is>
          <t>Chevrolet C1500 1990-88, C2500 1990-88, C35 1990-88, C3500 1990-88, K1500 1990-88, K2500 1990-88, K3500 1990-88; GMC C1500 1990-88, C2500 1990-88, C3500 1990-88, K1500 1990-88, K2500 1990-88, K3500 1990-88</t>
        </is>
      </c>
      <c r="Y153" t="inlineStr">
        <is>
          <t>00082617071666</t>
        </is>
      </c>
      <c r="Z153" t="inlineStr">
        <is>
          <t>40-185::98271:101147:306</t>
        </is>
      </c>
      <c r="AA153" t="inlineStr">
        <is>
          <t>Yes</t>
        </is>
      </c>
      <c r="AB153" t="inlineStr"/>
      <c r="AC153" t="inlineStr"/>
    </row>
    <row r="154">
      <c r="A154" t="inlineStr">
        <is>
          <t>153</t>
        </is>
      </c>
      <c r="B154" t="inlineStr">
        <is>
          <t>Windshield Wiper Motor</t>
        </is>
      </c>
      <c r="C154" t="inlineStr">
        <is>
          <t>40-186</t>
        </is>
      </c>
      <c r="D154" t="inlineStr">
        <is>
          <t>Windshield Wiper Motor - 40-186</t>
        </is>
      </c>
      <c r="E154" t="inlineStr">
        <is>
          <t>CARDONE Reman</t>
        </is>
      </c>
      <c r="F154" t="inlineStr">
        <is>
          <t>22100490;22071770</t>
        </is>
      </c>
      <c r="G154" t="inlineStr">
        <is>
          <t>Chevrolet C1500 1988-1990
Chevrolet C2500 1988-1990
Chevrolet C35 1988-1990
Chevrolet C3500 1988-1990
Chevrolet K1500 1988-1990
Chevrolet K2500 1988-1990
Chevrolet K3500 1988-1990
Chevrolet P20 1989
Chevrolet P30 1989-1990
GMC C1500 1988-1990
GMC C2500 1988-1990
GMC C3500 1988-1990
GMC K1500 1988-1990
GMC K2500 1988-1990
GMC K3500 1988-1990
GMC P2500 1989
GMC P3500 1989-1990</t>
        </is>
      </c>
      <c r="H154" t="inlineStr">
        <is>
          <t>Chevrolet C1500 1988-1990 4.3L V6 262cid
Chevrolet C1500 1988-1990 5.7L V8 350cid
Chevrolet C1500 1988-1990 5L V8 305cid
Chevrolet C1500 1988-1990 6.2L V8 379cid
Chevrolet C1500 1989-1990 4.1L L6 250cid
Chevrolet C1500 1990 7.4L V8 454cid
Chevrolet C2500 1988-1990 4.3L V6 262cid
Chevrolet C2500 1988-1990 5.7L V8 350cid
Chevrolet C2500 1988-1990 5L V8 305cid
Chevrolet C2500 1988-1990 6.2L V8 379cid
Chevrolet C35 1988-1990 5.7L V8 350cid
Chevrolet C3500 1988-1990 5.7L V8 350cid
Chevrolet C3500 1988-1990 6.2L V8 379cid
Chevrolet C3500 1988-1990 7.4L V8 454cid
Chevrolet K1500 1988-1990 4.3L V6 262cid
Chevrolet K1500 1988-1990 5.7L V8 350cid
Chevrolet K1500 1988-1990 5L V8 305cid
Chevrolet K1500 1988-1990 6.2L V8 379cid
Chevrolet K2500 1988-1990 4.3L V6 262cid
Chevrolet K2500 1988-1990 5.7L V8 350cid
Chevrolet K2500 1988-1990 5L V8 305cid
Chevrolet K2500 1988-1990 6.2L V8 379cid
Chevrolet K3500 1988-1990 5.7L V8 350cid
Chevrolet K3500 1988-1990 6.2L V8 379cid
Chevrolet K3500 1988-1990 7.4L V8 454cid
Chevrolet P20 1989 4.8L L6 292cid
Chevrolet P20 1989 5.7L V8 350cid
Chevrolet P20 1989 6.2L V8 379cid
Chevrolet P30 1989 4.8L L6 292cid
Chevrolet P30 1989-1990 5.7L V8 350cid
Chevrolet P30 1989-1990 6.2L V8 379cid
Chevrolet P30 1989-1990 7.4L V8 454cid
Chevrolet P30 1990 3.9L L4 239cid
Chevrolet P30 1990 4.3L V6 262cid
GMC C1500 1988-1990 4.3L V6 262cid
GMC C1500 1988-1990 5.7L V8 350cid
GMC C1500 1988-1990 5L V8 305cid
GMC C1500 1988-1990 6.2L V8 379cid
GMC C2500 1988-1990 4.3L V6 262cid
GMC C2500 1988-1990 5.7L V8 350cid
GMC C2500 1988-1990 5L V8 305cid
GMC C2500 1988-1990 6.2L V8 379cid
GMC C3500 1988-1990 5.7L V8 350cid
GMC C3500 1988-1990 6.2L V8 379cid
GMC C3500 1988-1990 7.4L V8 454cid
GMC K1500 1988-1990 4.3L V6 262cid
GMC K1500 1988-1990 5.7L V8 350cid
GMC K1500 1988-1990 5L V8 305cid
GMC K1500 1988-1990 6.2L V8 379cid
GMC K2500 1988-1990 4.3L V6 262cid
GMC K2500 1988-1990 5.7L V8 350cid
GMC K2500 1988-1990 5L V8 305cid
GMC K2500 1988-1990 6.2L V8 379cid
GMC K3500 1988-1990 5.7L V8 350cid
GMC K3500 1988-1990 6.2L V8 379cid
GMC K3500 1988-1990 7.4L V8 454cid
GMC P2500 1989 4.8L L6 292cid
GMC P2500 1989 5.7L V8 350cid
GMC P2500 1989 6.2L V8 379cid
GMC P3500 1989 4.8L L6 292cid
GMC P3500 1989-1990 3.9L L4 239cid
GMC P3500 1989-1990 5.7L V8 350cid
GMC P3500 1989-1990 6.2L V8 379cid
GMC P3500 1989-1990 7.4L V8 454cid
GMC P3500 1990 4.3L V6 262cid</t>
        </is>
      </c>
      <c r="I154" t="inlineStr">
        <is>
          <t>{"0": {"productDeskExternalKey": "CPCX|40-186"}, "1": {"Package Contents": "Wiper Motor; Instruction Sheet"}, "2": {"E-Waste": "Yes"}, "3": {"Product Condition": "Remanufactured"}, "4": {"Mounting Hole Quantity": "3"}, "5": {"Terminal Type": "Blade"}, "6": {"Mounting Type": "Grommet"}, "7": {"Weight PG": "3.2800"}, "8": {"Washer Pump Included": "No"}, "9": {"Part Type": "Windshield Wiper Motor"}, "10": {"Warranty Info": "1 Year/18,000 Mile"}, "11": {"Sustainable Choice": "Yes"}, "12": {"Lifecycle Status": "Available to Order"}, "13": {"ItemLevelGTIN": "00082617071659"}, "14": {"_addonCardone": "40-186::98271:101153:306"}, "15": {"Eligible for R&amp;R Service": "Yes"}}</t>
        </is>
      </c>
      <c r="J154" t="inlineStr">
        <is>
          <t>https://www.cardone.com/product/windshield-wiper-motor-40-186</t>
        </is>
      </c>
      <c r="K154">
        <f>DISPIMG("ID_435B00F9593A45DC9BC7C8D91D74B20E",1)</f>
        <v/>
      </c>
      <c r="L154" t="inlineStr">
        <is>
          <t>CPCX|40-186</t>
        </is>
      </c>
      <c r="M154" t="inlineStr">
        <is>
          <t>Wiper Motor; Instruction Sheet</t>
        </is>
      </c>
      <c r="N154" t="inlineStr">
        <is>
          <t>Yes</t>
        </is>
      </c>
      <c r="O154" t="inlineStr">
        <is>
          <t>Remanufactured</t>
        </is>
      </c>
      <c r="P154" t="inlineStr">
        <is>
          <t>3</t>
        </is>
      </c>
      <c r="Q154" t="inlineStr">
        <is>
          <t>Blade</t>
        </is>
      </c>
      <c r="R154" t="inlineStr">
        <is>
          <t>Grommet</t>
        </is>
      </c>
      <c r="S154" t="inlineStr">
        <is>
          <t>3.2800</t>
        </is>
      </c>
      <c r="T154" t="inlineStr">
        <is>
          <t>No</t>
        </is>
      </c>
      <c r="U154" t="inlineStr">
        <is>
          <t>1 Year/18,000 Mile</t>
        </is>
      </c>
      <c r="V154" t="inlineStr">
        <is>
          <t>Yes</t>
        </is>
      </c>
      <c r="W154" t="inlineStr">
        <is>
          <t>Available to Order</t>
        </is>
      </c>
      <c r="X154" t="inlineStr"/>
      <c r="Y154" t="inlineStr">
        <is>
          <t>00082617071659</t>
        </is>
      </c>
      <c r="Z154" t="inlineStr">
        <is>
          <t>40-186::98271:101153:306</t>
        </is>
      </c>
      <c r="AA154" t="inlineStr">
        <is>
          <t>Yes</t>
        </is>
      </c>
      <c r="AB154" t="inlineStr"/>
      <c r="AC154" t="inlineStr"/>
    </row>
    <row r="155">
      <c r="A155" t="inlineStr">
        <is>
          <t>154</t>
        </is>
      </c>
      <c r="B155" t="inlineStr">
        <is>
          <t>Windshield Wiper Motor</t>
        </is>
      </c>
      <c r="C155" t="inlineStr">
        <is>
          <t>40-188</t>
        </is>
      </c>
      <c r="D155" t="inlineStr">
        <is>
          <t>Windshield Wiper Motor - 40-188</t>
        </is>
      </c>
      <c r="E155" t="inlineStr">
        <is>
          <t>CARDONE Reman</t>
        </is>
      </c>
      <c r="F155" t="inlineStr">
        <is>
          <t>22063287</t>
        </is>
      </c>
      <c r="G155" t="inlineStr">
        <is>
          <t>Buick Century 1987-1988
Chevrolet Camaro 1988
Chevrolet Celebrity 1987-1988
Oldsmobile Cutlass Ciera 1987-1988
Oldsmobile Cutlass Cruiser 1987-1988
Pontiac 6000 1987-1988
Pontiac Firebird 1988</t>
        </is>
      </c>
      <c r="H155" t="inlineStr">
        <is>
          <t>Buick Century 1987-1988 2.5L L4 151cid
Buick Century 1987-1988 2.8L V6 173cid
Buick Century 1987-1988 3.8L V6 231cid
Chevrolet Camaro 1988 2.8L V6 173cid
Chevrolet Camaro 1988 5.7L V8 350cid
Chevrolet Camaro 1988 5L V8 305cid
Chevrolet Celebrity 1987-1988 2.5L L4 151cid
Chevrolet Celebrity 1987-1988 2.8L V6 173cid
Oldsmobile Cutlass Ciera 1987-1988 2.5L L4 151cid
Oldsmobile Cutlass Ciera 1987-1988 2.8L V6 173cid
Oldsmobile Cutlass Ciera 1987-1988 3.8L V6 231cid
Oldsmobile Cutlass Cruiser 1987-1988 2.5L L4 151cid
Oldsmobile Cutlass Cruiser 1987-1988 2.8L V6 173cid
Oldsmobile Cutlass Cruiser 1987-1988 3.8L V6 231cid
Pontiac 6000 1987-1988 2.5L L4 151cid
Pontiac 6000 1987-1988 2.8L V6 173cid
Pontiac 6000 1988 3.1L V6 189cid
Pontiac Firebird 1988 2.8L V6 173cid
Pontiac Firebird 1988 5.7L V8 350cid
Pontiac Firebird 1988 5L V8 305cid</t>
        </is>
      </c>
      <c r="I155" t="inlineStr">
        <is>
          <t>{"0": {"productDeskExternalKey": "CPCX|40-188"}, "1": {"Package Contents": "Wiper Motor; Instruction Sheet"}, "2": {"E-Waste": "Yes"}, "3": {"Product Condition": "Remanufactured"}, "4": {"Mounting Hole Quantity": "3"}, "5": {"Terminal Type": "Blade"}, "6": {"Mounting Type": "Grommet"}, "7": {"Weight PG": "4.4200"}, "8": {"Washer Pump Included": "No"}, "9": {"Part Type": "Windshield Wiper Motor"}, "10": {"Warranty Info": "1 Year/18,000 Mile"}, "11": {"Sustainable Choice": "Yes"}, "12": {"Lifecycle Status": "Available to Order"}, "13": {"Application Summary": "Buick Century 1988-87; Chevrolet Camaro 1988, Celebrity 1988-87; Oldsmobile Cutlass Ciera 1988-87, Cutlass Cruiser 1988-87; Pontiac 6000 1988-87, Firebird 1988"}, "14": {"ItemLevelGTIN": "00082617076098"}, "15": {"_addonCardone": "40-188::98271:101160:306"}, "16": {"Eligible for R&amp;R Service": "Yes"}}</t>
        </is>
      </c>
      <c r="J155" t="inlineStr">
        <is>
          <t>https://www.cardone.com/product/windshield-wiper-motor-40-188</t>
        </is>
      </c>
      <c r="K155">
        <f>DISPIMG("ID_081392099A7145599CA217B059C40E6C",1)</f>
        <v/>
      </c>
      <c r="L155" t="inlineStr">
        <is>
          <t>CPCX|40-188</t>
        </is>
      </c>
      <c r="M155" t="inlineStr">
        <is>
          <t>Wiper Motor; Instruction Sheet</t>
        </is>
      </c>
      <c r="N155" t="inlineStr">
        <is>
          <t>Yes</t>
        </is>
      </c>
      <c r="O155" t="inlineStr">
        <is>
          <t>Remanufactured</t>
        </is>
      </c>
      <c r="P155" t="inlineStr">
        <is>
          <t>3</t>
        </is>
      </c>
      <c r="Q155" t="inlineStr">
        <is>
          <t>Blade</t>
        </is>
      </c>
      <c r="R155" t="inlineStr">
        <is>
          <t>Grommet</t>
        </is>
      </c>
      <c r="S155" t="inlineStr">
        <is>
          <t>4.4200</t>
        </is>
      </c>
      <c r="T155" t="inlineStr">
        <is>
          <t>No</t>
        </is>
      </c>
      <c r="U155" t="inlineStr">
        <is>
          <t>1 Year/18,000 Mile</t>
        </is>
      </c>
      <c r="V155" t="inlineStr">
        <is>
          <t>Yes</t>
        </is>
      </c>
      <c r="W155" t="inlineStr">
        <is>
          <t>Available to Order</t>
        </is>
      </c>
      <c r="X155" t="inlineStr">
        <is>
          <t>Buick Century 1988-87; Chevrolet Camaro 1988, Celebrity 1988-87; Oldsmobile Cutlass Ciera 1988-87, Cutlass Cruiser 1988-87; Pontiac 6000 1988-87, Firebird 1988</t>
        </is>
      </c>
      <c r="Y155" t="inlineStr">
        <is>
          <t>00082617076098</t>
        </is>
      </c>
      <c r="Z155" t="inlineStr">
        <is>
          <t>40-188::98271:101160:306</t>
        </is>
      </c>
      <c r="AA155" t="inlineStr">
        <is>
          <t>Yes</t>
        </is>
      </c>
      <c r="AB155" t="inlineStr"/>
      <c r="AC155" t="inlineStr"/>
    </row>
    <row r="156">
      <c r="A156" t="inlineStr">
        <is>
          <t>155</t>
        </is>
      </c>
      <c r="B156" t="inlineStr">
        <is>
          <t>Windshield Wiper Motor</t>
        </is>
      </c>
      <c r="C156" t="inlineStr">
        <is>
          <t>40-189</t>
        </is>
      </c>
      <c r="D156" t="inlineStr">
        <is>
          <t>Windshield Wiper Motor - 40-189</t>
        </is>
      </c>
      <c r="E156" t="inlineStr">
        <is>
          <t>CARDONE Reman</t>
        </is>
      </c>
      <c r="F156" t="inlineStr">
        <is>
          <t>22063282</t>
        </is>
      </c>
      <c r="G156" t="inlineStr">
        <is>
          <t>Buick Electra 1987
Buick LeSabre 1987
Cadillac Commercial Chassis 1987
Oldsmobile 98 1987
Oldsmobile Delta 88 1987
Pontiac Bonneville 1987</t>
        </is>
      </c>
      <c r="H156" t="inlineStr">
        <is>
          <t>Buick Electra 1987 3.8L V6 231cid
Buick LeSabre 1987 3.8L V6 231cid
Cadillac Commercial Chassis 1987 4.1L V8 250cid
Oldsmobile 98 1987 3.8L V6 231cid
Oldsmobile Delta 88 1987 3.8L V6 231cid
Pontiac Bonneville 1987 3.8L V6 231cid</t>
        </is>
      </c>
      <c r="I156" t="inlineStr">
        <is>
          <t>{"0": {"productDeskExternalKey": "CPCX|40-189"}, "1": {"Package Contents": "Wiper Motor; Instruction Sheet"}, "2": {"E-Waste": "Yes"}, "3": {"Product Condition": "Remanufactured"}, "4": {"Mounting Hole Quantity": "3"}, "5": {"Terminal Type": "Blade"}, "6": {"Mounting Type": "Grommet"}, "7": {"Weight PG": "4.4700"}, "8": {"Washer Pump Included": "No"}, "9": {"Part Type": "Windshield Wiper Motor"}, "10": {"Warranty Info": "1 Year/18,000 Mile"}, "11": {"Sustainable Choice": "Yes"}, "12": {"Lifecycle Status": "Available to Order"}, "13": {"Application Summary": "Buick Electra 1987, LeSabre 1987; Cadillac Commercial Chassis 1987; Oldsmobile 98 1987, Delta 88 1987; Pontiac Bonneville 1987"}, "14": {"ItemLevelGTIN": "00082617076104"}, "15": {"_addonCardone": "40-189::98271:101165:306"}, "16": {"Eligible for R&amp;R Service": "Yes"}}</t>
        </is>
      </c>
      <c r="J156" t="inlineStr">
        <is>
          <t>https://www.cardone.com/product/windshield-wiper-motor-40-189</t>
        </is>
      </c>
      <c r="K156">
        <f>DISPIMG("ID_9680D39C87904839B3934B798F7007AA",1)</f>
        <v/>
      </c>
      <c r="L156" t="inlineStr">
        <is>
          <t>CPCX|40-189</t>
        </is>
      </c>
      <c r="M156" t="inlineStr">
        <is>
          <t>Wiper Motor; Instruction Sheet</t>
        </is>
      </c>
      <c r="N156" t="inlineStr">
        <is>
          <t>Yes</t>
        </is>
      </c>
      <c r="O156" t="inlineStr">
        <is>
          <t>Remanufactured</t>
        </is>
      </c>
      <c r="P156" t="inlineStr">
        <is>
          <t>3</t>
        </is>
      </c>
      <c r="Q156" t="inlineStr">
        <is>
          <t>Blade</t>
        </is>
      </c>
      <c r="R156" t="inlineStr">
        <is>
          <t>Grommet</t>
        </is>
      </c>
      <c r="S156" t="inlineStr">
        <is>
          <t>4.4700</t>
        </is>
      </c>
      <c r="T156" t="inlineStr">
        <is>
          <t>No</t>
        </is>
      </c>
      <c r="U156" t="inlineStr">
        <is>
          <t>1 Year/18,000 Mile</t>
        </is>
      </c>
      <c r="V156" t="inlineStr">
        <is>
          <t>Yes</t>
        </is>
      </c>
      <c r="W156" t="inlineStr">
        <is>
          <t>Available to Order</t>
        </is>
      </c>
      <c r="X156" t="inlineStr">
        <is>
          <t>Buick Electra 1987, LeSabre 1987; Cadillac Commercial Chassis 1987; Oldsmobile 98 1987, Delta 88 1987; Pontiac Bonneville 1987</t>
        </is>
      </c>
      <c r="Y156" t="inlineStr">
        <is>
          <t>00082617076104</t>
        </is>
      </c>
      <c r="Z156" t="inlineStr">
        <is>
          <t>40-189::98271:101165:306</t>
        </is>
      </c>
      <c r="AA156" t="inlineStr">
        <is>
          <t>Yes</t>
        </is>
      </c>
      <c r="AB156" t="inlineStr"/>
      <c r="AC156" t="inlineStr"/>
    </row>
    <row r="157">
      <c r="A157" t="inlineStr">
        <is>
          <t>156</t>
        </is>
      </c>
      <c r="B157" t="inlineStr">
        <is>
          <t>Windshield Wiper Motor</t>
        </is>
      </c>
      <c r="C157" t="inlineStr">
        <is>
          <t>40-190</t>
        </is>
      </c>
      <c r="D157" t="inlineStr">
        <is>
          <t>Windshield Wiper Motor - 40-190</t>
        </is>
      </c>
      <c r="E157" t="inlineStr">
        <is>
          <t>CARDONE Reman</t>
        </is>
      </c>
      <c r="F157" t="inlineStr">
        <is>
          <t>22062915</t>
        </is>
      </c>
      <c r="G157" t="inlineStr">
        <is>
          <t>Buick Skyhawk 1982-1989
Cadillac Cimarron 1982-1988
Chevrolet Astro 1985-1990
Chevrolet Cavalier 1982-1994
Chevrolet S10 1982-1993
Chevrolet S10 Blazer 1983-1994
GMC Jimmy 1992-1994
GMC S15 1982-1990
GMC S15 Jimmy 1983-1991
GMC Safari 1985-1990
GMC Sonoma 1991-1993
GMC Syclone 1991
GMC Typhoon 1992-1993
Oldsmobile Bravada 1991-1993
Oldsmobile Firenza 1982-1988
Pontiac Fiero 1984-1988
Pontiac J2000 1982-1983
Pontiac J2000 Sunbird 1984-1985
Pontiac Sunbird 1986-1994
Pontiac Tempest 1987-1991</t>
        </is>
      </c>
      <c r="H157" t="inlineStr">
        <is>
          <t>Buick Skyhawk 1982-1986 1.8L L4 112cid
Buick Skyhawk 1983-1989 2L L4 122cid
Cadillac Cimarron 1982 1.8L L4 112cid
Cadillac Cimarron 1983-1986 2L L4 122cid
Cadillac Cimarron 1985-1988 2.8L V6 173cid
Chevrolet Astro 1985-1990 2.5L L4 151cid
Chevrolet Astro 1985-1990 4.3L V6 262cid
Chevrolet Cavalier 1982 1.8L L4 112cid
Chevrolet Cavalier 1983-1989 2L L4 122cid
Chevrolet Cavalier 1985-1994 2.8L V6 173cid
Chevrolet Cavalier 1990-1994 2.2L L4 134cid
Chevrolet Cavalier 1990-1994 3.1L V6 189cid
Chevrolet S10 1982-1985 1.9L L4 119cid
Chevrolet S10 1982-1993 2.8L V6 173cid
Chevrolet S10 1983-1984 2L L4 122cid
Chevrolet S10 1983-1985 2.2L L4 134cid
Chevrolet S10 1985-1993 2.5L L4 151cid
Chevrolet S10 1988-1993 4.3L V6 262cid
Chevrolet S10 1991-1993 3.1L V6 3137cc
Chevrolet S10 Blazer 1983-1984 1.9L L4 119cid
Chevrolet S10 Blazer 1983-1984 2L L4 122cid
Chevrolet S10 Blazer 1983-1989 2.8L V6 173cid
Chevrolet S10 Blazer 1984 2.2L L4 134cid
Chevrolet S10 Blazer 1985-1988 2.5L L4 151cid
Chevrolet S10 Blazer 1988-1994 4.3L V6 262cid
GMC Jimmy 1992-1994 4.3L V6 262cid
GMC S15 1982-1985 1.9L L4 119cid
GMC S15 1982-1990 2.8L V6 173cid
GMC S15 1983-1984 2L L4 122cid
GMC S15 1984-1985 2.2L L4 134cid
GMC S15 1985-1990 2.5L L4 151cid
GMC S15 1988-1990 4.3L V6 262cid
GMC S15 Jimmy 1983-1984 1.9L L4 119cid
GMC S15 Jimmy 1983-1984 2L L4 122cid
GMC S15 Jimmy 1983-1989 2.8L V6 173cid
GMC S15 Jimmy 1985-1988 2.5L L4 151cid
GMC S15 Jimmy 1988-1991 4.3L V6 262cid
GMC Safari 1985-1990 2.5L L4 151cid
GMC Safari 1985-1990 4.3L V6 262cid
GMC Sonoma 1991-1993 2.5L L4 151cid
GMC Sonoma 1991-1993 2.8L V6 173cid
GMC Sonoma 1991-1993 4.3L V6 262cid
GMC Syclone 1991 4.3L V6 262cid
GMC Typhoon 1992-1993 4.3L V6 262cid
Oldsmobile Bravada 1991-1993 4.3L V6 262cid
Oldsmobile Firenza 1982-1986 1.8L L4 112cid
Oldsmobile Firenza 1983-1988 2L L4 122cid
Oldsmobile Firenza 1985-1987 2.8L V6 173cid
Pontiac Fiero 1984-1988 2.5L L4 151cid
Pontiac Fiero 1985-1988 2.8L V6 173cid
Pontiac J2000 1982-1983 1.8L L4 112cid
Pontiac J2000 1983 2L L4 122cid
Pontiac J2000 Sunbird 1984-1985 1.8L L4 112cid
Pontiac J2000 Sunbird 1984-1985 2L L4 122cid
Pontiac Sunbird 1986 1.8L L4 112cid
Pontiac Sunbird 1986-1994 2L L4 122cid
Pontiac Sunbird 1991-1994 3.1L V6 189cid
Pontiac Tempest 1987-1989 2.8L V6 173cid
Pontiac Tempest 1987-1989 2L L4 122cid
Pontiac Tempest 1990-1991 2.2L L4 134cid
Pontiac Tempest 1990-1991 3.1L V6 189cid</t>
        </is>
      </c>
      <c r="I157" t="inlineStr">
        <is>
          <t>{"0": {"productDeskExternalKey": "CPCX|40-190"}, "1": {"Package Contents": "Wiper Motor; Instruction Sheet"}, "2": {"E-Waste": "Yes"}, "3": {"Product Condition": "Remanufactured"}, "4": {"Mounting Hole Quantity": "3"}, "5": {"Terminal Type": "Blade"}, "6": {"Mounting Type": "Grommet"}, "7": {"Weight PG": "3.1800"}, "8": {"Washer Pump Included": "No"}, "9": {"Part Type": "Windshield Wiper Motor"}, "10": {"Warranty Info": "1 Year/18,000 Mile"}, "11": {"Sustainable Choice": "Yes"}, "12": {"Lifecycle Status": "Available to Order"}, "13": {"ItemLevelGTIN": "00082617039949"}, "14": {"_addonCardone": "40-190::98271:101172:306"}, "15": {"Eligible for R&amp;R Service": "Yes"}}</t>
        </is>
      </c>
      <c r="J157" t="inlineStr">
        <is>
          <t>https://www.cardone.com/product/windshield-wiper-motor-40-190</t>
        </is>
      </c>
      <c r="K157">
        <f>DISPIMG("ID_7D7A1D2896E54F178F26FB24344601F9",1)</f>
        <v/>
      </c>
      <c r="L157" t="inlineStr">
        <is>
          <t>CPCX|40-190</t>
        </is>
      </c>
      <c r="M157" t="inlineStr">
        <is>
          <t>Wiper Motor; Instruction Sheet</t>
        </is>
      </c>
      <c r="N157" t="inlineStr">
        <is>
          <t>Yes</t>
        </is>
      </c>
      <c r="O157" t="inlineStr">
        <is>
          <t>Remanufactured</t>
        </is>
      </c>
      <c r="P157" t="inlineStr">
        <is>
          <t>3</t>
        </is>
      </c>
      <c r="Q157" t="inlineStr">
        <is>
          <t>Blade</t>
        </is>
      </c>
      <c r="R157" t="inlineStr">
        <is>
          <t>Grommet</t>
        </is>
      </c>
      <c r="S157" t="inlineStr">
        <is>
          <t>3.1800</t>
        </is>
      </c>
      <c r="T157" t="inlineStr">
        <is>
          <t>No</t>
        </is>
      </c>
      <c r="U157" t="inlineStr">
        <is>
          <t>1 Year/18,000 Mile</t>
        </is>
      </c>
      <c r="V157" t="inlineStr">
        <is>
          <t>Yes</t>
        </is>
      </c>
      <c r="W157" t="inlineStr">
        <is>
          <t>Available to Order</t>
        </is>
      </c>
      <c r="X157" t="inlineStr"/>
      <c r="Y157" t="inlineStr">
        <is>
          <t>00082617039949</t>
        </is>
      </c>
      <c r="Z157" t="inlineStr">
        <is>
          <t>40-190::98271:101172:306</t>
        </is>
      </c>
      <c r="AA157" t="inlineStr">
        <is>
          <t>Yes</t>
        </is>
      </c>
      <c r="AB157" t="inlineStr"/>
      <c r="AC157" t="inlineStr"/>
    </row>
    <row r="158">
      <c r="A158" t="inlineStr">
        <is>
          <t>157</t>
        </is>
      </c>
      <c r="B158" t="inlineStr">
        <is>
          <t>Windshield Wiper Motor</t>
        </is>
      </c>
      <c r="C158" t="inlineStr">
        <is>
          <t>40-191</t>
        </is>
      </c>
      <c r="D158" t="inlineStr">
        <is>
          <t>Windshield Wiper Motor - 40-191</t>
        </is>
      </c>
      <c r="E158" t="inlineStr">
        <is>
          <t>CARDONE Reman</t>
        </is>
      </c>
      <c r="F158" t="inlineStr">
        <is>
          <t>22062913</t>
        </is>
      </c>
      <c r="G158" t="inlineStr">
        <is>
          <t>Buick Skyhawk 1984-1989
Cadillac Cimarron 1984-1988
Chevrolet Astro 1985-1993
Chevrolet Cavalier 1984-1994
Chevrolet S10 1985-1993
Chevrolet S10 Blazer 1985-1994
GMC Jimmy 1992-1994
GMC S15 1985-1990
GMC S15 Jimmy 1985-1991
GMC Safari 1985-1993
GMC Sonoma 1991-1993
GMC Syclone 1991
GMC Typhoon 1992-1993
Oldsmobile Bravada 1991-1994
Oldsmobile Firenza 1984-1988
Pontiac Fiero 1985-1988
Pontiac J2000 1982-1983
Pontiac J2000 Sunbird 1984-1985
Pontiac Sunbird 1986-1994
Pontiac Tempest 1987-1991</t>
        </is>
      </c>
      <c r="H158" t="inlineStr">
        <is>
          <t>Buick Skyhawk 1984-1986 1.8L L4 112cid
Buick Skyhawk 1984-1989 2L L4 122cid
Cadillac Cimarron 1984-1986 2L L4 122cid
Cadillac Cimarron 1985-1988 2.8L V6 173cid
Chevrolet Astro 1985-1990 2.5L L4 151cid
Chevrolet Astro 1985-1993 4.3L V6 262cid
Chevrolet Cavalier 1984-1989 2L L4 122cid
Chevrolet Cavalier 1985-1994 2.8L V6 173cid
Chevrolet Cavalier 1990-1994 2.2L L4 134cid
Chevrolet Cavalier 1990-1994 3.1L V6 189cid
Chevrolet S10 1985 1.9L L4 119cid
Chevrolet S10 1985 2.2L L4 134cid
Chevrolet S10 1985-1993 2.5L L4 151cid
Chevrolet S10 1985-1993 2.8L V6 173cid
Chevrolet S10 1988-1993 4.3L V6 262cid
Chevrolet S10 1991-1993 3.1L V6 3137cc
Chevrolet S10 Blazer 1985-1988 2.5L L4 151cid
Chevrolet S10 Blazer 1985-1989 2.8L V6 173cid
Chevrolet S10 Blazer 1988-1994 4.3L V6 262cid
GMC Jimmy 1992-1994 4.3L V6 262cid
GMC S15 1985 1.9L L4 119cid
GMC S15 1985 2.2L L4 134cid
GMC S15 1985-1990 2.5L L4 151cid
GMC S15 1985-1990 2.8L V6 173cid
GMC S15 1988-1990 4.3L V6 262cid
GMC S15 Jimmy 1985-1988 2.5L L4 151cid
GMC S15 Jimmy 1985-1989 2.8L V6 173cid
GMC S15 Jimmy 1988-1991 4.3L V6 262cid
GMC Safari 1985-1990 2.5L L4 151cid
GMC Safari 1985-1993 4.3L V6 262cid
GMC Sonoma 1991-1993 2.5L L4 151cid
GMC Sonoma 1991-1993 2.8L V6 173cid
GMC Sonoma 1991-1993 4.3L V6 262cid
GMC Syclone 1991 4.3L V6 262cid
GMC Typhoon 1992-1993 4.3L V6 262cid
Oldsmobile Bravada 1991-1994 4.3L V6 262cid
Oldsmobile Firenza 1984-1986 1.8L L4 112cid
Oldsmobile Firenza 1984-1988 2L L4 122cid
Oldsmobile Firenza 1985-1987 2.8L V6 173cid
Pontiac Fiero 1985-1988 2.5L L4 151cid
Pontiac Fiero 1985-1988 2.8L V6 173cid
Pontiac J2000 1982-1983 1.8L L4 112cid
Pontiac J2000 1983 2L L4 122cid
Pontiac J2000 Sunbird 1984-1985 1.8L L4 112cid
Pontiac J2000 Sunbird 1984-1985 2L L4 122cid
Pontiac Sunbird 1986 1.8L L4 112cid
Pontiac Sunbird 1986-1994 2L L4 122cid
Pontiac Sunbird 1991-1994 3.1L V6 189cid
Pontiac Tempest 1987-1989 2.8L V6 173cid
Pontiac Tempest 1987-1989 2L L4 122cid
Pontiac Tempest 1990-1991 2.2L L4 134cid
Pontiac Tempest 1990-1991 3.1L V6 189cid</t>
        </is>
      </c>
      <c r="I158" t="inlineStr">
        <is>
          <t>{"0": {"productDeskExternalKey": "CPCX|40-191"}, "1": {"Package Contents": "Wiper Motor; Instruction Sheet"}, "2": {"E-Waste": "Yes"}, "3": {"Product Condition": "Remanufactured"}, "4": {"Mounting Hole Quantity": "3"}, "5": {"Terminal Type": "Blade"}, "6": {"Mounting Type": "Grommet"}, "7": {"Weight PG": "3.5600"}, "8": {"Washer Pump Included": "No"}, "9": {"Part Type": "Windshield Wiper Motor"}, "10": {"Warranty Info": "1 Year/18,000 Mile"}, "11": {"Sustainable Choice": "Yes"}, "12": {"Lifecycle Status": "Available to Order"}, "13": {"ItemLevelGTIN": "00082617039956"}, "14": {"_addonCardone": "40-191::98271:101179:306"}, "15": {"Eligible for R&amp;R Service": "Yes"}}</t>
        </is>
      </c>
      <c r="J158" t="inlineStr">
        <is>
          <t>https://www.cardone.com/product/windshield-wiper-motor-40-191</t>
        </is>
      </c>
      <c r="K158">
        <f>DISPIMG("ID_C6F1F6C213E248B3BCC0739146CD9884",1)</f>
        <v/>
      </c>
      <c r="L158" t="inlineStr">
        <is>
          <t>CPCX|40-191</t>
        </is>
      </c>
      <c r="M158" t="inlineStr">
        <is>
          <t>Wiper Motor; Instruction Sheet</t>
        </is>
      </c>
      <c r="N158" t="inlineStr">
        <is>
          <t>Yes</t>
        </is>
      </c>
      <c r="O158" t="inlineStr">
        <is>
          <t>Remanufactured</t>
        </is>
      </c>
      <c r="P158" t="inlineStr">
        <is>
          <t>3</t>
        </is>
      </c>
      <c r="Q158" t="inlineStr">
        <is>
          <t>Blade</t>
        </is>
      </c>
      <c r="R158" t="inlineStr">
        <is>
          <t>Grommet</t>
        </is>
      </c>
      <c r="S158" t="inlineStr">
        <is>
          <t>3.5600</t>
        </is>
      </c>
      <c r="T158" t="inlineStr">
        <is>
          <t>No</t>
        </is>
      </c>
      <c r="U158" t="inlineStr">
        <is>
          <t>1 Year/18,000 Mile</t>
        </is>
      </c>
      <c r="V158" t="inlineStr">
        <is>
          <t>Yes</t>
        </is>
      </c>
      <c r="W158" t="inlineStr">
        <is>
          <t>Available to Order</t>
        </is>
      </c>
      <c r="X158" t="inlineStr"/>
      <c r="Y158" t="inlineStr">
        <is>
          <t>00082617039956</t>
        </is>
      </c>
      <c r="Z158" t="inlineStr">
        <is>
          <t>40-191::98271:101179:306</t>
        </is>
      </c>
      <c r="AA158" t="inlineStr">
        <is>
          <t>Yes</t>
        </is>
      </c>
      <c r="AB158" t="inlineStr"/>
      <c r="AC158" t="inlineStr"/>
    </row>
    <row r="159">
      <c r="A159" t="inlineStr">
        <is>
          <t>158</t>
        </is>
      </c>
      <c r="B159" t="inlineStr">
        <is>
          <t>Windshield Wiper Motor</t>
        </is>
      </c>
      <c r="C159" t="inlineStr">
        <is>
          <t>40-1911</t>
        </is>
      </c>
      <c r="D159" t="inlineStr">
        <is>
          <t>Windshield Wiper Motor - 40-1911</t>
        </is>
      </c>
      <c r="E159" t="inlineStr">
        <is>
          <t>CARDONE Reman</t>
        </is>
      </c>
      <c r="F159" t="inlineStr">
        <is>
          <t>22049813;22049816</t>
        </is>
      </c>
      <c r="G159" t="inlineStr">
        <is>
          <t>Buick Skyhawk 1984-1989
Cadillac Cimarron 1984-1988
Chevrolet Astro 1985-1993
Chevrolet Cavalier 1984-1994
Chevrolet S10 1985-1993
Chevrolet S10 Blazer 1985-1994
GMC Jimmy 1992-1994
GMC S15 1985-1990
GMC S15 Jimmy 1985-1991
GMC Safari 1985-1993
GMC Sonoma 1991-1993
GMC Syclone 1991
GMC Typhoon 1992-1993
Oldsmobile Bravada 1991-1994
Oldsmobile Firenza 1984-1988
Pontiac Fiero 1985-1988
Pontiac J2000 Sunbird 1984
Pontiac Sunbird 1986-1994
Pontiac Tempest 1987-1991</t>
        </is>
      </c>
      <c r="H159" t="inlineStr">
        <is>
          <t>Buick Skyhawk 1984-1986 1.8L L4 112cid
Buick Skyhawk 1984-1989 2L L4 122cid
Cadillac Cimarron 1984-1986 2L L4 122cid
Cadillac Cimarron 1985-1988 2.8L V6 173cid
Chevrolet Astro 1985-1990 2.5L L4 151cid
Chevrolet Astro 1985-1993 4.3L V6 262cid
Chevrolet Cavalier 1984-1989 2L L4 122cid
Chevrolet Cavalier 1985-1994 2.8L V6 173cid
Chevrolet Cavalier 1990-1994 2.2L L4 134cid
Chevrolet Cavalier 1990-1994 3.1L V6 189cid
Chevrolet S10 1985 1.9L L4 119cid
Chevrolet S10 1985 2.2L L4 134cid
Chevrolet S10 1985-1993 2.5L L4 151cid
Chevrolet S10 1985-1993 2.8L V6 173cid
Chevrolet S10 1988-1993 4.3L V6 262cid
Chevrolet S10 1991-1993 3.1L V6 3137cc
Chevrolet S10 Blazer 1985-1988 2.5L L4 151cid
Chevrolet S10 Blazer 1985-1989 2.8L V6 173cid
Chevrolet S10 Blazer 1988-1994 4.3L V6 262cid
GMC Jimmy 1992-1994 4.3L V6 262cid
GMC S15 1985 1.9L L4 119cid
GMC S15 1985 2.2L L4 134cid
GMC S15 1985-1990 2.5L L4 151cid
GMC S15 1985-1990 2.8L V6 173cid
GMC S15 1988-1990 4.3L V6 262cid
GMC S15 Jimmy 1985-1988 2.5L L4 151cid
GMC S15 Jimmy 1985-1989 2.8L V6 173cid
GMC S15 Jimmy 1988-1991 4.3L V6 262cid
GMC Safari 1985-1990 2.5L L4 151cid
GMC Safari 1985-1993 4.3L V6 262cid
GMC Sonoma 1991-1993 2.5L L4 151cid
GMC Sonoma 1991-1993 2.8L V6 173cid
GMC Sonoma 1991-1993 4.3L V6 262cid
GMC Syclone 1991 4.3L V6 262cid
GMC Typhoon 1992-1993 4.3L V6 262cid
Oldsmobile Bravada 1991-1994 4.3L V6 262cid
Oldsmobile Firenza 1984-1986 1.8L L4 112cid
Oldsmobile Firenza 1984-1988 2L L4 122cid
Oldsmobile Firenza 1985-1987 2.8L V6 173cid
Pontiac Fiero 1985-1988 2.5L L4 151cid
Pontiac Fiero 1985-1988 2.8L V6 173cid
Pontiac J2000 Sunbird 1984 1.8L L4 112cid
Pontiac J2000 Sunbird 1984 2L L4 122cid
Pontiac Sunbird 1986 1.8L L4 112cid
Pontiac Sunbird 1986-1994 2L L4 122cid
Pontiac Sunbird 1991-1994 3.1L V6 189cid
Pontiac Tempest 1987-1989 2.8L V6 173cid
Pontiac Tempest 1987-1989 2L L4 122cid
Pontiac Tempest 1990-1991 2.2L L4 134cid
Pontiac Tempest 1990-1991 3.1L V6 189cid</t>
        </is>
      </c>
      <c r="I159" t="inlineStr">
        <is>
          <t>{"0": {"productDeskExternalKey": "CPCX|40-1911"}, "1": {"Package Contents": "Wiper Motor; Instruction Sheet"}, "2": {"E-Waste": "Yes"}, "3": {"Product Condition": "Remanufactured"}, "4": {"Mounting Hole Quantity": "3"}, "5": {"Terminal Type": "Blade"}, "6": {"Mounting Type": "Grommet"}, "7": {"Weight PG": "3.5000"}, "8": {"Washer Pump Included": "No"}, "9": {"Part Type": "Windshield Wiper Motor"}, "10": {"Warranty Info": "1 Year/18,000 Mile"}, "11": {"Sustainable Choice": "Yes"}, "12": {"Lifecycle Status": "Available to Order"}, "13": {"ItemLevelGTIN": "00884548059269"}, "14": {"_addonCardone": "40-1911::98271:101186:306"}, "15": {"Eligible for R&amp;R Service": "Yes"}}</t>
        </is>
      </c>
      <c r="J159" t="inlineStr">
        <is>
          <t>https://www.cardone.com/product/windshield-wiper-motor-40-1911</t>
        </is>
      </c>
      <c r="K159">
        <f>DISPIMG("ID_B0BDC3AC96B64AD095C2B54364CE98D1",1)</f>
        <v/>
      </c>
      <c r="L159" t="inlineStr">
        <is>
          <t>CPCX|40-1911</t>
        </is>
      </c>
      <c r="M159" t="inlineStr">
        <is>
          <t>Wiper Motor; Instruction Sheet</t>
        </is>
      </c>
      <c r="N159" t="inlineStr">
        <is>
          <t>Yes</t>
        </is>
      </c>
      <c r="O159" t="inlineStr">
        <is>
          <t>Remanufactured</t>
        </is>
      </c>
      <c r="P159" t="inlineStr">
        <is>
          <t>3</t>
        </is>
      </c>
      <c r="Q159" t="inlineStr">
        <is>
          <t>Blade</t>
        </is>
      </c>
      <c r="R159" t="inlineStr">
        <is>
          <t>Grommet</t>
        </is>
      </c>
      <c r="S159" t="inlineStr">
        <is>
          <t>3.5000</t>
        </is>
      </c>
      <c r="T159" t="inlineStr">
        <is>
          <t>No</t>
        </is>
      </c>
      <c r="U159" t="inlineStr">
        <is>
          <t>1 Year/18,000 Mile</t>
        </is>
      </c>
      <c r="V159" t="inlineStr">
        <is>
          <t>Yes</t>
        </is>
      </c>
      <c r="W159" t="inlineStr">
        <is>
          <t>Available to Order</t>
        </is>
      </c>
      <c r="X159" t="inlineStr"/>
      <c r="Y159" t="inlineStr">
        <is>
          <t>00884548059269</t>
        </is>
      </c>
      <c r="Z159" t="inlineStr">
        <is>
          <t>40-1911::98271:101186:306</t>
        </is>
      </c>
      <c r="AA159" t="inlineStr">
        <is>
          <t>Yes</t>
        </is>
      </c>
      <c r="AB159" t="inlineStr"/>
      <c r="AC159" t="inlineStr"/>
    </row>
    <row r="160">
      <c r="A160" t="inlineStr">
        <is>
          <t>159</t>
        </is>
      </c>
      <c r="B160" t="inlineStr">
        <is>
          <t>Windshield Wiper Motor</t>
        </is>
      </c>
      <c r="C160" t="inlineStr">
        <is>
          <t>40-192</t>
        </is>
      </c>
      <c r="D160" t="inlineStr">
        <is>
          <t>Windshield Wiper Motor - 40-192</t>
        </is>
      </c>
      <c r="E160" t="inlineStr">
        <is>
          <t>CARDONE Reman</t>
        </is>
      </c>
      <c r="F160" t="inlineStr">
        <is>
          <t>22101637</t>
        </is>
      </c>
      <c r="G160" t="inlineStr">
        <is>
          <t>Chevrolet Lumina APV 1990-1996
Chevrolet Lumina Van 1995-1996
Oldsmobile Silhouette 1990-1996
Pontiac Trans Sport 1990-1996</t>
        </is>
      </c>
      <c r="H160" t="inlineStr">
        <is>
          <t>Chevrolet Lumina APV 1990-1995 3.1L V6 189cid
Chevrolet Lumina APV 1992-1995 3.8L V6 231cid
Chevrolet Lumina APV 1996 3.4L V6 207cid
Chevrolet Lumina Van 1995-1996 3.8L V6 232cid
Oldsmobile Silhouette 1990-1994 3.1L V6 189cid
Oldsmobile Silhouette 1992-1995 3.8L V6 231cid
Oldsmobile Silhouette 1996 3.4L V6 207cid
Pontiac Trans Sport 1990-1995 3.1L V6 189cid
Pontiac Trans Sport 1992-1995 3.8L V6 231cid
Pontiac Trans Sport 1996 3.4L V6 207cid</t>
        </is>
      </c>
      <c r="I160" t="inlineStr">
        <is>
          <t>{"0": {"productDeskExternalKey": "CPCX|40-192"}, "1": {"Package Contents": "Wiper Motor; Instruction Sheet"}, "2": {"E-Waste": "Yes"}, "3": {"Product Condition": "Remanufactured"}, "4": {"Mounting Hole Quantity": "3"}, "5": {"Terminal Type": "Blade"}, "6": {"Mounting Type": "Direct Bolt"}, "7": {"Weight PG": "3.8000"}, "8": {"Washer Pump Included": "No"}, "9": {"Part Type": "Windshield Wiper Motor"}, "10": {"Warranty Info": "1 Year/18,000 Mile"}, "11": {"Sustainable Choice": "Yes"}, "12": {"Lifecycle Status": "Available to Order"}, "13": {"Application Summary": "Chevrolet Lumina APV 1996-90, Lumina Van 1996-95; Oldsmobile Silhouette 1996-90; Pontiac Trans Sport 1996-90"}, "14": {"ItemLevelGTIN": "00082617153171"}, "15": {"_addonCardone": "40-192::98271:101194:306"}, "16": {"Eligible for R&amp;R Service": "Yes"}}</t>
        </is>
      </c>
      <c r="J160" t="inlineStr">
        <is>
          <t>https://www.cardone.com/product/windshield-wiper-motor-40-192</t>
        </is>
      </c>
      <c r="K160">
        <f>DISPIMG("ID_0BC72D94C74F4449B1DA867629CDB580",1)</f>
        <v/>
      </c>
      <c r="L160" t="inlineStr">
        <is>
          <t>CPCX|40-192</t>
        </is>
      </c>
      <c r="M160" t="inlineStr">
        <is>
          <t>Wiper Motor; Instruction Sheet</t>
        </is>
      </c>
      <c r="N160" t="inlineStr">
        <is>
          <t>Yes</t>
        </is>
      </c>
      <c r="O160" t="inlineStr">
        <is>
          <t>Remanufactured</t>
        </is>
      </c>
      <c r="P160" t="inlineStr">
        <is>
          <t>3</t>
        </is>
      </c>
      <c r="Q160" t="inlineStr">
        <is>
          <t>Blade</t>
        </is>
      </c>
      <c r="R160" t="inlineStr">
        <is>
          <t>Direct Bolt</t>
        </is>
      </c>
      <c r="S160" t="inlineStr">
        <is>
          <t>3.8000</t>
        </is>
      </c>
      <c r="T160" t="inlineStr">
        <is>
          <t>No</t>
        </is>
      </c>
      <c r="U160" t="inlineStr">
        <is>
          <t>1 Year/18,000 Mile</t>
        </is>
      </c>
      <c r="V160" t="inlineStr">
        <is>
          <t>Yes</t>
        </is>
      </c>
      <c r="W160" t="inlineStr">
        <is>
          <t>Available to Order</t>
        </is>
      </c>
      <c r="X160" t="inlineStr">
        <is>
          <t>Chevrolet Lumina APV 1996-90, Lumina Van 1996-95; Oldsmobile Silhouette 1996-90; Pontiac Trans Sport 1996-90</t>
        </is>
      </c>
      <c r="Y160" t="inlineStr">
        <is>
          <t>00082617153171</t>
        </is>
      </c>
      <c r="Z160" t="inlineStr">
        <is>
          <t>40-192::98271:101194:306</t>
        </is>
      </c>
      <c r="AA160" t="inlineStr">
        <is>
          <t>Yes</t>
        </is>
      </c>
      <c r="AB160" t="inlineStr"/>
      <c r="AC160" t="inlineStr"/>
    </row>
    <row r="161">
      <c r="A161" t="inlineStr">
        <is>
          <t>160</t>
        </is>
      </c>
      <c r="B161" t="inlineStr">
        <is>
          <t>Windshield Wiper Motor</t>
        </is>
      </c>
      <c r="C161" t="inlineStr">
        <is>
          <t>40-196</t>
        </is>
      </c>
      <c r="D161" t="inlineStr">
        <is>
          <t>Windshield Wiper Motor - 40-196</t>
        </is>
      </c>
      <c r="E161" t="inlineStr">
        <is>
          <t>CARDONE Reman</t>
        </is>
      </c>
      <c r="F161" t="inlineStr">
        <is>
          <t>22030881</t>
        </is>
      </c>
      <c r="G161" t="inlineStr">
        <is>
          <t>Chevrolet Camaro 1982-1985
Pontiac Firebird 1982-1985</t>
        </is>
      </c>
      <c r="H161" t="inlineStr">
        <is>
          <t>Chevrolet Camaro 1982-1985 2.5L L4 151cid
Chevrolet Camaro 1982-1985 2.8L V6 173cid
Chevrolet Camaro 1982-1985 5L V8 305cid
Pontiac Firebird 1982-1985 2.5L L4 151cid
Pontiac Firebird 1982-1985 2.8L V6 173cid
Pontiac Firebird 1982-1985 5L V8 305cid</t>
        </is>
      </c>
      <c r="I161" t="inlineStr">
        <is>
          <t>{"0": {"productDeskExternalKey": "CPCX|40-196"}, "1": {"Package Contents": "Wiper Motor; Instruction Sheet; Kit; Retaining Ring; Park Switch; Nut"}, "2": {"E-Waste": "Yes"}, "3": {"Product Condition": "Remanufactured"}, "4": {"Mounting Hole Quantity": "9"}, "5": {"Terminal Type": "Blade"}, "6": {"Mounting Type": "Eyelet"}, "7": {"Weight PG": "2.0000"}, "8": {"Washer Pump Included": "No"}, "9": {"Part Type": "Windshield Wiper Motor"}, "10": {"Warranty Info": "1 Year/18,000 Mile"}, "11": {"Sustainable Choice": "Yes"}, "12": {"Lifecycle Status": "Available to Order"}, "13": {"Application Summary": "Chevrolet Camaro 1985-82; Pontiac Firebird 1985-82"}, "14": {"ItemLevelGTIN": "00082617057219"}, "15": {"_addonCardone": "40-196::98271:101202:306"}, "16": {"Eligible for R&amp;R Service": "Yes"}}</t>
        </is>
      </c>
      <c r="J161" t="inlineStr">
        <is>
          <t>https://www.cardone.com/product/windshield-wiper-motor-40-196</t>
        </is>
      </c>
      <c r="K161">
        <f>DISPIMG("ID_2529E86D7E5C4063A7C2298C7A0AE587",1)</f>
        <v/>
      </c>
      <c r="L161" t="inlineStr">
        <is>
          <t>CPCX|40-196</t>
        </is>
      </c>
      <c r="M161" t="inlineStr">
        <is>
          <t>Wiper Motor; Instruction Sheet; Kit; Retaining Ring; Park Switch; Nut</t>
        </is>
      </c>
      <c r="N161" t="inlineStr">
        <is>
          <t>Yes</t>
        </is>
      </c>
      <c r="O161" t="inlineStr">
        <is>
          <t>Remanufactured</t>
        </is>
      </c>
      <c r="P161" t="inlineStr">
        <is>
          <t>9</t>
        </is>
      </c>
      <c r="Q161" t="inlineStr">
        <is>
          <t>Blade</t>
        </is>
      </c>
      <c r="R161" t="inlineStr">
        <is>
          <t>Eyelet</t>
        </is>
      </c>
      <c r="S161" t="inlineStr">
        <is>
          <t>2.0000</t>
        </is>
      </c>
      <c r="T161" t="inlineStr">
        <is>
          <t>No</t>
        </is>
      </c>
      <c r="U161" t="inlineStr">
        <is>
          <t>1 Year/18,000 Mile</t>
        </is>
      </c>
      <c r="V161" t="inlineStr">
        <is>
          <t>Yes</t>
        </is>
      </c>
      <c r="W161" t="inlineStr">
        <is>
          <t>Available to Order</t>
        </is>
      </c>
      <c r="X161" t="inlineStr">
        <is>
          <t>Chevrolet Camaro 1985-82; Pontiac Firebird 1985-82</t>
        </is>
      </c>
      <c r="Y161" t="inlineStr">
        <is>
          <t>00082617057219</t>
        </is>
      </c>
      <c r="Z161" t="inlineStr">
        <is>
          <t>40-196::98271:101202:306</t>
        </is>
      </c>
      <c r="AA161" t="inlineStr">
        <is>
          <t>Yes</t>
        </is>
      </c>
      <c r="AB161" t="inlineStr"/>
      <c r="AC161" t="inlineStr"/>
    </row>
    <row r="162">
      <c r="A162" t="inlineStr">
        <is>
          <t>161</t>
        </is>
      </c>
      <c r="B162" t="inlineStr">
        <is>
          <t>Windshield Wiper Motor</t>
        </is>
      </c>
      <c r="C162" t="inlineStr">
        <is>
          <t>40-197</t>
        </is>
      </c>
      <c r="D162" t="inlineStr">
        <is>
          <t>Windshield Wiper Motor - 40-197</t>
        </is>
      </c>
      <c r="E162" t="inlineStr">
        <is>
          <t>CARDONE Reman</t>
        </is>
      </c>
      <c r="F162" t="inlineStr">
        <is>
          <t>22039700;22063221</t>
        </is>
      </c>
      <c r="G162" t="inlineStr">
        <is>
          <t>Buick Century 1984-1985
Chevrolet Celebrity 1984-1985
Oldsmobile Cutlass Ciera 1984-1985
Pontiac 6000 1984-1985</t>
        </is>
      </c>
      <c r="H162" t="inlineStr">
        <is>
          <t>Buick Century 1984-1985 2.5L L4 151cid
Buick Century 1984-1985 2.8L V6 173cid
Buick Century 1984-1985 3.8L V6 231cid
Buick Century 1984-1985 3L V6 181cid
Buick Century 1984-1985 4.3L V6 260cid
Chevrolet Celebrity 1984-1985 2.5L L4 151cid
Chevrolet Celebrity 1984-1985 2.8L V6 173cid
Chevrolet Celebrity 1984-1985 4.3L V6 260cid
Oldsmobile Cutlass Ciera 1984-1985 2.5L L4 151cid
Oldsmobile Cutlass Ciera 1984-1985 2.8L V6 173cid
Oldsmobile Cutlass Ciera 1984-1985 3.8L V6 231cid
Oldsmobile Cutlass Ciera 1984-1985 3L V6 181cid
Oldsmobile Cutlass Ciera 1984-1985 4.3L V6 260cid
Pontiac 6000 1984-1985 2.5L L4 151cid
Pontiac 6000 1984-1985 2.8L V6 173cid
Pontiac 6000 1984-1985 4.3L V6 260cid</t>
        </is>
      </c>
      <c r="I162" t="inlineStr">
        <is>
          <t>{"0": {"productDeskExternalKey": "CPCX|40-197"}, "1": {"Package Contents": "Wiper Motor; Instruction Sheet"}, "2": {"E-Waste": "Yes"}, "3": {"Product Condition": "Remanufactured"}, "4": {"Mounting Hole Quantity": "2"}, "5": {"Terminal Type": "Blade"}, "6": {"Mounting Type": "Grommet"}, "7": {"Weight PG": "3.0000"}, "8": {"Washer Pump Included": "No"}, "9": {"Part Type": "Windshield Wiper Motor"}, "10": {"Warranty Info": "1 Year/18,000 Mile"}, "11": {"Sustainable Choice": "Yes"}, "12": {"Lifecycle Status": "Available to Order"}, "13": {"Application Summary": "Buick Century 1985-84; Chevrolet Celebrity 1985-84; Oldsmobile Cutlass Ciera 1985-84; Pontiac 6000 1985-84"}, "14": {"ItemLevelGTIN": "00082617076128"}, "15": {"_addonCardone": "40-197::98271:101211:306"}, "16": {"Eligible for R&amp;R Service": "Yes"}}</t>
        </is>
      </c>
      <c r="J162" t="inlineStr">
        <is>
          <t>https://www.cardone.com/product/windshield-wiper-motor-40-197</t>
        </is>
      </c>
      <c r="K162">
        <f>DISPIMG("ID_8D0853611616486BA6E96976B0803266",1)</f>
        <v/>
      </c>
      <c r="L162" t="inlineStr">
        <is>
          <t>CPCX|40-197</t>
        </is>
      </c>
      <c r="M162" t="inlineStr">
        <is>
          <t>Wiper Motor; Instruction Sheet</t>
        </is>
      </c>
      <c r="N162" t="inlineStr">
        <is>
          <t>Yes</t>
        </is>
      </c>
      <c r="O162" t="inlineStr">
        <is>
          <t>Remanufactured</t>
        </is>
      </c>
      <c r="P162" t="inlineStr">
        <is>
          <t>2</t>
        </is>
      </c>
      <c r="Q162" t="inlineStr">
        <is>
          <t>Blade</t>
        </is>
      </c>
      <c r="R162" t="inlineStr">
        <is>
          <t>Grommet</t>
        </is>
      </c>
      <c r="S162" t="inlineStr">
        <is>
          <t>3.0000</t>
        </is>
      </c>
      <c r="T162" t="inlineStr">
        <is>
          <t>No</t>
        </is>
      </c>
      <c r="U162" t="inlineStr">
        <is>
          <t>1 Year/18,000 Mile</t>
        </is>
      </c>
      <c r="V162" t="inlineStr">
        <is>
          <t>Yes</t>
        </is>
      </c>
      <c r="W162" t="inlineStr">
        <is>
          <t>Available to Order</t>
        </is>
      </c>
      <c r="X162" t="inlineStr">
        <is>
          <t>Buick Century 1985-84; Chevrolet Celebrity 1985-84; Oldsmobile Cutlass Ciera 1985-84; Pontiac 6000 1985-84</t>
        </is>
      </c>
      <c r="Y162" t="inlineStr">
        <is>
          <t>00082617076128</t>
        </is>
      </c>
      <c r="Z162" t="inlineStr">
        <is>
          <t>40-197::98271:101211:306</t>
        </is>
      </c>
      <c r="AA162" t="inlineStr">
        <is>
          <t>Yes</t>
        </is>
      </c>
      <c r="AB162" t="inlineStr"/>
      <c r="AC162" t="inlineStr"/>
    </row>
    <row r="163">
      <c r="A163" t="inlineStr">
        <is>
          <t>162</t>
        </is>
      </c>
      <c r="B163" t="inlineStr">
        <is>
          <t>Windshield Wiper Motor</t>
        </is>
      </c>
      <c r="C163" t="inlineStr">
        <is>
          <t>40-2000</t>
        </is>
      </c>
      <c r="D163" t="inlineStr">
        <is>
          <t>Windshield Wiper Motor - 40-2000</t>
        </is>
      </c>
      <c r="E163" t="inlineStr">
        <is>
          <t>CARDONE Reman</t>
        </is>
      </c>
      <c r="F163" t="inlineStr">
        <is>
          <t>F3LY17508A</t>
        </is>
      </c>
      <c r="G163" t="inlineStr">
        <is>
          <t>Lincoln Mark VIII 1993</t>
        </is>
      </c>
      <c r="H163" t="inlineStr">
        <is>
          <t>Lincoln Mark VIII 1993 4.6L V8 281cid</t>
        </is>
      </c>
      <c r="I163" t="inlineStr">
        <is>
          <t>{"0": {"productDeskExternalKey": "CPCX|40-2000"}, "1": {"Package Contents": "Wiper Motor; Instruction Sheet"}, "2": {"E-Waste": "Yes"}, "3": {"Product Condition": "Remanufactured"}, "4": {"Mounting Hole Quantity": "3"}, "5": {"Terminal Type": "Blade"}, "6": {"Mounting Type": "Eyelet"}, "7": {"Weight PG": "5.0000"}, "8": {"Washer Pump Included": "No"}, "9": {"Part Type": "Windshield Wiper Motor"}, "10": {"Warranty Info": "1 Year/18,000 Mile"}, "11": {"Sustainable Choice": "Yes"}, "12": {"Lifecycle Status": "Available to Order"}, "13": {"Application Summary": "Lincoln Mark VIII 1993"}, "14": {"ItemLevelGTIN": "00082617370530"}, "15": {"_addonCardone": "40-2000::98271:101218:306"}, "16": {"Eligible for R&amp;R Service": "Yes"}}</t>
        </is>
      </c>
      <c r="J163" t="inlineStr">
        <is>
          <t>https://www.cardone.com/product/windshield-wiper-motor-40-2000</t>
        </is>
      </c>
      <c r="K163">
        <f>DISPIMG("ID_09AA610DE3554A15B7D7859DE50CF390",1)</f>
        <v/>
      </c>
      <c r="L163" t="inlineStr">
        <is>
          <t>CPCX|40-2000</t>
        </is>
      </c>
      <c r="M163" t="inlineStr">
        <is>
          <t>Wiper Motor; Instruction Sheet</t>
        </is>
      </c>
      <c r="N163" t="inlineStr">
        <is>
          <t>Yes</t>
        </is>
      </c>
      <c r="O163" t="inlineStr">
        <is>
          <t>Remanufactured</t>
        </is>
      </c>
      <c r="P163" t="inlineStr">
        <is>
          <t>3</t>
        </is>
      </c>
      <c r="Q163" t="inlineStr">
        <is>
          <t>Blade</t>
        </is>
      </c>
      <c r="R163" t="inlineStr">
        <is>
          <t>Eyelet</t>
        </is>
      </c>
      <c r="S163" t="inlineStr">
        <is>
          <t>5.0000</t>
        </is>
      </c>
      <c r="T163" t="inlineStr">
        <is>
          <t>No</t>
        </is>
      </c>
      <c r="U163" t="inlineStr">
        <is>
          <t>1 Year/18,000 Mile</t>
        </is>
      </c>
      <c r="V163" t="inlineStr">
        <is>
          <t>Yes</t>
        </is>
      </c>
      <c r="W163" t="inlineStr">
        <is>
          <t>Available to Order</t>
        </is>
      </c>
      <c r="X163" t="inlineStr">
        <is>
          <t>Lincoln Mark VIII 1993</t>
        </is>
      </c>
      <c r="Y163" t="inlineStr">
        <is>
          <t>00082617370530</t>
        </is>
      </c>
      <c r="Z163" t="inlineStr">
        <is>
          <t>40-2000::98271:101218:306</t>
        </is>
      </c>
      <c r="AA163" t="inlineStr">
        <is>
          <t>Yes</t>
        </is>
      </c>
      <c r="AB163" t="inlineStr"/>
      <c r="AC163" t="inlineStr"/>
    </row>
    <row r="164">
      <c r="A164" t="inlineStr">
        <is>
          <t>163</t>
        </is>
      </c>
      <c r="B164" t="inlineStr">
        <is>
          <t>Windshield Wiper Motor</t>
        </is>
      </c>
      <c r="C164" t="inlineStr">
        <is>
          <t>40-2001</t>
        </is>
      </c>
      <c r="D164" t="inlineStr">
        <is>
          <t>Windshield Wiper Motor - 40-2001</t>
        </is>
      </c>
      <c r="E164" t="inlineStr">
        <is>
          <t>CARDONE Reman</t>
        </is>
      </c>
      <c r="F164" t="inlineStr">
        <is>
          <t>F50Y17508A;F4DZ17580B;F4DZ17508B</t>
        </is>
      </c>
      <c r="G164" t="inlineStr">
        <is>
          <t>Ford Sable 1994-1995
Ford Taurus 1987-1995
Lincoln Continental 1988-1997
Mercury Sable 1987-1995</t>
        </is>
      </c>
      <c r="H164" t="inlineStr">
        <is>
          <t>Ford Sable 1994-1995 3.8L V6 232cid
Ford Taurus 1987-1991 2.5L L4 153cid
Ford Taurus 1987-1995 3L V6 182cid
Ford Taurus 1988-1995 3.8L V6 232cid
Ford Taurus 1993-1995 3.2L V6 195cid
Lincoln Continental 1988-1994 3.8L V6 232cid
Lincoln Continental 1995-1997 4.6L V8 281cid
Mercury Sable 1987-1995 3L V6 182cid
Mercury Sable 1988-1995 3.8L V6 232cid</t>
        </is>
      </c>
      <c r="I164" t="inlineStr">
        <is>
          <t>{"0": {"productDeskExternalKey": "CPCX|40-2001"}, "1": {"Package Contents": "Wiper Motor; Instruction Sheet"}, "2": {"E-Waste": "Yes"}, "3": {"Product Condition": "Remanufactured"}, "4": {"Mounting Hole Quantity": "3"}, "5": {"Terminal Type": "Blade"}, "6": {"Mounting Type": "Eyelet; Grommet"}, "7": {"Weight PG": "4.7700"}, "8": {"Washer Pump Included": "No"}, "9": {"Part Type": "Windshield Wiper Motor"}, "10": {"Warranty Info": "1 Year/18,000 Mile"}, "11": {"Design Upgrade": "Yes"}, "12": {"Sustainable Choice": "Yes"}, "13": {"Lifecycle Status": "Available to Order"}, "14": {"Application Summary": "Ford Sable 1995-94, Taurus 1995-87; Lincoln Continental 1997-88; Mercury Sable 1995-87"}, "15": {"ItemLevelGTIN": "00082617370547"}, "16": {"_addonCardone": "40-2001::98271:101224:306"}, "17": {"Eligible for R&amp;R Service": "Yes"}}</t>
        </is>
      </c>
      <c r="J164" t="inlineStr">
        <is>
          <t>https://www.cardone.com/product/windshield-wiper-motor-40-2001</t>
        </is>
      </c>
      <c r="K164">
        <f>DISPIMG("ID_6C83A3683AEF4C41B4B77310A712A611",1)</f>
        <v/>
      </c>
      <c r="L164" t="inlineStr">
        <is>
          <t>CPCX|40-2001</t>
        </is>
      </c>
      <c r="M164" t="inlineStr">
        <is>
          <t>Wiper Motor; Instruction Sheet</t>
        </is>
      </c>
      <c r="N164" t="inlineStr">
        <is>
          <t>Yes</t>
        </is>
      </c>
      <c r="O164" t="inlineStr">
        <is>
          <t>Remanufactured</t>
        </is>
      </c>
      <c r="P164" t="inlineStr">
        <is>
          <t>3</t>
        </is>
      </c>
      <c r="Q164" t="inlineStr">
        <is>
          <t>Blade</t>
        </is>
      </c>
      <c r="R164" t="inlineStr">
        <is>
          <t>Eyelet; Grommet</t>
        </is>
      </c>
      <c r="S164" t="inlineStr">
        <is>
          <t>4.7700</t>
        </is>
      </c>
      <c r="T164" t="inlineStr">
        <is>
          <t>No</t>
        </is>
      </c>
      <c r="U164" t="inlineStr">
        <is>
          <t>1 Year/18,000 Mile</t>
        </is>
      </c>
      <c r="V164" t="inlineStr">
        <is>
          <t>Yes</t>
        </is>
      </c>
      <c r="W164" t="inlineStr">
        <is>
          <t>Available to Order</t>
        </is>
      </c>
      <c r="X164" t="inlineStr">
        <is>
          <t>Ford Sable 1995-94, Taurus 1995-87; Lincoln Continental 1997-88; Mercury Sable 1995-87</t>
        </is>
      </c>
      <c r="Y164" t="inlineStr">
        <is>
          <t>00082617370547</t>
        </is>
      </c>
      <c r="Z164" t="inlineStr">
        <is>
          <t>40-2001::98271:101224:306</t>
        </is>
      </c>
      <c r="AA164" t="inlineStr">
        <is>
          <t>Yes</t>
        </is>
      </c>
      <c r="AB164" t="inlineStr">
        <is>
          <t>Yes</t>
        </is>
      </c>
      <c r="AC164" t="inlineStr"/>
    </row>
    <row r="165">
      <c r="A165" t="inlineStr">
        <is>
          <t>164</t>
        </is>
      </c>
      <c r="B165" t="inlineStr">
        <is>
          <t>Windshield Wiper Motor</t>
        </is>
      </c>
      <c r="C165" t="inlineStr">
        <is>
          <t>40-2002</t>
        </is>
      </c>
      <c r="D165" t="inlineStr">
        <is>
          <t>Windshield Wiper Motor - 40-2002</t>
        </is>
      </c>
      <c r="E165" t="inlineStr">
        <is>
          <t>CARDONE Reman</t>
        </is>
      </c>
      <c r="F165" t="inlineStr">
        <is>
          <t>F5HZ17508A</t>
        </is>
      </c>
      <c r="G165" t="inlineStr">
        <is>
          <t>Ford Bronco 1987-1996
Ford F-150 1987-1996
Ford F-250 1987-1996
Ford F-250 HD 1997
Ford F-350 1987-1997
Ford F-53 Motorhome Chassis 1988-1997
Ford F-59 Commercial Stripped Chassis 1988-1997
Ford F-600 1990-1994
Ford F-700 1990-1998
Ford F-800 1990-1999
Ford F-Super Duty 1988-1997
Ford FT900 1990-1994</t>
        </is>
      </c>
      <c r="H165" t="inlineStr">
        <is>
          <t>Ford Bronco 1987-1992 4.9L L6 300cid
Ford Bronco 1987-1996 5.8L V8 351cid
Ford Bronco 1987-1996 5L V8 302cid
Ford F-150 1987-1994 3.8L V6 232cid
Ford F-150 1987-1996 4.9L L6 300cid
Ford F-150 1987-1996 5.8L V8 351cid
Ford F-150 1987-1996 5L V8 302cid
Ford F-250 1987 6.9L V8 420cid
Ford F-250 1987-1996 4.9L L6 300cid
Ford F-250 1987-1996 5.8L V8 351cid
Ford F-250 1987-1996 5L V8 302cid
Ford F-250 1987-1996 7.5L V8 460cid
Ford F-250 1988-1996 7.3L V8 445cid
Ford F-250 HD 1997 5.8L V8 351cid
Ford F-250 HD 1997 7.3L V8 445cid
Ford F-250 HD 1997 7.5L V8 460cid
Ford F-350 1987 6.9L V8 420cid
Ford F-350 1987-1996 4.9L L6 300cid
Ford F-350 1987-1997 5.8L V8 351cid
Ford F-350 1987-1997 5L V8 302cid
Ford F-350 1987-1997 7.5L V8 460cid
Ford F-350 1988-1997 7.3L V8 445cid
Ford F-53 Motorhome Chassis 1988-1997 7.5L V8 460cid
Ford F-59 Commercial Stripped Chassis 1988-1997 7.3L V8 445cid
Ford F-600 1990-1991 6.1L V8 370cid
Ford F-600 1990-1993 6.6L L6 401cid
Ford F-600 1990-1994 7L V8 429cid
Ford F-600 1991 7.8L L6 473cid
Ford F-600 1992-1994 5.9L L6 359cid
Ford F-700 1990-1991 6.1L V8 370cid
Ford F-700 1990-1991 7.8L L6 473cid
Ford F-700 1990-1993 6.6L L6 401cid
Ford F-700 1990-1998 7L V8 429cid
Ford F-700 1992-1997 5.9L L6 359cid
Ford F-800 1990-1991 6.1L V8 370cid
Ford F-800 1990-1991 6.6L L6 401cid
Ford F-800 1990-1993 7.8L L6 473cid
Ford F-800 1990-1998 7L V8 429cid
Ford F-800 1992-1998 8.3L L6 504cid
Ford F-800 1993-1999 5.9L L6 359cid
Ford F-Super Duty 1988-1997 7.3L V8 445cid
Ford F-Super Duty 1988-1997 7.5L V8 460cid
Ford FT900 1990-1993 7.8L L6 473cid
Ford FT900 1993-1994 8.3L L6 504cid</t>
        </is>
      </c>
      <c r="I165" t="inlineStr">
        <is>
          <t>{"0": {"productDeskExternalKey": "CPCX|40-2002"}, "1": {"Package Contents": "Wiper Motor; Instruction Sheet"}, "2": {"E-Waste": "Yes"}, "3": {"Product Condition": "Remanufactured"}, "4": {"Mounting Hole Quantity": "3"}, "5": {"Terminal Type": "Blade"}, "6": {"Mounting Type": "Direct Bolt"}, "7": {"Weight PG": "3.5400"}, "8": {"Washer Pump Included": "No"}, "9": {"Part Type": "Windshield Wiper Motor"}, "10": {"Warranty Info": "1 Year/18,000 Mile"}, "11": {"Design Upgrade": "Yes"}, "12": {"Sustainable Choice": "Yes"}, "13": {"Lifecycle Status": "Available to Order"}, "14": {"Application Summary": "Ford Bronco 1996-87, F-150 1996-87, F-250 1996-87, F-250 HD 1997, F-350 1997-87, F-53 Motorhome Chassis 1997-88, F-59 Commercial Stripped Chassis 1997-88, F-600 1994-90, F-700 1998-90, F-800 1999-90, F-Super Duty 1997-88, FT900 1994-90"}, "15": {"ItemLevelGTIN": "00082617370554"}, "16": {"_addonCardone": "40-2002::98271:101231:306"}, "17": {"Eligible for R&amp;R Service": "Yes"}}</t>
        </is>
      </c>
      <c r="J165" t="inlineStr">
        <is>
          <t>https://www.cardone.com/product/windshield-wiper-motor-40-2002</t>
        </is>
      </c>
      <c r="K165">
        <f>DISPIMG("ID_62237E36E3194298BF8BBBC29A97EA7C",1)</f>
        <v/>
      </c>
      <c r="L165" t="inlineStr">
        <is>
          <t>CPCX|40-2002</t>
        </is>
      </c>
      <c r="M165" t="inlineStr">
        <is>
          <t>Wiper Motor; Instruction Sheet</t>
        </is>
      </c>
      <c r="N165" t="inlineStr">
        <is>
          <t>Yes</t>
        </is>
      </c>
      <c r="O165" t="inlineStr">
        <is>
          <t>Remanufactured</t>
        </is>
      </c>
      <c r="P165" t="inlineStr">
        <is>
          <t>3</t>
        </is>
      </c>
      <c r="Q165" t="inlineStr">
        <is>
          <t>Blade</t>
        </is>
      </c>
      <c r="R165" t="inlineStr">
        <is>
          <t>Direct Bolt</t>
        </is>
      </c>
      <c r="S165" t="inlineStr">
        <is>
          <t>3.5400</t>
        </is>
      </c>
      <c r="T165" t="inlineStr">
        <is>
          <t>No</t>
        </is>
      </c>
      <c r="U165" t="inlineStr">
        <is>
          <t>1 Year/18,000 Mile</t>
        </is>
      </c>
      <c r="V165" t="inlineStr">
        <is>
          <t>Yes</t>
        </is>
      </c>
      <c r="W165" t="inlineStr">
        <is>
          <t>Available to Order</t>
        </is>
      </c>
      <c r="X165" t="inlineStr">
        <is>
          <t>Ford Bronco 1996-87, F-150 1996-87, F-250 1996-87, F-250 HD 1997, F-350 1997-87, F-53 Motorhome Chassis 1997-88, F-59 Commercial Stripped Chassis 1997-88, F-600 1994-90, F-700 1998-90, F-800 1999-90, F-Super Duty 1997-88, FT900 1994-90</t>
        </is>
      </c>
      <c r="Y165" t="inlineStr">
        <is>
          <t>00082617370554</t>
        </is>
      </c>
      <c r="Z165" t="inlineStr">
        <is>
          <t>40-2002::98271:101231:306</t>
        </is>
      </c>
      <c r="AA165" t="inlineStr">
        <is>
          <t>Yes</t>
        </is>
      </c>
      <c r="AB165" t="inlineStr">
        <is>
          <t>Yes</t>
        </is>
      </c>
      <c r="AC165" t="inlineStr"/>
    </row>
    <row r="166">
      <c r="A166" t="inlineStr">
        <is>
          <t>165</t>
        </is>
      </c>
      <c r="B166" t="inlineStr">
        <is>
          <t>Windshield Wiper Motor</t>
        </is>
      </c>
      <c r="C166" t="inlineStr">
        <is>
          <t>40-2003</t>
        </is>
      </c>
      <c r="D166" t="inlineStr">
        <is>
          <t>Windshield Wiper Motor - 40-2003</t>
        </is>
      </c>
      <c r="E166" t="inlineStr">
        <is>
          <t>CARDONE Reman</t>
        </is>
      </c>
      <c r="F166" t="inlineStr">
        <is>
          <t>ZZM067350;F4SZ17508B;F5ZZ17508A;F5CZ17508A;F4SZ17508A;F5TZ17508A;F5UZ17508A</t>
        </is>
      </c>
      <c r="G166" t="inlineStr">
        <is>
          <t>Ford Cougar 1990-1995
Ford E-150 Econoline 1995-1996
Ford E-150 Econoline Club Wagon 1995-1996
Ford E-250 Econoline 1995-1996
Ford E-350 Econoline 1995-1996
Ford E-350 Econoline Club Wagon 1995-1996
Ford Econoline Super Duty 1996
Ford Escort 1991-1996
Ford Explorer 1995-1997
Ford F-100 Ranger 1996-1997
Ford Mustang 1987-1993
Ford Ranger 1995-1997
Ford Thunderbird 1989-1997
Mercury Cougar 1989-1997
Mercury Mountaineer 1997
Mercury Tracer 1991-1996</t>
        </is>
      </c>
      <c r="H166" t="inlineStr">
        <is>
          <t>Ford Cougar 1990-1993 5L V8 302cid
Ford Cougar 1990-1994 3.8L V6 232cid
Ford Cougar 1994-1995 4.6L V8 281cid
Ford E-150 Econoline 1995-1996 4.9L L6 300cid
Ford E-150 Econoline 1995-1996 5.8L V8 351cid
Ford E-150 Econoline 1995-1996 5L V8 302cid
Ford E-150 Econoline Club Wagon 1995-1996 4.9L L6 300cid
Ford E-150 Econoline Club Wagon 1995-1996 5.8L V8 351cid
Ford E-150 Econoline Club Wagon 1995-1996 5L V8 302cid
Ford E-250 Econoline 1995-1996 4.9L L6 300cid
Ford E-250 Econoline 1995-1996 5.8L V8 351cid
Ford E-350 Econoline 1995-1996 4.9L L6 300cid
Ford E-350 Econoline 1995-1996 5.8L V8 351cid
Ford E-350 Econoline 1995-1996 7.3L V8 445cid
Ford E-350 Econoline 1995-1996 7.5L V8 460cid
Ford E-350 Econoline Club Wagon 1995-1996 4.9L L6 300cid
Ford E-350 Econoline Club Wagon 1995-1996 5.8L V8 351cid
Ford E-350 Econoline Club Wagon 1995-1996 7.3L V8 445cid
Ford E-350 Econoline Club Wagon 1995-1996 7.5L V8 460cid
Ford Econoline Super Duty 1996 5.8L V8 351cid
Ford Econoline Super Duty 1996 7.3L V8 445cid
Ford Econoline Super Duty 1996 7.5L V8 460cid
Ford Escort 1991-1996 1.8L L4 112cid
Ford Escort 1991-1996 1.9L L4 116cid
Ford Escort 1994-1996 1.9L L4 113cid
Ford Explorer 1995-1997 4L V6 245cid
Ford Explorer 1996-1997 5L V8 302cid
Ford F-100 Ranger 1996-1997 2.3L L4 140cid
Ford F-100 Ranger 1996-1997 3L V6 182cid
Ford Mustang 1987-1993 2.3L L4 140cid
Ford Mustang 1987-1993 5L V8 302cid
Ford Ranger 1995-1997 2.3L L4 140cid
Ford Ranger 1995-1997 3L V6 182cid
Ford Ranger 1995-1997 4L V6 245cid
Ford Thunderbird 1989-1997 3.8L V6 232cid
Ford Thunderbird 1991-1993 5L V8 302cid
Ford Thunderbird 1994-1997 4.6L V8 281cid
Mercury Cougar 1989-1997 3.8L V6 232cid
Mercury Cougar 1991-1993 5L V8 302cid
Mercury Cougar 1994-1997 4.6L V8 281cid
Mercury Mountaineer 1997 5L V8 302cid
Mercury Tracer 1991-1996 1.8L L4 112cid
Mercury Tracer 1991-1996 1.9L L4 116cid</t>
        </is>
      </c>
      <c r="I166" t="inlineStr">
        <is>
          <t>{"0": {"productDeskExternalKey": "CPCX|40-2003"}, "1": {"Package Contents": "Wiper Motor; Instruction Sheet"}, "2": {"E-Waste": "Yes"}, "3": {"Product Condition": "Remanufactured"}, "4": {"Mounting Hole Quantity": "3"}, "5": {"Terminal Type": "Blade"}, "6": {"Mounting Type": "Direct Bolt"}, "7": {"Weight PG": "3.4500"}, "8": {"Washer Pump Included": "No"}, "9": {"Part Type": "Windshield Wiper Motor"}, "10": {"Warranty Info": "1 Year/18,000 Mile"}, "11": {"Design Upgrade": "Yes"}, "12": {"Sustainable Choice": "Yes"}, "13": {"Lifecycle Status": "Available to Order"}, "14": {"ItemLevelGTIN": "00082617370561"}, "15": {"_addonCardone": "40-2003::98271:101236:306"}, "16": {"Eligible for R&amp;R Service": "Yes"}}</t>
        </is>
      </c>
      <c r="J166" t="inlineStr">
        <is>
          <t>https://www.cardone.com/product/windshield-wiper-motor-40-2003</t>
        </is>
      </c>
      <c r="K166">
        <f>DISPIMG("ID_409392503023495784649DD34F983FE2",1)</f>
        <v/>
      </c>
      <c r="L166" t="inlineStr">
        <is>
          <t>CPCX|40-2003</t>
        </is>
      </c>
      <c r="M166" t="inlineStr">
        <is>
          <t>Wiper Motor; Instruction Sheet</t>
        </is>
      </c>
      <c r="N166" t="inlineStr">
        <is>
          <t>Yes</t>
        </is>
      </c>
      <c r="O166" t="inlineStr">
        <is>
          <t>Remanufactured</t>
        </is>
      </c>
      <c r="P166" t="inlineStr">
        <is>
          <t>3</t>
        </is>
      </c>
      <c r="Q166" t="inlineStr">
        <is>
          <t>Blade</t>
        </is>
      </c>
      <c r="R166" t="inlineStr">
        <is>
          <t>Direct Bolt</t>
        </is>
      </c>
      <c r="S166" t="inlineStr">
        <is>
          <t>3.4500</t>
        </is>
      </c>
      <c r="T166" t="inlineStr">
        <is>
          <t>No</t>
        </is>
      </c>
      <c r="U166" t="inlineStr">
        <is>
          <t>1 Year/18,000 Mile</t>
        </is>
      </c>
      <c r="V166" t="inlineStr">
        <is>
          <t>Yes</t>
        </is>
      </c>
      <c r="W166" t="inlineStr">
        <is>
          <t>Available to Order</t>
        </is>
      </c>
      <c r="X166" t="inlineStr"/>
      <c r="Y166" t="inlineStr">
        <is>
          <t>00082617370561</t>
        </is>
      </c>
      <c r="Z166" t="inlineStr">
        <is>
          <t>40-2003::98271:101236:306</t>
        </is>
      </c>
      <c r="AA166" t="inlineStr">
        <is>
          <t>Yes</t>
        </is>
      </c>
      <c r="AB166" t="inlineStr">
        <is>
          <t>Yes</t>
        </is>
      </c>
      <c r="AC166" t="inlineStr"/>
    </row>
    <row r="167">
      <c r="A167" t="inlineStr">
        <is>
          <t>166</t>
        </is>
      </c>
      <c r="B167" t="inlineStr">
        <is>
          <t>Windshield Wiper Motor</t>
        </is>
      </c>
      <c r="C167" t="inlineStr">
        <is>
          <t>40-2004</t>
        </is>
      </c>
      <c r="D167" t="inlineStr">
        <is>
          <t>Windshield Wiper Motor - 40-2004</t>
        </is>
      </c>
      <c r="E167" t="inlineStr">
        <is>
          <t>CARDONE Reman</t>
        </is>
      </c>
      <c r="F167" t="inlineStr">
        <is>
          <t>F4ZZ17508A;F58Z17508B</t>
        </is>
      </c>
      <c r="G167" t="inlineStr">
        <is>
          <t>Ford Mustang 1994-1998
Ford Windstar 1995</t>
        </is>
      </c>
      <c r="H167" t="inlineStr">
        <is>
          <t>Ford Mustang 1994-1995 5L V8 302cid
Ford Mustang 1994-1998 3.8L V6 232cid
Ford Mustang 1995 5.8L V8 351cid
Ford Mustang 1996-1998 4.6L V8 281cid
Ford Windstar 1995 3.8L V6 232cid
Ford Windstar 1995 3L V6 182cid</t>
        </is>
      </c>
      <c r="I167" t="inlineStr">
        <is>
          <t>{"0": {"productDeskExternalKey": "CPCX|40-2004"}, "1": {"Package Contents": "Wiper Motor; Instruction Sheet"}, "2": {"E-Waste": "Yes"}, "3": {"Product Condition": "Remanufactured"}, "4": {"Mounting Hole Quantity": "3"}, "5": {"Terminal Type": "Blade"}, "6": {"Mounting Type": "Direct Bolt"}, "7": {"Washer Pump Included": "No"}, "8": {"Part Type": "Windshield Wiper Motor"}, "9": {"Warranty Info": "1 Year/18,000 Mile"}, "10": {"Design Upgrade": "Yes"}, "11": {"Sustainable Choice": "Yes"}, "12": {"Lifecycle Status": "Available to Order"}, "13": {"Application Summary": "Ford Mustang 1998-94, Windstar 1995"}, "14": {"Weight PG": "3.4200"}, "15": {"ItemLevelGTIN": "00082617370578"}, "16": {"_addonCardone": "40-2004::98271:101244:306"}, "17": {"Eligible for R&amp;R Service": "Yes"}}</t>
        </is>
      </c>
      <c r="J167" t="inlineStr">
        <is>
          <t>https://www.cardone.com/product/windshield-wiper-motor-40-2004</t>
        </is>
      </c>
      <c r="K167">
        <f>DISPIMG("ID_E9D40ECB27C341F2ABF2B0FEC4B325D9",1)</f>
        <v/>
      </c>
      <c r="L167" t="inlineStr">
        <is>
          <t>CPCX|40-2004</t>
        </is>
      </c>
      <c r="M167" t="inlineStr">
        <is>
          <t>Wiper Motor; Instruction Sheet</t>
        </is>
      </c>
      <c r="N167" t="inlineStr">
        <is>
          <t>Yes</t>
        </is>
      </c>
      <c r="O167" t="inlineStr">
        <is>
          <t>Remanufactured</t>
        </is>
      </c>
      <c r="P167" t="inlineStr">
        <is>
          <t>3</t>
        </is>
      </c>
      <c r="Q167" t="inlineStr">
        <is>
          <t>Blade</t>
        </is>
      </c>
      <c r="R167" t="inlineStr">
        <is>
          <t>Direct Bolt</t>
        </is>
      </c>
      <c r="S167" t="inlineStr">
        <is>
          <t>3.4200</t>
        </is>
      </c>
      <c r="T167" t="inlineStr">
        <is>
          <t>No</t>
        </is>
      </c>
      <c r="U167" t="inlineStr">
        <is>
          <t>1 Year/18,000 Mile</t>
        </is>
      </c>
      <c r="V167" t="inlineStr">
        <is>
          <t>Yes</t>
        </is>
      </c>
      <c r="W167" t="inlineStr">
        <is>
          <t>Available to Order</t>
        </is>
      </c>
      <c r="X167" t="inlineStr">
        <is>
          <t>Ford Mustang 1998-94, Windstar 1995</t>
        </is>
      </c>
      <c r="Y167" t="inlineStr">
        <is>
          <t>00082617370578</t>
        </is>
      </c>
      <c r="Z167" t="inlineStr">
        <is>
          <t>40-2004::98271:101244:306</t>
        </is>
      </c>
      <c r="AA167" t="inlineStr">
        <is>
          <t>Yes</t>
        </is>
      </c>
      <c r="AB167" t="inlineStr">
        <is>
          <t>Yes</t>
        </is>
      </c>
      <c r="AC167" t="inlineStr"/>
    </row>
    <row r="168">
      <c r="A168" t="inlineStr">
        <is>
          <t>167</t>
        </is>
      </c>
      <c r="B168" t="inlineStr">
        <is>
          <t>Windshield Wiper Motor</t>
        </is>
      </c>
      <c r="C168" t="inlineStr">
        <is>
          <t>40-2005</t>
        </is>
      </c>
      <c r="D168" t="inlineStr">
        <is>
          <t>Windshield Wiper Motor - 40-2005</t>
        </is>
      </c>
      <c r="E168" t="inlineStr">
        <is>
          <t>CARDONE Reman</t>
        </is>
      </c>
      <c r="F168" t="inlineStr">
        <is>
          <t>F5AZ17508A;F7AZ17508AA</t>
        </is>
      </c>
      <c r="G168" t="inlineStr">
        <is>
          <t>Ford Crown Victoria 1995-2002
Ford Grand Marquis 1995-2002
Lincoln Town Car 1995-1997
Mercury Grand Marquis 1995-2002</t>
        </is>
      </c>
      <c r="H168" t="inlineStr">
        <is>
          <t>Ford Crown Victoria 1995-2002 4.6L V8 281cid
Ford Grand Marquis 1995-2002 4.6L V8 281cid
Lincoln Town Car 1995-1997 4.6L V8 281cid
Mercury Grand Marquis 1995-2002 4.6L V8 281cid</t>
        </is>
      </c>
      <c r="I168" t="inlineStr">
        <is>
          <t>{"0": {"productDeskExternalKey": "CPCX|40-2005"}, "1": {"Package Contents": "Wiper Motor; Instruction Sheet"}, "2": {"E-Waste": "Yes"}, "3": {"Product Condition": "Remanufactured"}, "4": {"Mounting Hole Quantity": "3"}, "5": {"Terminal Type": "Blade"}, "6": {"Mounting Type": "Direct Bolt"}, "7": {"Weight PG": "4.6500"}, "8": {"Washer Pump Included": "No"}, "9": {"Part Type": "Windshield Wiper Motor"}, "10": {"Warranty Info": "1 Year/18,000 Mile"}, "11": {"Design Upgrade": "Yes"}, "12": {"Sustainable Choice": "Yes"}, "13": {"Lifecycle Status": "Available to Order"}, "14": {"Application Summary": "Ford Crown Victoria 2002-95, Grand Marquis 2002-95; Lincoln Town Car 1997-95; Mercury Grand Marquis 2002-95"}, "15": {"ItemLevelGTIN": "00082617404365"}, "16": {"_addonCardone": "40-2005::98271:101249:306"}, "17": {"Eligible for R&amp;R Service": "Yes"}}</t>
        </is>
      </c>
      <c r="J168" t="inlineStr">
        <is>
          <t>https://www.cardone.com/product/windshield-wiper-motor-40-2005</t>
        </is>
      </c>
      <c r="K168">
        <f>DISPIMG("ID_9EBC161D160646AF82FA50C9E158CADF",1)</f>
        <v/>
      </c>
      <c r="L168" t="inlineStr">
        <is>
          <t>CPCX|40-2005</t>
        </is>
      </c>
      <c r="M168" t="inlineStr">
        <is>
          <t>Wiper Motor; Instruction Sheet</t>
        </is>
      </c>
      <c r="N168" t="inlineStr">
        <is>
          <t>Yes</t>
        </is>
      </c>
      <c r="O168" t="inlineStr">
        <is>
          <t>Remanufactured</t>
        </is>
      </c>
      <c r="P168" t="inlineStr">
        <is>
          <t>3</t>
        </is>
      </c>
      <c r="Q168" t="inlineStr">
        <is>
          <t>Blade</t>
        </is>
      </c>
      <c r="R168" t="inlineStr">
        <is>
          <t>Direct Bolt</t>
        </is>
      </c>
      <c r="S168" t="inlineStr">
        <is>
          <t>4.6500</t>
        </is>
      </c>
      <c r="T168" t="inlineStr">
        <is>
          <t>No</t>
        </is>
      </c>
      <c r="U168" t="inlineStr">
        <is>
          <t>1 Year/18,000 Mile</t>
        </is>
      </c>
      <c r="V168" t="inlineStr">
        <is>
          <t>Yes</t>
        </is>
      </c>
      <c r="W168" t="inlineStr">
        <is>
          <t>Available to Order</t>
        </is>
      </c>
      <c r="X168" t="inlineStr">
        <is>
          <t>Ford Crown Victoria 2002-95, Grand Marquis 2002-95; Lincoln Town Car 1997-95; Mercury Grand Marquis 2002-95</t>
        </is>
      </c>
      <c r="Y168" t="inlineStr">
        <is>
          <t>00082617404365</t>
        </is>
      </c>
      <c r="Z168" t="inlineStr">
        <is>
          <t>40-2005::98271:101249:306</t>
        </is>
      </c>
      <c r="AA168" t="inlineStr">
        <is>
          <t>Yes</t>
        </is>
      </c>
      <c r="AB168" t="inlineStr">
        <is>
          <t>Yes</t>
        </is>
      </c>
      <c r="AC168" t="inlineStr"/>
    </row>
    <row r="169">
      <c r="A169" t="inlineStr">
        <is>
          <t>168</t>
        </is>
      </c>
      <c r="B169" t="inlineStr">
        <is>
          <t>Windshield Wiper Motor</t>
        </is>
      </c>
      <c r="C169" t="inlineStr">
        <is>
          <t>40-2006</t>
        </is>
      </c>
      <c r="D169" t="inlineStr">
        <is>
          <t>Windshield Wiper Motor - 40-2006</t>
        </is>
      </c>
      <c r="E169" t="inlineStr">
        <is>
          <t>CARDONE Reman</t>
        </is>
      </c>
      <c r="F169" t="inlineStr">
        <is>
          <t>F5ZZ17508A;F52Z17508A</t>
        </is>
      </c>
      <c r="G169" t="inlineStr">
        <is>
          <t>Ford Probe 1989-1992</t>
        </is>
      </c>
      <c r="H169" t="inlineStr">
        <is>
          <t>Ford Probe 1989-1992 2.2L L4 133cid
Ford Probe 1990-1992 3L V6 182cid</t>
        </is>
      </c>
      <c r="I169" t="inlineStr">
        <is>
          <t>{"0": {"productDeskExternalKey": "CPCX|40-2006"}, "1": {"Package Contents": "Wiper Motor; Instruction Sheet"}, "2": {"E-Waste": "Yes"}, "3": {"Product Condition": "Remanufactured"}, "4": {"Mounting Hole Quantity": "3"}, "5": {"Terminal Type": "Blade"}, "6": {"Mounting Type": "Grommet"}, "7": {"Weight PG": "4.3200"}, "8": {"Washer Pump Included": "No"}, "9": {"Part Type": "Windshield Wiper Motor"}, "10": {"Warranty Info": "1 Year/18,000 Mile"}, "11": {"Design Upgrade": "Yes"}, "12": {"Sustainable Choice": "Yes"}, "13": {"Lifecycle Status": "Available to Order"}, "14": {"Application Summary": "Ford Probe 1992-89"}, "15": {"ItemLevelGTIN": "00082617404358"}, "16": {"_addonCardone": "40-2006::98271:101253:306"}, "17": {"Eligible for R&amp;R Service": "Yes"}}</t>
        </is>
      </c>
      <c r="J169" t="inlineStr">
        <is>
          <t>https://www.cardone.com/product/windshield-wiper-motor-40-2006</t>
        </is>
      </c>
      <c r="K169">
        <f>DISPIMG("ID_9E45C3250EF440D6B9E48BCFE9E8A58D",1)</f>
        <v/>
      </c>
      <c r="L169" t="inlineStr">
        <is>
          <t>CPCX|40-2006</t>
        </is>
      </c>
      <c r="M169" t="inlineStr">
        <is>
          <t>Wiper Motor; Instruction Sheet</t>
        </is>
      </c>
      <c r="N169" t="inlineStr">
        <is>
          <t>Yes</t>
        </is>
      </c>
      <c r="O169" t="inlineStr">
        <is>
          <t>Remanufactured</t>
        </is>
      </c>
      <c r="P169" t="inlineStr">
        <is>
          <t>3</t>
        </is>
      </c>
      <c r="Q169" t="inlineStr">
        <is>
          <t>Blade</t>
        </is>
      </c>
      <c r="R169" t="inlineStr">
        <is>
          <t>Grommet</t>
        </is>
      </c>
      <c r="S169" t="inlineStr">
        <is>
          <t>4.3200</t>
        </is>
      </c>
      <c r="T169" t="inlineStr">
        <is>
          <t>No</t>
        </is>
      </c>
      <c r="U169" t="inlineStr">
        <is>
          <t>1 Year/18,000 Mile</t>
        </is>
      </c>
      <c r="V169" t="inlineStr">
        <is>
          <t>Yes</t>
        </is>
      </c>
      <c r="W169" t="inlineStr">
        <is>
          <t>Available to Order</t>
        </is>
      </c>
      <c r="X169" t="inlineStr">
        <is>
          <t>Ford Probe 1992-89</t>
        </is>
      </c>
      <c r="Y169" t="inlineStr">
        <is>
          <t>00082617404358</t>
        </is>
      </c>
      <c r="Z169" t="inlineStr">
        <is>
          <t>40-2006::98271:101253:306</t>
        </is>
      </c>
      <c r="AA169" t="inlineStr">
        <is>
          <t>Yes</t>
        </is>
      </c>
      <c r="AB169" t="inlineStr">
        <is>
          <t>Yes</t>
        </is>
      </c>
      <c r="AC169" t="inlineStr"/>
    </row>
    <row r="170">
      <c r="A170" t="inlineStr">
        <is>
          <t>169</t>
        </is>
      </c>
      <c r="B170" t="inlineStr">
        <is>
          <t>Windshield Wiper Motor</t>
        </is>
      </c>
      <c r="C170" t="inlineStr">
        <is>
          <t>40-2007</t>
        </is>
      </c>
      <c r="D170" t="inlineStr">
        <is>
          <t>Windshield Wiper Motor - 40-2007</t>
        </is>
      </c>
      <c r="E170" t="inlineStr">
        <is>
          <t>CARDONE Reman</t>
        </is>
      </c>
      <c r="F170" t="inlineStr">
        <is>
          <t>F5VY17508A</t>
        </is>
      </c>
      <c r="G170" t="inlineStr">
        <is>
          <t>Lincoln Town Car 1987-1989</t>
        </is>
      </c>
      <c r="H170" t="inlineStr">
        <is>
          <t>Lincoln Town Car 1987-1989 5L V8 302cid</t>
        </is>
      </c>
      <c r="I170" t="inlineStr">
        <is>
          <t>{"0": {"productDeskExternalKey": "CPCX|40-2007"}, "1": {"Package Contents": "Wiper Motor; Instruction Sheet"}, "2": {"E-Waste": "Yes"}, "3": {"Product Condition": "Remanufactured"}, "4": {"Mounting Hole Quantity": "3"}, "5": {"Terminal Type": "Blade"}, "6": {"Mounting Type": "Grommet"}, "7": {"Weight PG": "4.5000"}, "8": {"Washer Pump Included": "No"}, "9": {"Part Type": "Windshield Wiper Motor"}, "10": {"Warranty Info": "1 Year/18,000 Mile"}, "11": {"Sustainable Choice": "Yes"}, "12": {"Lifecycle Status": "Available to Order"}, "13": {"Application Summary": "Lincoln Town Car 1989-87"}, "14": {"ItemLevelGTIN": "00082617404389"}, "15": {"_addonCardone": "40-2007::98271:101262:306"}, "16": {"Eligible for R&amp;R Service": "Yes"}}</t>
        </is>
      </c>
      <c r="J170" t="inlineStr">
        <is>
          <t>https://www.cardone.com/product/windshield-wiper-motor-40-2007</t>
        </is>
      </c>
      <c r="K170">
        <f>DISPIMG("ID_BE544CE17F2E4B5DA26FF76C4F190BB2",1)</f>
        <v/>
      </c>
      <c r="L170" t="inlineStr">
        <is>
          <t>CPCX|40-2007</t>
        </is>
      </c>
      <c r="M170" t="inlineStr">
        <is>
          <t>Wiper Motor; Instruction Sheet</t>
        </is>
      </c>
      <c r="N170" t="inlineStr">
        <is>
          <t>Yes</t>
        </is>
      </c>
      <c r="O170" t="inlineStr">
        <is>
          <t>Remanufactured</t>
        </is>
      </c>
      <c r="P170" t="inlineStr">
        <is>
          <t>3</t>
        </is>
      </c>
      <c r="Q170" t="inlineStr">
        <is>
          <t>Blade</t>
        </is>
      </c>
      <c r="R170" t="inlineStr">
        <is>
          <t>Grommet</t>
        </is>
      </c>
      <c r="S170" t="inlineStr">
        <is>
          <t>4.5000</t>
        </is>
      </c>
      <c r="T170" t="inlineStr">
        <is>
          <t>No</t>
        </is>
      </c>
      <c r="U170" t="inlineStr">
        <is>
          <t>1 Year/18,000 Mile</t>
        </is>
      </c>
      <c r="V170" t="inlineStr">
        <is>
          <t>Yes</t>
        </is>
      </c>
      <c r="W170" t="inlineStr">
        <is>
          <t>Available to Order</t>
        </is>
      </c>
      <c r="X170" t="inlineStr">
        <is>
          <t>Lincoln Town Car 1989-87</t>
        </is>
      </c>
      <c r="Y170" t="inlineStr">
        <is>
          <t>00082617404389</t>
        </is>
      </c>
      <c r="Z170" t="inlineStr">
        <is>
          <t>40-2007::98271:101262:306</t>
        </is>
      </c>
      <c r="AA170" t="inlineStr">
        <is>
          <t>Yes</t>
        </is>
      </c>
      <c r="AB170" t="inlineStr"/>
      <c r="AC170" t="inlineStr"/>
    </row>
    <row r="171">
      <c r="A171" t="inlineStr">
        <is>
          <t>170</t>
        </is>
      </c>
      <c r="B171" t="inlineStr">
        <is>
          <t>Windshield Wiper Motor</t>
        </is>
      </c>
      <c r="C171" t="inlineStr">
        <is>
          <t>40-2008</t>
        </is>
      </c>
      <c r="D171" t="inlineStr">
        <is>
          <t>Windshield Wiper Motor - 40-2008</t>
        </is>
      </c>
      <c r="E171" t="inlineStr">
        <is>
          <t>CARDONE Reman</t>
        </is>
      </c>
      <c r="F171" t="inlineStr">
        <is>
          <t>F4LY17508A;F7LZ17508AA</t>
        </is>
      </c>
      <c r="G171" t="inlineStr">
        <is>
          <t>Lincoln Mark VIII 1994-1998</t>
        </is>
      </c>
      <c r="H171" t="inlineStr">
        <is>
          <t>Lincoln Mark VIII 1994-1998 4.6L V8 281cid</t>
        </is>
      </c>
      <c r="I171" t="inlineStr">
        <is>
          <t>{"0": {"productDeskExternalKey": "CPCX|40-2008"}, "1": {"Package Contents": "Wiper Motor; Instruction Sheet"}, "2": {"E-Waste": "Yes"}, "3": {"Product Condition": "Remanufactured"}, "4": {"Mounting Hole Quantity": "4"}, "5": {"Terminal Type": "Blade"}, "6": {"Mounting Type": "Eyelet"}, "7": {"Weight PG": "4.4000"}, "8": {"Washer Pump Included": "No"}, "9": {"Part Type": "Windshield Wiper Motor"}, "10": {"Warranty Info": "1 Year/18,000 Mile"}, "11": {"Design Upgrade": "Yes"}, "12": {"Sustainable Choice": "Yes"}, "13": {"Lifecycle Status": "Available to Order"}, "14": {"Application Summary": "Lincoln Mark VIII 1998-94"}, "15": {"ItemLevelGTIN": "00082617404396"}, "16": {"_addonCardone": "40-2008::98271:101270:306"}, "17": {"Eligible for R&amp;R Service": "Yes"}}</t>
        </is>
      </c>
      <c r="J171" t="inlineStr">
        <is>
          <t>https://www.cardone.com/product/windshield-wiper-motor-40-2008</t>
        </is>
      </c>
      <c r="K171">
        <f>DISPIMG("ID_1784F7F4C8514A749561274A42E2622E",1)</f>
        <v/>
      </c>
      <c r="L171" t="inlineStr">
        <is>
          <t>CPCX|40-2008</t>
        </is>
      </c>
      <c r="M171" t="inlineStr">
        <is>
          <t>Wiper Motor; Instruction Sheet</t>
        </is>
      </c>
      <c r="N171" t="inlineStr">
        <is>
          <t>Yes</t>
        </is>
      </c>
      <c r="O171" t="inlineStr">
        <is>
          <t>Remanufactured</t>
        </is>
      </c>
      <c r="P171" t="inlineStr">
        <is>
          <t>4</t>
        </is>
      </c>
      <c r="Q171" t="inlineStr">
        <is>
          <t>Blade</t>
        </is>
      </c>
      <c r="R171" t="inlineStr">
        <is>
          <t>Eyelet</t>
        </is>
      </c>
      <c r="S171" t="inlineStr">
        <is>
          <t>4.4000</t>
        </is>
      </c>
      <c r="T171" t="inlineStr">
        <is>
          <t>No</t>
        </is>
      </c>
      <c r="U171" t="inlineStr">
        <is>
          <t>1 Year/18,000 Mile</t>
        </is>
      </c>
      <c r="V171" t="inlineStr">
        <is>
          <t>Yes</t>
        </is>
      </c>
      <c r="W171" t="inlineStr">
        <is>
          <t>Available to Order</t>
        </is>
      </c>
      <c r="X171" t="inlineStr">
        <is>
          <t>Lincoln Mark VIII 1998-94</t>
        </is>
      </c>
      <c r="Y171" t="inlineStr">
        <is>
          <t>00082617404396</t>
        </is>
      </c>
      <c r="Z171" t="inlineStr">
        <is>
          <t>40-2008::98271:101270:306</t>
        </is>
      </c>
      <c r="AA171" t="inlineStr">
        <is>
          <t>Yes</t>
        </is>
      </c>
      <c r="AB171" t="inlineStr">
        <is>
          <t>Yes</t>
        </is>
      </c>
      <c r="AC171" t="inlineStr"/>
    </row>
    <row r="172">
      <c r="A172" t="inlineStr">
        <is>
          <t>171</t>
        </is>
      </c>
      <c r="B172" t="inlineStr">
        <is>
          <t>Windshield Wiper Motor</t>
        </is>
      </c>
      <c r="C172" t="inlineStr">
        <is>
          <t>40-2009</t>
        </is>
      </c>
      <c r="D172" t="inlineStr">
        <is>
          <t>Windshield Wiper Motor - 40-2009</t>
        </is>
      </c>
      <c r="E172" t="inlineStr">
        <is>
          <t>CARDONE Reman</t>
        </is>
      </c>
      <c r="F172" t="inlineStr">
        <is>
          <t>F5RZ17508E</t>
        </is>
      </c>
      <c r="G172" t="inlineStr">
        <is>
          <t>Ford Contour 1995-1997
Ford Mystique 1995-1997
Mercury Mystique 1995-1997</t>
        </is>
      </c>
      <c r="H172" t="inlineStr">
        <is>
          <t>Ford Contour 1995-1997 2.5L V6 155cid
Ford Contour 1995-1997 2L L4 121cid
Ford Mystique 1995 2L L4 121cid
Ford Mystique 1995-1997 2.5L V6 155cid
Mercury Mystique 1995-1997 2.5L V6 155cid
Mercury Mystique 1995-1997 2L L4 121cid</t>
        </is>
      </c>
      <c r="I172" t="inlineStr">
        <is>
          <t>{"0": {"productDeskExternalKey": "CPCX|40-2009"}, "1": {"Package Contents": "Wiper Motor; Instruction Sheet"}, "2": {"E-Waste": "Yes"}, "3": {"Product Condition": "Remanufactured"}, "4": {"Mounting Hole Quantity": "3"}, "5": {"Terminal Type": "Blade"}, "6": {"Mounting Type": "Direct Bolt"}, "7": {"Weight PG": "3.2000"}, "8": {"Washer Pump Included": "No"}, "9": {"Part Type": "Windshield Wiper Motor"}, "10": {"Warranty Info": "1 Year/18,000 Mile"}, "11": {"Design Upgrade": "Yes"}, "12": {"Sustainable Choice": "Yes"}, "13": {"Lifecycle Status": "Available to Order"}, "14": {"Application Summary": "Ford Contour 1997-95, Mystique 1997-95; Mercury Mystique 1997-95"}, "15": {"ItemLevelGTIN": "00082617445887"}, "16": {"_addonCardone": "40-2009::98271:101277:306"}, "17": {"Eligible for R&amp;R Service": "Yes"}}</t>
        </is>
      </c>
      <c r="J172" t="inlineStr">
        <is>
          <t>https://www.cardone.com/product/windshield-wiper-motor-40-2009</t>
        </is>
      </c>
      <c r="K172">
        <f>DISPIMG("ID_E2A3DDEEB4984D73A73F672A3A56F642",1)</f>
        <v/>
      </c>
      <c r="L172" t="inlineStr">
        <is>
          <t>CPCX|40-2009</t>
        </is>
      </c>
      <c r="M172" t="inlineStr">
        <is>
          <t>Wiper Motor; Instruction Sheet</t>
        </is>
      </c>
      <c r="N172" t="inlineStr">
        <is>
          <t>Yes</t>
        </is>
      </c>
      <c r="O172" t="inlineStr">
        <is>
          <t>Remanufactured</t>
        </is>
      </c>
      <c r="P172" t="inlineStr">
        <is>
          <t>3</t>
        </is>
      </c>
      <c r="Q172" t="inlineStr">
        <is>
          <t>Blade</t>
        </is>
      </c>
      <c r="R172" t="inlineStr">
        <is>
          <t>Direct Bolt</t>
        </is>
      </c>
      <c r="S172" t="inlineStr">
        <is>
          <t>3.2000</t>
        </is>
      </c>
      <c r="T172" t="inlineStr">
        <is>
          <t>No</t>
        </is>
      </c>
      <c r="U172" t="inlineStr">
        <is>
          <t>1 Year/18,000 Mile</t>
        </is>
      </c>
      <c r="V172" t="inlineStr">
        <is>
          <t>Yes</t>
        </is>
      </c>
      <c r="W172" t="inlineStr">
        <is>
          <t>Available to Order</t>
        </is>
      </c>
      <c r="X172" t="inlineStr">
        <is>
          <t>Ford Contour 1997-95, Mystique 1997-95; Mercury Mystique 1997-95</t>
        </is>
      </c>
      <c r="Y172" t="inlineStr">
        <is>
          <t>00082617445887</t>
        </is>
      </c>
      <c r="Z172" t="inlineStr">
        <is>
          <t>40-2009::98271:101277:306</t>
        </is>
      </c>
      <c r="AA172" t="inlineStr">
        <is>
          <t>Yes</t>
        </is>
      </c>
      <c r="AB172" t="inlineStr">
        <is>
          <t>Yes</t>
        </is>
      </c>
      <c r="AC172" t="inlineStr"/>
    </row>
    <row r="173">
      <c r="A173" t="inlineStr">
        <is>
          <t>172</t>
        </is>
      </c>
      <c r="B173" t="inlineStr">
        <is>
          <t>Windshield Wiper Motor</t>
        </is>
      </c>
      <c r="C173" t="inlineStr">
        <is>
          <t>40-2010</t>
        </is>
      </c>
      <c r="D173" t="inlineStr">
        <is>
          <t>Windshield Wiper Motor - 40-2010</t>
        </is>
      </c>
      <c r="E173" t="inlineStr">
        <is>
          <t>CARDONE Reman</t>
        </is>
      </c>
      <c r="F173" t="inlineStr">
        <is>
          <t>F65Z17508AB;6L8Z17508AA;F6DZ17508AA;F80Z17508BA;YL3Z17508AB;F8VZ17508BA;F8OZ17508BA;F8RZ17508AA;YL8Z17508AA;XR845459;2C3Z17508BA;1C3Z17508AA;XW4Z17508AA;F81Z17508AA;F7RZ17508AA;F8RZ17508GA;ZZC067350R00;ECO167340;XW4Z17508CA;4F1Z17508AB;EC0167340R0A;1L2Z17508AB;F8RZ17508DA;ZZC067350</t>
        </is>
      </c>
      <c r="G173" t="inlineStr">
        <is>
          <t>Ford Contour 1995-2000
Ford Escape 2001-2007
Ford Excursion 2000-2001
Ford Expedition 1997-2002
Ford Explorer 2002
Ford F-150 1997-2003
Ford F-150 Heritage 2004
Ford F-250 1997-1999
Ford F-250 Super Duty 1999-2001
Ford F-350 2000
Ford F-350 Super Duty 1999-2001
Ford F-450 Super Duty 1999-2001
Ford F-53 Motorhome Chassis 1999-2003
Ford F-550 Super Duty 1999-2001
Ford F-650 2000-2007
Ford F-750 2000-2007
Ford Lobo 1997-2004
Ford Mystique 1995-2000
Ford Sable 1996-2000
Ford Taurus 1996-2007
Ford Thunderbird 2002
Jaguar S-Type 2000-2006
Lincoln Blackwood 2002-2003
Lincoln Continental 1998-2002
Lincoln LS 2000-2002
Lincoln Navigator 2002
Lincoln Town Car 1998-2002
Mazda Tribute 2001-2010
Mercury Cougar 1999-2002
Mercury Mariner 2005-2007
Mercury Mountaineer 2002
Mercury Mystique 1995-2000
Mercury Sable 1996-2005</t>
        </is>
      </c>
      <c r="H173" t="inlineStr">
        <is>
          <t>Ford Contour 1995-2000 2.5L V6 155cid
Ford Contour 1995-2000 2L L4 121cid
Ford Escape 2001-2004 2L L4 121cid
Ford Escape 2001-2007 3L V6 181cid
Ford Escape 2005-2007 2.3L L4 140cid
Ford Excursion 2000-2001 5.4L V8 330cid
Ford Excursion 2000-2001 6.8L V10 415cid
Ford Excursion 2000-2001 7.3L V8 445cid
Ford Expedition 1997-2002 4.6L V8 281cid
Ford Expedition 1997-2002 5.4L V8 330cid
Ford Explorer 2002 4.6L V8 281cid
Ford Explorer 2002 4L V6 245cid
Ford F-150 1997 4.9L L6 300cid
Ford F-150 1997-2003 4.2L V6 256cid
Ford F-150 1997-2003 4.6L V8 281cid
Ford F-150 1997-2003 5.4L V8 330cid
Ford F-150 Heritage 2004 4.2L V6 256cid
Ford F-150 Heritage 2004 4.6L V8 281cid
Ford F-150 Heritage 2004 5.4L V8 330cid
Ford F-250 1997 5.8L V8 351cid
Ford F-250 1997 5L V8 302cid
Ford F-250 1997-1999 4.6L V8 281cid
Ford F-250 1997-1999 5.4L V8 330cid
Ford F-250 Super Duty 1999-2001 5.4L V8 330cid
Ford F-250 Super Duty 1999-2001 6.8L V10 415cid
Ford F-250 Super Duty 1999-2001 7.3L V8 445cid
Ford F-350 2000 5.4L V8 330cid
Ford F-350 Super Duty 1999-2001 5.4L V8 330cid
Ford F-350 Super Duty 1999-2001 6.8L V10 415cid
Ford F-350 Super Duty 1999-2001 7.3L V8 445cid
Ford F-450 Super Duty 1999-2001 6.8L V10 415cid
Ford F-450 Super Duty 1999-2001 7.3L V8 445cid
Ford F-53 Motorhome Chassis 1999-2003 6.8L V10 415cid
Ford F-550 Super Duty 1999-2001 6.8L V10 415cid
Ford F-550 Super Duty 1999-2001 7.3L V8 445cid
Ford F-650 2000-2003 7.3L V8 444cid
Ford F-650 2000-2007 5.9L L6 359cid
Ford F-650 2000-2007 7.2L L6 441cid
Ford F-650 2004-2007 6L V8 365cid
Ford F-750 2000-2003 7.3L V8 444cid
Ford F-750 2000-2007 5.9L L6 359cid
Ford F-750 2000-2007 7.2L L6 441cid
Ford F-750 2004-2007 6L V8 365cid
Ford Lobo 1997-2004 4.6L V8 281cid
Ford Lobo 1999-2004 5.4L V8 330cid
Ford Mystique 1995 2L L4 121cid
Ford Mystique 1995-2000 2.5L V6 155cid
Ford Sable 1996-2000 3L V6 181cid
Ford Taurus 1996-1999 3.4L V8 207cid
Ford Taurus 1996-2005 3L V6 181cid
Ford Taurus 1996-2007 3L V6 182cid
Ford Thunderbird 2002 3.9L V8 242cid
Jaguar S-Type 2000-2002 4L V8 244cid
Jaguar S-Type 2000-2006 3L V6 181cid
Jaguar S-Type 2003-2006 4.2L V8 256cid
Lincoln Blackwood 2002-2003 5.4L V8 330cid
Lincoln Continental 1998-2002 4.6L V8 281cid
Lincoln LS 2000-2002 3.9L V8 242cid
Lincoln LS 2000-2002 3L V6 181cid
Lincoln Navigator 2002 5.4L V8 330cid
Lincoln Town Car 1998-2002 4.6L V8 281cid
Mazda Tribute 2001-2004 2L L4 121cid
Mazda Tribute 2001-2010 3L V6 181cid
Mazda Tribute 2005-2008 2.3L L4 140cid
Mazda Tribute 2009-2010 2.5L L4 152cid
Mercury Cougar 1999-2002 2.5L V6 155cid
Mercury Cougar 1999-2002 2L L4 121cid
Mercury Mariner 2005-2007 2.3L L4 140cid
Mercury Mariner 2005-2007 3L V6 181cid
Mercury Mountaineer 2002 4.6L V8 281cid
Mercury Mountaineer 2002 4L V6 245cid
Mercury Mystique 1995-2000 2.5L V6 155cid
Mercury Mystique 1995-2000 2L L4 121cid
Mercury Sable 1996-2005 3L V6 181cid
Mercury Sable 1996-2005 3L V6 182cid</t>
        </is>
      </c>
      <c r="I173" t="inlineStr">
        <is>
          <t>{"0": {"productDeskExternalKey": "CPCX|40-2010"}, "1": {"Package Contents": "Wiper Motor; Instruction Sheet"}, "2": {"E-Waste": "Yes"}, "3": {"Product Condition": "Remanufactured"}, "4": {"Mounting Hole Quantity": "3"}, "5": {"Terminal Type": "Blade"}, "6": {"Mounting Type": "Direct Bolt"}, "7": {"Weight PG": "3.1600"}, "8": {"Washer Pump Included": "No"}, "9": {"Part Type": "Windshield Wiper Motor"}, "10": {"Warranty Info": "1 Year/18,000 Mile"}, "11": {"Design Upgrade": "Yes"}, "12": {"Sustainable Choice": "Yes"}, "13": {"Lifecycle Status": "Available to Order"}, "14": {"ItemLevelGTIN": "00082617445894"}, "15": {"_addonCardone": "40-2010::98271:101283:306"}, "16": {"Eligible for R&amp;R Service": "Yes"}}</t>
        </is>
      </c>
      <c r="J173" t="inlineStr">
        <is>
          <t>https://www.cardone.com/product/windshield-wiper-motor-40-2010</t>
        </is>
      </c>
      <c r="K173">
        <f>DISPIMG("ID_599A8EF779FD4908AF00A6A97C478155",1)</f>
        <v/>
      </c>
      <c r="L173" t="inlineStr">
        <is>
          <t>CPCX|40-2010</t>
        </is>
      </c>
      <c r="M173" t="inlineStr">
        <is>
          <t>Wiper Motor; Instruction Sheet</t>
        </is>
      </c>
      <c r="N173" t="inlineStr">
        <is>
          <t>Yes</t>
        </is>
      </c>
      <c r="O173" t="inlineStr">
        <is>
          <t>Remanufactured</t>
        </is>
      </c>
      <c r="P173" t="inlineStr">
        <is>
          <t>3</t>
        </is>
      </c>
      <c r="Q173" t="inlineStr">
        <is>
          <t>Blade</t>
        </is>
      </c>
      <c r="R173" t="inlineStr">
        <is>
          <t>Direct Bolt</t>
        </is>
      </c>
      <c r="S173" t="inlineStr">
        <is>
          <t>3.1600</t>
        </is>
      </c>
      <c r="T173" t="inlineStr">
        <is>
          <t>No</t>
        </is>
      </c>
      <c r="U173" t="inlineStr">
        <is>
          <t>1 Year/18,000 Mile</t>
        </is>
      </c>
      <c r="V173" t="inlineStr">
        <is>
          <t>Yes</t>
        </is>
      </c>
      <c r="W173" t="inlineStr">
        <is>
          <t>Available to Order</t>
        </is>
      </c>
      <c r="X173" t="inlineStr"/>
      <c r="Y173" t="inlineStr">
        <is>
          <t>00082617445894</t>
        </is>
      </c>
      <c r="Z173" t="inlineStr">
        <is>
          <t>40-2010::98271:101283:306</t>
        </is>
      </c>
      <c r="AA173" t="inlineStr">
        <is>
          <t>Yes</t>
        </is>
      </c>
      <c r="AB173" t="inlineStr">
        <is>
          <t>Yes</t>
        </is>
      </c>
      <c r="AC173" t="inlineStr"/>
    </row>
    <row r="174">
      <c r="A174" t="inlineStr">
        <is>
          <t>173</t>
        </is>
      </c>
      <c r="B174" t="inlineStr">
        <is>
          <t>Windshield Wiper Motor</t>
        </is>
      </c>
      <c r="C174" t="inlineStr">
        <is>
          <t>40-2011</t>
        </is>
      </c>
      <c r="D174" t="inlineStr">
        <is>
          <t>Windshield Wiper Motor - 40-2011</t>
        </is>
      </c>
      <c r="E174" t="inlineStr">
        <is>
          <t>CARDONE Reman</t>
        </is>
      </c>
      <c r="F174" t="inlineStr">
        <is>
          <t>F58Z17508C;F58Z17508B</t>
        </is>
      </c>
      <c r="G174" t="inlineStr">
        <is>
          <t>Ford Windstar 1995-1996</t>
        </is>
      </c>
      <c r="H174" t="inlineStr">
        <is>
          <t>Ford Windstar 1995-1996 3.8L V6 232cid
Ford Windstar 1995-1996 3L V6 182cid</t>
        </is>
      </c>
      <c r="I174" t="inlineStr">
        <is>
          <t>{"0": {"productDeskExternalKey": "CPCX|40-2011"}, "1": {"Package Contents": "Wiper Motor; Instruction Sheet"}, "2": {"E-Waste": "Yes"}, "3": {"Product Condition": "Remanufactured"}, "4": {"Mounting Hole Quantity": "3"}, "5": {"Terminal Type": "Blade"}, "6": {"Mounting Type": "Direct Bolt"}, "7": {"Weight PG": "3.2000"}, "8": {"Washer Pump Included": "No"}, "9": {"Part Type": "Windshield Wiper Motor"}, "10": {"Warranty Info": "1 Year/18,000 Mile"}, "11": {"Design Upgrade": "Yes"}, "12": {"Sustainable Choice": "Yes"}, "13": {"Lifecycle Status": "Available to Order"}, "14": {"Application Summary": "Ford Windstar 1996-95"}, "15": {"ItemLevelGTIN": "00082617452670"}, "16": {"_addonCardone": "40-2011::98271:101291:306"}, "17": {"Eligible for R&amp;R Service": "Yes"}}</t>
        </is>
      </c>
      <c r="J174" t="inlineStr">
        <is>
          <t>https://www.cardone.com/product/windshield-wiper-motor-40-2011</t>
        </is>
      </c>
      <c r="K174">
        <f>DISPIMG("ID_18C9B245B6E342B3866BD58C820FE964",1)</f>
        <v/>
      </c>
      <c r="L174" t="inlineStr">
        <is>
          <t>CPCX|40-2011</t>
        </is>
      </c>
      <c r="M174" t="inlineStr">
        <is>
          <t>Wiper Motor; Instruction Sheet</t>
        </is>
      </c>
      <c r="N174" t="inlineStr">
        <is>
          <t>Yes</t>
        </is>
      </c>
      <c r="O174" t="inlineStr">
        <is>
          <t>Remanufactured</t>
        </is>
      </c>
      <c r="P174" t="inlineStr">
        <is>
          <t>3</t>
        </is>
      </c>
      <c r="Q174" t="inlineStr">
        <is>
          <t>Blade</t>
        </is>
      </c>
      <c r="R174" t="inlineStr">
        <is>
          <t>Direct Bolt</t>
        </is>
      </c>
      <c r="S174" t="inlineStr">
        <is>
          <t>3.2000</t>
        </is>
      </c>
      <c r="T174" t="inlineStr">
        <is>
          <t>No</t>
        </is>
      </c>
      <c r="U174" t="inlineStr">
        <is>
          <t>1 Year/18,000 Mile</t>
        </is>
      </c>
      <c r="V174" t="inlineStr">
        <is>
          <t>Yes</t>
        </is>
      </c>
      <c r="W174" t="inlineStr">
        <is>
          <t>Available to Order</t>
        </is>
      </c>
      <c r="X174" t="inlineStr">
        <is>
          <t>Ford Windstar 1996-95</t>
        </is>
      </c>
      <c r="Y174" t="inlineStr">
        <is>
          <t>00082617452670</t>
        </is>
      </c>
      <c r="Z174" t="inlineStr">
        <is>
          <t>40-2011::98271:101291:306</t>
        </is>
      </c>
      <c r="AA174" t="inlineStr">
        <is>
          <t>Yes</t>
        </is>
      </c>
      <c r="AB174" t="inlineStr">
        <is>
          <t>Yes</t>
        </is>
      </c>
      <c r="AC174" t="inlineStr"/>
    </row>
    <row r="175">
      <c r="A175" t="inlineStr">
        <is>
          <t>174</t>
        </is>
      </c>
      <c r="B175" t="inlineStr">
        <is>
          <t>Windshield Wiper Motor</t>
        </is>
      </c>
      <c r="C175" t="inlineStr">
        <is>
          <t>40-2012</t>
        </is>
      </c>
      <c r="D175" t="inlineStr">
        <is>
          <t>Windshield Wiper Motor - 40-2012</t>
        </is>
      </c>
      <c r="E175" t="inlineStr">
        <is>
          <t>CARDONE Reman</t>
        </is>
      </c>
      <c r="F175" t="inlineStr">
        <is>
          <t>F5AZ17508B</t>
        </is>
      </c>
      <c r="G175" t="inlineStr">
        <is>
          <t>Ford Country Squire 1990-1991
Ford Grand Marquis 1991
Ford LTD Crown Victoria 1990-1991
Mercury Colony Park 1990-1991
Mercury Grand Marquis 1990-1991</t>
        </is>
      </c>
      <c r="H175" t="inlineStr">
        <is>
          <t>Ford Country Squire 1990-1991 5L V8 302cid
Ford Grand Marquis 1991 4.6L V8 281cid
Ford LTD Crown Victoria 1990-1991 5.8L V8 351cid
Ford LTD Crown Victoria 1990-1991 5L V8 302cid
Mercury Colony Park 1990-1991 5L V8 302cid
Mercury Grand Marquis 1990-1991 5L V8 302cid</t>
        </is>
      </c>
      <c r="I175" t="inlineStr">
        <is>
          <t>{"0": {"productDeskExternalKey": "CPCX|40-2012"}, "1": {"Package Contents": "Wiper Motor; Instruction Sheet"}, "2": {"E-Waste": "Yes"}, "3": {"Product Condition": "Remanufactured"}, "4": {"Mounting Hole Quantity": "3"}, "5": {"Terminal Type": "Blade"}, "6": {"Mounting Type": "Grommet"}, "7": {"Weight PG": "4.5000"}, "8": {"Washer Pump Included": "No"}, "9": {"Part Type": "Windshield Wiper Motor"}, "10": {"Warranty Info": "1 Year/18,000 Mile"}, "11": {"Design Upgrade": "Yes"}, "12": {"Sustainable Choice": "Yes"}, "13": {"Lifecycle Status": "Available to Order"}, "14": {"Application Summary": "Ford Country Squire 1991-90, Grand Marquis 1991, LTD Crown Victoria 1991-90; Mercury Colony Park 1991-90, Grand Marquis 1991-90"}, "15": {"ItemLevelGTIN": "00082617452663"}, "16": {"_addonCardone": "40-2012::98271:101296:306"}, "17": {"Eligible for R&amp;R Service": "Yes"}}</t>
        </is>
      </c>
      <c r="J175" t="inlineStr">
        <is>
          <t>https://www.cardone.com/product/windshield-wiper-motor-40-2012</t>
        </is>
      </c>
      <c r="K175">
        <f>DISPIMG("ID_EFD222FDAD93433898774F4FD5D14FF4",1)</f>
        <v/>
      </c>
      <c r="L175" t="inlineStr">
        <is>
          <t>CPCX|40-2012</t>
        </is>
      </c>
      <c r="M175" t="inlineStr">
        <is>
          <t>Wiper Motor; Instruction Sheet</t>
        </is>
      </c>
      <c r="N175" t="inlineStr">
        <is>
          <t>Yes</t>
        </is>
      </c>
      <c r="O175" t="inlineStr">
        <is>
          <t>Remanufactured</t>
        </is>
      </c>
      <c r="P175" t="inlineStr">
        <is>
          <t>3</t>
        </is>
      </c>
      <c r="Q175" t="inlineStr">
        <is>
          <t>Blade</t>
        </is>
      </c>
      <c r="R175" t="inlineStr">
        <is>
          <t>Grommet</t>
        </is>
      </c>
      <c r="S175" t="inlineStr">
        <is>
          <t>4.5000</t>
        </is>
      </c>
      <c r="T175" t="inlineStr">
        <is>
          <t>No</t>
        </is>
      </c>
      <c r="U175" t="inlineStr">
        <is>
          <t>1 Year/18,000 Mile</t>
        </is>
      </c>
      <c r="V175" t="inlineStr">
        <is>
          <t>Yes</t>
        </is>
      </c>
      <c r="W175" t="inlineStr">
        <is>
          <t>Available to Order</t>
        </is>
      </c>
      <c r="X175" t="inlineStr">
        <is>
          <t>Ford Country Squire 1991-90, Grand Marquis 1991, LTD Crown Victoria 1991-90; Mercury Colony Park 1991-90, Grand Marquis 1991-90</t>
        </is>
      </c>
      <c r="Y175" t="inlineStr">
        <is>
          <t>00082617452663</t>
        </is>
      </c>
      <c r="Z175" t="inlineStr">
        <is>
          <t>40-2012::98271:101296:306</t>
        </is>
      </c>
      <c r="AA175" t="inlineStr">
        <is>
          <t>Yes</t>
        </is>
      </c>
      <c r="AB175" t="inlineStr">
        <is>
          <t>Yes</t>
        </is>
      </c>
      <c r="AC175" t="inlineStr"/>
    </row>
    <row r="176">
      <c r="A176" t="inlineStr">
        <is>
          <t>175</t>
        </is>
      </c>
      <c r="B176" t="inlineStr">
        <is>
          <t>Windshield Wiper Motor</t>
        </is>
      </c>
      <c r="C176" t="inlineStr">
        <is>
          <t>40-2013</t>
        </is>
      </c>
      <c r="D176" t="inlineStr">
        <is>
          <t>Windshield Wiper Motor - 40-2013</t>
        </is>
      </c>
      <c r="E176" t="inlineStr">
        <is>
          <t>CARDONE Reman</t>
        </is>
      </c>
      <c r="F176" t="inlineStr">
        <is>
          <t>1F8067350R0A;F87Z17508AB;F7CZ17508AA;1F8067350;F8SZ17508AA;1F8067350R00;ZZP067350;F7SZ17508AA;F7UZ17508AA;1F8067350A;6L5Z17508AA</t>
        </is>
      </c>
      <c r="G176" t="inlineStr">
        <is>
          <t>Ford Cougar 1990-1995
Ford E-150 2002-2004
Ford E-150 Club Wagon 2003-2004
Ford E-150 Econoline 1995-2002
Ford E-150 Econoline Club Wagon 1995-2002
Ford E-250 2003-2004
Ford E-250 Econoline 1995-2002
Ford E-350 Club Wagon 2002-2004
Ford E-350 Econoline 1995-2000
Ford E-350 Econoline Club Wagon 1995-2002
Ford E-350 Super Duty 1999-2004
Ford E-450 Econoline Super Duty 1999-2002
Ford E-450 Super Duty 2003-2004
Ford E-550 Econoline Super Duty 2002
Ford E-550 Super Duty 2003
Ford Econoline 1999-2004
Ford Econoline Super Duty 1996-1999
Ford Escort 1991-2003
Ford Explorer 1995-2001
Ford Explorer Sport 2001-2003
Ford Explorer Sport Trac 2001-2003
Ford F-100 Ranger 1996-2001
Ford Ranger 1995-2007
Ford Thunderbird 1990-1997
Mercury Cougar 1990-1997
Mercury Mountaineer 1998-2001
Mercury Tracer 1991-1999</t>
        </is>
      </c>
      <c r="H176" t="inlineStr">
        <is>
          <t>Ford Cougar 1990-1993 5L V8 302cid
Ford Cougar 1990-1994 3.8L V6 232cid
Ford Cougar 1994-1995 4.6L V8 281cid
Ford E-150 2002-2003 4.2L V6 256cid
Ford E-150 2002-2004 5.4L V8 330cid
Ford E-150 2003-2004 4.6L V8 281cid
Ford E-150 Club Wagon 2003 4.2L V6 256cid
Ford E-150 Club Wagon 2003-2004 4.6L V8 281cid
Ford E-150 Club Wagon 2003-2004 5.4L V8 330cid
Ford E-150 Econoline 1995-1996 4.9L L6 300cid
Ford E-150 Econoline 1995-1996 5.8L V8 351cid
Ford E-150 Econoline 1995-1996 5L V8 302cid
Ford E-150 Econoline 1997-2002 4.2L V6 256cid
Ford E-150 Econoline 1997-2002 4.6L V8 281cid
Ford E-150 Econoline 1997-2002 5.4L V8 330cid
Ford E-150 Econoline Club Wagon 1995-1996 4.9L L6 300cid
Ford E-150 Econoline Club Wagon 1995-1996 5.8L V8 351cid
Ford E-150 Econoline Club Wagon 1995-1996 5L V8 302cid
Ford E-150 Econoline Club Wagon 1997-2002 4.2L V6 256cid
Ford E-150 Econoline Club Wagon 1997-2002 4.6L V8 281cid
Ford E-150 Econoline Club Wagon 1997-2002 5.4L V8 330cid
Ford E-250 2003 4.2L V6 256cid
Ford E-250 2003-2004 4.6L V8 281cid
Ford E-250 2003-2004 5.4L V8 330cid
Ford E-250 Econoline 1995-1996 4.9L L6 300cid
Ford E-250 Econoline 1995-1996 5.8L V8 351cid
Ford E-250 Econoline 1997-2002 4.2L V6 256cid
Ford E-250 Econoline 1997-2002 5.4L V8 330cid
Ford E-350 Club Wagon 2002-2004 5.4L V8 330cid
Ford E-350 Club Wagon 2003 6.8L V10 415cid
Ford E-350 Club Wagon 2003-2004 7.3L V8 445cid
Ford E-350 Club Wagon 2004 6L V8 363cid
Ford E-350 Econoline 1995-1996 4.9L L6 300cid
Ford E-350 Econoline 1995-1996 5.8L V8 351cid
Ford E-350 Econoline 1995-1996 7.5L V8 460cid
Ford E-350 Econoline 1995-1998 7.3L V8 445cid
Ford E-350 Econoline 1997-1998 6.8L V10 415cid
Ford E-350 Econoline 1997-2000 5.4L V8 330cid
Ford E-350 Econoline Club Wagon 1995-1996 4.9L L6 300cid
Ford E-350 Econoline Club Wagon 1995-1996 5.8L V8 351cid
Ford E-350 Econoline Club Wagon 1995-1996 7.5L V8 460cid
Ford E-350 Econoline Club Wagon 1995-2002 7.3L V8 445cid
Ford E-350 Econoline Club Wagon 1997-2002 5.4L V8 330cid
Ford E-350 Econoline Club Wagon 1997-2002 6.8L V10 415cid
Ford E-350 Super Duty 1999-2003 7.3L V8 445cid
Ford E-350 Super Duty 1999-2004 5.4L V8 330cid
Ford E-350 Super Duty 1999-2004 6.8L V10 415cid
Ford E-350 Super Duty 2004 6L V8 363cid
Ford E-450 Econoline Super Duty 1999-2002 6.8L V10 415cid
Ford E-450 Econoline Super Duty 1999-2002 7.3L V8 445cid
Ford E-450 Econoline Super Duty 2000-2002 5.4L V8 330cid
Ford E-450 Super Duty 2003 7.3L V8 445cid
Ford E-450 Super Duty 2003-2004 5.4L V8 330cid
Ford E-450 Super Duty 2003-2004 6.8L V10 415cid
Ford E-450 Super Duty 2004 6L V8 363cid
Ford E-550 Econoline Super Duty 2002 6.8L V10 415cid
Ford E-550 Econoline Super Duty 2002 7.3L V8 445cid
Ford E-550 Super Duty 2003 6.8L V10 415cid
Ford E-550 Super Duty 2003 7.3L V8 445cid
Ford Econoline 1999-2003 4.2L V6 256cid
Ford Econoline 1999-2004 5.4L V8 330cid
Ford Econoline 2004 4.6L V8 281cid
Ford Econoline Super Duty 1996 5.8L V8 351cid
Ford Econoline Super Duty 1996 7.5L V8 460cid
Ford Econoline Super Duty 1996-1999 7.3L V8 445cid
Ford Econoline Super Duty 1997-1999 5.4L V8 330cid
Ford Econoline Super Duty 1997-1999 6.8L V10 415cid
Ford Escort 1991-1996 1.8L L4 112cid
Ford Escort 1991-1996 1.9L L4 116cid
Ford Escort 1994-1996 1.9L L4 113cid
Ford Escort 1997-2003 2L L4 121cid
Ford Explorer 1995-2001 4L V6 245cid
Ford Explorer 1996-2001 5L V8 302cid
Ford Explorer Sport 2001-2003 4L V6 245cid
Ford Explorer Sport Trac 2001-2003 4L V6 245cid
Ford F-100 Ranger 1996-2001 2.3L L4 140cid
Ford F-100 Ranger 1996-2001 3L V6 182cid
Ford F-100 Ranger 1998-2000 2.5L L4 153cid
Ford Ranger 1995-2007 2.3L L4 140cid
Ford Ranger 1995-2007 3L V6 182cid
Ford Ranger 1995-2007 4L V6 245cid
Ford Ranger 1998-2001 2.5L L4 153cid
Ford Ranger 1998-2002
Ford Thunderbird 1990-1997 3.8L V6 232cid
Ford Thunderbird 1991-1992 5L V8 302cid
Ford Thunderbird 1994-1997 4.6L V8 281cid
Mercury Cougar 1990-1997 3.8L V6 232cid
Mercury Cougar 1991-1993 5L V8 302cid
Mercury Cougar 1994-1997 4.6L V8 281cid
Mercury Mountaineer 1998-2001 4L V6 245cid
Mercury Mountaineer 1998-2001 5L V8 302cid
Mercury Tracer 1991-1996 1.8L L4 112cid
Mercury Tracer 1991-1996 1.9L L4 116cid
Mercury Tracer 1997-1999 2L L4 121cid</t>
        </is>
      </c>
      <c r="I176" t="inlineStr">
        <is>
          <t>{"0": {"productDeskExternalKey": "CPCX|40-2013"}, "1": {"Package Contents": "Wiper Motor; Instruction Sheet"}, "2": {"E-Waste": "Yes"}, "3": {"Product Condition": "Remanufactured"}, "4": {"Mounting Hole Quantity": "3"}, "5": {"Terminal Type": "Blade"}, "6": {"Mounting Type": "Direct Bolt"}, "7": {"Weight PG": "3.1800"}, "8": {"Washer Pump Included": "No"}, "9": {"Part Type": "Windshield Wiper Motor"}, "10": {"Warranty Info": "1 Year/18,000 Mile"}, "11": {"Design Upgrade": "Yes"}, "12": {"Sustainable Choice": "Yes"}, "13": {"Lifecycle Status": "Available to Order"}, "14": {"ItemLevelGTIN": "00082617455534"}, "15": {"_addonCardone": "40-2013::98271:101304:306"}, "16": {"Eligible for R&amp;R Service": "Yes"}}</t>
        </is>
      </c>
      <c r="J176" t="inlineStr">
        <is>
          <t>https://www.cardone.com/product/windshield-wiper-motor-40-2013</t>
        </is>
      </c>
      <c r="K176">
        <f>DISPIMG("ID_840BCA54D23B4F018B471D11E1B56CB7",1)</f>
        <v/>
      </c>
      <c r="L176" t="inlineStr">
        <is>
          <t>CPCX|40-2013</t>
        </is>
      </c>
      <c r="M176" t="inlineStr">
        <is>
          <t>Wiper Motor; Instruction Sheet</t>
        </is>
      </c>
      <c r="N176" t="inlineStr">
        <is>
          <t>Yes</t>
        </is>
      </c>
      <c r="O176" t="inlineStr">
        <is>
          <t>Remanufactured</t>
        </is>
      </c>
      <c r="P176" t="inlineStr">
        <is>
          <t>3</t>
        </is>
      </c>
      <c r="Q176" t="inlineStr">
        <is>
          <t>Blade</t>
        </is>
      </c>
      <c r="R176" t="inlineStr">
        <is>
          <t>Direct Bolt</t>
        </is>
      </c>
      <c r="S176" t="inlineStr">
        <is>
          <t>3.1800</t>
        </is>
      </c>
      <c r="T176" t="inlineStr">
        <is>
          <t>No</t>
        </is>
      </c>
      <c r="U176" t="inlineStr">
        <is>
          <t>1 Year/18,000 Mile</t>
        </is>
      </c>
      <c r="V176" t="inlineStr">
        <is>
          <t>Yes</t>
        </is>
      </c>
      <c r="W176" t="inlineStr">
        <is>
          <t>Available to Order</t>
        </is>
      </c>
      <c r="X176" t="inlineStr"/>
      <c r="Y176" t="inlineStr">
        <is>
          <t>00082617455534</t>
        </is>
      </c>
      <c r="Z176" t="inlineStr">
        <is>
          <t>40-2013::98271:101304:306</t>
        </is>
      </c>
      <c r="AA176" t="inlineStr">
        <is>
          <t>Yes</t>
        </is>
      </c>
      <c r="AB176" t="inlineStr">
        <is>
          <t>Yes</t>
        </is>
      </c>
      <c r="AC176" t="inlineStr"/>
    </row>
    <row r="177">
      <c r="A177" t="inlineStr">
        <is>
          <t>176</t>
        </is>
      </c>
      <c r="B177" t="inlineStr">
        <is>
          <t>Windshield Wiper Motor</t>
        </is>
      </c>
      <c r="C177" t="inlineStr">
        <is>
          <t>40-2014</t>
        </is>
      </c>
      <c r="D177" t="inlineStr">
        <is>
          <t>Windshield Wiper Motor - 40-2014</t>
        </is>
      </c>
      <c r="E177" t="inlineStr">
        <is>
          <t>CARDONE Reman</t>
        </is>
      </c>
      <c r="F177" t="inlineStr">
        <is>
          <t>F5TZ17508B</t>
        </is>
      </c>
      <c r="G177" t="inlineStr">
        <is>
          <t>Ford Explorer 1995-1997
Mercury Mountaineer 1997</t>
        </is>
      </c>
      <c r="H177" t="inlineStr">
        <is>
          <t>Ford Explorer 1995-1997 4L V6 245cid
Ford Explorer 1996-1997 5L V8 302cid
Mercury Mountaineer 1997 5L V8 302cid</t>
        </is>
      </c>
      <c r="I177" t="inlineStr">
        <is>
          <t>{"0": {"productDeskExternalKey": "CPCX|40-2014"}, "1": {"Package Contents": "Wiper Motor; Instruction Sheet"}, "2": {"E-Waste": "Yes"}, "3": {"Product Condition": "Remanufactured"}, "4": {"Mounting Hole Quantity": "2"}, "5": {"Terminal Type": "Blade"}, "6": {"Mounting Type": "Grommet"}, "7": {"Weight PG": "2.4400"}, "8": {"Washer Pump Included": "No"}, "9": {"Part Type": "Windshield Wiper Motor"}, "10": {"Warranty Info": "1 Year/18,000 Mile"}, "11": {"Sustainable Choice": "Yes"}, "12": {"Lifecycle Status": "Available to Order"}, "13": {"Application Summary": "Ford Explorer 1997-95; Mercury Mountaineer 1997"}, "14": {"ItemLevelGTIN": "00082617455527"}, "15": {"_addonCardone": "40-2014::98271:101310:306"}, "16": {"Eligible for R&amp;R Service": "Yes"}}</t>
        </is>
      </c>
      <c r="J177" t="inlineStr">
        <is>
          <t>https://www.cardone.com/product/windshield-wiper-motor-40-2014</t>
        </is>
      </c>
      <c r="K177">
        <f>DISPIMG("ID_6367F324080D42F8BC814CEE87ACA5DA",1)</f>
        <v/>
      </c>
      <c r="L177" t="inlineStr">
        <is>
          <t>CPCX|40-2014</t>
        </is>
      </c>
      <c r="M177" t="inlineStr">
        <is>
          <t>Wiper Motor; Instruction Sheet</t>
        </is>
      </c>
      <c r="N177" t="inlineStr">
        <is>
          <t>Yes</t>
        </is>
      </c>
      <c r="O177" t="inlineStr">
        <is>
          <t>Remanufactured</t>
        </is>
      </c>
      <c r="P177" t="inlineStr">
        <is>
          <t>2</t>
        </is>
      </c>
      <c r="Q177" t="inlineStr">
        <is>
          <t>Blade</t>
        </is>
      </c>
      <c r="R177" t="inlineStr">
        <is>
          <t>Grommet</t>
        </is>
      </c>
      <c r="S177" t="inlineStr">
        <is>
          <t>2.4400</t>
        </is>
      </c>
      <c r="T177" t="inlineStr">
        <is>
          <t>No</t>
        </is>
      </c>
      <c r="U177" t="inlineStr">
        <is>
          <t>1 Year/18,000 Mile</t>
        </is>
      </c>
      <c r="V177" t="inlineStr">
        <is>
          <t>Yes</t>
        </is>
      </c>
      <c r="W177" t="inlineStr">
        <is>
          <t>Available to Order</t>
        </is>
      </c>
      <c r="X177" t="inlineStr">
        <is>
          <t>Ford Explorer 1997-95; Mercury Mountaineer 1997</t>
        </is>
      </c>
      <c r="Y177" t="inlineStr">
        <is>
          <t>00082617455527</t>
        </is>
      </c>
      <c r="Z177" t="inlineStr">
        <is>
          <t>40-2014::98271:101310:306</t>
        </is>
      </c>
      <c r="AA177" t="inlineStr">
        <is>
          <t>Yes</t>
        </is>
      </c>
      <c r="AB177" t="inlineStr"/>
      <c r="AC177" t="inlineStr"/>
    </row>
    <row r="178">
      <c r="A178" t="inlineStr">
        <is>
          <t>177</t>
        </is>
      </c>
      <c r="B178" t="inlineStr">
        <is>
          <t>Windshield Wiper Motor</t>
        </is>
      </c>
      <c r="C178" t="inlineStr">
        <is>
          <t>40-2015</t>
        </is>
      </c>
      <c r="D178" t="inlineStr">
        <is>
          <t>Windshield Wiper Motor - 40-2015</t>
        </is>
      </c>
      <c r="E178" t="inlineStr">
        <is>
          <t>CARDONE Reman</t>
        </is>
      </c>
      <c r="F178" t="inlineStr">
        <is>
          <t>F4TZ17508AA;F1TZ17508B</t>
        </is>
      </c>
      <c r="G178" t="inlineStr">
        <is>
          <t>Ford Explorer 1991-1994</t>
        </is>
      </c>
      <c r="H178" t="inlineStr">
        <is>
          <t>Ford Explorer 1991-1994 4L V6 245cid</t>
        </is>
      </c>
      <c r="I178" t="inlineStr">
        <is>
          <t>{"0": {"productDeskExternalKey": "CPCX|40-2015"}, "1": {"Package Contents": "Wiper Motor; Instruction Sheet"}, "2": {"E-Waste": "Yes"}, "3": {"Product Condition": "Remanufactured"}, "4": {"Mounting Hole Quantity": "2"}, "5": {"Terminal Type": "Blade"}, "6": {"Mounting Type": "Direct Bolt"}, "7": {"Weight PG": "2.4200"}, "8": {"Washer Pump Included": "No"}, "9": {"Part Type": "Windshield Wiper Motor"}, "10": {"Warranty Info": "1 Year/18,000 Mile"}, "11": {"Sustainable Choice": "Yes"}, "12": {"Lifecycle Status": "Available to Order"}, "13": {"Application Summary": "Ford Explorer 1994-91"}, "14": {"ItemLevelGTIN": "00082617455503"}, "15": {"_addonCardone": "40-2015::98271:101318:306"}, "16": {"Eligible for R&amp;R Service": "Yes"}}</t>
        </is>
      </c>
      <c r="J178" t="inlineStr">
        <is>
          <t>https://www.cardone.com/product/windshield-wiper-motor-40-2015</t>
        </is>
      </c>
      <c r="K178">
        <f>DISPIMG("ID_C331BA5944F64C769D08E585562C3AB0",1)</f>
        <v/>
      </c>
      <c r="L178" t="inlineStr">
        <is>
          <t>CPCX|40-2015</t>
        </is>
      </c>
      <c r="M178" t="inlineStr">
        <is>
          <t>Wiper Motor; Instruction Sheet</t>
        </is>
      </c>
      <c r="N178" t="inlineStr">
        <is>
          <t>Yes</t>
        </is>
      </c>
      <c r="O178" t="inlineStr">
        <is>
          <t>Remanufactured</t>
        </is>
      </c>
      <c r="P178" t="inlineStr">
        <is>
          <t>2</t>
        </is>
      </c>
      <c r="Q178" t="inlineStr">
        <is>
          <t>Blade</t>
        </is>
      </c>
      <c r="R178" t="inlineStr">
        <is>
          <t>Direct Bolt</t>
        </is>
      </c>
      <c r="S178" t="inlineStr">
        <is>
          <t>2.4200</t>
        </is>
      </c>
      <c r="T178" t="inlineStr">
        <is>
          <t>No</t>
        </is>
      </c>
      <c r="U178" t="inlineStr">
        <is>
          <t>1 Year/18,000 Mile</t>
        </is>
      </c>
      <c r="V178" t="inlineStr">
        <is>
          <t>Yes</t>
        </is>
      </c>
      <c r="W178" t="inlineStr">
        <is>
          <t>Available to Order</t>
        </is>
      </c>
      <c r="X178" t="inlineStr">
        <is>
          <t>Ford Explorer 1994-91</t>
        </is>
      </c>
      <c r="Y178" t="inlineStr">
        <is>
          <t>00082617455503</t>
        </is>
      </c>
      <c r="Z178" t="inlineStr">
        <is>
          <t>40-2015::98271:101318:306</t>
        </is>
      </c>
      <c r="AA178" t="inlineStr">
        <is>
          <t>Yes</t>
        </is>
      </c>
      <c r="AB178" t="inlineStr"/>
      <c r="AC178" t="inlineStr"/>
    </row>
    <row r="179">
      <c r="A179" t="inlineStr">
        <is>
          <t>178</t>
        </is>
      </c>
      <c r="B179" t="inlineStr">
        <is>
          <t>Windshield Wiper Motor</t>
        </is>
      </c>
      <c r="C179" t="inlineStr">
        <is>
          <t>40-2016</t>
        </is>
      </c>
      <c r="D179" t="inlineStr">
        <is>
          <t>Windshield Wiper Motor - 40-2016</t>
        </is>
      </c>
      <c r="E179" t="inlineStr">
        <is>
          <t>CARDONE Reman</t>
        </is>
      </c>
      <c r="F179" t="inlineStr">
        <is>
          <t>F59Z17508AA</t>
        </is>
      </c>
      <c r="G179" t="inlineStr">
        <is>
          <t>Ford Aerostar 1995-1997</t>
        </is>
      </c>
      <c r="H179" t="inlineStr">
        <is>
          <t>Ford Aerostar 1995-1997 3L V6 182cid
Ford Aerostar 1995-1997 4L V6 245cid</t>
        </is>
      </c>
      <c r="I179" t="inlineStr">
        <is>
          <t>{"0": {"productDeskExternalKey": "CPCX|40-2016"}, "1": {"Package Contents": "Wiper Motor; Instruction Sheet"}, "2": {"E-Waste": "Yes"}, "3": {"Product Condition": "Remanufactured"}, "4": {"Mounting Hole Quantity": "2"}, "5": {"Terminal Type": "Blade"}, "6": {"Mounting Type": "Direct Bolt"}, "7": {"Weight PG": "2.8500"}, "8": {"Washer Pump Included": "No"}, "9": {"Part Type": "Windshield Wiper Motor"}, "10": {"Warranty Info": "1 Year/18,000 Mile"}, "11": {"Sustainable Choice": "Yes"}, "12": {"Lifecycle Status": "Available to Order"}, "13": {"Application Summary": "Ford Aerostar 1997-95"}, "14": {"ItemLevelGTIN": "00082617457026"}, "15": {"_addonCardone": "40-2016::98271:101327:306"}, "16": {"Eligible for R&amp;R Service": "Yes"}}</t>
        </is>
      </c>
      <c r="J179" t="inlineStr">
        <is>
          <t>https://www.cardone.com/product/windshield-wiper-motor-40-2016</t>
        </is>
      </c>
      <c r="K179">
        <f>DISPIMG("ID_9B105B27B6A84E8FAD31EB75AB42BBE2",1)</f>
        <v/>
      </c>
      <c r="L179" t="inlineStr">
        <is>
          <t>CPCX|40-2016</t>
        </is>
      </c>
      <c r="M179" t="inlineStr">
        <is>
          <t>Wiper Motor; Instruction Sheet</t>
        </is>
      </c>
      <c r="N179" t="inlineStr">
        <is>
          <t>Yes</t>
        </is>
      </c>
      <c r="O179" t="inlineStr">
        <is>
          <t>Remanufactured</t>
        </is>
      </c>
      <c r="P179" t="inlineStr">
        <is>
          <t>2</t>
        </is>
      </c>
      <c r="Q179" t="inlineStr">
        <is>
          <t>Blade</t>
        </is>
      </c>
      <c r="R179" t="inlineStr">
        <is>
          <t>Direct Bolt</t>
        </is>
      </c>
      <c r="S179" t="inlineStr">
        <is>
          <t>2.8500</t>
        </is>
      </c>
      <c r="T179" t="inlineStr">
        <is>
          <t>No</t>
        </is>
      </c>
      <c r="U179" t="inlineStr">
        <is>
          <t>1 Year/18,000 Mile</t>
        </is>
      </c>
      <c r="V179" t="inlineStr">
        <is>
          <t>Yes</t>
        </is>
      </c>
      <c r="W179" t="inlineStr">
        <is>
          <t>Available to Order</t>
        </is>
      </c>
      <c r="X179" t="inlineStr">
        <is>
          <t>Ford Aerostar 1997-95</t>
        </is>
      </c>
      <c r="Y179" t="inlineStr">
        <is>
          <t>00082617457026</t>
        </is>
      </c>
      <c r="Z179" t="inlineStr">
        <is>
          <t>40-2016::98271:101327:306</t>
        </is>
      </c>
      <c r="AA179" t="inlineStr">
        <is>
          <t>Yes</t>
        </is>
      </c>
      <c r="AB179" t="inlineStr"/>
      <c r="AC179" t="inlineStr"/>
    </row>
    <row r="180">
      <c r="A180" t="inlineStr">
        <is>
          <t>179</t>
        </is>
      </c>
      <c r="B180" t="inlineStr">
        <is>
          <t>Windshield Wiper Motor</t>
        </is>
      </c>
      <c r="C180" t="inlineStr">
        <is>
          <t>40-2017</t>
        </is>
      </c>
      <c r="D180" t="inlineStr">
        <is>
          <t>Windshield Wiper Motor - 40-2017</t>
        </is>
      </c>
      <c r="E180" t="inlineStr">
        <is>
          <t>CARDONE Reman</t>
        </is>
      </c>
      <c r="F180" t="inlineStr">
        <is>
          <t>F0CZ17508B</t>
        </is>
      </c>
      <c r="G180" t="inlineStr">
        <is>
          <t>Ford Escort 1991-1999
Mercury Tracer 1991-1996</t>
        </is>
      </c>
      <c r="H180" t="inlineStr">
        <is>
          <t>Ford Escort 1991-1996 1.8L L4 112cid
Ford Escort 1991-1996 1.9L L4 116cid
Ford Escort 1994-1996 1.9L L4 113cid
Ford Escort 1997-1999 2L L4 121cid
Mercury Tracer 1991-1996 1.8L L4 112cid
Mercury Tracer 1991-1996 1.9L L4 116cid</t>
        </is>
      </c>
      <c r="I180" t="inlineStr">
        <is>
          <t>{"0": {"productDeskExternalKey": "CPCX|40-2017"},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"Ford Escort 1999-91; Mercury Tracer 1999-91"}, "14": {"ItemLevelGTIN": "00082617455497"}, "15": {"_addonCardone": "40-2017::98271:101336:306"}, "16": {"Eligible for R&amp;R Service": "Yes"}}</t>
        </is>
      </c>
      <c r="J180" t="inlineStr">
        <is>
          <t>https://www.cardone.com/product/windshield-wiper-motor-40-2017</t>
        </is>
      </c>
      <c r="K180">
        <f>DISPIMG("ID_20BF9B84EF6D42FA92D14441F4B24B7E",1)</f>
        <v/>
      </c>
      <c r="L180" t="inlineStr">
        <is>
          <t>CPCX|40-2017</t>
        </is>
      </c>
      <c r="M180" t="inlineStr">
        <is>
          <t>Wiper Motor; Instruction Sheet</t>
        </is>
      </c>
      <c r="N180" t="inlineStr">
        <is>
          <t>Yes</t>
        </is>
      </c>
      <c r="O180" t="inlineStr">
        <is>
          <t>Remanufactured</t>
        </is>
      </c>
      <c r="P180" t="inlineStr">
        <is>
          <t>3</t>
        </is>
      </c>
      <c r="Q180" t="inlineStr">
        <is>
          <t>Blade</t>
        </is>
      </c>
      <c r="R180" t="inlineStr">
        <is>
          <t>Grommet</t>
        </is>
      </c>
      <c r="S180" t="inlineStr">
        <is>
          <t>2.0000</t>
        </is>
      </c>
      <c r="T180" t="inlineStr">
        <is>
          <t>No</t>
        </is>
      </c>
      <c r="U180" t="inlineStr">
        <is>
          <t>1 Year/18,000 Mile</t>
        </is>
      </c>
      <c r="V180" t="inlineStr">
        <is>
          <t>Yes</t>
        </is>
      </c>
      <c r="W180" t="inlineStr">
        <is>
          <t>Available to Order</t>
        </is>
      </c>
      <c r="X180" t="inlineStr">
        <is>
          <t>Ford Escort 1999-91; Mercury Tracer 1999-91</t>
        </is>
      </c>
      <c r="Y180" t="inlineStr">
        <is>
          <t>00082617455497</t>
        </is>
      </c>
      <c r="Z180" t="inlineStr">
        <is>
          <t>40-2017::98271:101336:306</t>
        </is>
      </c>
      <c r="AA180" t="inlineStr">
        <is>
          <t>Yes</t>
        </is>
      </c>
      <c r="AB180" t="inlineStr"/>
      <c r="AC180" t="inlineStr"/>
    </row>
    <row r="181">
      <c r="A181" t="inlineStr">
        <is>
          <t>180</t>
        </is>
      </c>
      <c r="B181" t="inlineStr">
        <is>
          <t>Windshield Wiper Motor</t>
        </is>
      </c>
      <c r="C181" t="inlineStr">
        <is>
          <t>40-2018</t>
        </is>
      </c>
      <c r="D181" t="inlineStr">
        <is>
          <t>Windshield Wiper Motor - 40-2018</t>
        </is>
      </c>
      <c r="E181" t="inlineStr">
        <is>
          <t>CARDONE Reman</t>
        </is>
      </c>
      <c r="F181" t="inlineStr">
        <is>
          <t>F4BZ17508AA</t>
        </is>
      </c>
      <c r="G181" t="inlineStr">
        <is>
          <t>Ford Aspire 1994-1997</t>
        </is>
      </c>
      <c r="H181" t="inlineStr">
        <is>
          <t>Ford Aspire 1994-1997 1.3L L4 1295cc</t>
        </is>
      </c>
      <c r="I181" t="inlineStr">
        <is>
          <t>{"0": {"productDeskExternalKey": "CPCX|40-2018"}, "1": {"Package Contents": "Wiper Motor; Instruction Sheet"}, "2": {"E-Waste": "Yes"}, "3": {"Product Condition": "Remanufactured"}, "4": {"Mounting Hole Quantity": "4"}, "5": {"Terminal Type": "Blade"}, "6": {"Mounting Type": "Grommet"}, "7": {"Weight PG": "3.0000"}, "8": {"Washer Pump Included": "No"}, "9": {"Part Type": "Windshield Wiper Motor"}, "10": {"Warranty Info": "1 Year/18,000 Mile"}, "11": {"Sustainable Choice": "Yes"}, "12": {"Lifecycle Status": "Available to Order"}, "13": {"Application Summary": "Ford Aspire 1997-94"}, "14": {"ItemLevelGTIN": "00082617455510"}, "15": {"_addonCardone": "40-2018::98271:101346:306"}, "16": {"Eligible for R&amp;R Service": "Yes"}}</t>
        </is>
      </c>
      <c r="J181" t="inlineStr">
        <is>
          <t>https://www.cardone.com/product/windshield-wiper-motor-40-2018</t>
        </is>
      </c>
      <c r="K181">
        <f>DISPIMG("ID_D3BF6322E6A84B1A97B440D916A592E4",1)</f>
        <v/>
      </c>
      <c r="L181" t="inlineStr">
        <is>
          <t>CPCX|40-2018</t>
        </is>
      </c>
      <c r="M181" t="inlineStr">
        <is>
          <t>Wiper Motor; Instruction Sheet</t>
        </is>
      </c>
      <c r="N181" t="inlineStr">
        <is>
          <t>Yes</t>
        </is>
      </c>
      <c r="O181" t="inlineStr">
        <is>
          <t>Remanufactured</t>
        </is>
      </c>
      <c r="P181" t="inlineStr">
        <is>
          <t>4</t>
        </is>
      </c>
      <c r="Q181" t="inlineStr">
        <is>
          <t>Blade</t>
        </is>
      </c>
      <c r="R181" t="inlineStr">
        <is>
          <t>Grommet</t>
        </is>
      </c>
      <c r="S181" t="inlineStr">
        <is>
          <t>3.0000</t>
        </is>
      </c>
      <c r="T181" t="inlineStr">
        <is>
          <t>No</t>
        </is>
      </c>
      <c r="U181" t="inlineStr">
        <is>
          <t>1 Year/18,000 Mile</t>
        </is>
      </c>
      <c r="V181" t="inlineStr">
        <is>
          <t>Yes</t>
        </is>
      </c>
      <c r="W181" t="inlineStr">
        <is>
          <t>Available to Order</t>
        </is>
      </c>
      <c r="X181" t="inlineStr">
        <is>
          <t>Ford Aspire 1997-94</t>
        </is>
      </c>
      <c r="Y181" t="inlineStr">
        <is>
          <t>00082617455510</t>
        </is>
      </c>
      <c r="Z181" t="inlineStr">
        <is>
          <t>40-2018::98271:101346:306</t>
        </is>
      </c>
      <c r="AA181" t="inlineStr">
        <is>
          <t>Yes</t>
        </is>
      </c>
      <c r="AB181" t="inlineStr"/>
      <c r="AC181" t="inlineStr"/>
    </row>
    <row r="182">
      <c r="A182" t="inlineStr">
        <is>
          <t>181</t>
        </is>
      </c>
      <c r="B182" t="inlineStr">
        <is>
          <t>Windshield Wiper Motor</t>
        </is>
      </c>
      <c r="C182" t="inlineStr">
        <is>
          <t>40-2019</t>
        </is>
      </c>
      <c r="D182" t="inlineStr">
        <is>
          <t>Windshield Wiper Motor - 40-2019</t>
        </is>
      </c>
      <c r="E182" t="inlineStr">
        <is>
          <t>CARDONE Reman</t>
        </is>
      </c>
      <c r="F182" t="inlineStr">
        <is>
          <t>F1TZ17508A</t>
        </is>
      </c>
      <c r="G182" t="inlineStr">
        <is>
          <t>Ford Explorer 1991-1992</t>
        </is>
      </c>
      <c r="H182" t="inlineStr">
        <is>
          <t>Ford Explorer 1991-1992 4L V6 245cid</t>
        </is>
      </c>
      <c r="I182" t="inlineStr">
        <is>
          <t>{"0": {"productDeskExternalKey": "CPCX|40-2019"}, "1": {"Package Contents": "Wiper Motor; Instruction Sheet"}, "2": {"E-Waste": "Yes"}, "3": {"Product Condition": "Remanufactured"}, "4": {"Mounting Hole Quantity": "2"}, "5": {"Terminal Type": "Blade"}, "6": {"Mounting Type": "Direct Bolt"}, "7": {"Weight PG": "2.5500"}, "8": {"Washer Pump Included": "No"}, "9": {"Part Type": "Windshield Wiper Motor"}, "10": {"Warranty Info": "1 Year/18,000 Mile"}, "11": {"Sustainable Choice": "Yes"}, "12": {"Lifecycle Status": "Available to Order"}, "13": {"Application Summary": "Ford Explorer 1992-91"}, "14": {"ItemLevelGTIN": "00082617486491"}, "15": {"_addonCardone": "40-2019::98271:101354:306"}, "16": {"Eligible for R&amp;R Service": "Yes"}}</t>
        </is>
      </c>
      <c r="J182" t="inlineStr">
        <is>
          <t>https://www.cardone.com/product/windshield-wiper-motor-40-2019</t>
        </is>
      </c>
      <c r="K182">
        <f>DISPIMG("ID_3CBCC93F44F645E3BABFE7EEDAC82DBA",1)</f>
        <v/>
      </c>
      <c r="L182" t="inlineStr">
        <is>
          <t>CPCX|40-2019</t>
        </is>
      </c>
      <c r="M182" t="inlineStr">
        <is>
          <t>Wiper Motor; Instruction Sheet</t>
        </is>
      </c>
      <c r="N182" t="inlineStr">
        <is>
          <t>Yes</t>
        </is>
      </c>
      <c r="O182" t="inlineStr">
        <is>
          <t>Remanufactured</t>
        </is>
      </c>
      <c r="P182" t="inlineStr">
        <is>
          <t>2</t>
        </is>
      </c>
      <c r="Q182" t="inlineStr">
        <is>
          <t>Blade</t>
        </is>
      </c>
      <c r="R182" t="inlineStr">
        <is>
          <t>Direct Bolt</t>
        </is>
      </c>
      <c r="S182" t="inlineStr">
        <is>
          <t>2.5500</t>
        </is>
      </c>
      <c r="T182" t="inlineStr">
        <is>
          <t>No</t>
        </is>
      </c>
      <c r="U182" t="inlineStr">
        <is>
          <t>1 Year/18,000 Mile</t>
        </is>
      </c>
      <c r="V182" t="inlineStr">
        <is>
          <t>Yes</t>
        </is>
      </c>
      <c r="W182" t="inlineStr">
        <is>
          <t>Available to Order</t>
        </is>
      </c>
      <c r="X182" t="inlineStr">
        <is>
          <t>Ford Explorer 1992-91</t>
        </is>
      </c>
      <c r="Y182" t="inlineStr">
        <is>
          <t>00082617486491</t>
        </is>
      </c>
      <c r="Z182" t="inlineStr">
        <is>
          <t>40-2019::98271:101354:306</t>
        </is>
      </c>
      <c r="AA182" t="inlineStr">
        <is>
          <t>Yes</t>
        </is>
      </c>
      <c r="AB182" t="inlineStr"/>
      <c r="AC182" t="inlineStr"/>
    </row>
    <row r="183">
      <c r="A183" t="inlineStr">
        <is>
          <t>182</t>
        </is>
      </c>
      <c r="B183" t="inlineStr">
        <is>
          <t>Windshield Wiper Motor</t>
        </is>
      </c>
      <c r="C183" t="inlineStr">
        <is>
          <t>40-2020</t>
        </is>
      </c>
      <c r="D183" t="inlineStr">
        <is>
          <t>Windshield Wiper Motor - 40-2020</t>
        </is>
      </c>
      <c r="E183" t="inlineStr">
        <is>
          <t>CARDONE Reman</t>
        </is>
      </c>
      <c r="F183" t="inlineStr">
        <is>
          <t>287001B720;F4XY17508B</t>
        </is>
      </c>
      <c r="G183" t="inlineStr">
        <is>
          <t>Nissan Quest 1994-1995</t>
        </is>
      </c>
      <c r="H183" t="inlineStr">
        <is>
          <t>Nissan Quest 1994-1995 3L V6 181cid</t>
        </is>
      </c>
      <c r="I183" t="inlineStr">
        <is>
          <t>{"0": {"productDeskExternalKey": "CPCX|40-2020"}, "1": {"Package Contents": "Wiper Motor; Instruction Sheet"}, "2": {"E-Waste": "Yes"}, "3": {"Product Condition": "Remanufactured"}, "4": {"Mounting Hole Quantity": "2"}, "5": {"Terminal Type": "Blade"}, "6": {"Mounting Type": "Direct Bolt"}, "7": {"Weight PG": "2.5000"}, "8": {"Washer Pump Included": "No"}, "9": {"Part Type": "Windshield Wiper Motor"}, "10": {"Warranty Info": "1 Year/18,000 Mile"}, "11": {"Sustainable Choice": "Yes"}, "12": {"Lifecycle Status": "Available to Order"}, "13": {"Application Summary": "Mercury Villager 1995-94; Nissan Quest 1995-94"}, "14": {"ItemLevelGTIN": "00082617505444"}, "15": {"_addonCardone": "40-2020::98271:101360:306"}, "16": {"Eligible for R&amp;R Service": "Yes"}}</t>
        </is>
      </c>
      <c r="J183" t="inlineStr">
        <is>
          <t>https://www.cardone.com/product/windshield-wiper-motor-40-2020</t>
        </is>
      </c>
      <c r="K183">
        <f>DISPIMG("ID_141D79E4FD0B4A8FB8A10C642B6F014A",1)</f>
        <v/>
      </c>
      <c r="L183" t="inlineStr">
        <is>
          <t>CPCX|40-2020</t>
        </is>
      </c>
      <c r="M183" t="inlineStr">
        <is>
          <t>Wiper Motor; Instruction Sheet</t>
        </is>
      </c>
      <c r="N183" t="inlineStr">
        <is>
          <t>Yes</t>
        </is>
      </c>
      <c r="O183" t="inlineStr">
        <is>
          <t>Remanufactured</t>
        </is>
      </c>
      <c r="P183" t="inlineStr">
        <is>
          <t>2</t>
        </is>
      </c>
      <c r="Q183" t="inlineStr">
        <is>
          <t>Blade</t>
        </is>
      </c>
      <c r="R183" t="inlineStr">
        <is>
          <t>Direct Bolt</t>
        </is>
      </c>
      <c r="S183" t="inlineStr">
        <is>
          <t>2.5000</t>
        </is>
      </c>
      <c r="T183" t="inlineStr">
        <is>
          <t>No</t>
        </is>
      </c>
      <c r="U183" t="inlineStr">
        <is>
          <t>1 Year/18,000 Mile</t>
        </is>
      </c>
      <c r="V183" t="inlineStr">
        <is>
          <t>Yes</t>
        </is>
      </c>
      <c r="W183" t="inlineStr">
        <is>
          <t>Available to Order</t>
        </is>
      </c>
      <c r="X183" t="inlineStr">
        <is>
          <t>Mercury Villager 1995-94; Nissan Quest 1995-94</t>
        </is>
      </c>
      <c r="Y183" t="inlineStr">
        <is>
          <t>00082617505444</t>
        </is>
      </c>
      <c r="Z183" t="inlineStr">
        <is>
          <t>40-2020::98271:101360:306</t>
        </is>
      </c>
      <c r="AA183" t="inlineStr">
        <is>
          <t>Yes</t>
        </is>
      </c>
      <c r="AB183" t="inlineStr"/>
      <c r="AC183" t="inlineStr"/>
    </row>
    <row r="184">
      <c r="A184" t="inlineStr">
        <is>
          <t>183</t>
        </is>
      </c>
      <c r="B184" t="inlineStr">
        <is>
          <t>Windshield Wiper Motor</t>
        </is>
      </c>
      <c r="C184" t="inlineStr">
        <is>
          <t>40-2021</t>
        </is>
      </c>
      <c r="D184" t="inlineStr">
        <is>
          <t>Windshield Wiper Motor - 40-2021</t>
        </is>
      </c>
      <c r="E184" t="inlineStr">
        <is>
          <t>CARDONE Reman</t>
        </is>
      </c>
      <c r="F184" t="inlineStr">
        <is>
          <t>F6DZ17508A;2F1Z17508AA;4F1Z17508AA</t>
        </is>
      </c>
      <c r="G184" t="inlineStr">
        <is>
          <t>Ford Sable 1996-2000
Ford Taurus 1996-2005
Mercury Sable 1996-2005</t>
        </is>
      </c>
      <c r="H184" t="inlineStr">
        <is>
          <t>Ford Sable 1996-2000 3L V6 181cid
Ford Taurus 1996-1999 3.4L V8 207cid
Ford Taurus 1996-2005 3L V6 181cid
Ford Taurus 1996-2005 3L V6 182cid
Mercury Sable 1996-2005 3L V6 181cid
Mercury Sable 1996-2005 3L V6 182cid</t>
        </is>
      </c>
      <c r="I184" t="inlineStr">
        <is>
          <t>{"0": {"productDeskExternalKey": "CPCX|40-2021"}, "1": {"Package Contents": "Wiper Motor; Instruction Sheet"}, "2": {"E-Waste": "Yes"}, "3": {"Product Condition": "Remanufactured"}, "4": {"Mounting Hole Quantity": "2"}, "5": {"Terminal Type": "Blade"}, "6": {"Mounting Type": "Eyelet"}, "7": {"Weight PG": "2.0000"}, "8": {"Washer Pump Included": "No"}, "9": {"Part Type": "Windshield Wiper Motor"}, "10": {"Warranty Info": "1 Year/18,000 Mile"}, "11": {"Sustainable Choice": "Yes"}, "12": {"Lifecycle Status": "Available to Order"}, "13": {"Application Summary": "Ford Sable 2000-96, Taurus 2005-96; Mercury Sable 2005-96"}, "14": {"ItemLevelGTIN": "00082617500050"}, "15": {"_addonCardone": "40-2021::98271:101365:306"}, "16": {"Eligible for R&amp;R Service": "Yes"}}</t>
        </is>
      </c>
      <c r="J184" t="inlineStr">
        <is>
          <t>https://www.cardone.com/product/windshield-wiper-motor-40-2021</t>
        </is>
      </c>
      <c r="K184">
        <f>DISPIMG("ID_48C04031B3994C96876500E206CFC2DF",1)</f>
        <v/>
      </c>
      <c r="L184" t="inlineStr">
        <is>
          <t>CPCX|40-2021</t>
        </is>
      </c>
      <c r="M184" t="inlineStr">
        <is>
          <t>Wiper Motor; Instruction Sheet</t>
        </is>
      </c>
      <c r="N184" t="inlineStr">
        <is>
          <t>Yes</t>
        </is>
      </c>
      <c r="O184" t="inlineStr">
        <is>
          <t>Remanufactured</t>
        </is>
      </c>
      <c r="P184" t="inlineStr">
        <is>
          <t>2</t>
        </is>
      </c>
      <c r="Q184" t="inlineStr">
        <is>
          <t>Blade</t>
        </is>
      </c>
      <c r="R184" t="inlineStr">
        <is>
          <t>Eyelet</t>
        </is>
      </c>
      <c r="S184" t="inlineStr">
        <is>
          <t>2.0000</t>
        </is>
      </c>
      <c r="T184" t="inlineStr">
        <is>
          <t>No</t>
        </is>
      </c>
      <c r="U184" t="inlineStr">
        <is>
          <t>1 Year/18,000 Mile</t>
        </is>
      </c>
      <c r="V184" t="inlineStr">
        <is>
          <t>Yes</t>
        </is>
      </c>
      <c r="W184" t="inlineStr">
        <is>
          <t>Available to Order</t>
        </is>
      </c>
      <c r="X184" t="inlineStr">
        <is>
          <t>Ford Sable 2000-96, Taurus 2005-96; Mercury Sable 2005-96</t>
        </is>
      </c>
      <c r="Y184" t="inlineStr">
        <is>
          <t>00082617500050</t>
        </is>
      </c>
      <c r="Z184" t="inlineStr">
        <is>
          <t>40-2021::98271:101365:306</t>
        </is>
      </c>
      <c r="AA184" t="inlineStr">
        <is>
          <t>Yes</t>
        </is>
      </c>
      <c r="AB184" t="inlineStr"/>
      <c r="AC184" t="inlineStr"/>
    </row>
    <row r="185">
      <c r="A185" t="inlineStr">
        <is>
          <t>184</t>
        </is>
      </c>
      <c r="B185" t="inlineStr">
        <is>
          <t>Windshield Wiper Motor</t>
        </is>
      </c>
      <c r="C185" t="inlineStr">
        <is>
          <t>40-2022</t>
        </is>
      </c>
      <c r="D185" t="inlineStr">
        <is>
          <t>Windshield Wiper Motor - 40-2022</t>
        </is>
      </c>
      <c r="E185" t="inlineStr">
        <is>
          <t>CARDONE Reman</t>
        </is>
      </c>
      <c r="F185" t="inlineStr">
        <is>
          <t>287007B200;F6XY17508CC;F6XZ17508CD;YF5Z17508CA;287001B310</t>
        </is>
      </c>
      <c r="G185" t="inlineStr">
        <is>
          <t>Nissan Quest 1996-2002</t>
        </is>
      </c>
      <c r="H185" t="inlineStr">
        <is>
          <t>Nissan Quest 1996-1998 3L V6 181cid
Nissan Quest 1999-2002 3.3L V6 3275cc</t>
        </is>
      </c>
      <c r="I185" t="inlineStr">
        <is>
          <t>{"0": {"productDeskExternalKey": "CPCX|40-2022"},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"Mercury Villager 2002-96; Nissan Quest 2002-96"}, "14": {"ItemLevelGTIN": "00082617500067"}, "15": {"_addonCardone": "40-2022::98271:101373:306"}, "16": {"Eligible for R&amp;R Service": "Yes"}}</t>
        </is>
      </c>
      <c r="J185" t="inlineStr">
        <is>
          <t>https://www.cardone.com/product/windshield-wiper-motor-40-2022</t>
        </is>
      </c>
      <c r="K185">
        <f>DISPIMG("ID_846DB4BB326A4B45A2A214C550FB1457",1)</f>
        <v/>
      </c>
      <c r="L185" t="inlineStr">
        <is>
          <t>CPCX|40-2022</t>
        </is>
      </c>
      <c r="M185" t="inlineStr">
        <is>
          <t>Wiper Motor; Instruction Sheet</t>
        </is>
      </c>
      <c r="N185" t="inlineStr">
        <is>
          <t>Yes</t>
        </is>
      </c>
      <c r="O185" t="inlineStr">
        <is>
          <t>Remanufactured</t>
        </is>
      </c>
      <c r="P185" t="inlineStr">
        <is>
          <t>3</t>
        </is>
      </c>
      <c r="Q185" t="inlineStr">
        <is>
          <t>Blade</t>
        </is>
      </c>
      <c r="R185" t="inlineStr">
        <is>
          <t>Grommet</t>
        </is>
      </c>
      <c r="S185" t="inlineStr">
        <is>
          <t>2.5000</t>
        </is>
      </c>
      <c r="T185" t="inlineStr">
        <is>
          <t>No</t>
        </is>
      </c>
      <c r="U185" t="inlineStr">
        <is>
          <t>1 Year/18,000 Mile</t>
        </is>
      </c>
      <c r="V185" t="inlineStr">
        <is>
          <t>Yes</t>
        </is>
      </c>
      <c r="W185" t="inlineStr">
        <is>
          <t>Available to Order</t>
        </is>
      </c>
      <c r="X185" t="inlineStr">
        <is>
          <t>Mercury Villager 2002-96; Nissan Quest 2002-96</t>
        </is>
      </c>
      <c r="Y185" t="inlineStr">
        <is>
          <t>00082617500067</t>
        </is>
      </c>
      <c r="Z185" t="inlineStr">
        <is>
          <t>40-2022::98271:101373:306</t>
        </is>
      </c>
      <c r="AA185" t="inlineStr">
        <is>
          <t>Yes</t>
        </is>
      </c>
      <c r="AB185" t="inlineStr"/>
      <c r="AC185" t="inlineStr"/>
    </row>
    <row r="186">
      <c r="A186" t="inlineStr">
        <is>
          <t>185</t>
        </is>
      </c>
      <c r="B186" t="inlineStr">
        <is>
          <t>Windshield Wiper Motor</t>
        </is>
      </c>
      <c r="C186" t="inlineStr">
        <is>
          <t>40-2023</t>
        </is>
      </c>
      <c r="D186" t="inlineStr">
        <is>
          <t>Windshield Wiper Motor - 40-2023</t>
        </is>
      </c>
      <c r="E186" t="inlineStr">
        <is>
          <t>CARDONE Reman</t>
        </is>
      </c>
      <c r="F186" t="inlineStr">
        <is>
          <t>F4XY47508A;F4XY17508A;F5XZ17508AD;287001B700;287001B000</t>
        </is>
      </c>
      <c r="G186" t="inlineStr">
        <is>
          <t>Nissan Quest 1996-2000</t>
        </is>
      </c>
      <c r="H186" t="inlineStr">
        <is>
          <t>Nissan Quest 1996-1998 3L V6 181cid
Nissan Quest 1999-2000 3.3L V6 3275cc</t>
        </is>
      </c>
      <c r="I186" t="inlineStr">
        <is>
          <t>{"0": {"productDeskExternalKey": "CPCX|40-2023"},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"Mercury Villager 1998-94; Nissan Quest 2000-96"}, "14": {"ItemLevelGTIN": "00082617500074"}, "15": {"_addonCardone": "40-2023::98271:101380:306"}, "16": {"Eligible for R&amp;R Service": "Yes"}}</t>
        </is>
      </c>
      <c r="J186" t="inlineStr">
        <is>
          <t>https://www.cardone.com/product/windshield-wiper-motor-40-2023</t>
        </is>
      </c>
      <c r="K186">
        <f>DISPIMG("ID_027DF29886204D8996EDF4967797011A",1)</f>
        <v/>
      </c>
      <c r="L186" t="inlineStr">
        <is>
          <t>CPCX|40-2023</t>
        </is>
      </c>
      <c r="M186" t="inlineStr">
        <is>
          <t>Wiper Motor; Instruction Sheet</t>
        </is>
      </c>
      <c r="N186" t="inlineStr">
        <is>
          <t>Yes</t>
        </is>
      </c>
      <c r="O186" t="inlineStr">
        <is>
          <t>Remanufactured</t>
        </is>
      </c>
      <c r="P186" t="inlineStr">
        <is>
          <t>3</t>
        </is>
      </c>
      <c r="Q186" t="inlineStr">
        <is>
          <t>Blade</t>
        </is>
      </c>
      <c r="R186" t="inlineStr">
        <is>
          <t>Grommet</t>
        </is>
      </c>
      <c r="S186" t="inlineStr">
        <is>
          <t>2.5000</t>
        </is>
      </c>
      <c r="T186" t="inlineStr">
        <is>
          <t>No</t>
        </is>
      </c>
      <c r="U186" t="inlineStr">
        <is>
          <t>1 Year/18,000 Mile</t>
        </is>
      </c>
      <c r="V186" t="inlineStr">
        <is>
          <t>Yes</t>
        </is>
      </c>
      <c r="W186" t="inlineStr">
        <is>
          <t>Available to Order</t>
        </is>
      </c>
      <c r="X186" t="inlineStr">
        <is>
          <t>Mercury Villager 1998-94; Nissan Quest 2000-96</t>
        </is>
      </c>
      <c r="Y186" t="inlineStr">
        <is>
          <t>00082617500074</t>
        </is>
      </c>
      <c r="Z186" t="inlineStr">
        <is>
          <t>40-2023::98271:101380:306</t>
        </is>
      </c>
      <c r="AA186" t="inlineStr">
        <is>
          <t>Yes</t>
        </is>
      </c>
      <c r="AB186" t="inlineStr"/>
      <c r="AC186" t="inlineStr"/>
    </row>
    <row r="187">
      <c r="A187" t="inlineStr">
        <is>
          <t>186</t>
        </is>
      </c>
      <c r="B187" t="inlineStr">
        <is>
          <t>Windshield Wiper Motor</t>
        </is>
      </c>
      <c r="C187" t="inlineStr">
        <is>
          <t>40-2024</t>
        </is>
      </c>
      <c r="D187" t="inlineStr">
        <is>
          <t>Windshield Wiper Motor - 40-2024</t>
        </is>
      </c>
      <c r="E187" t="inlineStr">
        <is>
          <t>CARDONE Reman</t>
        </is>
      </c>
      <c r="F187" t="inlineStr">
        <is>
          <t>F4BZ17508BB</t>
        </is>
      </c>
      <c r="G187" t="inlineStr">
        <is>
          <t>Ford Aspire 1994-1997</t>
        </is>
      </c>
      <c r="H187" t="inlineStr">
        <is>
          <t>Ford Aspire 1994-1997 1.3L L4 1295cc</t>
        </is>
      </c>
      <c r="I187" t="inlineStr">
        <is>
          <t>{"0": {"productDeskExternalKey": "CPCX|40-2024"}, "1": {"Package Contents": "Wiper Motor; Instruction Sheet"}, "2": {"E-Waste": "Yes"}, "3": {"Product Condition": "Remanufactured"}, "4": {"Mounting Hole Quantity": "2"}, "5": {"Terminal Type": "Blade"}, "6": {"Mounting Type": "Grommet"}, "7": {"Weight PG": "1.9500"}, "8": {"Washer Pump Included": "No"}, "9": {"Part Type": "Windshield Wiper Motor"}, "10": {"Warranty Info": "1 Year/18,000 Mile"}, "11": {"Sustainable Choice": "Yes"}, "12": {"Lifecycle Status": "Available to Order"}, "13": {"Application Summary": "Ford Aspire 1997-94"}, "14": {"ItemLevelGTIN": "00082617500081"}, "15": {"_addonCardone": "40-2024::98271:101387:306"}, "16": {"Eligible for R&amp;R Service": "Yes"}}</t>
        </is>
      </c>
      <c r="J187" t="inlineStr">
        <is>
          <t>https://www.cardone.com/product/windshield-wiper-motor-40-2024</t>
        </is>
      </c>
      <c r="K187">
        <f>DISPIMG("ID_B4D8A48CB6F940189F5252440F34F4BC",1)</f>
        <v/>
      </c>
      <c r="L187" t="inlineStr">
        <is>
          <t>CPCX|40-2024</t>
        </is>
      </c>
      <c r="M187" t="inlineStr">
        <is>
          <t>Wiper Motor; Instruction Sheet</t>
        </is>
      </c>
      <c r="N187" t="inlineStr">
        <is>
          <t>Yes</t>
        </is>
      </c>
      <c r="O187" t="inlineStr">
        <is>
          <t>Remanufactured</t>
        </is>
      </c>
      <c r="P187" t="inlineStr">
        <is>
          <t>2</t>
        </is>
      </c>
      <c r="Q187" t="inlineStr">
        <is>
          <t>Blade</t>
        </is>
      </c>
      <c r="R187" t="inlineStr">
        <is>
          <t>Grommet</t>
        </is>
      </c>
      <c r="S187" t="inlineStr">
        <is>
          <t>1.9500</t>
        </is>
      </c>
      <c r="T187" t="inlineStr">
        <is>
          <t>No</t>
        </is>
      </c>
      <c r="U187" t="inlineStr">
        <is>
          <t>1 Year/18,000 Mile</t>
        </is>
      </c>
      <c r="V187" t="inlineStr">
        <is>
          <t>Yes</t>
        </is>
      </c>
      <c r="W187" t="inlineStr">
        <is>
          <t>Available to Order</t>
        </is>
      </c>
      <c r="X187" t="inlineStr">
        <is>
          <t>Ford Aspire 1997-94</t>
        </is>
      </c>
      <c r="Y187" t="inlineStr">
        <is>
          <t>00082617500081</t>
        </is>
      </c>
      <c r="Z187" t="inlineStr">
        <is>
          <t>40-2024::98271:101387:306</t>
        </is>
      </c>
      <c r="AA187" t="inlineStr">
        <is>
          <t>Yes</t>
        </is>
      </c>
      <c r="AB187" t="inlineStr"/>
      <c r="AC187" t="inlineStr"/>
    </row>
    <row r="188">
      <c r="A188" t="inlineStr">
        <is>
          <t>187</t>
        </is>
      </c>
      <c r="B188" t="inlineStr">
        <is>
          <t>Windshield Wiper Motor</t>
        </is>
      </c>
      <c r="C188" t="inlineStr">
        <is>
          <t>40-2025</t>
        </is>
      </c>
      <c r="D188" t="inlineStr">
        <is>
          <t>Windshield Wiper Motor - 40-2025</t>
        </is>
      </c>
      <c r="E188" t="inlineStr">
        <is>
          <t>CARDONE Reman</t>
        </is>
      </c>
      <c r="F188" t="inlineStr">
        <is>
          <t>F5HZ17508C</t>
        </is>
      </c>
      <c r="G188" t="inlineStr">
        <is>
          <t>Ford L8000F 1990-1991
Ford L9000 1990-1991
Ford LN7000 1990-1991
Ford LN8000 1990-1991
Ford LN9000 1990-1991
Ford LNT9000 1990-1991</t>
        </is>
      </c>
      <c r="H188" t="inlineStr">
        <is>
          <t>Ford L8000F 1990-1991 7.8L L6 473cid
Ford L9000 1990-1991 10.3L 6 629cid
Ford L9000 1990-1991 10.5L 6 638cid
Ford L9000 1990-1991 10L L6 611cid
Ford L9000 1990-1991 14.6L L6 893cid
Ford L9000 1990-1991 14L L6 855cid
Ford LN7000 1990 7.8L L6 473cid
Ford LN7000 1990-1991 6.6L L6 401cid
Ford LN8000 1990-1991 7.8L L6 473cid
Ford LN8000 1991 6.6L L6 401cid
Ford LN9000 1990-1991 10.3L 6 629cid
Ford LN9000 1990-1991 10.5L 6 638cid
Ford LN9000 1990-1991 10L L6 611cid
Ford LN9000 1990-1991 14.6L L6 893cid
Ford LN9000 1990-1991 14L L6 855cid
Ford LNT9000 1990-1991 10.3L 6 629cid
Ford LNT9000 1990-1991 10.5L 6 638cid
Ford LNT9000 1990-1991 10L L6 611cid
Ford LNT9000 1990-1991 14.6L L6 893cid
Ford LNT9000 1990-1991 14L L6 855cid</t>
        </is>
      </c>
      <c r="I188" t="inlineStr">
        <is>
          <t>{"0": {"productDeskExternalKey": "CPCX|40-2025"}, "1": {"Package Contents": "Wiper Motor; Instruction Sheet"}, "2": {"E-Waste": "Yes"}, "3": {"Product Condition": "Remanufactured"}, "4": {"Mounting Hole Quantity": "3"}, "5": {"Terminal Type": "Blade"}, "6": {"Mounting Type": "Direct Bolt"}, "7": {"Weight PG": "3.5500"}, "8": {"Washer Pump Included": "No"}, "9": {"Part Type": "Windshield Wiper Motor"}, "10": {"Warranty Info": "1 Year/18,000 Mile"}, "11": {"Design Upgrade": "Yes"}, "12": {"Sustainable Choice": "Yes"}, "13": {"Lifecycle Status": "Available to Order"}, "14": {"Application Summary": "Ford L8000F 1991-90, L9000 1991-90, LN7000 1991-90, LN8000 1991-90, LN9000 1991-90, LNT9000 1991-90"}, "15": {"ItemLevelGTIN": "00082617490641"}, "16": {"_addonCardone": "40-2025::98271:101392:306"}, "17": {"Eligible for R&amp;R Service": "Yes"}}</t>
        </is>
      </c>
      <c r="J188" t="inlineStr">
        <is>
          <t>https://www.cardone.com/product/windshield-wiper-motor-40-2025</t>
        </is>
      </c>
      <c r="K188">
        <f>DISPIMG("ID_2BAE5B7CA591494CA5620CCA1CDB7F5F",1)</f>
        <v/>
      </c>
      <c r="L188" t="inlineStr">
        <is>
          <t>CPCX|40-2025</t>
        </is>
      </c>
      <c r="M188" t="inlineStr">
        <is>
          <t>Wiper Motor; Instruction Sheet</t>
        </is>
      </c>
      <c r="N188" t="inlineStr">
        <is>
          <t>Yes</t>
        </is>
      </c>
      <c r="O188" t="inlineStr">
        <is>
          <t>Remanufactured</t>
        </is>
      </c>
      <c r="P188" t="inlineStr">
        <is>
          <t>3</t>
        </is>
      </c>
      <c r="Q188" t="inlineStr">
        <is>
          <t>Blade</t>
        </is>
      </c>
      <c r="R188" t="inlineStr">
        <is>
          <t>Direct Bolt</t>
        </is>
      </c>
      <c r="S188" t="inlineStr">
        <is>
          <t>3.5500</t>
        </is>
      </c>
      <c r="T188" t="inlineStr">
        <is>
          <t>No</t>
        </is>
      </c>
      <c r="U188" t="inlineStr">
        <is>
          <t>1 Year/18,000 Mile</t>
        </is>
      </c>
      <c r="V188" t="inlineStr">
        <is>
          <t>Yes</t>
        </is>
      </c>
      <c r="W188" t="inlineStr">
        <is>
          <t>Available to Order</t>
        </is>
      </c>
      <c r="X188" t="inlineStr">
        <is>
          <t>Ford L8000F 1991-90, L9000 1991-90, LN7000 1991-90, LN8000 1991-90, LN9000 1991-90, LNT9000 1991-90</t>
        </is>
      </c>
      <c r="Y188" t="inlineStr">
        <is>
          <t>00082617490641</t>
        </is>
      </c>
      <c r="Z188" t="inlineStr">
        <is>
          <t>40-2025::98271:101392:306</t>
        </is>
      </c>
      <c r="AA188" t="inlineStr">
        <is>
          <t>Yes</t>
        </is>
      </c>
      <c r="AB188" t="inlineStr">
        <is>
          <t>Yes</t>
        </is>
      </c>
      <c r="AC188" t="inlineStr"/>
    </row>
    <row r="189">
      <c r="A189" t="inlineStr">
        <is>
          <t>188</t>
        </is>
      </c>
      <c r="B189" t="inlineStr">
        <is>
          <t>Windshield Wiper Motor</t>
        </is>
      </c>
      <c r="C189" t="inlineStr">
        <is>
          <t>40-2027</t>
        </is>
      </c>
      <c r="D189" t="inlineStr">
        <is>
          <t>Windshield Wiper Motor - 40-2027</t>
        </is>
      </c>
      <c r="E189" t="inlineStr">
        <is>
          <t>CARDONE Reman</t>
        </is>
      </c>
      <c r="F189" t="inlineStr">
        <is>
          <t>F58Z17508A;F78Z17508AB</t>
        </is>
      </c>
      <c r="G189" t="inlineStr">
        <is>
          <t>Ford Windstar 1995-1998</t>
        </is>
      </c>
      <c r="H189" t="inlineStr">
        <is>
          <t>Ford Windstar 1995-1998 3.8L V6 232cid
Ford Windstar 1995-1998 3L V6 182cid</t>
        </is>
      </c>
      <c r="I189" t="inlineStr">
        <is>
          <t>{"0": {"productDeskExternalKey": "CPCX|40-2027"}, "1": {"Package Contents": "Wiper Motor; Instruction Sheet"}, "2": {"E-Waste": "Yes"}, "3": {"Product Condition": "Remanufactured"}, "4": {"Mounting Hole Quantity": "3"}, "5": {"Terminal Type": "Blade"}, "6": {"Mounting Type": "Eyelet"}, "7": {"Weight PG": "2.4200"}, "8": {"Washer Pump Included": "No"}, "9": {"Part Type": "Windshield Wiper Motor"}, "10": {"Warranty Info": "1 Year/18,000 Mile"}, "11": {"Sustainable Choice": "Yes"}, "12": {"Lifecycle Status": "Available to Order"}, "13": {"Application Summary": "Ford Windstar 1998-95"}, "14": {"ItemLevelGTIN": "00082617491242"}, "15": {"_addonCardone": "40-2027::98271:101398:306"}, "16": {"Eligible for R&amp;R Service": "Yes"}}</t>
        </is>
      </c>
      <c r="J189" t="inlineStr">
        <is>
          <t>https://www.cardone.com/product/windshield-wiper-motor-40-2027</t>
        </is>
      </c>
      <c r="K189">
        <f>DISPIMG("ID_2492E659E589457EA987433EF2E2D081",1)</f>
        <v/>
      </c>
      <c r="L189" t="inlineStr">
        <is>
          <t>CPCX|40-2027</t>
        </is>
      </c>
      <c r="M189" t="inlineStr">
        <is>
          <t>Wiper Motor; Instruction Sheet</t>
        </is>
      </c>
      <c r="N189" t="inlineStr">
        <is>
          <t>Yes</t>
        </is>
      </c>
      <c r="O189" t="inlineStr">
        <is>
          <t>Remanufactured</t>
        </is>
      </c>
      <c r="P189" t="inlineStr">
        <is>
          <t>3</t>
        </is>
      </c>
      <c r="Q189" t="inlineStr">
        <is>
          <t>Blade</t>
        </is>
      </c>
      <c r="R189" t="inlineStr">
        <is>
          <t>Eyelet</t>
        </is>
      </c>
      <c r="S189" t="inlineStr">
        <is>
          <t>2.4200</t>
        </is>
      </c>
      <c r="T189" t="inlineStr">
        <is>
          <t>No</t>
        </is>
      </c>
      <c r="U189" t="inlineStr">
        <is>
          <t>1 Year/18,000 Mile</t>
        </is>
      </c>
      <c r="V189" t="inlineStr">
        <is>
          <t>Yes</t>
        </is>
      </c>
      <c r="W189" t="inlineStr">
        <is>
          <t>Available to Order</t>
        </is>
      </c>
      <c r="X189" t="inlineStr">
        <is>
          <t>Ford Windstar 1998-95</t>
        </is>
      </c>
      <c r="Y189" t="inlineStr">
        <is>
          <t>00082617491242</t>
        </is>
      </c>
      <c r="Z189" t="inlineStr">
        <is>
          <t>40-2027::98271:101398:306</t>
        </is>
      </c>
      <c r="AA189" t="inlineStr">
        <is>
          <t>Yes</t>
        </is>
      </c>
      <c r="AB189" t="inlineStr"/>
      <c r="AC189" t="inlineStr"/>
    </row>
    <row r="190">
      <c r="A190" t="inlineStr">
        <is>
          <t>189</t>
        </is>
      </c>
      <c r="B190" t="inlineStr">
        <is>
          <t>Windshield Wiper Motor</t>
        </is>
      </c>
      <c r="C190" t="inlineStr">
        <is>
          <t>40-2028</t>
        </is>
      </c>
      <c r="D190" t="inlineStr">
        <is>
          <t>Windshield Wiper Motor - 40-2028</t>
        </is>
      </c>
      <c r="E190" t="inlineStr">
        <is>
          <t>CARDONE Reman</t>
        </is>
      </c>
      <c r="F190" t="inlineStr">
        <is>
          <t>F77Z17508AA</t>
        </is>
      </c>
      <c r="G190" t="inlineStr">
        <is>
          <t>Ford Explorer 1997
Mercury Mountaineer 1997</t>
        </is>
      </c>
      <c r="H190" t="inlineStr">
        <is>
          <t>Ford Explorer 1997 4L V6 245cid
Ford Explorer 1997 5L V8 302cid
Mercury Mountaineer 1997 5L V8 302cid</t>
        </is>
      </c>
      <c r="I190" t="inlineStr">
        <is>
          <t>{"0": {"productDeskExternalKey": "CPCX|40-2028"}, "1": {"Package Contents": "Wiper Motor; Instruction Sheet"}, "2": {"E-Waste": "Yes"}, "3": {"Product Condition": "Remanufactured"}, "4": {"Mounting Hole Quantity": "2"}, "5": {"Terminal Type": "Pin"}, "6": {"Mounting Type": "Direct Bolt"}, "7": {"Weight PG": "2.3000"}, "8": {"Washer Pump Included": "No"}, "9": {"Part Type": "Windshield Wiper Motor"}, "10": {"Warranty Info": "1 Year/18,000 Mile"}, "11": {"Sustainable Choice": "Yes"}, "12": {"Lifecycle Status": "Available to Order"}, "13": {"Application Summary": "Ford Explorer 1997; Mercury Mountaineer 1997"}, "14": {"ItemLevelGTIN": "00082617491235"}, "15": {"_addonCardone": "40-2028::98271:101404:306"}, "16": {"Eligible for R&amp;R Service": "Yes"}}</t>
        </is>
      </c>
      <c r="J190" t="inlineStr">
        <is>
          <t>https://www.cardone.com/product/windshield-wiper-motor-40-2028</t>
        </is>
      </c>
      <c r="K190">
        <f>DISPIMG("ID_5C2BB69735AF4CF19D08A71304CAC25E",1)</f>
        <v/>
      </c>
      <c r="L190" t="inlineStr">
        <is>
          <t>CPCX|40-2028</t>
        </is>
      </c>
      <c r="M190" t="inlineStr">
        <is>
          <t>Wiper Motor; Instruction Sheet</t>
        </is>
      </c>
      <c r="N190" t="inlineStr">
        <is>
          <t>Yes</t>
        </is>
      </c>
      <c r="O190" t="inlineStr">
        <is>
          <t>Remanufactured</t>
        </is>
      </c>
      <c r="P190" t="inlineStr">
        <is>
          <t>2</t>
        </is>
      </c>
      <c r="Q190" t="inlineStr">
        <is>
          <t>Pin</t>
        </is>
      </c>
      <c r="R190" t="inlineStr">
        <is>
          <t>Direct Bolt</t>
        </is>
      </c>
      <c r="S190" t="inlineStr">
        <is>
          <t>2.3000</t>
        </is>
      </c>
      <c r="T190" t="inlineStr">
        <is>
          <t>No</t>
        </is>
      </c>
      <c r="U190" t="inlineStr">
        <is>
          <t>1 Year/18,000 Mile</t>
        </is>
      </c>
      <c r="V190" t="inlineStr">
        <is>
          <t>Yes</t>
        </is>
      </c>
      <c r="W190" t="inlineStr">
        <is>
          <t>Available to Order</t>
        </is>
      </c>
      <c r="X190" t="inlineStr">
        <is>
          <t>Ford Explorer 1997; Mercury Mountaineer 1997</t>
        </is>
      </c>
      <c r="Y190" t="inlineStr">
        <is>
          <t>00082617491235</t>
        </is>
      </c>
      <c r="Z190" t="inlineStr">
        <is>
          <t>40-2028::98271:101404:306</t>
        </is>
      </c>
      <c r="AA190" t="inlineStr">
        <is>
          <t>Yes</t>
        </is>
      </c>
      <c r="AB190" t="inlineStr"/>
      <c r="AC190" t="inlineStr"/>
    </row>
    <row r="191">
      <c r="A191" t="inlineStr">
        <is>
          <t>190</t>
        </is>
      </c>
      <c r="B191" t="inlineStr">
        <is>
          <t>Windshield Wiper Motor</t>
        </is>
      </c>
      <c r="C191" t="inlineStr">
        <is>
          <t>40-2029</t>
        </is>
      </c>
      <c r="D191" t="inlineStr">
        <is>
          <t>Windshield Wiper Motor - 40-2029</t>
        </is>
      </c>
      <c r="E191" t="inlineStr">
        <is>
          <t>CARDONE Reman</t>
        </is>
      </c>
      <c r="F191" t="inlineStr">
        <is>
          <t>F32Z17508B</t>
        </is>
      </c>
      <c r="G191" t="inlineStr">
        <is>
          <t>Ford Probe 1993-1997</t>
        </is>
      </c>
      <c r="H191" t="inlineStr">
        <is>
          <t>Ford Probe 1993-1997 2.5L V6 2497cc
Ford Probe 1993-1997 2L L4 122cid</t>
        </is>
      </c>
      <c r="I191" t="inlineStr">
        <is>
          <t>{"0": {"productDeskExternalKey": "CPCX|40-2029"}, "1": {"Package Contents": "Wiper Motor; Instruction Sheet"}, "2": {"E-Waste": "Yes"}, "3": {"Product Condition": "Remanufactured"}, "4": {"Mounting Hole Quantity": "3"}, "5": {"Terminal Type": "Blade"}, "6": {"Mounting Type": "Grommet"}, "7": {"Weight PG": "1.8600"}, "8": {"Washer Pump Included": "No"}, "9": {"Part Type": "Windshield Wiper Motor"}, "10": {"Warranty Info": "1 Year/18,000 Mile"}, "11": {"Sustainable Choice": "Yes"}, "12": {"Lifecycle Status": "Available to Order"}, "13": {"Application Summary": "Ford Probe 1997-93"}, "14": {"ItemLevelGTIN": "00082617496193"}, "15": {"_addonCardone": "40-2029::98271:101408:306"}, "16": {"Eligible for R&amp;R Service": "Yes"}}</t>
        </is>
      </c>
      <c r="J191" t="inlineStr">
        <is>
          <t>https://www.cardone.com/product/windshield-wiper-motor-40-2029</t>
        </is>
      </c>
      <c r="K191">
        <f>DISPIMG("ID_E5F727C7CA704A30A3A7CFD93646BF9A",1)</f>
        <v/>
      </c>
      <c r="L191" t="inlineStr">
        <is>
          <t>CPCX|40-2029</t>
        </is>
      </c>
      <c r="M191" t="inlineStr">
        <is>
          <t>Wiper Motor; Instruction Sheet</t>
        </is>
      </c>
      <c r="N191" t="inlineStr">
        <is>
          <t>Yes</t>
        </is>
      </c>
      <c r="O191" t="inlineStr">
        <is>
          <t>Remanufactured</t>
        </is>
      </c>
      <c r="P191" t="inlineStr">
        <is>
          <t>3</t>
        </is>
      </c>
      <c r="Q191" t="inlineStr">
        <is>
          <t>Blade</t>
        </is>
      </c>
      <c r="R191" t="inlineStr">
        <is>
          <t>Grommet</t>
        </is>
      </c>
      <c r="S191" t="inlineStr">
        <is>
          <t>1.8600</t>
        </is>
      </c>
      <c r="T191" t="inlineStr">
        <is>
          <t>No</t>
        </is>
      </c>
      <c r="U191" t="inlineStr">
        <is>
          <t>1 Year/18,000 Mile</t>
        </is>
      </c>
      <c r="V191" t="inlineStr">
        <is>
          <t>Yes</t>
        </is>
      </c>
      <c r="W191" t="inlineStr">
        <is>
          <t>Available to Order</t>
        </is>
      </c>
      <c r="X191" t="inlineStr">
        <is>
          <t>Ford Probe 1997-93</t>
        </is>
      </c>
      <c r="Y191" t="inlineStr">
        <is>
          <t>00082617496193</t>
        </is>
      </c>
      <c r="Z191" t="inlineStr">
        <is>
          <t>40-2029::98271:101408:306</t>
        </is>
      </c>
      <c r="AA191" t="inlineStr">
        <is>
          <t>Yes</t>
        </is>
      </c>
      <c r="AB191" t="inlineStr"/>
      <c r="AC191" t="inlineStr"/>
    </row>
    <row r="192">
      <c r="A192" t="inlineStr">
        <is>
          <t>191</t>
        </is>
      </c>
      <c r="B192" t="inlineStr">
        <is>
          <t>Windshield Wiper Motor</t>
        </is>
      </c>
      <c r="C192" t="inlineStr">
        <is>
          <t>40-2030</t>
        </is>
      </c>
      <c r="D192" t="inlineStr">
        <is>
          <t>Windshield Wiper Motor - 40-2030</t>
        </is>
      </c>
      <c r="E192" t="inlineStr">
        <is>
          <t>CARDONE Reman</t>
        </is>
      </c>
      <c r="F192" t="inlineStr">
        <is>
          <t>XL1Z17508AA;F87Z17508AD;F75Z17508AA;F87Z17508AA</t>
        </is>
      </c>
      <c r="G192" t="inlineStr">
        <is>
          <t>Ford Expedition 1997-2002
Ford Explorer 1998-2001
Ford Explorer Sport 2001-2002
Mercury Mountaineer 1998-2001</t>
        </is>
      </c>
      <c r="H192" t="inlineStr">
        <is>
          <t>Ford Expedition 1997-2002 4.6L V8 281cid
Ford Expedition 1997-2002 5.4L V8 330cid
Ford Explorer 1998-2001 4L V6 245cid
Ford Explorer 1998-2001 5L V8 302cid
Ford Explorer Sport 2001-2002 4L V6 245cid
Mercury Mountaineer 1998-2001 4L V6 245cid
Mercury Mountaineer 1998-2001 5L V8 302cid</t>
        </is>
      </c>
      <c r="I192" t="inlineStr">
        <is>
          <t>{"0": {"productDeskExternalKey": "CPCX|40-2030"}, "1": {"Package Contents": "Wiper Motor; Instruction Sheet"}, "2": {"E-Waste": "Yes"}, "3": {"Product Condition": "Remanufactured"}, "4": {"Mounting Hole Quantity": "3"}, "5": {"Terminal Type": "Pin"}, "6": {"Mounting Type": "Grommet"}, "7": {"Weight PG": "2.3200"}, "8": {"Washer Pump Included": "No"}, "9": {"Part Type": "Windshield Wiper Motor"}, "10": {"Warranty Info": "1 Year/18,000 Mile"}, "11": {"Sustainable Choice": "Yes"}, "12": {"Lifecycle Status": "Available to Order"}, "13": {"Application Summary": "Ford Expedition 2002-97, Explorer 2001-98, Explorer Sport 2002-01; Lincoln Navigator 2002-98; Mercury Mountaineer 2001-98"}, "14": {"ItemLevelGTIN": "00082617496209"}, "15": {"_addonCardone": "40-2030::98271:101411:306"}, "16": {"Eligible for R&amp;R Service": "Yes"}}</t>
        </is>
      </c>
      <c r="J192" t="inlineStr">
        <is>
          <t>https://www.cardone.com/product/windshield-wiper-motor-40-2030</t>
        </is>
      </c>
      <c r="K192">
        <f>DISPIMG("ID_C4B294862BE542D0ABABB20439DD39E1",1)</f>
        <v/>
      </c>
      <c r="L192" t="inlineStr">
        <is>
          <t>CPCX|40-2030</t>
        </is>
      </c>
      <c r="M192" t="inlineStr">
        <is>
          <t>Wiper Motor; Instruction Sheet</t>
        </is>
      </c>
      <c r="N192" t="inlineStr">
        <is>
          <t>Yes</t>
        </is>
      </c>
      <c r="O192" t="inlineStr">
        <is>
          <t>Remanufactured</t>
        </is>
      </c>
      <c r="P192" t="inlineStr">
        <is>
          <t>3</t>
        </is>
      </c>
      <c r="Q192" t="inlineStr">
        <is>
          <t>Pin</t>
        </is>
      </c>
      <c r="R192" t="inlineStr">
        <is>
          <t>Grommet</t>
        </is>
      </c>
      <c r="S192" t="inlineStr">
        <is>
          <t>2.3200</t>
        </is>
      </c>
      <c r="T192" t="inlineStr">
        <is>
          <t>No</t>
        </is>
      </c>
      <c r="U192" t="inlineStr">
        <is>
          <t>1 Year/18,000 Mile</t>
        </is>
      </c>
      <c r="V192" t="inlineStr">
        <is>
          <t>Yes</t>
        </is>
      </c>
      <c r="W192" t="inlineStr">
        <is>
          <t>Available to Order</t>
        </is>
      </c>
      <c r="X192" t="inlineStr">
        <is>
          <t>Ford Expedition 2002-97, Explorer 2001-98, Explorer Sport 2002-01; Lincoln Navigator 2002-98; Mercury Mountaineer 2001-98</t>
        </is>
      </c>
      <c r="Y192" t="inlineStr">
        <is>
          <t>00082617496209</t>
        </is>
      </c>
      <c r="Z192" t="inlineStr">
        <is>
          <t>40-2030::98271:101411:306</t>
        </is>
      </c>
      <c r="AA192" t="inlineStr">
        <is>
          <t>Yes</t>
        </is>
      </c>
      <c r="AB192" t="inlineStr"/>
      <c r="AC192" t="inlineStr"/>
    </row>
    <row r="193">
      <c r="A193" t="inlineStr">
        <is>
          <t>192</t>
        </is>
      </c>
      <c r="B193" t="inlineStr">
        <is>
          <t>Windshield Wiper Motor</t>
        </is>
      </c>
      <c r="C193" t="inlineStr">
        <is>
          <t>40-2033</t>
        </is>
      </c>
      <c r="D193" t="inlineStr">
        <is>
          <t>Windshield Wiper Motor - 40-2033</t>
        </is>
      </c>
      <c r="E193" t="inlineStr">
        <is>
          <t>CARDONE Reman</t>
        </is>
      </c>
      <c r="F193" t="inlineStr">
        <is>
          <t>XF2Z17508AA</t>
        </is>
      </c>
      <c r="G193" t="inlineStr">
        <is>
          <t>Ford Windstar 1999-2001</t>
        </is>
      </c>
      <c r="H193" t="inlineStr">
        <is>
          <t>Ford Windstar 1999-2000 3L V6 182cid
Ford Windstar 1999-2001 3.8L V6 232cid</t>
        </is>
      </c>
      <c r="I193" t="inlineStr">
        <is>
          <t>{"0": {"productDeskExternalKey": "CPCX|40-2033"},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"Ford Windstar 2001-99"}, "14": {"ItemLevelGTIN": "00082617512602"}, "15": {"_addonCardone": "40-2033::98271:101415:306"}, "16": {"Eligible for R&amp;R Service": "Yes"}}</t>
        </is>
      </c>
      <c r="J193" t="inlineStr">
        <is>
          <t>https://www.cardone.com/product/windshield-wiper-motor-40-2033</t>
        </is>
      </c>
      <c r="K193">
        <f>DISPIMG("ID_B3875EE255104FCE85D6FF9986815D53",1)</f>
        <v/>
      </c>
      <c r="L193" t="inlineStr">
        <is>
          <t>CPCX|40-2033</t>
        </is>
      </c>
      <c r="M193" t="inlineStr">
        <is>
          <t>Wiper Motor; Instruction Sheet</t>
        </is>
      </c>
      <c r="N193" t="inlineStr">
        <is>
          <t>Yes</t>
        </is>
      </c>
      <c r="O193" t="inlineStr">
        <is>
          <t>Remanufactured</t>
        </is>
      </c>
      <c r="P193" t="inlineStr">
        <is>
          <t>3</t>
        </is>
      </c>
      <c r="Q193" t="inlineStr">
        <is>
          <t>Blade</t>
        </is>
      </c>
      <c r="R193" t="inlineStr">
        <is>
          <t>Grommet</t>
        </is>
      </c>
      <c r="S193" t="inlineStr">
        <is>
          <t>2.5000</t>
        </is>
      </c>
      <c r="T193" t="inlineStr">
        <is>
          <t>No</t>
        </is>
      </c>
      <c r="U193" t="inlineStr">
        <is>
          <t>1 Year/18,000 Mile</t>
        </is>
      </c>
      <c r="V193" t="inlineStr">
        <is>
          <t>Yes</t>
        </is>
      </c>
      <c r="W193" t="inlineStr">
        <is>
          <t>Available to Order</t>
        </is>
      </c>
      <c r="X193" t="inlineStr">
        <is>
          <t>Ford Windstar 2001-99</t>
        </is>
      </c>
      <c r="Y193" t="inlineStr">
        <is>
          <t>00082617512602</t>
        </is>
      </c>
      <c r="Z193" t="inlineStr">
        <is>
          <t>40-2033::98271:101415:306</t>
        </is>
      </c>
      <c r="AA193" t="inlineStr">
        <is>
          <t>Yes</t>
        </is>
      </c>
      <c r="AB193" t="inlineStr"/>
      <c r="AC193" t="inlineStr"/>
    </row>
    <row r="194">
      <c r="A194" t="inlineStr">
        <is>
          <t>193</t>
        </is>
      </c>
      <c r="B194" t="inlineStr">
        <is>
          <t>Windshield Wiper Motor</t>
        </is>
      </c>
      <c r="C194" t="inlineStr">
        <is>
          <t>40-2034</t>
        </is>
      </c>
      <c r="D194" t="inlineStr">
        <is>
          <t>Windshield Wiper Motor - 40-2034</t>
        </is>
      </c>
      <c r="E194" t="inlineStr">
        <is>
          <t>CARDONE Reman</t>
        </is>
      </c>
      <c r="F194" t="inlineStr">
        <is>
          <t>F78Z17508AA;1F2Z17508AA</t>
        </is>
      </c>
      <c r="G194" t="inlineStr">
        <is>
          <t>Ford Windstar 1997-2003</t>
        </is>
      </c>
      <c r="H194" t="inlineStr">
        <is>
          <t>Ford Windstar 1997-2000 3L V6 182cid
Ford Windstar 1997-2003 3.8L V6 232cid</t>
        </is>
      </c>
      <c r="I194" t="inlineStr">
        <is>
          <t>{"0": {"productDeskExternalKey": "CPCX|40-2034"},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{"Design Upgrade": "Yes"}, "12": {"Sustainable Choice": "Yes"}, "13": {"Lifecycle Status": "Available to Order"}, "14": {"Application Summary": "Ford Windstar 2003-97"}, "15": {"ItemLevelGTIN": "00082617512596"}, "16": {"_addonCardone": "40-2034::98271:101418:306"}, "17": {"Eligible for R&amp;R Service": "Yes"}}</t>
        </is>
      </c>
      <c r="J194" t="inlineStr">
        <is>
          <t>https://www.cardone.com/product/windshield-wiper-motor-40-2034</t>
        </is>
      </c>
      <c r="K194">
        <f>DISPIMG("ID_3160FD8BD8504B99824753844942A5E2",1)</f>
        <v/>
      </c>
      <c r="L194" t="inlineStr">
        <is>
          <t>CPCX|40-2034</t>
        </is>
      </c>
      <c r="M194" t="inlineStr">
        <is>
          <t>Wiper Motor; Instruction Sheet</t>
        </is>
      </c>
      <c r="N194" t="inlineStr">
        <is>
          <t>Yes</t>
        </is>
      </c>
      <c r="O194" t="inlineStr">
        <is>
          <t>Remanufactured</t>
        </is>
      </c>
      <c r="P194" t="inlineStr">
        <is>
          <t>3</t>
        </is>
      </c>
      <c r="Q194" t="inlineStr">
        <is>
          <t>Blade</t>
        </is>
      </c>
      <c r="R194" t="inlineStr">
        <is>
          <t>Direct Bolt</t>
        </is>
      </c>
      <c r="S194" t="inlineStr">
        <is>
          <t>3.0000</t>
        </is>
      </c>
      <c r="T194" t="inlineStr">
        <is>
          <t>No</t>
        </is>
      </c>
      <c r="U194" t="inlineStr">
        <is>
          <t>1 Year/18,000 Mile</t>
        </is>
      </c>
      <c r="V194" t="inlineStr">
        <is>
          <t>Yes</t>
        </is>
      </c>
      <c r="W194" t="inlineStr">
        <is>
          <t>Available to Order</t>
        </is>
      </c>
      <c r="X194" t="inlineStr">
        <is>
          <t>Ford Windstar 2003-97</t>
        </is>
      </c>
      <c r="Y194" t="inlineStr">
        <is>
          <t>00082617512596</t>
        </is>
      </c>
      <c r="Z194" t="inlineStr">
        <is>
          <t>40-2034::98271:101418:306</t>
        </is>
      </c>
      <c r="AA194" t="inlineStr">
        <is>
          <t>Yes</t>
        </is>
      </c>
      <c r="AB194" t="inlineStr">
        <is>
          <t>Yes</t>
        </is>
      </c>
      <c r="AC194" t="inlineStr"/>
    </row>
    <row r="195">
      <c r="A195" t="inlineStr">
        <is>
          <t>194</t>
        </is>
      </c>
      <c r="B195" t="inlineStr">
        <is>
          <t>Windshield Wiper Motor</t>
        </is>
      </c>
      <c r="C195" t="inlineStr">
        <is>
          <t>40-2035</t>
        </is>
      </c>
      <c r="D195" t="inlineStr">
        <is>
          <t>Windshield Wiper Motor - 40-2035</t>
        </is>
      </c>
      <c r="E195" t="inlineStr">
        <is>
          <t>CARDONE Reman</t>
        </is>
      </c>
      <c r="F195" t="inlineStr">
        <is>
          <t>XR8Z17508AB;XR3Z17508AB</t>
        </is>
      </c>
      <c r="G195" t="inlineStr">
        <is>
          <t>Ford Mustang 1999-2004</t>
        </is>
      </c>
      <c r="H195" t="inlineStr">
        <is>
          <t>Ford Mustang 1999-2004 3.8L V6 232cid
Ford Mustang 1999-2004 4.6L V8 281cid
Ford Mustang 2000 5.4L V8 330cid
Ford Mustang 2004 3.9L V6 238cid</t>
        </is>
      </c>
      <c r="I195" t="inlineStr">
        <is>
          <t>{"0": {"productDeskExternalKey": "CPCX|40-2035"},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{"Design Upgrade": "Yes"}, "12": {"Sustainable Choice": "Yes"}, "13": {"Lifecycle Status": "Available to Order"}, "14": {"Application Summary": "Ford Mustang 2004-99"}, "15": {"ItemLevelGTIN": "00082617569323"}, "16": {"_addonCardone": "40-2035::98271:101421:306"}, "17": {"Eligible for R&amp;R Service": "Yes"}}</t>
        </is>
      </c>
      <c r="J195" t="inlineStr">
        <is>
          <t>https://www.cardone.com/product/windshield-wiper-motor-40-2035</t>
        </is>
      </c>
      <c r="K195">
        <f>DISPIMG("ID_B7813B408F68478B930F99C499ACD3FA",1)</f>
        <v/>
      </c>
      <c r="L195" t="inlineStr">
        <is>
          <t>CPCX|40-2035</t>
        </is>
      </c>
      <c r="M195" t="inlineStr">
        <is>
          <t>Wiper Motor; Instruction Sheet</t>
        </is>
      </c>
      <c r="N195" t="inlineStr">
        <is>
          <t>Yes</t>
        </is>
      </c>
      <c r="O195" t="inlineStr">
        <is>
          <t>Remanufactured</t>
        </is>
      </c>
      <c r="P195" t="inlineStr">
        <is>
          <t>3</t>
        </is>
      </c>
      <c r="Q195" t="inlineStr">
        <is>
          <t>Blade</t>
        </is>
      </c>
      <c r="R195" t="inlineStr">
        <is>
          <t>Direct Bolt</t>
        </is>
      </c>
      <c r="S195" t="inlineStr">
        <is>
          <t>3.0000</t>
        </is>
      </c>
      <c r="T195" t="inlineStr">
        <is>
          <t>No</t>
        </is>
      </c>
      <c r="U195" t="inlineStr">
        <is>
          <t>1 Year/18,000 Mile</t>
        </is>
      </c>
      <c r="V195" t="inlineStr">
        <is>
          <t>Yes</t>
        </is>
      </c>
      <c r="W195" t="inlineStr">
        <is>
          <t>Available to Order</t>
        </is>
      </c>
      <c r="X195" t="inlineStr">
        <is>
          <t>Ford Mustang 2004-99</t>
        </is>
      </c>
      <c r="Y195" t="inlineStr">
        <is>
          <t>00082617569323</t>
        </is>
      </c>
      <c r="Z195" t="inlineStr">
        <is>
          <t>40-2035::98271:101421:306</t>
        </is>
      </c>
      <c r="AA195" t="inlineStr">
        <is>
          <t>Yes</t>
        </is>
      </c>
      <c r="AB195" t="inlineStr">
        <is>
          <t>Yes</t>
        </is>
      </c>
      <c r="AC195" t="inlineStr"/>
    </row>
    <row r="196">
      <c r="A196" t="inlineStr">
        <is>
          <t>195</t>
        </is>
      </c>
      <c r="B196" t="inlineStr">
        <is>
          <t>Windshield Wiper Motor</t>
        </is>
      </c>
      <c r="C196" t="inlineStr">
        <is>
          <t>40-2036</t>
        </is>
      </c>
      <c r="D196" t="inlineStr">
        <is>
          <t>Windshield Wiper Motor - 40-2036</t>
        </is>
      </c>
      <c r="E196" t="inlineStr">
        <is>
          <t>CARDONE Reman</t>
        </is>
      </c>
      <c r="F196" t="inlineStr">
        <is>
          <t>6W1Z17508AA;3W1Z17508AA;3L2Z17508AA;6L1Z17508BA;6L3Z17508AC;2L2Z17508AB;2L1Z17508AA;2C3Z17508AA;6L1Z17508AB;6L2Z17508AA;8C3Z17508D;8C3Z17508A;4C3Z17508AA;2L1Z17508AB;4L3Z17508AA</t>
        </is>
      </c>
      <c r="G196" t="inlineStr">
        <is>
          <t>Ford Excursion 2002-2005
Ford Expedition 2002-2006
Ford Explorer 2002-2007
Ford Explorer Sport Trac 2007
Ford F-150 2004-2007
Ford F-150 Heritage 2004
Ford F-250 Super Duty 2002-2007
Ford F-350 Super Duty 2002-2007
Ford F-450 Super Duty 2002-2007
Ford F-550 Super Duty 2002-2007
Ford Five Hundred 2005-2007
Ford Freestyle 2005-2007
Ford Lobo 2004-2007
Ford Mustang 2005-2007
Ford Thunderbird 2003-2005
Lincoln Aviator 2003-2005
Lincoln LS 2003-2006
Lincoln Mark LT 2006-2007
Lincoln Navigator 2003-2007
Lincoln Town Car 2003-2007
Mercury Montego 2005-2007
Mercury Mountaineer 2002-2007</t>
        </is>
      </c>
      <c r="H196" t="inlineStr">
        <is>
          <t>Ford Excursion 2002-2003 7.3L V8 445cid
Ford Excursion 2002-2005 5.4L V8 330cid
Ford Excursion 2002-2005 6.8L V10 415cid
Ford Excursion 2003-2005 6L V8 363cid
Ford Expedition 2002-2004 4.6L V8 281cid
Ford Expedition 2002-2006 5.4L V8 330cid
Ford Explorer 2002-2007 4.6L V8 281cid
Ford Explorer 2002-2007 4L V6 245cid
Ford Explorer Sport Trac 2007 4.6L V8 281cid
Ford Explorer Sport Trac 2007 4L V6 245cid
Ford F-150 2004-2007 4.2L V6 256cid
Ford F-150 2004-2007 4.6L V8 281cid
Ford F-150 2004-2007 5.4L V8 330cid
Ford F-150 Heritage 2004 4.2L V6 256cid
Ford F-150 Heritage 2004 4.6L V8 281cid
Ford F-150 Heritage 2004 5.4L V8 330cid
Ford F-250 Super Duty 2002-2003 7.3L V8 445cid
Ford F-250 Super Duty 2002-2007 5.4L V8 330cid
Ford F-250 Super Duty 2002-2007 6.8L V10 415cid
Ford F-250 Super Duty 2003-2007 6L V8 363cid
Ford F-350 Super Duty 2002-2003 7.3L V8 445cid
Ford F-350 Super Duty 2002-2007 5.4L V8 330cid
Ford F-350 Super Duty 2002-2007 6.8L V10 415cid
Ford F-350 Super Duty 2003-2007 6L V8 363cid
Ford F-450 Super Duty 2002-2003 7.3L V8 445cid
Ford F-450 Super Duty 2002-2007 6.8L V10 415cid
Ford F-450 Super Duty 2003-2007 6L V8 363cid
Ford F-550 Super Duty 2002-2003 7.3L V8 445cid
Ford F-550 Super Duty 2002-2007 6.8L V10 415cid
Ford F-550 Super Duty 2003-2007 6L V8 363cid
Ford Five Hundred 2005-2007 3L V6 181cid
Ford Freestyle 2005-2007 3L V6 181cid
Ford Lobo 2004-2007 4.6L V8 281cid
Ford Lobo 2004-2007 5.4L V8 330cid
Ford Mustang 2005-2007 4.6L V8 281cid
Ford Mustang 2005-2007 4L V6 245cid
Ford Mustang 2007 5.4L V8 330cid
Ford Thunderbird 2003-2005 3.9L V8 242cid
Lincoln Aviator 2003-2005 4.6L V8 281cid
Lincoln LS 2003-2005 3L V6 181cid
Lincoln LS 2003-2006 3.9L V8 242cid
Lincoln Mark LT 2006-2007 5.4L V8 330cid
Lincoln Navigator 2003-2007 5.4L V8 330cid
Lincoln Town Car 2003-2007 4.6L V8 281cid
Mercury Montego 2005-2007 3L V6 181cid
Mercury Mountaineer 2002-2007 4.6L V8 281cid
Mercury Mountaineer 2002-2007 4L V6 245cid</t>
        </is>
      </c>
      <c r="I196" t="inlineStr">
        <is>
          <t>{"0": {"productDeskExternalKey": "CPCX|40-2036"}, "1": {"Package Contents": "Wiper Motor; Instruction Sheet"}, "2": {"E-Waste": "Yes"}, "3": {"Product Condition": "Remanufactured"}, "4": {"Mounting Hole Quantity": "3"}, "5": {"Terminal Type": "Blade"}, "6": {"Mounting Type": "Direct Bolt"}, "7": {"Weight PG": "3.2000"}, "8": {"Washer Pump Included": "No"}, "9": {"Part Type": "Windshield Wiper Motor"}, "10": {"Warranty Info": "1 Year/18,000 Mile"}, "11": {"Design Upgrade": "Yes"}, "12": {"Sustainable Choice": "Yes"}, "13": {"Lifecycle Status": "Available to Order"}, "14": {"ItemLevelGTIN": "00082617587570"}, "15": {"_addonCardone": "40-2036::98271:101424:306"}, "16": {"Eligible for R&amp;R Service": "Yes"}}</t>
        </is>
      </c>
      <c r="J196" t="inlineStr">
        <is>
          <t>https://www.cardone.com/product/windshield-wiper-motor-40-2036</t>
        </is>
      </c>
      <c r="K196">
        <f>DISPIMG("ID_CFBA88FDC6084E92A5A3DC76697F7D61",1)</f>
        <v/>
      </c>
      <c r="L196" t="inlineStr">
        <is>
          <t>CPCX|40-2036</t>
        </is>
      </c>
      <c r="M196" t="inlineStr">
        <is>
          <t>Wiper Motor; Instruction Sheet</t>
        </is>
      </c>
      <c r="N196" t="inlineStr">
        <is>
          <t>Yes</t>
        </is>
      </c>
      <c r="O196" t="inlineStr">
        <is>
          <t>Remanufactured</t>
        </is>
      </c>
      <c r="P196" t="inlineStr">
        <is>
          <t>3</t>
        </is>
      </c>
      <c r="Q196" t="inlineStr">
        <is>
          <t>Blade</t>
        </is>
      </c>
      <c r="R196" t="inlineStr">
        <is>
          <t>Direct Bolt</t>
        </is>
      </c>
      <c r="S196" t="inlineStr">
        <is>
          <t>3.2000</t>
        </is>
      </c>
      <c r="T196" t="inlineStr">
        <is>
          <t>No</t>
        </is>
      </c>
      <c r="U196" t="inlineStr">
        <is>
          <t>1 Year/18,000 Mile</t>
        </is>
      </c>
      <c r="V196" t="inlineStr">
        <is>
          <t>Yes</t>
        </is>
      </c>
      <c r="W196" t="inlineStr">
        <is>
          <t>Available to Order</t>
        </is>
      </c>
      <c r="X196" t="inlineStr"/>
      <c r="Y196" t="inlineStr">
        <is>
          <t>00082617587570</t>
        </is>
      </c>
      <c r="Z196" t="inlineStr">
        <is>
          <t>40-2036::98271:101424:306</t>
        </is>
      </c>
      <c r="AA196" t="inlineStr">
        <is>
          <t>Yes</t>
        </is>
      </c>
      <c r="AB196" t="inlineStr">
        <is>
          <t>Yes</t>
        </is>
      </c>
      <c r="AC196" t="inlineStr"/>
    </row>
    <row r="197">
      <c r="A197" t="inlineStr">
        <is>
          <t>196</t>
        </is>
      </c>
      <c r="B197" t="inlineStr">
        <is>
          <t>Windshield Wiper Motor</t>
        </is>
      </c>
      <c r="C197" t="inlineStr">
        <is>
          <t>40-2037</t>
        </is>
      </c>
      <c r="D197" t="inlineStr">
        <is>
          <t>Windshield Wiper Motor - 40-2037</t>
        </is>
      </c>
      <c r="E197" t="inlineStr">
        <is>
          <t>CARDONE Reman</t>
        </is>
      </c>
      <c r="F197" t="inlineStr">
        <is>
          <t>F9PZ17508AA</t>
        </is>
      </c>
      <c r="G197" t="inlineStr">
        <is>
          <t>Ford F-700 1995-1998
Ford F-800 1995-1999
Ford F-Super Duty 1995-1997</t>
        </is>
      </c>
      <c r="H197" t="inlineStr">
        <is>
          <t>Ford F-700 1995-1997 5.9L L6 359cid
Ford F-700 1995-1998 7L V8 429cid
Ford F-800 1995-1998 8.3L L6 504cid
Ford F-800 1995-1999 5.9L L6 359cid
Ford F-800 1997-1998 7L V8 429cid
Ford F-Super Duty 1995-1997 7.3L V8 445cid
Ford F-Super Duty 1995-1997 7.5L V8 460cid</t>
        </is>
      </c>
      <c r="I197" t="inlineStr">
        <is>
          <t>{"0": {"productDeskExternalKey": "CPCX|40-2037"}, "1": {"Package Contents": "Wiper Motor; Instruction Sheet"}, "2": {"E-Waste": "Yes"}, "3": {"Product Condition": "Remanufactured"}, "4": {"Mounting Hole Quantity": "3"}, "5": {"Terminal Type": "Blade"}, "6": {"Mounting Type": "Direct Bolt"}, "7": {"Weight PG": "3.1600"}, "8": {"Washer Pump Included": "No"}, "9": {"Part Type": "Windshield Wiper Motor"}, "10": {"Warranty Info": "1 Year/18,000 Mile"}, "11": {"Design Upgrade": "Yes"}, "12": {"Sustainable Choice": "Yes"}, "13": {"Lifecycle Status": "Available to Order"}, "14": {"Application Summary": "Ford F-700 1998-95, F-800 1999-95, F-Super Duty 1997-95"}, "15": {"ItemLevelGTIN": "00082617587686"}, "16": {"_addonCardone": "40-2037::98271:101428:306"}, "17": {"Eligible for R&amp;R Service": "Yes"}}</t>
        </is>
      </c>
      <c r="J197" t="inlineStr">
        <is>
          <t>https://www.cardone.com/product/windshield-wiper-motor-40-2037</t>
        </is>
      </c>
      <c r="K197">
        <f>DISPIMG("ID_49B1D94805E24357A60908BA5B5AE3A1",1)</f>
        <v/>
      </c>
      <c r="L197" t="inlineStr">
        <is>
          <t>CPCX|40-2037</t>
        </is>
      </c>
      <c r="M197" t="inlineStr">
        <is>
          <t>Wiper Motor; Instruction Sheet</t>
        </is>
      </c>
      <c r="N197" t="inlineStr">
        <is>
          <t>Yes</t>
        </is>
      </c>
      <c r="O197" t="inlineStr">
        <is>
          <t>Remanufactured</t>
        </is>
      </c>
      <c r="P197" t="inlineStr">
        <is>
          <t>3</t>
        </is>
      </c>
      <c r="Q197" t="inlineStr">
        <is>
          <t>Blade</t>
        </is>
      </c>
      <c r="R197" t="inlineStr">
        <is>
          <t>Direct Bolt</t>
        </is>
      </c>
      <c r="S197" t="inlineStr">
        <is>
          <t>3.1600</t>
        </is>
      </c>
      <c r="T197" t="inlineStr">
        <is>
          <t>No</t>
        </is>
      </c>
      <c r="U197" t="inlineStr">
        <is>
          <t>1 Year/18,000 Mile</t>
        </is>
      </c>
      <c r="V197" t="inlineStr">
        <is>
          <t>Yes</t>
        </is>
      </c>
      <c r="W197" t="inlineStr">
        <is>
          <t>Available to Order</t>
        </is>
      </c>
      <c r="X197" t="inlineStr">
        <is>
          <t>Ford F-700 1998-95, F-800 1999-95, F-Super Duty 1997-95</t>
        </is>
      </c>
      <c r="Y197" t="inlineStr">
        <is>
          <t>00082617587686</t>
        </is>
      </c>
      <c r="Z197" t="inlineStr">
        <is>
          <t>40-2037::98271:101428:306</t>
        </is>
      </c>
      <c r="AA197" t="inlineStr">
        <is>
          <t>Yes</t>
        </is>
      </c>
      <c r="AB197" t="inlineStr">
        <is>
          <t>Yes</t>
        </is>
      </c>
      <c r="AC197" t="inlineStr"/>
    </row>
    <row r="198">
      <c r="A198" t="inlineStr">
        <is>
          <t>197</t>
        </is>
      </c>
      <c r="B198" t="inlineStr">
        <is>
          <t>Windshield Wiper Motor</t>
        </is>
      </c>
      <c r="C198" t="inlineStr">
        <is>
          <t>40-2038</t>
        </is>
      </c>
      <c r="D198" t="inlineStr">
        <is>
          <t>Windshield Wiper Motor - 40-2038</t>
        </is>
      </c>
      <c r="E198" t="inlineStr">
        <is>
          <t>CARDONE Reman</t>
        </is>
      </c>
      <c r="F198" t="inlineStr">
        <is>
          <t>YS4Z17508CA;2M5Z17508AA;YS4Z17508BB;6S4Z17508AA;2M5Z17508AB</t>
        </is>
      </c>
      <c r="G198" t="inlineStr">
        <is>
          <t>Ford Focus 2000-2007</t>
        </is>
      </c>
      <c r="H198" t="inlineStr">
        <is>
          <t>Ford Focus 2000-2004 2L L4 121cid
Ford Focus 2003-2007 2.3L L4 140cid
Ford Focus 2005-2007 2L L4 122cid</t>
        </is>
      </c>
      <c r="I198" t="inlineStr">
        <is>
          <t>{"0": {"productDeskExternalKey": "CPCX|40-2038"}, "1": {"Package Contents": "Wiper Motor; Instruction Sheet"}, "2": {"E-Waste": "Yes"}, "3": {"Product Condition": "Remanufactured"}, "4": {"Mounting Hole Quantity": "3"}, "5": {"Terminal Type": "Blade"}, "6": {"Mounting Type": "Direct Bolt"}, "7": {"Weight PG": "3.1600"}, "8": {"Washer Pump Included": "No"}, "9": {"Part Type": "Windshield Wiper Motor"}, "10": {"Warranty Info": "1 Year/18,000 Mile"}, "11": {"Design Upgrade": "Yes"}, "12": {"Sustainable Choice": "Yes"}, "13": {"Lifecycle Status": "Available to Order"}, "14": {"Application Summary": "Ford Focus 2007-00"}, "15": {"ItemLevelGTIN": "00082617588805"}, "16": {"_addonCardone": "40-2038::98271:101431:306"}, "17": {"Eligible for R&amp;R Service": "Yes"}}</t>
        </is>
      </c>
      <c r="J198" t="inlineStr">
        <is>
          <t>https://www.cardone.com/product/windshield-wiper-motor-40-2038</t>
        </is>
      </c>
      <c r="K198">
        <f>DISPIMG("ID_0DF8529A41A548B58CF3F8AA67872DFF",1)</f>
        <v/>
      </c>
      <c r="L198" t="inlineStr">
        <is>
          <t>CPCX|40-2038</t>
        </is>
      </c>
      <c r="M198" t="inlineStr">
        <is>
          <t>Wiper Motor; Instruction Sheet</t>
        </is>
      </c>
      <c r="N198" t="inlineStr">
        <is>
          <t>Yes</t>
        </is>
      </c>
      <c r="O198" t="inlineStr">
        <is>
          <t>Remanufactured</t>
        </is>
      </c>
      <c r="P198" t="inlineStr">
        <is>
          <t>3</t>
        </is>
      </c>
      <c r="Q198" t="inlineStr">
        <is>
          <t>Blade</t>
        </is>
      </c>
      <c r="R198" t="inlineStr">
        <is>
          <t>Direct Bolt</t>
        </is>
      </c>
      <c r="S198" t="inlineStr">
        <is>
          <t>3.1600</t>
        </is>
      </c>
      <c r="T198" t="inlineStr">
        <is>
          <t>No</t>
        </is>
      </c>
      <c r="U198" t="inlineStr">
        <is>
          <t>1 Year/18,000 Mile</t>
        </is>
      </c>
      <c r="V198" t="inlineStr">
        <is>
          <t>Yes</t>
        </is>
      </c>
      <c r="W198" t="inlineStr">
        <is>
          <t>Available to Order</t>
        </is>
      </c>
      <c r="X198" t="inlineStr">
        <is>
          <t>Ford Focus 2007-00</t>
        </is>
      </c>
      <c r="Y198" t="inlineStr">
        <is>
          <t>00082617588805</t>
        </is>
      </c>
      <c r="Z198" t="inlineStr">
        <is>
          <t>40-2038::98271:101431:306</t>
        </is>
      </c>
      <c r="AA198" t="inlineStr">
        <is>
          <t>Yes</t>
        </is>
      </c>
      <c r="AB198" t="inlineStr">
        <is>
          <t>Yes</t>
        </is>
      </c>
      <c r="AC198" t="inlineStr"/>
    </row>
    <row r="199">
      <c r="A199" t="inlineStr">
        <is>
          <t>198</t>
        </is>
      </c>
      <c r="B199" t="inlineStr">
        <is>
          <t>Windshield Wiper Motor</t>
        </is>
      </c>
      <c r="C199" t="inlineStr">
        <is>
          <t>40-2039</t>
        </is>
      </c>
      <c r="D199" t="inlineStr">
        <is>
          <t>Windshield Wiper Motor - 40-2039</t>
        </is>
      </c>
      <c r="E199" t="inlineStr">
        <is>
          <t>CARDONE Reman</t>
        </is>
      </c>
      <c r="F199" t="inlineStr">
        <is>
          <t>2F2Z17508AA</t>
        </is>
      </c>
      <c r="G199" t="inlineStr">
        <is>
          <t>Ford Windstar 2002-2003</t>
        </is>
      </c>
      <c r="H199" t="inlineStr">
        <is>
          <t>Ford Windstar 2002-2003 3.8L V6 232cid</t>
        </is>
      </c>
      <c r="I199" t="inlineStr">
        <is>
          <t>{"0": {"productDeskExternalKey": "CPCX|40-2039"}, "1": {"Package Contents": "Wiper Motor; Instruction Sheet"}, "2": {"E-Waste": "Yes"}, "3": {"Product Condition": "Remanufactured"}, "4": {"Mounting Hole Quantity": "3"}, "5": {"Terminal Type": "Pin"}, "6": {"Mounting Type": "Grommet"}, "7": {"Weight PG": "2.5000"}, "8": {"Washer Pump Included": "No"}, "9": {"Part Type": "Windshield Wiper Motor"}, "10": {"Warranty Info": "1 Year/18,000 Mile"}, "11": {"Sustainable Choice": "Yes"}, "12": {"Lifecycle Status": "Available to Order"}, "13": {"Application Summary": "Ford Windstar 2003-02"}, "14": {"ItemLevelGTIN": "00082617594677"}, "15": {"_addonCardone": "40-2039::98271:101436:306"}, "16": {"Eligible for R&amp;R Service": "Yes"}}</t>
        </is>
      </c>
      <c r="J199" t="inlineStr">
        <is>
          <t>https://www.cardone.com/product/windshield-wiper-motor-40-2039</t>
        </is>
      </c>
      <c r="K199">
        <f>DISPIMG("ID_0EF69E35ED4F471AA043DAB83B7DAD2A",1)</f>
        <v/>
      </c>
      <c r="L199" t="inlineStr">
        <is>
          <t>CPCX|40-2039</t>
        </is>
      </c>
      <c r="M199" t="inlineStr">
        <is>
          <t>Wiper Motor; Instruction Sheet</t>
        </is>
      </c>
      <c r="N199" t="inlineStr">
        <is>
          <t>Yes</t>
        </is>
      </c>
      <c r="O199" t="inlineStr">
        <is>
          <t>Remanufactured</t>
        </is>
      </c>
      <c r="P199" t="inlineStr">
        <is>
          <t>3</t>
        </is>
      </c>
      <c r="Q199" t="inlineStr">
        <is>
          <t>Pin</t>
        </is>
      </c>
      <c r="R199" t="inlineStr">
        <is>
          <t>Grommet</t>
        </is>
      </c>
      <c r="S199" t="inlineStr">
        <is>
          <t>2.5000</t>
        </is>
      </c>
      <c r="T199" t="inlineStr">
        <is>
          <t>No</t>
        </is>
      </c>
      <c r="U199" t="inlineStr">
        <is>
          <t>1 Year/18,000 Mile</t>
        </is>
      </c>
      <c r="V199" t="inlineStr">
        <is>
          <t>Yes</t>
        </is>
      </c>
      <c r="W199" t="inlineStr">
        <is>
          <t>Available to Order</t>
        </is>
      </c>
      <c r="X199" t="inlineStr">
        <is>
          <t>Ford Windstar 2003-02</t>
        </is>
      </c>
      <c r="Y199" t="inlineStr">
        <is>
          <t>00082617594677</t>
        </is>
      </c>
      <c r="Z199" t="inlineStr">
        <is>
          <t>40-2039::98271:101436:306</t>
        </is>
      </c>
      <c r="AA199" t="inlineStr">
        <is>
          <t>Yes</t>
        </is>
      </c>
      <c r="AB199" t="inlineStr"/>
      <c r="AC199" t="inlineStr"/>
    </row>
    <row r="200">
      <c r="A200" t="inlineStr">
        <is>
          <t>199</t>
        </is>
      </c>
      <c r="B200" t="inlineStr">
        <is>
          <t>Windshield Wiper Motor</t>
        </is>
      </c>
      <c r="C200" t="inlineStr">
        <is>
          <t>40-2040</t>
        </is>
      </c>
      <c r="D200" t="inlineStr">
        <is>
          <t>Windshield Wiper Motor - 40-2040</t>
        </is>
      </c>
      <c r="E200" t="inlineStr">
        <is>
          <t>CARDONE Reman</t>
        </is>
      </c>
      <c r="F200" t="inlineStr">
        <is>
          <t>3L2Z17508AB;2L2Z17508AA</t>
        </is>
      </c>
      <c r="G200" t="inlineStr">
        <is>
          <t>Ford Explorer 2002-2005
Mercury Mountaineer 2002-2005</t>
        </is>
      </c>
      <c r="H200" t="inlineStr">
        <is>
          <t>Ford Explorer 2002-2005 4.6L V8 281cid
Ford Explorer 2002-2005 4L V6 245cid
Mercury Mountaineer 2002-2005 4.6L V8 281cid
Mercury Mountaineer 2002-2005 4L V6 245cid</t>
        </is>
      </c>
      <c r="I200" t="inlineStr">
        <is>
          <t>{"0": {"productDeskExternalKey": "CPCX|40-2040"}, "1": {"Package Contents": "Wiper Motor; Instruction Sheet"}, "2": {"E-Waste": "Yes"}, "3": {"Product Condition": "Remanufactured"}, "4": {"Mounting Hole Quantity": "2"}, "5": {"Terminal Type": "Blade"}, "6": {"Mounting Type": "Grommet"}, "7": {"Weight PG": "4.0000"}, "8": {"Washer Pump Included": "No"}, "9": {"Part Type": "Windshield Wiper Motor"}, "10": {"Warranty Info": "1 Year/18,000 Mile"}, "11": {"Sustainable Choice": "Yes"}, "12": {"Lifecycle Status": "Available to Order"}, "13": {"Application Summary": "Ford Explorer 2005-02; Mercury Mountaineer 2005-02"}, "14": {"ItemLevelGTIN": "00082617594684"}, "15": {"_addonCardone": "40-2040::98271:101439:306"}, "16": {"Eligible for R&amp;R Service": "Yes"}}</t>
        </is>
      </c>
      <c r="J200" t="inlineStr">
        <is>
          <t>https://www.cardone.com/product/windshield-wiper-motor-40-2040</t>
        </is>
      </c>
      <c r="K200">
        <f>DISPIMG("ID_1B52654A337440EC8BC1FBC3BB33EBFF",1)</f>
        <v/>
      </c>
      <c r="L200" t="inlineStr">
        <is>
          <t>CPCX|40-2040</t>
        </is>
      </c>
      <c r="M200" t="inlineStr">
        <is>
          <t>Wiper Motor; Instruction Sheet</t>
        </is>
      </c>
      <c r="N200" t="inlineStr">
        <is>
          <t>Yes</t>
        </is>
      </c>
      <c r="O200" t="inlineStr">
        <is>
          <t>Remanufactured</t>
        </is>
      </c>
      <c r="P200" t="inlineStr">
        <is>
          <t>2</t>
        </is>
      </c>
      <c r="Q200" t="inlineStr">
        <is>
          <t>Blade</t>
        </is>
      </c>
      <c r="R200" t="inlineStr">
        <is>
          <t>Grommet</t>
        </is>
      </c>
      <c r="S200" t="inlineStr">
        <is>
          <t>4.0000</t>
        </is>
      </c>
      <c r="T200" t="inlineStr">
        <is>
          <t>No</t>
        </is>
      </c>
      <c r="U200" t="inlineStr">
        <is>
          <t>1 Year/18,000 Mile</t>
        </is>
      </c>
      <c r="V200" t="inlineStr">
        <is>
          <t>Yes</t>
        </is>
      </c>
      <c r="W200" t="inlineStr">
        <is>
          <t>Available to Order</t>
        </is>
      </c>
      <c r="X200" t="inlineStr">
        <is>
          <t>Ford Explorer 2005-02; Mercury Mountaineer 2005-02</t>
        </is>
      </c>
      <c r="Y200" t="inlineStr">
        <is>
          <t>00082617594684</t>
        </is>
      </c>
      <c r="Z200" t="inlineStr">
        <is>
          <t>40-2040::98271:101439:306</t>
        </is>
      </c>
      <c r="AA200" t="inlineStr">
        <is>
          <t>Yes</t>
        </is>
      </c>
      <c r="AB200" t="inlineStr"/>
      <c r="AC200" t="inlineStr"/>
    </row>
    <row r="201">
      <c r="A201" t="inlineStr">
        <is>
          <t>200</t>
        </is>
      </c>
      <c r="B201" t="inlineStr">
        <is>
          <t>Windshield Wiper Motor</t>
        </is>
      </c>
      <c r="C201" t="inlineStr">
        <is>
          <t>40-2041</t>
        </is>
      </c>
      <c r="D201" t="inlineStr">
        <is>
          <t>Windshield Wiper Motor - 40-2041</t>
        </is>
      </c>
      <c r="E201" t="inlineStr">
        <is>
          <t>CARDONE Reman</t>
        </is>
      </c>
      <c r="F201" t="inlineStr">
        <is>
          <t>7S4Z17508A;YS4Z17508AB;YS4Z17508AA</t>
        </is>
      </c>
      <c r="G201" t="inlineStr">
        <is>
          <t>Ford Focus 2000-2008</t>
        </is>
      </c>
      <c r="H201" t="inlineStr">
        <is>
          <t>Ford Focus 2000-2004 2L L4 121cid
Ford Focus 2003-2007 2.3L L4 140cid
Ford Focus 2005-2008 2L L4 122cid</t>
        </is>
      </c>
      <c r="I201" t="inlineStr">
        <is>
          <t>{"0": {"productDeskExternalKey": "CPCX|40-2041"}, "1": {"Package Contents": "Wiper Motor; Instruction Sheet"}, "2": {"E-Waste": "Yes"}, "3": {"Product Condition": "Remanufactured"}, "4": {"Mounting Hole Quantity": "3"}, "5": {"Terminal Type": "Pin"}, "6": {"Mounting Type": "Grommet"}, "7": {"Weight PG": "2.2250"}, "8": {"Washer Pump Included": "No"}, "9": {"Part Type": "Windshield Wiper Motor"}, "10": {"Warranty Info": "1 Year/18,000 Mile"}, "11": {"Sustainable Choice": "Yes"}, "12": {"Lifecycle Status": "Available to Order"}, "13": {"Application Summary": "Ford Focus 2008-00"}, "14": {"ItemLevelGTIN": "00082617594691"}, "15": {"_addonCardone": "40-2041::98271:101442:306"}, "16": {"Eligible for R&amp;R Service": "Yes"}}</t>
        </is>
      </c>
      <c r="J201" t="inlineStr">
        <is>
          <t>https://www.cardone.com/product/windshield-wiper-motor-40-2041</t>
        </is>
      </c>
      <c r="K201">
        <f>DISPIMG("ID_87B42945D64F49068277A05A1A0C2080",1)</f>
        <v/>
      </c>
      <c r="L201" t="inlineStr">
        <is>
          <t>CPCX|40-2041</t>
        </is>
      </c>
      <c r="M201" t="inlineStr">
        <is>
          <t>Wiper Motor; Instruction Sheet</t>
        </is>
      </c>
      <c r="N201" t="inlineStr">
        <is>
          <t>Yes</t>
        </is>
      </c>
      <c r="O201" t="inlineStr">
        <is>
          <t>Remanufactured</t>
        </is>
      </c>
      <c r="P201" t="inlineStr">
        <is>
          <t>3</t>
        </is>
      </c>
      <c r="Q201" t="inlineStr">
        <is>
          <t>Pin</t>
        </is>
      </c>
      <c r="R201" t="inlineStr">
        <is>
          <t>Grommet</t>
        </is>
      </c>
      <c r="S201" t="inlineStr">
        <is>
          <t>2.2250</t>
        </is>
      </c>
      <c r="T201" t="inlineStr">
        <is>
          <t>No</t>
        </is>
      </c>
      <c r="U201" t="inlineStr">
        <is>
          <t>1 Year/18,000 Mile</t>
        </is>
      </c>
      <c r="V201" t="inlineStr">
        <is>
          <t>Yes</t>
        </is>
      </c>
      <c r="W201" t="inlineStr">
        <is>
          <t>Available to Order</t>
        </is>
      </c>
      <c r="X201" t="inlineStr">
        <is>
          <t>Ford Focus 2008-00</t>
        </is>
      </c>
      <c r="Y201" t="inlineStr">
        <is>
          <t>00082617594691</t>
        </is>
      </c>
      <c r="Z201" t="inlineStr">
        <is>
          <t>40-2041::98271:101442:306</t>
        </is>
      </c>
      <c r="AA201" t="inlineStr">
        <is>
          <t>Yes</t>
        </is>
      </c>
      <c r="AB201" t="inlineStr"/>
      <c r="AC201" t="inlineStr"/>
    </row>
    <row r="202">
      <c r="A202" t="inlineStr">
        <is>
          <t>201</t>
        </is>
      </c>
      <c r="B202" t="inlineStr">
        <is>
          <t>Windshield Wiper Motor</t>
        </is>
      </c>
      <c r="C202" t="inlineStr">
        <is>
          <t>40-2042</t>
        </is>
      </c>
      <c r="D202" t="inlineStr">
        <is>
          <t>Windshield Wiper Motor - 40-2042</t>
        </is>
      </c>
      <c r="E202" t="inlineStr">
        <is>
          <t>CARDONE Reman</t>
        </is>
      </c>
      <c r="F202" t="inlineStr">
        <is>
          <t>YF5Z17508BA</t>
        </is>
      </c>
      <c r="G202" t="inlineStr"/>
      <c r="H202" t="inlineStr"/>
      <c r="I202" t="inlineStr">
        <is>
          <t>{"0": {"productDeskExternalKey": "CPCX|40-2042"}, "1": {"Package Contents": "Wiper Motor; Instruction Sheet"}, "2": {"E-Waste": "Yes"}, "3": {"Product Condition": "Remanufactured"}, "4": {"Mounting Hole Quantity": "3"}, "5": {"Terminal Type": "Blade"}, "6": {"Mounting Type": "Grommet"}, "7": {"Weight PG": "3.5000"}, "8": {"Washer Pump Included": "No"}, "9": {"Part Type": "Windshield Wiper Motor"}, "10": {"Warranty Info": "1 Year/18,000 Mile"}, "11": {"Sustainable Choice": "Yes"}, "12": {"Lifecycle Status": "Available to Order"}, "13": {"Application Summary": "Mercury Villager 2002-99"}, "14": {"ItemLevelGTIN": "00082617594707"}, "15": {"_addonCardone": "40-2042::98384:114539:510"}, "16": {"Eligible for R&amp;R Service": "Yes"}}</t>
        </is>
      </c>
      <c r="J202" t="inlineStr">
        <is>
          <t>https://www.cardone.com/product/windshield-wiper-motor-40-2042</t>
        </is>
      </c>
      <c r="K202">
        <f>DISPIMG("ID_505C2FBDD2D64EA1B81BC148EE59F731",1)</f>
        <v/>
      </c>
      <c r="L202" t="inlineStr">
        <is>
          <t>CPCX|40-2042</t>
        </is>
      </c>
      <c r="M202" t="inlineStr">
        <is>
          <t>Wiper Motor; Instruction Sheet</t>
        </is>
      </c>
      <c r="N202" t="inlineStr">
        <is>
          <t>Yes</t>
        </is>
      </c>
      <c r="O202" t="inlineStr">
        <is>
          <t>Remanufactured</t>
        </is>
      </c>
      <c r="P202" t="inlineStr">
        <is>
          <t>3</t>
        </is>
      </c>
      <c r="Q202" t="inlineStr">
        <is>
          <t>Blade</t>
        </is>
      </c>
      <c r="R202" t="inlineStr">
        <is>
          <t>Grommet</t>
        </is>
      </c>
      <c r="S202" t="inlineStr">
        <is>
          <t>3.5000</t>
        </is>
      </c>
      <c r="T202" t="inlineStr">
        <is>
          <t>No</t>
        </is>
      </c>
      <c r="U202" t="inlineStr">
        <is>
          <t>1 Year/18,000 Mile</t>
        </is>
      </c>
      <c r="V202" t="inlineStr">
        <is>
          <t>Yes</t>
        </is>
      </c>
      <c r="W202" t="inlineStr">
        <is>
          <t>Available to Order</t>
        </is>
      </c>
      <c r="X202" t="inlineStr">
        <is>
          <t>Mercury Villager 2002-99</t>
        </is>
      </c>
      <c r="Y202" t="inlineStr">
        <is>
          <t>00082617594707</t>
        </is>
      </c>
      <c r="Z202" t="inlineStr">
        <is>
          <t>40-2042::98384:114539:510</t>
        </is>
      </c>
      <c r="AA202" t="inlineStr">
        <is>
          <t>Yes</t>
        </is>
      </c>
      <c r="AB202" t="inlineStr"/>
      <c r="AC202" t="inlineStr"/>
    </row>
    <row r="203">
      <c r="A203" t="inlineStr">
        <is>
          <t>202</t>
        </is>
      </c>
      <c r="B203" t="inlineStr">
        <is>
          <t>Windshield Wiper Motor</t>
        </is>
      </c>
      <c r="C203" t="inlineStr">
        <is>
          <t>40-2043</t>
        </is>
      </c>
      <c r="D203" t="inlineStr">
        <is>
          <t>Windshield Wiper Motor - 40-2043</t>
        </is>
      </c>
      <c r="E203" t="inlineStr">
        <is>
          <t>CARDONE Reman</t>
        </is>
      </c>
      <c r="F203" t="inlineStr">
        <is>
          <t>F8RZ17508EA</t>
        </is>
      </c>
      <c r="G203" t="inlineStr">
        <is>
          <t>Mercury Cougar 1999-2002</t>
        </is>
      </c>
      <c r="H203" t="inlineStr">
        <is>
          <t>Mercury Cougar 1999-2002 2.5L V6 155cid
Mercury Cougar 1999-2002 2L L4 121cid</t>
        </is>
      </c>
      <c r="I203" t="inlineStr">
        <is>
          <t>{"0": {"productDeskExternalKey": "CPCX|40-2043"}, "1": {"Package Contents": "Wiper Motor; Instruction Sheet"}, "2": {"E-Waste": "Yes"}, "3": {"Product Condition": "Remanufactured"}, "4": {"Mounting Hole Quantity": "3"}, "5": {"Terminal Type": "Pin"}, "6": {"Mounting Type": "Grommet"}, "7": {"Weight PG": "2.5000"}, "8": {"Washer Pump Included": "No"}, "9": {"Part Type": "Windshield Wiper Motor"}, "10": {"Warranty Info": "1 Year/18,000 Mile"}, "11": {"Sustainable Choice": "Yes"}, "12": {"Lifecycle Status": "Available to Order"}, "13": {"Application Summary": "Mercury Cougar 2002-99"}, "14": {"ItemLevelGTIN": "00082617594714"}, "15": {"_addonCardone": "40-2043::98384:114546:510"}, "16": {"Eligible for R&amp;R Service": "Yes"}}</t>
        </is>
      </c>
      <c r="J203" t="inlineStr">
        <is>
          <t>https://www.cardone.com/product/windshield-wiper-motor-40-2043</t>
        </is>
      </c>
      <c r="K203">
        <f>DISPIMG("ID_EFC676FA25554A1C85C3D9C9E4C7B22C",1)</f>
        <v/>
      </c>
      <c r="L203" t="inlineStr">
        <is>
          <t>CPCX|40-2043</t>
        </is>
      </c>
      <c r="M203" t="inlineStr">
        <is>
          <t>Wiper Motor; Instruction Sheet</t>
        </is>
      </c>
      <c r="N203" t="inlineStr">
        <is>
          <t>Yes</t>
        </is>
      </c>
      <c r="O203" t="inlineStr">
        <is>
          <t>Remanufactured</t>
        </is>
      </c>
      <c r="P203" t="inlineStr">
        <is>
          <t>3</t>
        </is>
      </c>
      <c r="Q203" t="inlineStr">
        <is>
          <t>Pin</t>
        </is>
      </c>
      <c r="R203" t="inlineStr">
        <is>
          <t>Grommet</t>
        </is>
      </c>
      <c r="S203" t="inlineStr">
        <is>
          <t>2.5000</t>
        </is>
      </c>
      <c r="T203" t="inlineStr">
        <is>
          <t>No</t>
        </is>
      </c>
      <c r="U203" t="inlineStr">
        <is>
          <t>1 Year/18,000 Mile</t>
        </is>
      </c>
      <c r="V203" t="inlineStr">
        <is>
          <t>Yes</t>
        </is>
      </c>
      <c r="W203" t="inlineStr">
        <is>
          <t>Available to Order</t>
        </is>
      </c>
      <c r="X203" t="inlineStr">
        <is>
          <t>Mercury Cougar 2002-99</t>
        </is>
      </c>
      <c r="Y203" t="inlineStr">
        <is>
          <t>00082617594714</t>
        </is>
      </c>
      <c r="Z203" t="inlineStr">
        <is>
          <t>40-2043::98384:114546:510</t>
        </is>
      </c>
      <c r="AA203" t="inlineStr">
        <is>
          <t>Yes</t>
        </is>
      </c>
      <c r="AB203" t="inlineStr"/>
      <c r="AC203" t="inlineStr"/>
    </row>
    <row r="204">
      <c r="A204" t="inlineStr">
        <is>
          <t>203</t>
        </is>
      </c>
      <c r="B204" t="inlineStr">
        <is>
          <t>Windshield Wiper Motor</t>
        </is>
      </c>
      <c r="C204" t="inlineStr">
        <is>
          <t>40-2044</t>
        </is>
      </c>
      <c r="D204" t="inlineStr">
        <is>
          <t>Windshield Wiper Motor - 40-2044</t>
        </is>
      </c>
      <c r="E204" t="inlineStr">
        <is>
          <t>CARDONE Reman</t>
        </is>
      </c>
      <c r="F204" t="inlineStr">
        <is>
          <t>4L8Z17508AB;ECY1674L0G;EC0167450A;YL8Z17508AB</t>
        </is>
      </c>
      <c r="G204" t="inlineStr">
        <is>
          <t>Ford Escape 2001-2007
Mazda Tribute 2001-2006
Mercury Mariner 2005-2007</t>
        </is>
      </c>
      <c r="H204" t="inlineStr">
        <is>
          <t>Ford Escape 2001-2004 2L L4 121cid
Ford Escape 2001-2007 3L V6 181cid
Ford Escape 2005-2007 2.3L L4 140cid
Mazda Tribute 2001-2004 2L L4 121cid
Mazda Tribute 2001-2006 3L V6 181cid
Mazda Tribute 2005-2006 2.3L L4 140cid
Mercury Mariner 2005-2007 2.3L L4 140cid
Mercury Mariner 2005-2007 3L V6 181cid</t>
        </is>
      </c>
      <c r="I204" t="inlineStr">
        <is>
          <t>{"0": {"productDeskExternalKey": "CPCX|40-2044"}, "1": {"Package Contents": "Wiper Motor; Instruction Sheet"}, "2": {"E-Waste": "Yes"}, "3": {"Product Condition": "Remanufactured"}, "4": {"Mounting Hole Quantity": "2"}, "5": {"Terminal Type": "Blade"}, "6": {"Mounting Type": "Grommet"}, "7": {"Weight PG": "2.2200"}, "8": {"Washer Pump Included": "No"}, "9": {"Part Type": "Windshield Wiper Motor"}, "10": {"Warranty Info": "1 Year/18,000 Mile"}, "11": {"Sustainable Choice": "Yes"}, "12": {"Lifecycle Status": "Available to Order"}, "13": {"Application Summary": "Ford Escape 2007-01; Mazda Tribute 2006-01; Mercury Mariner 2007-05"}, "14": {"ItemLevelGTIN": "00082617594721"}, "15": {"_addonCardone": "40-2044::98384:114551:510"}, "16": {"Eligible for R&amp;R Service": "Yes"}}</t>
        </is>
      </c>
      <c r="J204" t="inlineStr">
        <is>
          <t>https://www.cardone.com/product/windshield-wiper-motor-40-2044</t>
        </is>
      </c>
      <c r="K204">
        <f>DISPIMG("ID_1C84E52222174D679C4DE01ABECB0780",1)</f>
        <v/>
      </c>
      <c r="L204" t="inlineStr">
        <is>
          <t>CPCX|40-2044</t>
        </is>
      </c>
      <c r="M204" t="inlineStr">
        <is>
          <t>Wiper Motor; Instruction Sheet</t>
        </is>
      </c>
      <c r="N204" t="inlineStr">
        <is>
          <t>Yes</t>
        </is>
      </c>
      <c r="O204" t="inlineStr">
        <is>
          <t>Remanufactured</t>
        </is>
      </c>
      <c r="P204" t="inlineStr">
        <is>
          <t>2</t>
        </is>
      </c>
      <c r="Q204" t="inlineStr">
        <is>
          <t>Blade</t>
        </is>
      </c>
      <c r="R204" t="inlineStr">
        <is>
          <t>Grommet</t>
        </is>
      </c>
      <c r="S204" t="inlineStr">
        <is>
          <t>2.2200</t>
        </is>
      </c>
      <c r="T204" t="inlineStr">
        <is>
          <t>No</t>
        </is>
      </c>
      <c r="U204" t="inlineStr">
        <is>
          <t>1 Year/18,000 Mile</t>
        </is>
      </c>
      <c r="V204" t="inlineStr">
        <is>
          <t>Yes</t>
        </is>
      </c>
      <c r="W204" t="inlineStr">
        <is>
          <t>Available to Order</t>
        </is>
      </c>
      <c r="X204" t="inlineStr">
        <is>
          <t>Ford Escape 2007-01; Mazda Tribute 2006-01; Mercury Mariner 2007-05</t>
        </is>
      </c>
      <c r="Y204" t="inlineStr">
        <is>
          <t>00082617594721</t>
        </is>
      </c>
      <c r="Z204" t="inlineStr">
        <is>
          <t>40-2044::98384:114551:510</t>
        </is>
      </c>
      <c r="AA204" t="inlineStr">
        <is>
          <t>Yes</t>
        </is>
      </c>
      <c r="AB204" t="inlineStr"/>
      <c r="AC204" t="inlineStr"/>
    </row>
    <row r="205">
      <c r="A205" t="inlineStr">
        <is>
          <t>204</t>
        </is>
      </c>
      <c r="B205" t="inlineStr">
        <is>
          <t>Windshield Wiper Motor</t>
        </is>
      </c>
      <c r="C205" t="inlineStr">
        <is>
          <t>40-2045</t>
        </is>
      </c>
      <c r="D205" t="inlineStr">
        <is>
          <t>Windshield Wiper Motor - 40-2045</t>
        </is>
      </c>
      <c r="E205" t="inlineStr">
        <is>
          <t>CARDONE Reman</t>
        </is>
      </c>
      <c r="F205" t="inlineStr">
        <is>
          <t>YS4Z17508BB;7S4Z17508B;YS4Z17508BA</t>
        </is>
      </c>
      <c r="G205" t="inlineStr">
        <is>
          <t>Ford Focus 2000-2007</t>
        </is>
      </c>
      <c r="H205" t="inlineStr">
        <is>
          <t>Ford Focus 2000-2004 2L L4 121cid
Ford Focus 2003-2004 2.3L L4 140cid
Ford Focus 2005-2007 2L L4 122cid</t>
        </is>
      </c>
      <c r="I205" t="inlineStr">
        <is>
          <t>{"0": {"productDeskExternalKey": "CPCX|40-2045"}, "1": {"Package Contents": "Wiper Motor; Instruction Sheet"}, "2": {"E-Waste": "Yes"}, "3": {"Product Condition": "Remanufactured"}, "4": {"Mounting Hole Quantity": "3"}, "5": {"Terminal Type": "Pin"}, "6": {"Mounting Type": "Grommet"}, "7": {"Weight PG": "2.2250"}, "8": {"Washer Pump Included": "No"}, "9": {"Part Type": "Windshield Wiper Motor"}, "10": {"Warranty Info": "1 Year/18,000 Mile"}, "11": {"Sustainable Choice": "Yes"}, "12": {"Lifecycle Status": "Available to Order"}, "13": {"Application Summary": "Ford Focus 2007-00"}, "14": {"ItemLevelGTIN": "00082617594738"}, "15": {"_addonCardone": "40-2045::98384:114557:510"}, "16": {"Eligible for R&amp;R Service": "Yes"}}</t>
        </is>
      </c>
      <c r="J205" t="inlineStr">
        <is>
          <t>https://www.cardone.com/product/windshield-wiper-motor-40-2045</t>
        </is>
      </c>
      <c r="K205">
        <f>DISPIMG("ID_1B41E82A3E8A47A199A40B772B1DE7FA",1)</f>
        <v/>
      </c>
      <c r="L205" t="inlineStr">
        <is>
          <t>CPCX|40-2045</t>
        </is>
      </c>
      <c r="M205" t="inlineStr">
        <is>
          <t>Wiper Motor; Instruction Sheet</t>
        </is>
      </c>
      <c r="N205" t="inlineStr">
        <is>
          <t>Yes</t>
        </is>
      </c>
      <c r="O205" t="inlineStr">
        <is>
          <t>Remanufactured</t>
        </is>
      </c>
      <c r="P205" t="inlineStr">
        <is>
          <t>3</t>
        </is>
      </c>
      <c r="Q205" t="inlineStr">
        <is>
          <t>Pin</t>
        </is>
      </c>
      <c r="R205" t="inlineStr">
        <is>
          <t>Grommet</t>
        </is>
      </c>
      <c r="S205" t="inlineStr">
        <is>
          <t>2.2250</t>
        </is>
      </c>
      <c r="T205" t="inlineStr">
        <is>
          <t>No</t>
        </is>
      </c>
      <c r="U205" t="inlineStr">
        <is>
          <t>1 Year/18,000 Mile</t>
        </is>
      </c>
      <c r="V205" t="inlineStr">
        <is>
          <t>Yes</t>
        </is>
      </c>
      <c r="W205" t="inlineStr">
        <is>
          <t>Available to Order</t>
        </is>
      </c>
      <c r="X205" t="inlineStr">
        <is>
          <t>Ford Focus 2007-00</t>
        </is>
      </c>
      <c r="Y205" t="inlineStr">
        <is>
          <t>00082617594738</t>
        </is>
      </c>
      <c r="Z205" t="inlineStr">
        <is>
          <t>40-2045::98384:114557:510</t>
        </is>
      </c>
      <c r="AA205" t="inlineStr">
        <is>
          <t>Yes</t>
        </is>
      </c>
      <c r="AB205" t="inlineStr"/>
      <c r="AC205" t="inlineStr"/>
    </row>
    <row r="206">
      <c r="A206" t="inlineStr">
        <is>
          <t>205</t>
        </is>
      </c>
      <c r="B206" t="inlineStr">
        <is>
          <t>Windshield Wiper Motor</t>
        </is>
      </c>
      <c r="C206" t="inlineStr">
        <is>
          <t>40-2046</t>
        </is>
      </c>
      <c r="D206" t="inlineStr">
        <is>
          <t>Windshield Wiper Motor - 40-2046</t>
        </is>
      </c>
      <c r="E206" t="inlineStr">
        <is>
          <t>CARDONE Reman</t>
        </is>
      </c>
      <c r="F206" t="inlineStr">
        <is>
          <t>1L2Z17508AA</t>
        </is>
      </c>
      <c r="G206" t="inlineStr">
        <is>
          <t>Ford Explorer 2002
Mercury Mountaineer 2002</t>
        </is>
      </c>
      <c r="H206" t="inlineStr">
        <is>
          <t>Ford Explorer 2002 4.6L V8 281cid
Ford Explorer 2002 4L V6 245cid
Mercury Mountaineer 2002 4.6L V8 281cid
Mercury Mountaineer 2002 4L V6 245cid</t>
        </is>
      </c>
      <c r="I206" t="inlineStr">
        <is>
          <t>{"0": {"productDeskExternalKey": "CPCX|40-2046"}, "1": {"Package Contents": "Wiper Motor; Instruction Sheet"}, "2": {"E-Waste": "Yes"}, "3": {"Product Condition": "Remanufactured"}, "4": {"Mounting Hole Quantity": "2"}, "5": {"Terminal Type": "Blade"}, "6": {"Mounting Type": "Grommet"}, "7": {"Weight PG": "3.0000"}, "8": {"Washer Pump Included": "No"}, "9": {"Part Type": "Windshield Wiper Motor"}, "10": {"Warranty Info": "1 Year/18,000 Mile"}, "11": {"Sustainable Choice": "Yes"}, "12": {"Lifecycle Status": "Available to Order"}, "13": {"Application Summary": "Ford Explorer 2002; Mercury Mountaineer 2002"}, "14": {"ItemLevelGTIN": "00082617594745"}, "15": {"_addonCardone": "40-2046::98384:114561:510"}, "16": {"Eligible for R&amp;R Service": "Yes"}}</t>
        </is>
      </c>
      <c r="J206" t="inlineStr">
        <is>
          <t>https://www.cardone.com/product/windshield-wiper-motor-40-2046</t>
        </is>
      </c>
      <c r="K206">
        <f>DISPIMG("ID_664CCF1ACBBE4B7486FA9F1037C8C5EE",1)</f>
        <v/>
      </c>
      <c r="L206" t="inlineStr">
        <is>
          <t>CPCX|40-2046</t>
        </is>
      </c>
      <c r="M206" t="inlineStr">
        <is>
          <t>Wiper Motor; Instruction Sheet</t>
        </is>
      </c>
      <c r="N206" t="inlineStr">
        <is>
          <t>Yes</t>
        </is>
      </c>
      <c r="O206" t="inlineStr">
        <is>
          <t>Remanufactured</t>
        </is>
      </c>
      <c r="P206" t="inlineStr">
        <is>
          <t>2</t>
        </is>
      </c>
      <c r="Q206" t="inlineStr">
        <is>
          <t>Blade</t>
        </is>
      </c>
      <c r="R206" t="inlineStr">
        <is>
          <t>Grommet</t>
        </is>
      </c>
      <c r="S206" t="inlineStr">
        <is>
          <t>3.0000</t>
        </is>
      </c>
      <c r="T206" t="inlineStr">
        <is>
          <t>No</t>
        </is>
      </c>
      <c r="U206" t="inlineStr">
        <is>
          <t>1 Year/18,000 Mile</t>
        </is>
      </c>
      <c r="V206" t="inlineStr">
        <is>
          <t>Yes</t>
        </is>
      </c>
      <c r="W206" t="inlineStr">
        <is>
          <t>Available to Order</t>
        </is>
      </c>
      <c r="X206" t="inlineStr">
        <is>
          <t>Ford Explorer 2002; Mercury Mountaineer 2002</t>
        </is>
      </c>
      <c r="Y206" t="inlineStr">
        <is>
          <t>00082617594745</t>
        </is>
      </c>
      <c r="Z206" t="inlineStr">
        <is>
          <t>40-2046::98384:114561:510</t>
        </is>
      </c>
      <c r="AA206" t="inlineStr">
        <is>
          <t>Yes</t>
        </is>
      </c>
      <c r="AB206" t="inlineStr"/>
      <c r="AC206" t="inlineStr"/>
    </row>
    <row r="207">
      <c r="A207" t="inlineStr">
        <is>
          <t>206</t>
        </is>
      </c>
      <c r="B207" t="inlineStr">
        <is>
          <t>Windshield Wiper Motor</t>
        </is>
      </c>
      <c r="C207" t="inlineStr">
        <is>
          <t>40-2047</t>
        </is>
      </c>
      <c r="D207" t="inlineStr">
        <is>
          <t>Windshield Wiper Motor - 40-2047</t>
        </is>
      </c>
      <c r="E207" t="inlineStr">
        <is>
          <t>CARDONE Reman</t>
        </is>
      </c>
      <c r="F207" t="inlineStr">
        <is>
          <t>1C7Z17508AA</t>
        </is>
      </c>
      <c r="G207" t="inlineStr">
        <is>
          <t>Ford Excursion 2000-2001</t>
        </is>
      </c>
      <c r="H207" t="inlineStr">
        <is>
          <t>Ford Excursion 2000-2001 5.4L V8 330cid
Ford Excursion 2000-2001 6.8L V10 415cid
Ford Excursion 2000-2001 7.3L V8 445cid</t>
        </is>
      </c>
      <c r="I207" t="inlineStr">
        <is>
          <t>{"0": {"productDeskExternalKey": "CPCX|40-2047"}, "1": {"Package Contents": "Wiper Motor; Instruction Sheet"}, "2": {"E-Waste": "Yes"}, "3": {"Product Condition": "Remanufactured"}, "4": {"Mounting Hole Quantity": "3"}, "5": {"Terminal Type": "Blade"}, "6": {"Mounting Type": "Direct Bolt"}, "7": {"Weight PG": "2.9500"}, "8": {"Washer Pump Included": "No"}, "9": {"Part Type": "Windshield Wiper Motor"}, "10": {"Warranty Info": "1 Year/18,000 Mile"}, "11": {"Sustainable Choice": "Yes"}, "12": {"Lifecycle Status": "Available to Order"}, "13": {"Application Summary": "Ford Excursion 2001-00"}, "14": {"ItemLevelGTIN": "00082617594783"}, "15": {"_addonCardone": "40-2047::98384:114568:510"}, "16": {"Eligible for R&amp;R Service": "Yes"}}</t>
        </is>
      </c>
      <c r="J207" t="inlineStr">
        <is>
          <t>https://www.cardone.com/product/windshield-wiper-motor-40-2047</t>
        </is>
      </c>
      <c r="K207">
        <f>DISPIMG("ID_C6568504A2144A1E9295644830F8467C",1)</f>
        <v/>
      </c>
      <c r="L207" t="inlineStr">
        <is>
          <t>CPCX|40-2047</t>
        </is>
      </c>
      <c r="M207" t="inlineStr">
        <is>
          <t>Wiper Motor; Instruction Sheet</t>
        </is>
      </c>
      <c r="N207" t="inlineStr">
        <is>
          <t>Yes</t>
        </is>
      </c>
      <c r="O207" t="inlineStr">
        <is>
          <t>Remanufactured</t>
        </is>
      </c>
      <c r="P207" t="inlineStr">
        <is>
          <t>3</t>
        </is>
      </c>
      <c r="Q207" t="inlineStr">
        <is>
          <t>Blade</t>
        </is>
      </c>
      <c r="R207" t="inlineStr">
        <is>
          <t>Direct Bolt</t>
        </is>
      </c>
      <c r="S207" t="inlineStr">
        <is>
          <t>2.9500</t>
        </is>
      </c>
      <c r="T207" t="inlineStr">
        <is>
          <t>No</t>
        </is>
      </c>
      <c r="U207" t="inlineStr">
        <is>
          <t>1 Year/18,000 Mile</t>
        </is>
      </c>
      <c r="V207" t="inlineStr">
        <is>
          <t>Yes</t>
        </is>
      </c>
      <c r="W207" t="inlineStr">
        <is>
          <t>Available to Order</t>
        </is>
      </c>
      <c r="X207" t="inlineStr">
        <is>
          <t>Ford Excursion 2001-00</t>
        </is>
      </c>
      <c r="Y207" t="inlineStr">
        <is>
          <t>00082617594783</t>
        </is>
      </c>
      <c r="Z207" t="inlineStr">
        <is>
          <t>40-2047::98384:114568:510</t>
        </is>
      </c>
      <c r="AA207" t="inlineStr">
        <is>
          <t>Yes</t>
        </is>
      </c>
      <c r="AB207" t="inlineStr"/>
      <c r="AC207" t="inlineStr"/>
    </row>
    <row r="208">
      <c r="A208" t="inlineStr">
        <is>
          <t>207</t>
        </is>
      </c>
      <c r="B208" t="inlineStr">
        <is>
          <t>Windshield Wiper Motor</t>
        </is>
      </c>
      <c r="C208" t="inlineStr">
        <is>
          <t>40-2048</t>
        </is>
      </c>
      <c r="D208" t="inlineStr">
        <is>
          <t>Windshield Wiper Motor - 40-2048</t>
        </is>
      </c>
      <c r="E208" t="inlineStr">
        <is>
          <t>CARDONE Reman</t>
        </is>
      </c>
      <c r="F208" t="inlineStr">
        <is>
          <t>5C2Z17508AA;3L5Z17508AA;3W7Z17508AA;5L2Z17508AB;8C2Z17508B</t>
        </is>
      </c>
      <c r="G208" t="inlineStr">
        <is>
          <t>Ford Crown Victoria 2003-2006
Ford E-150 2005-2014
Ford E-150 Club Wagon 2005
Ford E-150 Econoline 2007-2008
Ford E-250 2005-2014
Ford E-350 Club Wagon 2005
Ford E-350 Super Duty 2005-2021
Ford E-450 Super Duty 2005-2019
Ford Econoline 2005-2006
Ford Econoline Van 2010-2014
Ford Econoline Wagon 2010-2014
Ford Explorer Sport Trac 2004-2005
Ford Grand Marquis 2003-2004
Mercury Grand Marquis 2003-2006
Mercury Marauder 2003-2004</t>
        </is>
      </c>
      <c r="H208" t="inlineStr">
        <is>
          <t>Ford Crown Victoria 2003-2006 4.6L V8 281cid
Ford E-150 2005-2014 4.6L V8 281cid
Ford E-150 2005-2014 5.4L V8 330cid
Ford E-150 Club Wagon 2005 4.6L V8 281cid
Ford E-150 Club Wagon 2005 5.4L V8 330cid
Ford E-150 Econoline 2007-2008 5.4L V8 330cid
Ford E-250 2005-2014 4.6L V8 281cid
Ford E-250 2005-2014 5.4L V8 330cid
Ford E-350 Club Wagon 2005 5.4L V8 330cid
Ford E-350 Club Wagon 2005 6.8L V10 415cid
Ford E-350 Club Wagon 2005 6L V8 363cid
Ford E-350 Super Duty 2005-2010 6L V8 363cid
Ford E-350 Super Duty 2005-2016 5.4L V8 330cid
Ford E-350 Super Duty 2005-2019 6.8L V10 415cid
Ford E-350 Super Duty 2017-2019 6.2L V8 379cid
Ford E-350 Super Duty 2021 7.3L V8 445cid
Ford E-450 Super Duty 2005-2010 6L V8 363cid
Ford E-450 Super Duty 2005-2019 6.8L V10 415cid
Ford E-450 Super Duty 2006-2016 5.4L V8 330cid
Ford E-450 Super Duty 2017-2019 6.2L V8 379cid
Ford Econoline 2005-2006 4.6L V8 281cid
Ford Econoline 2005-2006 5.4L V8 330cid
Ford Econoline Van 2010-2014 4.6L V8 281cid
Ford Econoline Wagon 2010-2014 4.6L V8 281cid
Ford Econoline Wagon 2010-2014 5.4L V8 330cid
Ford Explorer Sport Trac 2004-2005 4L V6 245cid
Ford Grand Marquis 2003-2004 4.6L V8 281cid
Mercury Grand Marquis 2003-2006 4.6L V8 281cid
Mercury Marauder 2003-2004 4.6L V8 281cid</t>
        </is>
      </c>
      <c r="I208" t="inlineStr">
        <is>
          <t>{"0": {"productDeskExternalKey": "CPCX|40-2048"}, "1": {"Package Contents": "Wiper Motor; Instruction Sheet"}, "2": {"E-Waste": "Yes"}, "3": {"Product Condition": "Remanufactured"}, "4": {"Mounting Hole Quantity": "3"}, "5": {"Terminal Type": "Blade"}, "6": {"Mounting Type": "Direct Bolt"}, "7": {"Weight PG": "3.2000"}, "8": {"Washer Pump Included": "No"}, "9": {"Part Type": "Windshield Wiper Motor"}, "10": {"Warranty Info": "1 Year/18,000 Mile"}, "11": {"Design Upgrade": "Yes"}, "12": {"Sustainable Choice": "Yes"}, "13": {"Lifecycle Status": "Available to Order"}, "14": {"ItemLevelGTIN": "00082617632614"}, "15": {"_addonCardone": "40-2048::98384:114573:510"}, "16": {"Eligible for R&amp;R Service": "Yes"}}</t>
        </is>
      </c>
      <c r="J208" t="inlineStr">
        <is>
          <t>https://www.cardone.com/product/windshield-wiper-motor-40-2048</t>
        </is>
      </c>
      <c r="K208">
        <f>DISPIMG("ID_A8AED3A9516C459EA1BB1F23005EA083",1)</f>
        <v/>
      </c>
      <c r="L208" t="inlineStr">
        <is>
          <t>CPCX|40-2048</t>
        </is>
      </c>
      <c r="M208" t="inlineStr">
        <is>
          <t>Wiper Motor; Instruction Sheet</t>
        </is>
      </c>
      <c r="N208" t="inlineStr">
        <is>
          <t>Yes</t>
        </is>
      </c>
      <c r="O208" t="inlineStr">
        <is>
          <t>Remanufactured</t>
        </is>
      </c>
      <c r="P208" t="inlineStr">
        <is>
          <t>3</t>
        </is>
      </c>
      <c r="Q208" t="inlineStr">
        <is>
          <t>Blade</t>
        </is>
      </c>
      <c r="R208" t="inlineStr">
        <is>
          <t>Direct Bolt</t>
        </is>
      </c>
      <c r="S208" t="inlineStr">
        <is>
          <t>3.2000</t>
        </is>
      </c>
      <c r="T208" t="inlineStr">
        <is>
          <t>No</t>
        </is>
      </c>
      <c r="U208" t="inlineStr">
        <is>
          <t>1 Year/18,000 Mile</t>
        </is>
      </c>
      <c r="V208" t="inlineStr">
        <is>
          <t>Yes</t>
        </is>
      </c>
      <c r="W208" t="inlineStr">
        <is>
          <t>Available to Order</t>
        </is>
      </c>
      <c r="X208" t="inlineStr"/>
      <c r="Y208" t="inlineStr">
        <is>
          <t>00082617632614</t>
        </is>
      </c>
      <c r="Z208" t="inlineStr">
        <is>
          <t>40-2048::98384:114573:510</t>
        </is>
      </c>
      <c r="AA208" t="inlineStr">
        <is>
          <t>Yes</t>
        </is>
      </c>
      <c r="AB208" t="inlineStr">
        <is>
          <t>Yes</t>
        </is>
      </c>
      <c r="AC208" t="inlineStr"/>
    </row>
    <row r="209">
      <c r="A209" t="inlineStr">
        <is>
          <t>208</t>
        </is>
      </c>
      <c r="B209" t="inlineStr">
        <is>
          <t>Windshield Wiper Motor</t>
        </is>
      </c>
      <c r="C209" t="inlineStr">
        <is>
          <t>40-205</t>
        </is>
      </c>
      <c r="D209" t="inlineStr">
        <is>
          <t>Windshield Wiper Motor - 40-205</t>
        </is>
      </c>
      <c r="E209" t="inlineStr">
        <is>
          <t>CARDONE Reman</t>
        </is>
      </c>
      <c r="F209" t="inlineStr">
        <is>
          <t>E92Z17508B</t>
        </is>
      </c>
      <c r="G209" t="inlineStr">
        <is>
          <t>Ford Probe 1989-1992</t>
        </is>
      </c>
      <c r="H209" t="inlineStr">
        <is>
          <t>Ford Probe 1989-1992 2.2L L4 133cid
Ford Probe 1990-1992 3L V6 182cid</t>
        </is>
      </c>
      <c r="I209" t="inlineStr">
        <is>
          <t>{"0": {"productDeskExternalKey": "CPCX|40-205"}, "1": {"Package Contents": "Wiper Motor; Instruction Sheet"}, "2": {"E-Waste": "Yes"}, "3": {"Product Condition": "Remanufactured"}, "4": {"Mounting Hole Quantity": "4"}, "5": {"Terminal Type": "Pin"}, "6": {"Mounting Type": "Grommet"}, "7": {"Weight PG": "2.0000"}, "8": {"Washer Pump Included": "No"}, "9": {"Part Type": "Windshield Wiper Motor"}, "10": {"Warranty Info": "1 Year/18,000 Mile"}, "11": {"Sustainable Choice": "Yes"}, "12": {"Lifecycle Status": "Available to Order"}, "13": {"Application Summary": "Ford Probe 1992-89"}, "14": {"ItemLevelGTIN": "00082617272612"}, "15": {"_addonCardone": "40-205::98384:114578:510"}, "16": {"Eligible for R&amp;R Service": "Yes"}}</t>
        </is>
      </c>
      <c r="J209" t="inlineStr">
        <is>
          <t>https://www.cardone.com/product/windshield-wiper-motor-40-205</t>
        </is>
      </c>
      <c r="K209">
        <f>DISPIMG("ID_4403A5F16BD0460EA3037481C60F35EF",1)</f>
        <v/>
      </c>
      <c r="L209" t="inlineStr">
        <is>
          <t>CPCX|40-205</t>
        </is>
      </c>
      <c r="M209" t="inlineStr">
        <is>
          <t>Wiper Motor; Instruction Sheet</t>
        </is>
      </c>
      <c r="N209" t="inlineStr">
        <is>
          <t>Yes</t>
        </is>
      </c>
      <c r="O209" t="inlineStr">
        <is>
          <t>Remanufactured</t>
        </is>
      </c>
      <c r="P209" t="inlineStr">
        <is>
          <t>4</t>
        </is>
      </c>
      <c r="Q209" t="inlineStr">
        <is>
          <t>Pin</t>
        </is>
      </c>
      <c r="R209" t="inlineStr">
        <is>
          <t>Grommet</t>
        </is>
      </c>
      <c r="S209" t="inlineStr">
        <is>
          <t>2.0000</t>
        </is>
      </c>
      <c r="T209" t="inlineStr">
        <is>
          <t>No</t>
        </is>
      </c>
      <c r="U209" t="inlineStr">
        <is>
          <t>1 Year/18,000 Mile</t>
        </is>
      </c>
      <c r="V209" t="inlineStr">
        <is>
          <t>Yes</t>
        </is>
      </c>
      <c r="W209" t="inlineStr">
        <is>
          <t>Available to Order</t>
        </is>
      </c>
      <c r="X209" t="inlineStr">
        <is>
          <t>Ford Probe 1992-89</t>
        </is>
      </c>
      <c r="Y209" t="inlineStr">
        <is>
          <t>00082617272612</t>
        </is>
      </c>
      <c r="Z209" t="inlineStr">
        <is>
          <t>40-205::98384:114578:510</t>
        </is>
      </c>
      <c r="AA209" t="inlineStr">
        <is>
          <t>Yes</t>
        </is>
      </c>
      <c r="AB209" t="inlineStr"/>
      <c r="AC209" t="inlineStr"/>
    </row>
    <row r="210">
      <c r="A210" t="inlineStr">
        <is>
          <t>209</t>
        </is>
      </c>
      <c r="B210" t="inlineStr">
        <is>
          <t>Windshield Wiper Motor</t>
        </is>
      </c>
      <c r="C210" t="inlineStr">
        <is>
          <t>40-2054</t>
        </is>
      </c>
      <c r="D210" t="inlineStr">
        <is>
          <t>Windshield Wiper Motor - 40-2054</t>
        </is>
      </c>
      <c r="E210" t="inlineStr">
        <is>
          <t>CARDONE Reman</t>
        </is>
      </c>
      <c r="F210" t="inlineStr">
        <is>
          <t>2C7Z17508AA</t>
        </is>
      </c>
      <c r="G210" t="inlineStr">
        <is>
          <t>Ford Excursion 2002-2005</t>
        </is>
      </c>
      <c r="H210" t="inlineStr">
        <is>
          <t>Ford Excursion 2002-2003 7.3L V8 445cid
Ford Excursion 2002-2005 5.4L V8 330cid
Ford Excursion 2002-2005 6.8L V10 415cid
Ford Excursion 2003-2005 6L V8 363cid</t>
        </is>
      </c>
      <c r="I210" t="inlineStr">
        <is>
          <t>{"0": {"productDeskExternalKey": "CPCX|40-2054"}, "1": {"Package Contents": "Wiper Motor; Instruction Sheet"}, "2": {"E-Waste": "Yes"}, "3": {"Product Condition": "Remanufactured"}, "4": {"Mounting Hole Quantity": "3"}, "5": {"Terminal Type": "Blade"}, "6": {"Mounting Type": "Direct Bolt"}, "7": {"Weight PG": "3.1500"}, "8": {"Washer Pump Included": "No"}, "9": {"Part Type": "Windshield Wiper Motor"}, "10": {"Warranty Info": "1 Year/18,000 Mile"}, "11": {"Sustainable Choice": "Yes"}, "12": {"Lifecycle Status": "Available to Order"}, "13": {"Application Summary": "Ford Excursion 2005-02"}, "14": {"ItemLevelGTIN": "00082617752596"}, "15": {"_addonCardone": "40-2054::98384:114584:510"}, "16": {"Eligible for R&amp;R Service": "Yes"}}</t>
        </is>
      </c>
      <c r="J210" t="inlineStr">
        <is>
          <t>https://www.cardone.com/product/windshield-wiper-motor-40-2054</t>
        </is>
      </c>
      <c r="K210">
        <f>DISPIMG("ID_F2A5D8BDD5C34BB1AB6E302999641536",1)</f>
        <v/>
      </c>
      <c r="L210" t="inlineStr">
        <is>
          <t>CPCX|40-2054</t>
        </is>
      </c>
      <c r="M210" t="inlineStr">
        <is>
          <t>Wiper Motor; Instruction Sheet</t>
        </is>
      </c>
      <c r="N210" t="inlineStr">
        <is>
          <t>Yes</t>
        </is>
      </c>
      <c r="O210" t="inlineStr">
        <is>
          <t>Remanufactured</t>
        </is>
      </c>
      <c r="P210" t="inlineStr">
        <is>
          <t>3</t>
        </is>
      </c>
      <c r="Q210" t="inlineStr">
        <is>
          <t>Blade</t>
        </is>
      </c>
      <c r="R210" t="inlineStr">
        <is>
          <t>Direct Bolt</t>
        </is>
      </c>
      <c r="S210" t="inlineStr">
        <is>
          <t>3.1500</t>
        </is>
      </c>
      <c r="T210" t="inlineStr">
        <is>
          <t>No</t>
        </is>
      </c>
      <c r="U210" t="inlineStr">
        <is>
          <t>1 Year/18,000 Mile</t>
        </is>
      </c>
      <c r="V210" t="inlineStr">
        <is>
          <t>Yes</t>
        </is>
      </c>
      <c r="W210" t="inlineStr">
        <is>
          <t>Available to Order</t>
        </is>
      </c>
      <c r="X210" t="inlineStr">
        <is>
          <t>Ford Excursion 2005-02</t>
        </is>
      </c>
      <c r="Y210" t="inlineStr">
        <is>
          <t>00082617752596</t>
        </is>
      </c>
      <c r="Z210" t="inlineStr">
        <is>
          <t>40-2054::98384:114584:510</t>
        </is>
      </c>
      <c r="AA210" t="inlineStr">
        <is>
          <t>Yes</t>
        </is>
      </c>
      <c r="AB210" t="inlineStr"/>
      <c r="AC210" t="inlineStr"/>
    </row>
    <row r="211">
      <c r="A211" t="inlineStr">
        <is>
          <t>210</t>
        </is>
      </c>
      <c r="B211" t="inlineStr">
        <is>
          <t>Windshield Wiper Motor</t>
        </is>
      </c>
      <c r="C211" t="inlineStr">
        <is>
          <t>40-2055</t>
        </is>
      </c>
      <c r="D211" t="inlineStr">
        <is>
          <t>Windshield Wiper Motor - 40-2055</t>
        </is>
      </c>
      <c r="E211" t="inlineStr">
        <is>
          <t>CARDONE Reman</t>
        </is>
      </c>
      <c r="F211" t="inlineStr">
        <is>
          <t>3L2Z17508AC</t>
        </is>
      </c>
      <c r="G211" t="inlineStr">
        <is>
          <t>Ford Explorer Sport 2003</t>
        </is>
      </c>
      <c r="H211" t="inlineStr">
        <is>
          <t>Ford Explorer Sport 2003 4L V6 245cid</t>
        </is>
      </c>
      <c r="I211" t="inlineStr">
        <is>
          <t>{"0": {"productDeskExternalKey": "CPCX|40-2055"}, "1": {"Package Contents": "Wiper Motor; Instruction Sheet"}, "2": {"E-Waste": "Yes"}, "3": {"Product Condition": "Remanufactured"}, "4": {"Mounting Hole Quantity": "2"}, "5": {"Terminal Type": "Blade"}, "6": {"Mounting Type": "Grommet"}, "7": {"Weight PG": "2.2500"}, "8": {"Washer Pump Included": "No"}, "9": {"Part Type": "Windshield Wiper Motor"}, "10": {"Warranty Info": "1 Year/18,000 Mile"}, "11": {"Sustainable Choice": "Yes"}, "12": {"Lifecycle Status": "Available to Order"}, "13": {"Application Summary": "Ford Explorer Sport 2003"}, "14": {"ItemLevelGTIN": "00082617716000"}, "15": {"_addonCardone": "40-2055::98384:114589:510"}, "16": {"Eligible for R&amp;R Service": "Yes"}}</t>
        </is>
      </c>
      <c r="J211" t="inlineStr">
        <is>
          <t>https://www.cardone.com/product/windshield-wiper-motor-40-2055</t>
        </is>
      </c>
      <c r="K211">
        <f>DISPIMG("ID_CF69A603FC764D7495A92E93738B7CA8",1)</f>
        <v/>
      </c>
      <c r="L211" t="inlineStr">
        <is>
          <t>CPCX|40-2055</t>
        </is>
      </c>
      <c r="M211" t="inlineStr">
        <is>
          <t>Wiper Motor; Instruction Sheet</t>
        </is>
      </c>
      <c r="N211" t="inlineStr">
        <is>
          <t>Yes</t>
        </is>
      </c>
      <c r="O211" t="inlineStr">
        <is>
          <t>Remanufactured</t>
        </is>
      </c>
      <c r="P211" t="inlineStr">
        <is>
          <t>2</t>
        </is>
      </c>
      <c r="Q211" t="inlineStr">
        <is>
          <t>Blade</t>
        </is>
      </c>
      <c r="R211" t="inlineStr">
        <is>
          <t>Grommet</t>
        </is>
      </c>
      <c r="S211" t="inlineStr">
        <is>
          <t>2.2500</t>
        </is>
      </c>
      <c r="T211" t="inlineStr">
        <is>
          <t>No</t>
        </is>
      </c>
      <c r="U211" t="inlineStr">
        <is>
          <t>1 Year/18,000 Mile</t>
        </is>
      </c>
      <c r="V211" t="inlineStr">
        <is>
          <t>Yes</t>
        </is>
      </c>
      <c r="W211" t="inlineStr">
        <is>
          <t>Available to Order</t>
        </is>
      </c>
      <c r="X211" t="inlineStr">
        <is>
          <t>Ford Explorer Sport 2003</t>
        </is>
      </c>
      <c r="Y211" t="inlineStr">
        <is>
          <t>00082617716000</t>
        </is>
      </c>
      <c r="Z211" t="inlineStr">
        <is>
          <t>40-2055::98384:114589:510</t>
        </is>
      </c>
      <c r="AA211" t="inlineStr">
        <is>
          <t>Yes</t>
        </is>
      </c>
      <c r="AB211" t="inlineStr"/>
      <c r="AC211" t="inlineStr"/>
    </row>
    <row r="212">
      <c r="A212" t="inlineStr">
        <is>
          <t>211</t>
        </is>
      </c>
      <c r="B212" t="inlineStr">
        <is>
          <t>Windshield Wiper Motor</t>
        </is>
      </c>
      <c r="C212" t="inlineStr">
        <is>
          <t>40-2056</t>
        </is>
      </c>
      <c r="D212" t="inlineStr">
        <is>
          <t>Windshield Wiper Motor - 40-2056</t>
        </is>
      </c>
      <c r="E212" t="inlineStr">
        <is>
          <t>CARDONE Reman</t>
        </is>
      </c>
      <c r="F212" t="inlineStr">
        <is>
          <t>3F2Z17508AA;6F2Z17508CA</t>
        </is>
      </c>
      <c r="G212" t="inlineStr">
        <is>
          <t>Ford Freestar 2004-2007
Mercury Monterey 2004-2007</t>
        </is>
      </c>
      <c r="H212" t="inlineStr">
        <is>
          <t>Ford Freestar 2004-2007 3.9L V6 238cid
Ford Freestar 2004-2007 4.2L V6 256cid
Mercury Monterey 2004-2007 4.2L V6 256cid</t>
        </is>
      </c>
      <c r="I212" t="inlineStr">
        <is>
          <t>{"0": {"productDeskExternalKey": "CPCX|40-2056"}, "1": {"Package Contents": "Wiper Motor; Instruction Sheet"}, "2": {"E-Waste": "Yes"}, "3": {"Product Condition": "Remanufactured"}, "4": {"Mounting Hole Quantity": "3"}, "5": {"Terminal Type": "Blade"}, "6": {"Mounting Type": "Direct Bolt"}, "7": {"Weight PG": "3.4000"}, "8": {"Washer Pump Included": "No"}, "9": {"Part Type": "Windshield Wiper Motor"}, "10": {"Warranty Info": "1 Year/18,000 Mile"}, "11": {"Design Upgrade": "Yes"}, "12": {"Sustainable Choice": "Yes"}, "13": {"Lifecycle Status": "Available to Order"}, "14": {"Application Summary": "Ford Freestar 2007-04; Mercury Monterey 2007-04"}, "15": {"ItemLevelGTIN": "00082617742429"}, "16": {"_addonCardone": "40-2056::98384:114593:510"}, "17": {"Eligible for R&amp;R Service": "Yes"}}</t>
        </is>
      </c>
      <c r="J212" t="inlineStr">
        <is>
          <t>https://www.cardone.com/product/windshield-wiper-motor-40-2056</t>
        </is>
      </c>
      <c r="K212">
        <f>DISPIMG("ID_768F87B7BA1D4D0185D348B5EADE1A10",1)</f>
        <v/>
      </c>
      <c r="L212" t="inlineStr">
        <is>
          <t>CPCX|40-2056</t>
        </is>
      </c>
      <c r="M212" t="inlineStr">
        <is>
          <t>Wiper Motor; Instruction Sheet</t>
        </is>
      </c>
      <c r="N212" t="inlineStr">
        <is>
          <t>Yes</t>
        </is>
      </c>
      <c r="O212" t="inlineStr">
        <is>
          <t>Remanufactured</t>
        </is>
      </c>
      <c r="P212" t="inlineStr">
        <is>
          <t>3</t>
        </is>
      </c>
      <c r="Q212" t="inlineStr">
        <is>
          <t>Blade</t>
        </is>
      </c>
      <c r="R212" t="inlineStr">
        <is>
          <t>Direct Bolt</t>
        </is>
      </c>
      <c r="S212" t="inlineStr">
        <is>
          <t>3.4000</t>
        </is>
      </c>
      <c r="T212" t="inlineStr">
        <is>
          <t>No</t>
        </is>
      </c>
      <c r="U212" t="inlineStr">
        <is>
          <t>1 Year/18,000 Mile</t>
        </is>
      </c>
      <c r="V212" t="inlineStr">
        <is>
          <t>Yes</t>
        </is>
      </c>
      <c r="W212" t="inlineStr">
        <is>
          <t>Available to Order</t>
        </is>
      </c>
      <c r="X212" t="inlineStr">
        <is>
          <t>Ford Freestar 2007-04; Mercury Monterey 2007-04</t>
        </is>
      </c>
      <c r="Y212" t="inlineStr">
        <is>
          <t>00082617742429</t>
        </is>
      </c>
      <c r="Z212" t="inlineStr">
        <is>
          <t>40-2056::98384:114593:510</t>
        </is>
      </c>
      <c r="AA212" t="inlineStr">
        <is>
          <t>Yes</t>
        </is>
      </c>
      <c r="AB212" t="inlineStr">
        <is>
          <t>Yes</t>
        </is>
      </c>
      <c r="AC212" t="inlineStr"/>
    </row>
    <row r="213">
      <c r="A213" t="inlineStr">
        <is>
          <t>212</t>
        </is>
      </c>
      <c r="B213" t="inlineStr">
        <is>
          <t>Windshield Wiper Motor</t>
        </is>
      </c>
      <c r="C213" t="inlineStr">
        <is>
          <t>40-2057</t>
        </is>
      </c>
      <c r="D213" t="inlineStr">
        <is>
          <t>Windshield Wiper Motor - 40-2057</t>
        </is>
      </c>
      <c r="E213" t="inlineStr">
        <is>
          <t>CARDONE Reman</t>
        </is>
      </c>
      <c r="F213" t="inlineStr">
        <is>
          <t>8A8Z17508A;6F2Z17508A;3F2Z17508AB;AA8Z17508A</t>
        </is>
      </c>
      <c r="G213" t="inlineStr">
        <is>
          <t>Ford Flex 2009-2012
Ford Freestar 2004-2007
Mercury Monterey 2004-2007</t>
        </is>
      </c>
      <c r="H213" t="inlineStr">
        <is>
          <t>Ford Flex 2009-2012 3.5L V6 213cid
Ford Freestar 2004-2007 3.9L V6 238cid
Ford Freestar 2004-2007 4.2L V6 256cid
Mercury Monterey 2004-2007 4.2L V6 256cid</t>
        </is>
      </c>
      <c r="I213" t="inlineStr">
        <is>
          <t>{"0": {"productDeskExternalKey": "CPCX|40-2057"}, "1": {"Package Contents": "Wiper Motor; Instruction Sheet"}, "2": {"E-Waste": "Yes"}, "3": {"Product Condition": "Remanufactured"}, "4": {"Mounting Hole Quantity": "4"}, "5": {"Terminal Type": "Blade"}, "6": {"Mounting Type": "Grommet"}, "7": {"Weight PG": "3.7000"}, "8": {"Washer Pump Included": "No"}, "9": {"Part Type": "Windshield Wiper Motor"}, "10": {"Warranty Info": "1 Year/18,000 Mile"}, "11": {"Sustainable Choice": "Yes"}, "12": {"Lifecycle Status": "Available to Order"}, "13": {"Application Summary": "Ford Flex 2012-09, Freestar 2007-04; Mercury Monterey 2007-04"}, "14": {"ItemLevelGTIN": "00082617759090"}, "15": {"_addonCardone": "40-2057::98384:114599:510"}, "16": {"Eligible for R&amp;R Service": "Yes"}}</t>
        </is>
      </c>
      <c r="J213" t="inlineStr">
        <is>
          <t>https://www.cardone.com/product/windshield-wiper-motor-40-2057</t>
        </is>
      </c>
      <c r="K213">
        <f>DISPIMG("ID_FE7A08E1EE8543F1BEC83684E3E0921C",1)</f>
        <v/>
      </c>
      <c r="L213" t="inlineStr">
        <is>
          <t>CPCX|40-2057</t>
        </is>
      </c>
      <c r="M213" t="inlineStr">
        <is>
          <t>Wiper Motor; Instruction Sheet</t>
        </is>
      </c>
      <c r="N213" t="inlineStr">
        <is>
          <t>Yes</t>
        </is>
      </c>
      <c r="O213" t="inlineStr">
        <is>
          <t>Remanufactured</t>
        </is>
      </c>
      <c r="P213" t="inlineStr">
        <is>
          <t>4</t>
        </is>
      </c>
      <c r="Q213" t="inlineStr">
        <is>
          <t>Blade</t>
        </is>
      </c>
      <c r="R213" t="inlineStr">
        <is>
          <t>Grommet</t>
        </is>
      </c>
      <c r="S213" t="inlineStr">
        <is>
          <t>3.7000</t>
        </is>
      </c>
      <c r="T213" t="inlineStr">
        <is>
          <t>No</t>
        </is>
      </c>
      <c r="U213" t="inlineStr">
        <is>
          <t>1 Year/18,000 Mile</t>
        </is>
      </c>
      <c r="V213" t="inlineStr">
        <is>
          <t>Yes</t>
        </is>
      </c>
      <c r="W213" t="inlineStr">
        <is>
          <t>Available to Order</t>
        </is>
      </c>
      <c r="X213" t="inlineStr">
        <is>
          <t>Ford Flex 2012-09, Freestar 2007-04; Mercury Monterey 2007-04</t>
        </is>
      </c>
      <c r="Y213" t="inlineStr">
        <is>
          <t>00082617759090</t>
        </is>
      </c>
      <c r="Z213" t="inlineStr">
        <is>
          <t>40-2057::98384:114599:510</t>
        </is>
      </c>
      <c r="AA213" t="inlineStr">
        <is>
          <t>Yes</t>
        </is>
      </c>
      <c r="AB213" t="inlineStr"/>
      <c r="AC213" t="inlineStr"/>
    </row>
    <row r="214">
      <c r="A214" t="inlineStr">
        <is>
          <t>213</t>
        </is>
      </c>
      <c r="B214" t="inlineStr">
        <is>
          <t>Windshield Wiper Motor</t>
        </is>
      </c>
      <c r="C214" t="inlineStr">
        <is>
          <t>40-2060</t>
        </is>
      </c>
      <c r="D214" t="inlineStr">
        <is>
          <t>Windshield Wiper Motor - 40-2060</t>
        </is>
      </c>
      <c r="E214" t="inlineStr">
        <is>
          <t>CARDONE Reman</t>
        </is>
      </c>
      <c r="F214" t="inlineStr">
        <is>
          <t>6L1Z17508AA;2L1Z17508BA</t>
        </is>
      </c>
      <c r="G214" t="inlineStr">
        <is>
          <t>Ford Expedition 2003-2008</t>
        </is>
      </c>
      <c r="H214" t="inlineStr">
        <is>
          <t>Ford Expedition 2003-2004 4.6L V8 281cid
Ford Expedition 2003-2008 5.4L V8 330cid</t>
        </is>
      </c>
      <c r="I214" t="inlineStr">
        <is>
          <t>{"0": {"productDeskExternalKey": "CPCX|40-2060"}, "1": {"Package Contents": "Wiper Motor; Instruction Sheet"}, "2": {"E-Waste": "Yes"}, "3": {"Product Condition": "Remanufactured"}, "4": {"Mounting Hole Quantity": "3"}, "5": {"Terminal Type": "Blade"}, "6": {"Mounting Type": "Direct Bolt"}, "7": {"Weight PG": "2.6000"}, "8": {"Washer Pump Included": "No"}, "9": {"Part Type": "Windshield Wiper Motor"}, "10": {"Warranty Info": "1 Year/18,000 Mile"}, "11": {"Sustainable Choice": "Yes"}, "12": {"Lifecycle Status": "Available to Order"}, "13": {"Application Summary": "Ford Expedition 2008-03; Lincoln Navigator 2008-03"}, "14": {"ItemLevelGTIN": "00082617765374"}, "15": {"_addonCardone": "40-2060::98384:114602:510"}, "16": {"Eligible for R&amp;R Service": "Yes"}}</t>
        </is>
      </c>
      <c r="J214" t="inlineStr">
        <is>
          <t>https://www.cardone.com/product/windshield-wiper-motor-40-2060</t>
        </is>
      </c>
      <c r="K214">
        <f>DISPIMG("ID_D5221B7BC6BD4C259D974C5EF0C1680E",1)</f>
        <v/>
      </c>
      <c r="L214" t="inlineStr">
        <is>
          <t>CPCX|40-2060</t>
        </is>
      </c>
      <c r="M214" t="inlineStr">
        <is>
          <t>Wiper Motor; Instruction Sheet</t>
        </is>
      </c>
      <c r="N214" t="inlineStr">
        <is>
          <t>Yes</t>
        </is>
      </c>
      <c r="O214" t="inlineStr">
        <is>
          <t>Remanufactured</t>
        </is>
      </c>
      <c r="P214" t="inlineStr">
        <is>
          <t>3</t>
        </is>
      </c>
      <c r="Q214" t="inlineStr">
        <is>
          <t>Blade</t>
        </is>
      </c>
      <c r="R214" t="inlineStr">
        <is>
          <t>Direct Bolt</t>
        </is>
      </c>
      <c r="S214" t="inlineStr">
        <is>
          <t>2.6000</t>
        </is>
      </c>
      <c r="T214" t="inlineStr">
        <is>
          <t>No</t>
        </is>
      </c>
      <c r="U214" t="inlineStr">
        <is>
          <t>1 Year/18,000 Mile</t>
        </is>
      </c>
      <c r="V214" t="inlineStr">
        <is>
          <t>Yes</t>
        </is>
      </c>
      <c r="W214" t="inlineStr">
        <is>
          <t>Available to Order</t>
        </is>
      </c>
      <c r="X214" t="inlineStr">
        <is>
          <t>Ford Expedition 2008-03; Lincoln Navigator 2008-03</t>
        </is>
      </c>
      <c r="Y214" t="inlineStr">
        <is>
          <t>00082617765374</t>
        </is>
      </c>
      <c r="Z214" t="inlineStr">
        <is>
          <t>40-2060::98384:114602:510</t>
        </is>
      </c>
      <c r="AA214" t="inlineStr">
        <is>
          <t>Yes</t>
        </is>
      </c>
      <c r="AB214" t="inlineStr"/>
      <c r="AC214" t="inlineStr"/>
    </row>
    <row r="215">
      <c r="A215" t="inlineStr">
        <is>
          <t>214</t>
        </is>
      </c>
      <c r="B215" t="inlineStr">
        <is>
          <t>Windshield Wiper Motor</t>
        </is>
      </c>
      <c r="C215" t="inlineStr">
        <is>
          <t>40-2061</t>
        </is>
      </c>
      <c r="D215" t="inlineStr">
        <is>
          <t>Windshield Wiper Motor - 40-2061</t>
        </is>
      </c>
      <c r="E215" t="inlineStr">
        <is>
          <t>CARDONE Reman</t>
        </is>
      </c>
      <c r="F215" t="inlineStr">
        <is>
          <t>5F9Z17508AA</t>
        </is>
      </c>
      <c r="G215" t="inlineStr">
        <is>
          <t>Ford Freestyle 2005-2007</t>
        </is>
      </c>
      <c r="H215" t="inlineStr">
        <is>
          <t>Ford Freestyle 2005-2007 3L V6 181cid</t>
        </is>
      </c>
      <c r="I215" t="inlineStr">
        <is>
          <t>{"0": {"productDeskExternalKey": "CPCX|40-2061"}, "1": {"Package Contents": "Wiper Motor; Instruction Sheet"}, "2": {"E-Waste": "Yes"}, "3": {"Product Condition": "Remanufactured"}, "4": {"Mounting Hole Quantity": "3"}, "5": {"Terminal Type": "Blade"}, "6": {"Mounting Type": "Grommet"}, "7": {"Weight PG": "2.3000"}, "8": {"Washer Pump Included": "No"}, "9": {"Part Type": "Windshield Wiper Motor"}, "10": {"Warranty Info": "1 Year/18,000 Mile"}, "11": {"Sustainable Choice": "Yes"}, "12": {"Lifecycle Status": "Available to Order"}, "13": {"Application Summary": "Ford Freestyle 2007-05"}, "14": {"ItemLevelGTIN": "00082617776530"}, "15": {"_addonCardone": "40-2061::98384:114607:510"}, "16": {"Eligible for R&amp;R Service": "Yes"}}</t>
        </is>
      </c>
      <c r="J215" t="inlineStr">
        <is>
          <t>https://www.cardone.com/product/windshield-wiper-motor-40-2061</t>
        </is>
      </c>
      <c r="K215">
        <f>DISPIMG("ID_032F91BD66A440D09C3C2146C21ED553",1)</f>
        <v/>
      </c>
      <c r="L215" t="inlineStr">
        <is>
          <t>CPCX|40-2061</t>
        </is>
      </c>
      <c r="M215" t="inlineStr">
        <is>
          <t>Wiper Motor; Instruction Sheet</t>
        </is>
      </c>
      <c r="N215" t="inlineStr">
        <is>
          <t>Yes</t>
        </is>
      </c>
      <c r="O215" t="inlineStr">
        <is>
          <t>Remanufactured</t>
        </is>
      </c>
      <c r="P215" t="inlineStr">
        <is>
          <t>3</t>
        </is>
      </c>
      <c r="Q215" t="inlineStr">
        <is>
          <t>Blade</t>
        </is>
      </c>
      <c r="R215" t="inlineStr">
        <is>
          <t>Grommet</t>
        </is>
      </c>
      <c r="S215" t="inlineStr">
        <is>
          <t>2.3000</t>
        </is>
      </c>
      <c r="T215" t="inlineStr">
        <is>
          <t>No</t>
        </is>
      </c>
      <c r="U215" t="inlineStr">
        <is>
          <t>1 Year/18,000 Mile</t>
        </is>
      </c>
      <c r="V215" t="inlineStr">
        <is>
          <t>Yes</t>
        </is>
      </c>
      <c r="W215" t="inlineStr">
        <is>
          <t>Available to Order</t>
        </is>
      </c>
      <c r="X215" t="inlineStr">
        <is>
          <t>Ford Freestyle 2007-05</t>
        </is>
      </c>
      <c r="Y215" t="inlineStr">
        <is>
          <t>00082617776530</t>
        </is>
      </c>
      <c r="Z215" t="inlineStr">
        <is>
          <t>40-2061::98384:114607:510</t>
        </is>
      </c>
      <c r="AA215" t="inlineStr">
        <is>
          <t>Yes</t>
        </is>
      </c>
      <c r="AB215" t="inlineStr"/>
      <c r="AC215" t="inlineStr"/>
    </row>
    <row r="216">
      <c r="A216" t="inlineStr">
        <is>
          <t>215</t>
        </is>
      </c>
      <c r="B216" t="inlineStr">
        <is>
          <t>Windshield Wiper Motor</t>
        </is>
      </c>
      <c r="C216" t="inlineStr">
        <is>
          <t>40-2062</t>
        </is>
      </c>
      <c r="D216" t="inlineStr">
        <is>
          <t>Windshield Wiper Motor - 40-2062</t>
        </is>
      </c>
      <c r="E216" t="inlineStr">
        <is>
          <t>CARDONE Reman</t>
        </is>
      </c>
      <c r="F216" t="inlineStr">
        <is>
          <t>6L2Z17508AB;7L2Z17508AA</t>
        </is>
      </c>
      <c r="G216" t="inlineStr">
        <is>
          <t>Ford Explorer 2006-2010
Mercury Mountaineer 2006-2010</t>
        </is>
      </c>
      <c r="H216" t="inlineStr">
        <is>
          <t>Ford Explorer 2006-2010 4.6L V8 281cid
Ford Explorer 2006-2010 4L V6 245cid
Mercury Mountaineer 2006-2010 4.6L V8 281cid
Mercury Mountaineer 2006-2010 4L V6 245cid</t>
        </is>
      </c>
      <c r="I216" t="inlineStr">
        <is>
          <t>{"0": {"productDeskExternalKey": "CPCX|40-2062"}, "1": {"Package Contents": "Wiper Motor; Instruction Sheet"}, "2": {"E-Waste": "Yes"}, "3": {"Product Condition": "Remanufactured"}, "4": {"Mounting Hole Quantity": "2"}, "5": {"Terminal Type": "Blade"}, "6": {"Mounting Type": "Grommet"}, "7": {"Weight PG": "1.9500"}, "8": {"Washer Pump Included": "No"}, "9": {"Part Type": "Windshield Wiper Motor"}, "10": {"Warranty Info": "1 Year/18,000 Mile"}, "11": {"Sustainable Choice": "Yes"}, "12": {"Lifecycle Status": "Available to Order"}, "13": {"Application Summary": "Ford Explorer 2010-06; Mercury Mountaineer 2010-06"}, "14": {"ItemLevelGTIN": "00082617779760"}, "15": {"_addonCardone": "40-2062::98384:114612:510"}, "16": {"Eligible for R&amp;R Service": "Yes"}}</t>
        </is>
      </c>
      <c r="J216" t="inlineStr">
        <is>
          <t>https://www.cardone.com/product/windshield-wiper-motor-40-2062</t>
        </is>
      </c>
      <c r="K216">
        <f>DISPIMG("ID_B476BF25F7AD48B2997CCD15DA8F6C71",1)</f>
        <v/>
      </c>
      <c r="L216" t="inlineStr">
        <is>
          <t>CPCX|40-2062</t>
        </is>
      </c>
      <c r="M216" t="inlineStr">
        <is>
          <t>Wiper Motor; Instruction Sheet</t>
        </is>
      </c>
      <c r="N216" t="inlineStr">
        <is>
          <t>Yes</t>
        </is>
      </c>
      <c r="O216" t="inlineStr">
        <is>
          <t>Remanufactured</t>
        </is>
      </c>
      <c r="P216" t="inlineStr">
        <is>
          <t>2</t>
        </is>
      </c>
      <c r="Q216" t="inlineStr">
        <is>
          <t>Blade</t>
        </is>
      </c>
      <c r="R216" t="inlineStr">
        <is>
          <t>Grommet</t>
        </is>
      </c>
      <c r="S216" t="inlineStr">
        <is>
          <t>1.9500</t>
        </is>
      </c>
      <c r="T216" t="inlineStr">
        <is>
          <t>No</t>
        </is>
      </c>
      <c r="U216" t="inlineStr">
        <is>
          <t>1 Year/18,000 Mile</t>
        </is>
      </c>
      <c r="V216" t="inlineStr">
        <is>
          <t>Yes</t>
        </is>
      </c>
      <c r="W216" t="inlineStr">
        <is>
          <t>Available to Order</t>
        </is>
      </c>
      <c r="X216" t="inlineStr">
        <is>
          <t>Ford Explorer 2010-06; Mercury Mountaineer 2010-06</t>
        </is>
      </c>
      <c r="Y216" t="inlineStr">
        <is>
          <t>00082617779760</t>
        </is>
      </c>
      <c r="Z216" t="inlineStr">
        <is>
          <t>40-2062::98384:114612:510</t>
        </is>
      </c>
      <c r="AA216" t="inlineStr">
        <is>
          <t>Yes</t>
        </is>
      </c>
      <c r="AB216" t="inlineStr"/>
      <c r="AC216" t="inlineStr"/>
    </row>
    <row r="217">
      <c r="A217" t="inlineStr">
        <is>
          <t>216</t>
        </is>
      </c>
      <c r="B217" t="inlineStr">
        <is>
          <t>Windshield Wiper Motor</t>
        </is>
      </c>
      <c r="C217" t="inlineStr">
        <is>
          <t>40-2063</t>
        </is>
      </c>
      <c r="D217" t="inlineStr">
        <is>
          <t>Windshield Wiper Motor - 40-2063</t>
        </is>
      </c>
      <c r="E217" t="inlineStr">
        <is>
          <t>CARDONE Reman</t>
        </is>
      </c>
      <c r="F217" t="inlineStr">
        <is>
          <t>3W4Z17508AA;6W1Z17508BA</t>
        </is>
      </c>
      <c r="G217" t="inlineStr">
        <is>
          <t>Lincoln LS 2003</t>
        </is>
      </c>
      <c r="H217" t="inlineStr">
        <is>
          <t>Lincoln LS 2003 3.9L V8 242cid
Lincoln LS 2003 3L V6 181cid</t>
        </is>
      </c>
      <c r="I217" t="inlineStr">
        <is>
          <t>{"0": {"productDeskExternalKey": "CPCX|40-2063"}, "1": {"Package Contents": "Wiper Motor; Instruction Sheet"}, "2": {"E-Waste": "Yes"}, "3": {"Product Condition": "Remanufactured"}, "4": {"Mounting Hole Quantity": "3"}, "5": {"Terminal Type": "Blade"}, "6": {"Mounting Type": "Direct Bolt"}, "7": {"Weight PG": "3.2000"}, "8": {"Washer Pump Included": "No"}, "9": {"Part Type": "Windshield Wiper Motor"}, "10": {"Warranty Info": "1 Year/18,000 Mile"}, "11": {"Design Upgrade": "Yes"}, "12": {"Sustainable Choice": "Yes"}, "13": {"Lifecycle Status": "Available to Order"}, "14": {"Application Summary": "Lincoln LS 2003"}, "15": {"ItemLevelGTIN": "00082617791359"}, "16": {"_addonCardone": "40-2063::98384:114616:510"}, "17": {"Eligible for R&amp;R Service": "Yes"}}</t>
        </is>
      </c>
      <c r="J217" t="inlineStr">
        <is>
          <t>https://www.cardone.com/product/windshield-wiper-motor-40-2063</t>
        </is>
      </c>
      <c r="K217">
        <f>DISPIMG("ID_5FA671711AD34220B4A1F051782DBAC3",1)</f>
        <v/>
      </c>
      <c r="L217" t="inlineStr">
        <is>
          <t>CPCX|40-2063</t>
        </is>
      </c>
      <c r="M217" t="inlineStr">
        <is>
          <t>Wiper Motor; Instruction Sheet</t>
        </is>
      </c>
      <c r="N217" t="inlineStr">
        <is>
          <t>Yes</t>
        </is>
      </c>
      <c r="O217" t="inlineStr">
        <is>
          <t>Remanufactured</t>
        </is>
      </c>
      <c r="P217" t="inlineStr">
        <is>
          <t>3</t>
        </is>
      </c>
      <c r="Q217" t="inlineStr">
        <is>
          <t>Blade</t>
        </is>
      </c>
      <c r="R217" t="inlineStr">
        <is>
          <t>Direct Bolt</t>
        </is>
      </c>
      <c r="S217" t="inlineStr">
        <is>
          <t>3.2000</t>
        </is>
      </c>
      <c r="T217" t="inlineStr">
        <is>
          <t>No</t>
        </is>
      </c>
      <c r="U217" t="inlineStr">
        <is>
          <t>1 Year/18,000 Mile</t>
        </is>
      </c>
      <c r="V217" t="inlineStr">
        <is>
          <t>Yes</t>
        </is>
      </c>
      <c r="W217" t="inlineStr">
        <is>
          <t>Available to Order</t>
        </is>
      </c>
      <c r="X217" t="inlineStr">
        <is>
          <t>Lincoln LS 2003</t>
        </is>
      </c>
      <c r="Y217" t="inlineStr">
        <is>
          <t>00082617791359</t>
        </is>
      </c>
      <c r="Z217" t="inlineStr">
        <is>
          <t>40-2063::98384:114616:510</t>
        </is>
      </c>
      <c r="AA217" t="inlineStr">
        <is>
          <t>Yes</t>
        </is>
      </c>
      <c r="AB217" t="inlineStr">
        <is>
          <t>Yes</t>
        </is>
      </c>
      <c r="AC217" t="inlineStr"/>
    </row>
    <row r="218">
      <c r="A218" t="inlineStr">
        <is>
          <t>217</t>
        </is>
      </c>
      <c r="B218" t="inlineStr">
        <is>
          <t>Windshield Wiper Motor</t>
        </is>
      </c>
      <c r="C218" t="inlineStr">
        <is>
          <t>40-2064</t>
        </is>
      </c>
      <c r="D218" t="inlineStr">
        <is>
          <t>Windshield Wiper Motor - 40-2064</t>
        </is>
      </c>
      <c r="E218" t="inlineStr">
        <is>
          <t>CARDONE Reman</t>
        </is>
      </c>
      <c r="F218" t="inlineStr">
        <is>
          <t>7T4Z17508C</t>
        </is>
      </c>
      <c r="G218" t="inlineStr">
        <is>
          <t>Ford Edge 2007-2010</t>
        </is>
      </c>
      <c r="H218" t="inlineStr">
        <is>
          <t>Ford Edge 2007-2010 3.5L V6 213cid</t>
        </is>
      </c>
      <c r="I218" t="inlineStr">
        <is>
          <t>{"0": {"productDeskExternalKey": "CPCX|40-2064"},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"Ford Edge 2010-07; Lincoln MKX 2010-07"}, "14": {"ItemLevelGTIN": "00082617798266"}, "15": {"_addonCardone": "40-2064::98384:114620:510"}, "16": {"Eligible for R&amp;R Service": "Yes"}}</t>
        </is>
      </c>
      <c r="J218" t="inlineStr">
        <is>
          <t>https://www.cardone.com/product/windshield-wiper-motor-40-2064</t>
        </is>
      </c>
      <c r="K218">
        <f>DISPIMG("ID_06240CA050D242FA8F0AD9F671FF8DD3",1)</f>
        <v/>
      </c>
      <c r="L218" t="inlineStr">
        <is>
          <t>CPCX|40-2064</t>
        </is>
      </c>
      <c r="M218" t="inlineStr">
        <is>
          <t>Wiper Motor; Instruction Sheet</t>
        </is>
      </c>
      <c r="N218" t="inlineStr">
        <is>
          <t>Yes</t>
        </is>
      </c>
      <c r="O218" t="inlineStr">
        <is>
          <t>Remanufactured</t>
        </is>
      </c>
      <c r="P218" t="inlineStr">
        <is>
          <t>3</t>
        </is>
      </c>
      <c r="Q218" t="inlineStr">
        <is>
          <t>Blade</t>
        </is>
      </c>
      <c r="R218" t="inlineStr">
        <is>
          <t>Grommet</t>
        </is>
      </c>
      <c r="S218" t="inlineStr">
        <is>
          <t>2.2000</t>
        </is>
      </c>
      <c r="T218" t="inlineStr">
        <is>
          <t>No</t>
        </is>
      </c>
      <c r="U218" t="inlineStr">
        <is>
          <t>1 Year/18,000 Mile</t>
        </is>
      </c>
      <c r="V218" t="inlineStr">
        <is>
          <t>Yes</t>
        </is>
      </c>
      <c r="W218" t="inlineStr">
        <is>
          <t>Available to Order</t>
        </is>
      </c>
      <c r="X218" t="inlineStr">
        <is>
          <t>Ford Edge 2010-07; Lincoln MKX 2010-07</t>
        </is>
      </c>
      <c r="Y218" t="inlineStr">
        <is>
          <t>00082617798266</t>
        </is>
      </c>
      <c r="Z218" t="inlineStr">
        <is>
          <t>40-2064::98384:114620:510</t>
        </is>
      </c>
      <c r="AA218" t="inlineStr">
        <is>
          <t>Yes</t>
        </is>
      </c>
      <c r="AB218" t="inlineStr"/>
      <c r="AC218" t="inlineStr"/>
    </row>
    <row r="219">
      <c r="A219" t="inlineStr">
        <is>
          <t>218</t>
        </is>
      </c>
      <c r="B219" t="inlineStr">
        <is>
          <t>Windshield Wiper Motor</t>
        </is>
      </c>
      <c r="C219" t="inlineStr">
        <is>
          <t>40-2067</t>
        </is>
      </c>
      <c r="D219" t="inlineStr">
        <is>
          <t>Windshield Wiper Motor - 40-2067</t>
        </is>
      </c>
      <c r="E219" t="inlineStr">
        <is>
          <t>CARDONE Reman</t>
        </is>
      </c>
      <c r="F219" t="inlineStr">
        <is>
          <t>8L8Z17508A;8L3Z17508B;8F9Z17508B;8W1Z17508A;8L3Z17508A;8L1Z17508D;8G1Z17508A;8L2Z17508A;9L3Z17508A;8L8Z17508C;8R3Z17508A;8A8Z17508B;8S4Z17508A</t>
        </is>
      </c>
      <c r="G219" t="inlineStr">
        <is>
          <t>Ford Escape 2008-2012
Ford Expedition 2008-2014
Ford Explorer 2008-2010
Ford Explorer Sport Trac 2008-2010
Ford F-150 2008-2010
Ford Flex 2009-2013
Ford Focus 2008-2011
Ford Lobo 2008-2010
Ford Mustang 2008-2014
Ford Taurus 2008-2012
Ford Taurus X 2008-2009
Lincoln Mark LT 2008
Lincoln Navigator 2008
Lincoln Town Car 2008-2011
Mercury Mariner 2008-2011
Mercury Mountaineer 2008-2010
Mercury Sable 2008-2009</t>
        </is>
      </c>
      <c r="H219" t="inlineStr">
        <is>
          <t>Ford Escape 2008 2.3L L4 140cid
Ford Escape 2008-2012 3L V6 181cid
Ford Escape 2009-2012 2.5L L4 152cid
Ford Expedition 2008-2014 5.4L V8 330cid
Ford Explorer 2008-2010 4.6L V8 281cid
Ford Explorer 2008-2010 4L V6 245cid
Ford Explorer Sport Trac 2008-2010 4.6L V8 281cid
Ford Explorer Sport Trac 2008-2010 4L V6 245cid
Ford F-150 2008-2010 4.2L V6 256cid
Ford F-150 2008-2010 4.6L V8 281cid
Ford F-150 2008-2010 5.4L V8 330cid
Ford F-150 2010 6.2L V8 379cid
Ford Flex 2009-2013 3.5L V6 213cid
Ford Focus 2008-2011 2L L4 122cid
Ford Lobo 2008-2010 4.6L V8 281cid
Ford Lobo 2008-2010 5.4L V8 330cid
Ford Mustang 2008-2010 4.6L V8 281cid
Ford Mustang 2008-2010 4L V6 245cid
Ford Mustang 2008-2012 5.4L V8 330cid
Ford Mustang 2011-2014 3.7L V6 227cid
Ford Mustang 2011-2014 5L V8 302cid
Ford Mustang 2013-2014 5.8L V8 355cid
Ford Taurus 2008-2012 3.5L V6 213cid
Ford Taurus X 2008-2009 3.5L V6 213cid
Lincoln Mark LT 2008 5.4L V8 330cid
Lincoln Navigator 2008 5.4L V8 330cid
Lincoln Town Car 2008-2011 4.6L V8 281cid
Mercury Mariner 2008 2.3L L4 140cid
Mercury Mariner 2008-2011 3L V6 181cid
Mercury Mariner 2009-2011 2.5L L4 152cid
Mercury Mountaineer 2008-2010 4.6L V8 281cid
Mercury Mountaineer 2008-2010 4L V6 245cid
Mercury Sable 2008-2009 3.5L V6 213cid</t>
        </is>
      </c>
      <c r="I219" t="inlineStr">
        <is>
          <t>{"0": {"productDeskExternalKey": "CPCX|40-2067"}, "1": {"Package Contents": "Wiper Motor; Instruction Sheet"}, "2": {"E-Waste": "Yes"}, "3": {"Product Condition": "Remanufactured"}, "4": {"Mounting Hole Quantity": "3"}, "5": {"Terminal Type": "Blade"}, "6": {"Mounting Type": "Direct Bolt"}, "7": {"Weight PG": "2.9000"}, "8": {"Washer Pump Included": "No"}, "9": {"Part Type": "Windshield Wiper Motor"}, "10": {"Warranty Info": "1 Year/18,000 Mile"}, "11": {"Design Upgrade": "Yes"}, "12": {"Sustainable Choice": "Yes"}, "13": {"Lifecycle Status": "Available to Order"}, "14": {"ItemLevelGTIN": "00082617813044"}, "15": {"_addonCardone": "40-2067::98384:114623:510"}, "16": {"Eligible for R&amp;R Service": "Yes"}}</t>
        </is>
      </c>
      <c r="J219" t="inlineStr">
        <is>
          <t>https://www.cardone.com/product/windshield-wiper-motor-40-2067</t>
        </is>
      </c>
      <c r="K219">
        <f>DISPIMG("ID_A1E2E93B474E483FB129BB3EA1D3AD6E",1)</f>
        <v/>
      </c>
      <c r="L219" t="inlineStr">
        <is>
          <t>CPCX|40-2067</t>
        </is>
      </c>
      <c r="M219" t="inlineStr">
        <is>
          <t>Wiper Motor; Instruction Sheet</t>
        </is>
      </c>
      <c r="N219" t="inlineStr">
        <is>
          <t>Yes</t>
        </is>
      </c>
      <c r="O219" t="inlineStr">
        <is>
          <t>Remanufactured</t>
        </is>
      </c>
      <c r="P219" t="inlineStr">
        <is>
          <t>3</t>
        </is>
      </c>
      <c r="Q219" t="inlineStr">
        <is>
          <t>Blade</t>
        </is>
      </c>
      <c r="R219" t="inlineStr">
        <is>
          <t>Direct Bolt</t>
        </is>
      </c>
      <c r="S219" t="inlineStr">
        <is>
          <t>2.9000</t>
        </is>
      </c>
      <c r="T219" t="inlineStr">
        <is>
          <t>No</t>
        </is>
      </c>
      <c r="U219" t="inlineStr">
        <is>
          <t>1 Year/18,000 Mile</t>
        </is>
      </c>
      <c r="V219" t="inlineStr">
        <is>
          <t>Yes</t>
        </is>
      </c>
      <c r="W219" t="inlineStr">
        <is>
          <t>Available to Order</t>
        </is>
      </c>
      <c r="X219" t="inlineStr"/>
      <c r="Y219" t="inlineStr">
        <is>
          <t>00082617813044</t>
        </is>
      </c>
      <c r="Z219" t="inlineStr">
        <is>
          <t>40-2067::98384:114623:510</t>
        </is>
      </c>
      <c r="AA219" t="inlineStr">
        <is>
          <t>Yes</t>
        </is>
      </c>
      <c r="AB219" t="inlineStr">
        <is>
          <t>Yes</t>
        </is>
      </c>
      <c r="AC219" t="inlineStr"/>
    </row>
    <row r="220">
      <c r="A220" t="inlineStr">
        <is>
          <t>219</t>
        </is>
      </c>
      <c r="B220" t="inlineStr">
        <is>
          <t>Windshield Wiper Motor</t>
        </is>
      </c>
      <c r="C220" t="inlineStr">
        <is>
          <t>40-2068</t>
        </is>
      </c>
      <c r="D220" t="inlineStr">
        <is>
          <t>Windshield Wiper Motor - 40-2068</t>
        </is>
      </c>
      <c r="E220" t="inlineStr">
        <is>
          <t>CARDONE Reman</t>
        </is>
      </c>
      <c r="F220" t="inlineStr">
        <is>
          <t>8C3Z17508C;8C3Z17508BA;8L1Z17508C;8L1Z17508A</t>
        </is>
      </c>
      <c r="G220" t="inlineStr">
        <is>
          <t>Ford Expedition 2007
Ford F-250 Super Duty 2008-2010
Ford F-350 Super Duty 2008-2010
Ford F-450 Super Duty 2008-2010
Ford F-550 Super Duty 2008-2010
Ford F-650 2008-2011
Ford F-750 2008-2011</t>
        </is>
      </c>
      <c r="H220" t="inlineStr">
        <is>
          <t>Ford Expedition 2007 5.4L V8 330cid
Ford F-250 Super Duty 2008-2010 5.4L V8 330cid
Ford F-250 Super Duty 2008-2010 6.4L V8 391cid
Ford F-250 Super Duty 2008-2010 6.8L V10 415cid
Ford F-350 Super Duty 2008-2010 5.4L V8 330cid
Ford F-350 Super Duty 2008-2010 6.4L V8 391cid
Ford F-350 Super Duty 2008-2010 6.8L V10 415cid
Ford F-350 Super Duty 2010 6.2L V8 379cid
Ford F-450 Super Duty 2008-2010 6.4L V8 391cid
Ford F-450 Super Duty 2008-2010 6.8L V10 415cid
Ford F-550 Super Duty 2008-2010 6.4L V8 391cid
Ford F-550 Super Duty 2008-2010 6.8L V10 415cid
Ford F-650 2008 5.9L L6 359cid
Ford F-650 2008 6L V8 365cid
Ford F-650 2008-2010 7.2L L6 441cid
Ford F-650 2008-2011 6.7L L6 408cid
Ford F-750 2008 5.9L L6 359cid
Ford F-750 2008 6L V8 365cid
Ford F-750 2008-2010 7.2L L6 441cid
Ford F-750 2008-2011 6.7L L6 408cid</t>
        </is>
      </c>
      <c r="I220" t="inlineStr">
        <is>
          <t>{"0": {"productDeskExternalKey": "CPCX|40-2068"},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"Ford Expedition 2007, F-250 Super Duty 2010-08, F-350 Super Duty 2010-08, F-450 Super Duty 2010-08, F-550 Super Duty 2010-08, F-650 2011-08, F-750 2011-08"}, "14": {"ItemLevelGTIN": "00082617814393"}, "15": {"_addonCardone": "40-2068::98384:114628:510"}, "16": {"Eligible for R&amp;R Service": "Yes"}}</t>
        </is>
      </c>
      <c r="J220" t="inlineStr">
        <is>
          <t>https://www.cardone.com/product/windshield-wiper-motor-40-2068</t>
        </is>
      </c>
      <c r="K220">
        <f>DISPIMG("ID_4064EF50AD08429CAA7FCF95AE32AEBF",1)</f>
        <v/>
      </c>
      <c r="L220" t="inlineStr">
        <is>
          <t>CPCX|40-2068</t>
        </is>
      </c>
      <c r="M220" t="inlineStr">
        <is>
          <t>Wiper Motor; Instruction Sheet</t>
        </is>
      </c>
      <c r="N220" t="inlineStr">
        <is>
          <t>Yes</t>
        </is>
      </c>
      <c r="O220" t="inlineStr">
        <is>
          <t>Remanufactured</t>
        </is>
      </c>
      <c r="P220" t="inlineStr">
        <is>
          <t>3</t>
        </is>
      </c>
      <c r="Q220" t="inlineStr">
        <is>
          <t>Blade</t>
        </is>
      </c>
      <c r="R220" t="inlineStr">
        <is>
          <t>Direct Bolt</t>
        </is>
      </c>
      <c r="S220" t="inlineStr">
        <is>
          <t>2.7500</t>
        </is>
      </c>
      <c r="T220" t="inlineStr">
        <is>
          <t>No</t>
        </is>
      </c>
      <c r="U220" t="inlineStr">
        <is>
          <t>1 Year/18,000 Mile</t>
        </is>
      </c>
      <c r="V220" t="inlineStr">
        <is>
          <t>Yes</t>
        </is>
      </c>
      <c r="W220" t="inlineStr">
        <is>
          <t>Available to Order</t>
        </is>
      </c>
      <c r="X220" t="inlineStr">
        <is>
          <t>Ford Expedition 2007, F-250 Super Duty 2010-08, F-350 Super Duty 2010-08, F-450 Super Duty 2010-08, F-550 Super Duty 2010-08, F-650 2011-08, F-750 2011-08</t>
        </is>
      </c>
      <c r="Y220" t="inlineStr">
        <is>
          <t>00082617814393</t>
        </is>
      </c>
      <c r="Z220" t="inlineStr">
        <is>
          <t>40-2068::98384:114628:510</t>
        </is>
      </c>
      <c r="AA220" t="inlineStr">
        <is>
          <t>Yes</t>
        </is>
      </c>
      <c r="AB220" t="inlineStr"/>
      <c r="AC220" t="inlineStr"/>
    </row>
    <row r="221">
      <c r="A221" t="inlineStr">
        <is>
          <t>220</t>
        </is>
      </c>
      <c r="B221" t="inlineStr">
        <is>
          <t>Windshield Wiper Motor</t>
        </is>
      </c>
      <c r="C221" t="inlineStr">
        <is>
          <t>40-207</t>
        </is>
      </c>
      <c r="D221" t="inlineStr">
        <is>
          <t>Windshield Wiper Motor - 40-207</t>
        </is>
      </c>
      <c r="E221" t="inlineStr">
        <is>
          <t>CARDONE Reman</t>
        </is>
      </c>
      <c r="F221" t="inlineStr">
        <is>
          <t>E8FZ17508C</t>
        </is>
      </c>
      <c r="G221" t="inlineStr">
        <is>
          <t>Ford Escort 1988-1990</t>
        </is>
      </c>
      <c r="H221" t="inlineStr">
        <is>
          <t>Ford Escort 1988-1990 1.9L L4 116cid</t>
        </is>
      </c>
      <c r="I221" t="inlineStr">
        <is>
          <t>{"0": {"productDeskExternalKey": "CPCX|40-207"}, "1": {"Package Contents": "Wiper Motor; Instruction Sheet"}, "2": {"E-Waste": "Yes"}, "3": {"Product Condition": "Remanufactured"}, "4": {"Mounting Hole Quantity": "3"}, "5": {"Terminal Type": "Pin"}, "6": {"Mounting Type": "Direct Bolt"}, "7": {"Weight PG": "2.5000"}, "8": {"Washer Pump Included": "No"}, "9": {"Part Type": "Windshield Wiper Motor"}, "10": {"Warranty Info": "1 Year/18,000 Mile"}, "11": {"Sustainable Choice": "Yes"}, "12": {"Lifecycle Status": "Available to Order"}, "13": {"Application Summary": "Ford Escort 1990-88"}, "14": {"ItemLevelGTIN": "00082617272605"}, "15": {"_addonCardone": "40-207::98384:114724:510"}, "16": {"Eligible for R&amp;R Service": "Yes"}}</t>
        </is>
      </c>
      <c r="J221" t="inlineStr">
        <is>
          <t>https://www.cardone.com/product/windshield-wiper-motor-40-207</t>
        </is>
      </c>
      <c r="K221">
        <f>DISPIMG("ID_764D4BDF8503437A91C6A2F4BD9F871F",1)</f>
        <v/>
      </c>
      <c r="L221" t="inlineStr">
        <is>
          <t>CPCX|40-207</t>
        </is>
      </c>
      <c r="M221" t="inlineStr">
        <is>
          <t>Wiper Motor; Instruction Sheet</t>
        </is>
      </c>
      <c r="N221" t="inlineStr">
        <is>
          <t>Yes</t>
        </is>
      </c>
      <c r="O221" t="inlineStr">
        <is>
          <t>Remanufactured</t>
        </is>
      </c>
      <c r="P221" t="inlineStr">
        <is>
          <t>3</t>
        </is>
      </c>
      <c r="Q221" t="inlineStr">
        <is>
          <t>Pin</t>
        </is>
      </c>
      <c r="R221" t="inlineStr">
        <is>
          <t>Direct Bolt</t>
        </is>
      </c>
      <c r="S221" t="inlineStr">
        <is>
          <t>2.5000</t>
        </is>
      </c>
      <c r="T221" t="inlineStr">
        <is>
          <t>No</t>
        </is>
      </c>
      <c r="U221" t="inlineStr">
        <is>
          <t>1 Year/18,000 Mile</t>
        </is>
      </c>
      <c r="V221" t="inlineStr">
        <is>
          <t>Yes</t>
        </is>
      </c>
      <c r="W221" t="inlineStr">
        <is>
          <t>Available to Order</t>
        </is>
      </c>
      <c r="X221" t="inlineStr">
        <is>
          <t>Ford Escort 1990-88</t>
        </is>
      </c>
      <c r="Y221" t="inlineStr">
        <is>
          <t>00082617272605</t>
        </is>
      </c>
      <c r="Z221" t="inlineStr">
        <is>
          <t>40-207::98384:114724:510</t>
        </is>
      </c>
      <c r="AA221" t="inlineStr">
        <is>
          <t>Yes</t>
        </is>
      </c>
      <c r="AB221" t="inlineStr"/>
      <c r="AC221" t="inlineStr"/>
    </row>
    <row r="222">
      <c r="A222" t="inlineStr">
        <is>
          <t>221</t>
        </is>
      </c>
      <c r="B222" t="inlineStr">
        <is>
          <t>Windshield Wiper Motor</t>
        </is>
      </c>
      <c r="C222" t="inlineStr">
        <is>
          <t>40-2073</t>
        </is>
      </c>
      <c r="D222" t="inlineStr">
        <is>
          <t>Windshield Wiper Motor - 40-2073</t>
        </is>
      </c>
      <c r="E222" t="inlineStr">
        <is>
          <t>CARDONE Reman</t>
        </is>
      </c>
      <c r="F222" t="inlineStr">
        <is>
          <t>8F9Z17508A</t>
        </is>
      </c>
      <c r="G222" t="inlineStr">
        <is>
          <t>Ford Taurus X 2008-2009</t>
        </is>
      </c>
      <c r="H222" t="inlineStr">
        <is>
          <t>Ford Taurus X 2008-2009 3.5L V6 213cid</t>
        </is>
      </c>
      <c r="I222" t="inlineStr">
        <is>
          <t>{"0": {"productDeskExternalKey": "CPCX|40-2073"}, "1": {"Package Contents": "Wiper Motor; Instruction Sheet"}, "2": {"E-Waste": "Yes"}, "3": {"Product Condition": "Remanufactured"}, "4": {"Mounting Hole Quantity": "3"}, "5": {"Terminal Type": "Blade"}, "6": {"Mounting Type": "Grommet"}, "7": {"Weight PG": "2.6000"}, "8": {"Washer Pump Included": "No"}, "9": {"Part Type": "Windshield Wiper Motor"}, "10": {"Warranty Info": "1 Year/18,000 Mile"}, "11": {"Sustainable Choice": "Yes"}, "12": {"Lifecycle Status": "Available to Order"}, "13": {"Application Summary": "Ford Taurus X 2009-08"}, "14": {"ItemLevelGTIN": "00082617822299"}, "15": {"_addonCardone": "40-2073::98384:114728:510"}, "16": {"Eligible for R&amp;R Service": "Yes"}}</t>
        </is>
      </c>
      <c r="J222" t="inlineStr">
        <is>
          <t>https://www.cardone.com/product/windshield-wiper-motor-40-2073</t>
        </is>
      </c>
      <c r="K222">
        <f>DISPIMG("ID_A0E87D0728D746E495CE12BEEC385BA7",1)</f>
        <v/>
      </c>
      <c r="L222" t="inlineStr">
        <is>
          <t>CPCX|40-2073</t>
        </is>
      </c>
      <c r="M222" t="inlineStr">
        <is>
          <t>Wiper Motor; Instruction Sheet</t>
        </is>
      </c>
      <c r="N222" t="inlineStr">
        <is>
          <t>Yes</t>
        </is>
      </c>
      <c r="O222" t="inlineStr">
        <is>
          <t>Remanufactured</t>
        </is>
      </c>
      <c r="P222" t="inlineStr">
        <is>
          <t>3</t>
        </is>
      </c>
      <c r="Q222" t="inlineStr">
        <is>
          <t>Blade</t>
        </is>
      </c>
      <c r="R222" t="inlineStr">
        <is>
          <t>Grommet</t>
        </is>
      </c>
      <c r="S222" t="inlineStr">
        <is>
          <t>2.6000</t>
        </is>
      </c>
      <c r="T222" t="inlineStr">
        <is>
          <t>No</t>
        </is>
      </c>
      <c r="U222" t="inlineStr">
        <is>
          <t>1 Year/18,000 Mile</t>
        </is>
      </c>
      <c r="V222" t="inlineStr">
        <is>
          <t>Yes</t>
        </is>
      </c>
      <c r="W222" t="inlineStr">
        <is>
          <t>Available to Order</t>
        </is>
      </c>
      <c r="X222" t="inlineStr">
        <is>
          <t>Ford Taurus X 2009-08</t>
        </is>
      </c>
      <c r="Y222" t="inlineStr">
        <is>
          <t>00082617822299</t>
        </is>
      </c>
      <c r="Z222" t="inlineStr">
        <is>
          <t>40-2073::98384:114728:510</t>
        </is>
      </c>
      <c r="AA222" t="inlineStr">
        <is>
          <t>Yes</t>
        </is>
      </c>
      <c r="AB222" t="inlineStr"/>
      <c r="AC222" t="inlineStr"/>
    </row>
    <row r="223">
      <c r="A223" t="inlineStr">
        <is>
          <t>222</t>
        </is>
      </c>
      <c r="B223" t="inlineStr">
        <is>
          <t>Windshield Wiper Motor</t>
        </is>
      </c>
      <c r="C223" t="inlineStr">
        <is>
          <t>40-2074</t>
        </is>
      </c>
      <c r="D223" t="inlineStr">
        <is>
          <t>Windshield Wiper Motor - 40-2074</t>
        </is>
      </c>
      <c r="E223" t="inlineStr">
        <is>
          <t>CARDONE Reman</t>
        </is>
      </c>
      <c r="F223" t="inlineStr">
        <is>
          <t>6W7Z17508AC;8W7Z17508A;8L5Z17508A</t>
        </is>
      </c>
      <c r="G223" t="inlineStr">
        <is>
          <t>Ford Crown Victoria 2007-2011
Ford Ranger 2008-2011
Mercury Grand Marquis 2007-2011</t>
        </is>
      </c>
      <c r="H223" t="inlineStr">
        <is>
          <t>Ford Crown Victoria 2007-2011 4.6L V8 281cid
Ford Ranger 2008 3L V6 182cid
Ford Ranger 2008-2011 2.3L L4 140cid
Ford Ranger 2008-2011 4L V6 245cid
Mercury Grand Marquis 2007-2011 4.6L V8 281cid</t>
        </is>
      </c>
      <c r="I223" t="inlineStr">
        <is>
          <t>{"0": {"productDeskExternalKey": "CPCX|40-2074"},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"Ford Crown Victoria 2011-07, Ranger 2011-08; Mercury Grand Marquis 2011-07"}, "14": {"ItemLevelGTIN": "00082617822466"}, "15": {"_addonCardone": "40-2074::98384:114732:510"}, "16": {"Eligible for R&amp;R Service": "Yes"}}</t>
        </is>
      </c>
      <c r="J223" t="inlineStr">
        <is>
          <t>https://www.cardone.com/product/windshield-wiper-motor-40-2074</t>
        </is>
      </c>
      <c r="K223">
        <f>DISPIMG("ID_30D5530F66BF4DEE827D92C8032E69CA",1)</f>
        <v/>
      </c>
      <c r="L223" t="inlineStr">
        <is>
          <t>CPCX|40-2074</t>
        </is>
      </c>
      <c r="M223" t="inlineStr">
        <is>
          <t>Wiper Motor; Instruction Sheet</t>
        </is>
      </c>
      <c r="N223" t="inlineStr">
        <is>
          <t>Yes</t>
        </is>
      </c>
      <c r="O223" t="inlineStr">
        <is>
          <t>Remanufactured</t>
        </is>
      </c>
      <c r="P223" t="inlineStr">
        <is>
          <t>3</t>
        </is>
      </c>
      <c r="Q223" t="inlineStr">
        <is>
          <t>Blade</t>
        </is>
      </c>
      <c r="R223" t="inlineStr">
        <is>
          <t>Direct Bolt</t>
        </is>
      </c>
      <c r="S223" t="inlineStr">
        <is>
          <t>3.0000</t>
        </is>
      </c>
      <c r="T223" t="inlineStr">
        <is>
          <t>No</t>
        </is>
      </c>
      <c r="U223" t="inlineStr">
        <is>
          <t>1 Year/18,000 Mile</t>
        </is>
      </c>
      <c r="V223" t="inlineStr">
        <is>
          <t>Yes</t>
        </is>
      </c>
      <c r="W223" t="inlineStr">
        <is>
          <t>Available to Order</t>
        </is>
      </c>
      <c r="X223" t="inlineStr">
        <is>
          <t>Ford Crown Victoria 2011-07, Ranger 2011-08; Mercury Grand Marquis 2011-07</t>
        </is>
      </c>
      <c r="Y223" t="inlineStr">
        <is>
          <t>00082617822466</t>
        </is>
      </c>
      <c r="Z223" t="inlineStr">
        <is>
          <t>40-2074::98384:114732:510</t>
        </is>
      </c>
      <c r="AA223" t="inlineStr">
        <is>
          <t>Yes</t>
        </is>
      </c>
      <c r="AB223" t="inlineStr"/>
      <c r="AC223" t="inlineStr"/>
    </row>
    <row r="224">
      <c r="A224" t="inlineStr">
        <is>
          <t>223</t>
        </is>
      </c>
      <c r="B224" t="inlineStr">
        <is>
          <t>Windshield Wiper Motor</t>
        </is>
      </c>
      <c r="C224" t="inlineStr">
        <is>
          <t>40-2075</t>
        </is>
      </c>
      <c r="D224" t="inlineStr">
        <is>
          <t>Windshield Wiper Motor - 40-2075</t>
        </is>
      </c>
      <c r="E224" t="inlineStr">
        <is>
          <t>CARDONE Reman</t>
        </is>
      </c>
      <c r="F224" t="inlineStr">
        <is>
          <t>8L8Z17508D;ZZC067450;ZZC067450R00</t>
        </is>
      </c>
      <c r="G224" t="inlineStr">
        <is>
          <t>Ford Escape 2008-2012
Mazda Tribute 2008-2011
Mercury Mariner 2008-2011</t>
        </is>
      </c>
      <c r="H224" t="inlineStr">
        <is>
          <t>Ford Escape 2008 2.3L L4 140cid
Ford Escape 2008-2012 3L V6 181cid
Ford Escape 2009-2012 2.5L L4 152cid
Mazda Tribute 2008 2.3L L4 140cid
Mazda Tribute 2008-2011 3L V6 181cid
Mazda Tribute 2009-2011 2.5L L4 152cid
Mercury Mariner 2008 2.3L L4 140cid
Mercury Mariner 2008-2011 3L V6 181cid
Mercury Mariner 2009-2011 2.5L L4 152cid</t>
        </is>
      </c>
      <c r="I224" t="inlineStr">
        <is>
          <t>{"0": {"productDeskExternalKey": "CPCX|40-2075"}, "1": {"Package Contents": "Wiper Motor; Instruction Sheet"}, "2": {"E-Waste": "Yes"}, "3": {"Product Condition": "Remanufactured"}, "4": {"Mounting Hole Quantity": "2"}, "5": {"Terminal Type": "Blade"}, "6": {"Mounting Type": "Eyelet; Grommet"}, "7": {"Weight PG": "2.5000"}, "8": {"Washer Pump Included": "No"}, "9": {"Part Type": "Windshield Wiper Motor"}, "10": {"Warranty Info": "1 Year/18,000 Mile"}, "11": {"Sustainable Choice": "Yes"}, "12": {"Lifecycle Status": "Available to Order"}, "13": {"Application Summary": "Ford Escape 2012-08; Mazda Tribute 2011-08; Mercury Mariner 2011-08"}, "14": {"ItemLevelGTIN": "00082617827898"}, "15": {"_addonCardone": "40-2075::98384:114735:510"}, "16": {"Eligible for R&amp;R Service": "Yes"}}</t>
        </is>
      </c>
      <c r="J224" t="inlineStr">
        <is>
          <t>https://www.cardone.com/product/windshield-wiper-motor-40-2075</t>
        </is>
      </c>
      <c r="K224">
        <f>DISPIMG("ID_830395CD3A204A33A688491F96E4D1E0",1)</f>
        <v/>
      </c>
      <c r="L224" t="inlineStr">
        <is>
          <t>CPCX|40-2075</t>
        </is>
      </c>
      <c r="M224" t="inlineStr">
        <is>
          <t>Wiper Motor; Instruction Sheet</t>
        </is>
      </c>
      <c r="N224" t="inlineStr">
        <is>
          <t>Yes</t>
        </is>
      </c>
      <c r="O224" t="inlineStr">
        <is>
          <t>Remanufactured</t>
        </is>
      </c>
      <c r="P224" t="inlineStr">
        <is>
          <t>2</t>
        </is>
      </c>
      <c r="Q224" t="inlineStr">
        <is>
          <t>Blade</t>
        </is>
      </c>
      <c r="R224" t="inlineStr">
        <is>
          <t>Eyelet; Grommet</t>
        </is>
      </c>
      <c r="S224" t="inlineStr">
        <is>
          <t>2.5000</t>
        </is>
      </c>
      <c r="T224" t="inlineStr">
        <is>
          <t>No</t>
        </is>
      </c>
      <c r="U224" t="inlineStr">
        <is>
          <t>1 Year/18,000 Mile</t>
        </is>
      </c>
      <c r="V224" t="inlineStr">
        <is>
          <t>Yes</t>
        </is>
      </c>
      <c r="W224" t="inlineStr">
        <is>
          <t>Available to Order</t>
        </is>
      </c>
      <c r="X224" t="inlineStr">
        <is>
          <t>Ford Escape 2012-08; Mazda Tribute 2011-08; Mercury Mariner 2011-08</t>
        </is>
      </c>
      <c r="Y224" t="inlineStr">
        <is>
          <t>00082617827898</t>
        </is>
      </c>
      <c r="Z224" t="inlineStr">
        <is>
          <t>40-2075::98384:114735:510</t>
        </is>
      </c>
      <c r="AA224" t="inlineStr">
        <is>
          <t>Yes</t>
        </is>
      </c>
      <c r="AB224" t="inlineStr"/>
      <c r="AC224" t="inlineStr"/>
    </row>
    <row r="225">
      <c r="A225" t="inlineStr">
        <is>
          <t>224</t>
        </is>
      </c>
      <c r="B225" t="inlineStr">
        <is>
          <t>Windshield Wiper Motor</t>
        </is>
      </c>
      <c r="C225" t="inlineStr">
        <is>
          <t>40-2077</t>
        </is>
      </c>
      <c r="D225" t="inlineStr">
        <is>
          <t>Windshield Wiper Motor - 40-2077</t>
        </is>
      </c>
      <c r="E225" t="inlineStr">
        <is>
          <t>CARDONE Reman</t>
        </is>
      </c>
      <c r="F225" t="inlineStr">
        <is>
          <t>4C5Z17508AA</t>
        </is>
      </c>
      <c r="G225" t="inlineStr">
        <is>
          <t>Lincoln Aviator 2003-2005</t>
        </is>
      </c>
      <c r="H225" t="inlineStr">
        <is>
          <t>Lincoln Aviator 2003-2005 4.6L V8 281cid</t>
        </is>
      </c>
      <c r="I225" t="inlineStr">
        <is>
          <t>{"0": {"productDeskExternalKey": "CPCX|40-2077"}, "1": {"Package Contents": "Wiper Motor; Instruction Sheet"}, "2": {"E-Waste": "Yes"}, "3": {"Product Condition": "Remanufactured"}, "4": {"Mounting Hole Quantity": "2"}, "5": {"Terminal Type": "Blade"}, "6": {"Mounting Type": "Grommet"}, "7": {"Weight PG": "3.0000"}, "8": {"Washer Pump Included": "No"}, "9": {"Part Type": "Windshield Wiper Motor"}, "10": {"Warranty Info": "1 Year/18,000 Mile"}, "11": {"Sustainable Choice": "Yes"}, "12": {"Lifecycle Status": "Available to Order"}, "13": {"Application Summary": "Lincoln Aviator 2005-03"}, "14": {"ItemLevelGTIN": "00082617837026"}, "15": {"_addonCardone": "40-2077::98384:114739:510"}, "16": {"Eligible for R&amp;R Service": "Yes"}}</t>
        </is>
      </c>
      <c r="J225" t="inlineStr">
        <is>
          <t>https://www.cardone.com/product/windshield-wiper-motor-40-2077</t>
        </is>
      </c>
      <c r="K225">
        <f>DISPIMG("ID_997E3C52F2AB4EB6A72429A7CF52BCBD",1)</f>
        <v/>
      </c>
      <c r="L225" t="inlineStr">
        <is>
          <t>CPCX|40-2077</t>
        </is>
      </c>
      <c r="M225" t="inlineStr">
        <is>
          <t>Wiper Motor; Instruction Sheet</t>
        </is>
      </c>
      <c r="N225" t="inlineStr">
        <is>
          <t>Yes</t>
        </is>
      </c>
      <c r="O225" t="inlineStr">
        <is>
          <t>Remanufactured</t>
        </is>
      </c>
      <c r="P225" t="inlineStr">
        <is>
          <t>2</t>
        </is>
      </c>
      <c r="Q225" t="inlineStr">
        <is>
          <t>Blade</t>
        </is>
      </c>
      <c r="R225" t="inlineStr">
        <is>
          <t>Grommet</t>
        </is>
      </c>
      <c r="S225" t="inlineStr">
        <is>
          <t>3.0000</t>
        </is>
      </c>
      <c r="T225" t="inlineStr">
        <is>
          <t>No</t>
        </is>
      </c>
      <c r="U225" t="inlineStr">
        <is>
          <t>1 Year/18,000 Mile</t>
        </is>
      </c>
      <c r="V225" t="inlineStr">
        <is>
          <t>Yes</t>
        </is>
      </c>
      <c r="W225" t="inlineStr">
        <is>
          <t>Available to Order</t>
        </is>
      </c>
      <c r="X225" t="inlineStr">
        <is>
          <t>Lincoln Aviator 2005-03</t>
        </is>
      </c>
      <c r="Y225" t="inlineStr">
        <is>
          <t>00082617837026</t>
        </is>
      </c>
      <c r="Z225" t="inlineStr">
        <is>
          <t>40-2077::98384:114739:510</t>
        </is>
      </c>
      <c r="AA225" t="inlineStr">
        <is>
          <t>Yes</t>
        </is>
      </c>
      <c r="AB225" t="inlineStr"/>
      <c r="AC225" t="inlineStr"/>
    </row>
    <row r="226">
      <c r="A226" t="inlineStr">
        <is>
          <t>225</t>
        </is>
      </c>
      <c r="B226" t="inlineStr">
        <is>
          <t>Windshield Wiper Motor</t>
        </is>
      </c>
      <c r="C226" t="inlineStr">
        <is>
          <t>40-2082</t>
        </is>
      </c>
      <c r="D226" t="inlineStr">
        <is>
          <t>Windshield Wiper Motor - 40-2082</t>
        </is>
      </c>
      <c r="E226" t="inlineStr">
        <is>
          <t>CARDONE Reman</t>
        </is>
      </c>
      <c r="F226" t="inlineStr">
        <is>
          <t>9L1Z17508A</t>
        </is>
      </c>
      <c r="G226" t="inlineStr">
        <is>
          <t>Ford Expedition 2009-2014</t>
        </is>
      </c>
      <c r="H226" t="inlineStr">
        <is>
          <t>Ford Expedition 2009-2014 5.4L V8 330cid</t>
        </is>
      </c>
      <c r="I226" t="inlineStr">
        <is>
          <t>{"0": {"productDeskExternalKey": "CPCX|40-2082"}, "1": {"E-Waste": "Yes"}, "2": {"Product Condition": "Remanufactured"}, "3": {"Weight PG": "2.9000"}, "4": {"Part Type": "Windshield Wiper Motor"}, "5": {"Warranty Info": "1 Year/18,000 Mile"}, "6": {"Sustainable Choice": "Yes"}, "7": {"Lifecycle Status": "Available to Order"}, "8": {"Application Summary": "Ford Expedition 2014-09; Lincoln Navigator 2014-09"}, "9": {"ItemLevelGTIN": "00082617900539"}, "10": {"_addonCardone": "40-2082::98384:114744:510"}, "11": {"Eligible for R&amp;R Service": "Yes"}}</t>
        </is>
      </c>
      <c r="J226" t="inlineStr">
        <is>
          <t>https://www.cardone.com/product/windshield-wiper-motor-40-2082</t>
        </is>
      </c>
      <c r="K226">
        <f>DISPIMG("ID_23127784826A460D9DB59EFCB7A614B8",1)</f>
        <v/>
      </c>
      <c r="L226" t="inlineStr">
        <is>
          <t>CPCX|40-2082</t>
        </is>
      </c>
      <c r="M226" t="inlineStr"/>
      <c r="N226" t="inlineStr">
        <is>
          <t>Yes</t>
        </is>
      </c>
      <c r="O226" t="inlineStr">
        <is>
          <t>Remanufactured</t>
        </is>
      </c>
      <c r="P226" t="inlineStr"/>
      <c r="Q226" t="inlineStr"/>
      <c r="R226" t="inlineStr"/>
      <c r="S226" t="inlineStr">
        <is>
          <t>2.9000</t>
        </is>
      </c>
      <c r="T226" t="inlineStr"/>
      <c r="U226" t="inlineStr">
        <is>
          <t>1 Year/18,000 Mile</t>
        </is>
      </c>
      <c r="V226" t="inlineStr">
        <is>
          <t>Yes</t>
        </is>
      </c>
      <c r="W226" t="inlineStr">
        <is>
          <t>Available to Order</t>
        </is>
      </c>
      <c r="X226" t="inlineStr">
        <is>
          <t>Ford Expedition 2014-09; Lincoln Navigator 2014-09</t>
        </is>
      </c>
      <c r="Y226" t="inlineStr">
        <is>
          <t>00082617900539</t>
        </is>
      </c>
      <c r="Z226" t="inlineStr">
        <is>
          <t>40-2082::98384:114744:510</t>
        </is>
      </c>
      <c r="AA226" t="inlineStr">
        <is>
          <t>Yes</t>
        </is>
      </c>
      <c r="AB226" t="inlineStr"/>
      <c r="AC226" t="inlineStr"/>
    </row>
    <row r="227">
      <c r="A227" t="inlineStr">
        <is>
          <t>226</t>
        </is>
      </c>
      <c r="B227" t="inlineStr">
        <is>
          <t>Windshield Wiper Motor</t>
        </is>
      </c>
      <c r="C227" t="inlineStr">
        <is>
          <t>40-2088</t>
        </is>
      </c>
      <c r="D227" t="inlineStr">
        <is>
          <t>Windshield Wiper Motor - 40-2088</t>
        </is>
      </c>
      <c r="E227" t="inlineStr">
        <is>
          <t>CARDONE Reman</t>
        </is>
      </c>
      <c r="F227" t="inlineStr">
        <is>
          <t>9L1Z17508B</t>
        </is>
      </c>
      <c r="G227" t="inlineStr">
        <is>
          <t>Ford Expedition 2009-2014</t>
        </is>
      </c>
      <c r="H227" t="inlineStr">
        <is>
          <t>Ford Expedition 2009-2014 5.4L V8 330cid</t>
        </is>
      </c>
      <c r="I227" t="inlineStr">
        <is>
          <t>{"0": {"productDeskExternalKey": "CPCX|40-2088"}, "1": {"Package Contents": "Wiper Motor; Instruction Sheet"}, "2": {"E-Waste": "Yes"}, "3": {"Product Condition": "Remanufactured"}, "4": {"Mounting Hole Quantity": "3"}, "5": {"Terminal Type": "Blade"}, "6": {"Mounting Type": "Direct Bolt"}, "7": {"Weight PG": "2.4000"}, "8": {"Washer Pump Included": "No"}, "9": {"Part Type": "Windshield Wiper Motor"}, "10": {"Warranty Info": "1 Year/18,000 Mile"}, "11": {"Sustainable Choice": "Yes"}, "12": {"Lifecycle Status": "Available to Order"}, "13": {"Application Summary": "Ford Expedition 2014-09; Lincoln Navigator 2014-09"}, "14": {"ItemLevelGTIN": "00082617966986"}, "15": {"_addonCardone": "40-2088::98384:114747:510"}, "16": {"Eligible for R&amp;R Service": "Yes"}}</t>
        </is>
      </c>
      <c r="J227" t="inlineStr">
        <is>
          <t>https://www.cardone.com/product/windshield-wiper-motor-40-2088</t>
        </is>
      </c>
      <c r="K227">
        <f>DISPIMG("ID_63F6524AD5C74D96A6DF78F5E7F44215",1)</f>
        <v/>
      </c>
      <c r="L227" t="inlineStr">
        <is>
          <t>CPCX|40-2088</t>
        </is>
      </c>
      <c r="M227" t="inlineStr">
        <is>
          <t>Wiper Motor; Instruction Sheet</t>
        </is>
      </c>
      <c r="N227" t="inlineStr">
        <is>
          <t>Yes</t>
        </is>
      </c>
      <c r="O227" t="inlineStr">
        <is>
          <t>Remanufactured</t>
        </is>
      </c>
      <c r="P227" t="inlineStr">
        <is>
          <t>3</t>
        </is>
      </c>
      <c r="Q227" t="inlineStr">
        <is>
          <t>Blade</t>
        </is>
      </c>
      <c r="R227" t="inlineStr">
        <is>
          <t>Direct Bolt</t>
        </is>
      </c>
      <c r="S227" t="inlineStr">
        <is>
          <t>2.4000</t>
        </is>
      </c>
      <c r="T227" t="inlineStr">
        <is>
          <t>No</t>
        </is>
      </c>
      <c r="U227" t="inlineStr">
        <is>
          <t>1 Year/18,000 Mile</t>
        </is>
      </c>
      <c r="V227" t="inlineStr">
        <is>
          <t>Yes</t>
        </is>
      </c>
      <c r="W227" t="inlineStr">
        <is>
          <t>Available to Order</t>
        </is>
      </c>
      <c r="X227" t="inlineStr">
        <is>
          <t>Ford Expedition 2014-09; Lincoln Navigator 2014-09</t>
        </is>
      </c>
      <c r="Y227" t="inlineStr">
        <is>
          <t>00082617966986</t>
        </is>
      </c>
      <c r="Z227" t="inlineStr">
        <is>
          <t>40-2088::98384:114747:510</t>
        </is>
      </c>
      <c r="AA227" t="inlineStr">
        <is>
          <t>Yes</t>
        </is>
      </c>
      <c r="AB227" t="inlineStr"/>
      <c r="AC227" t="inlineStr"/>
    </row>
    <row r="228">
      <c r="A228" t="inlineStr">
        <is>
          <t>227</t>
        </is>
      </c>
      <c r="B228" t="inlineStr">
        <is>
          <t>Windshield Wiper Motor</t>
        </is>
      </c>
      <c r="C228" t="inlineStr">
        <is>
          <t>40-2089</t>
        </is>
      </c>
      <c r="D228" t="inlineStr">
        <is>
          <t>Windshield Wiper Motor - 40-2089</t>
        </is>
      </c>
      <c r="E228" t="inlineStr">
        <is>
          <t>CARDONE Reman</t>
        </is>
      </c>
      <c r="F228" t="inlineStr">
        <is>
          <t>8T1Z17508A</t>
        </is>
      </c>
      <c r="G228" t="inlineStr">
        <is>
          <t>Ford Transit Connect 2010-2013</t>
        </is>
      </c>
      <c r="H228" t="inlineStr">
        <is>
          <t>Ford Transit Connect 2010-2013 2L L4 122cid
Ford Transit Connect 2011-2012</t>
        </is>
      </c>
      <c r="I228" t="inlineStr">
        <is>
          <t>{"0": {"productDeskExternalKey": "CPCX|40-2089"},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"Ford Transit Connect 2013-10"}, "14": {"ItemLevelGTIN": "00082617967020"}, "15": {"_addonCardone": "40-2089::98384:114750:510"}, "16": {"Eligible for R&amp;R Service": "Yes"}}</t>
        </is>
      </c>
      <c r="J228" t="inlineStr">
        <is>
          <t>https://www.cardone.com/product/windshield-wiper-motor-40-2089</t>
        </is>
      </c>
      <c r="K228">
        <f>DISPIMG("ID_C8080EE098494A3CACCAE16028B250E9",1)</f>
        <v/>
      </c>
      <c r="L228" t="inlineStr">
        <is>
          <t>CPCX|40-2089</t>
        </is>
      </c>
      <c r="M228" t="inlineStr">
        <is>
          <t>Wiper Motor; Instruction Sheet</t>
        </is>
      </c>
      <c r="N228" t="inlineStr">
        <is>
          <t>Yes</t>
        </is>
      </c>
      <c r="O228" t="inlineStr">
        <is>
          <t>Remanufactured</t>
        </is>
      </c>
      <c r="P228" t="inlineStr">
        <is>
          <t>3</t>
        </is>
      </c>
      <c r="Q228" t="inlineStr">
        <is>
          <t>Blade</t>
        </is>
      </c>
      <c r="R228" t="inlineStr">
        <is>
          <t>Direct Bolt</t>
        </is>
      </c>
      <c r="S228" t="inlineStr">
        <is>
          <t>2.5000</t>
        </is>
      </c>
      <c r="T228" t="inlineStr">
        <is>
          <t>No</t>
        </is>
      </c>
      <c r="U228" t="inlineStr">
        <is>
          <t>1 Year/18,000 Mile</t>
        </is>
      </c>
      <c r="V228" t="inlineStr">
        <is>
          <t>Yes</t>
        </is>
      </c>
      <c r="W228" t="inlineStr">
        <is>
          <t>Available to Order</t>
        </is>
      </c>
      <c r="X228" t="inlineStr">
        <is>
          <t>Ford Transit Connect 2013-10</t>
        </is>
      </c>
      <c r="Y228" t="inlineStr">
        <is>
          <t>00082617967020</t>
        </is>
      </c>
      <c r="Z228" t="inlineStr">
        <is>
          <t>40-2089::98384:114750:510</t>
        </is>
      </c>
      <c r="AA228" t="inlineStr">
        <is>
          <t>Yes</t>
        </is>
      </c>
      <c r="AB228" t="inlineStr"/>
      <c r="AC228" t="inlineStr"/>
    </row>
    <row r="229">
      <c r="A229" t="inlineStr">
        <is>
          <t>228</t>
        </is>
      </c>
      <c r="B229" t="inlineStr">
        <is>
          <t>Windshield Wiper Motor</t>
        </is>
      </c>
      <c r="C229" t="inlineStr">
        <is>
          <t>40-2090</t>
        </is>
      </c>
      <c r="D229" t="inlineStr">
        <is>
          <t>Windshield Wiper Motor - 40-2090</t>
        </is>
      </c>
      <c r="E229" t="inlineStr">
        <is>
          <t>CARDONE Reman</t>
        </is>
      </c>
      <c r="F229" t="inlineStr">
        <is>
          <t>8A5Z17508A</t>
        </is>
      </c>
      <c r="G229" t="inlineStr">
        <is>
          <t>Ford Taurus 2010-2012</t>
        </is>
      </c>
      <c r="H229" t="inlineStr">
        <is>
          <t>Ford Taurus 2010-2012 3.5L V6 213cid</t>
        </is>
      </c>
      <c r="I229" t="inlineStr">
        <is>
          <t>{"0": {"productDeskExternalKey": "CPCX|40-2090"}, "1": {"E-Waste": "Yes"}, "2": {"Product Condition": "Remanufactured"}, "3": {"Weight PG": "2.9000"}, "4": {"Part Type": "Windshield Wiper Motor"}, "5": {"Warranty Info": "1 Year/18,000 Mile"}, "6": {"Sustainable Choice": "Yes"}, "7": {"Lifecycle Status": "Available to Order"}, "8": {"Application Summary": "Ford Taurus 2012-10; Lincoln MKS 2012-10"}, "9": {"ItemLevelGTIN": "00082617967037"}, "10": {"_addonCardone": "40-2090::98384:114753:510"}, "11": {"Eligible for R&amp;R Service": "Yes"}}</t>
        </is>
      </c>
      <c r="J229" t="inlineStr">
        <is>
          <t>https://www.cardone.com/product/windshield-wiper-motor-40-2090</t>
        </is>
      </c>
      <c r="K229">
        <f>DISPIMG("ID_8366BF6B5F3143ABB441FA3B8E22F7B4",1)</f>
        <v/>
      </c>
      <c r="L229" t="inlineStr">
        <is>
          <t>CPCX|40-2090</t>
        </is>
      </c>
      <c r="M229" t="inlineStr"/>
      <c r="N229" t="inlineStr">
        <is>
          <t>Yes</t>
        </is>
      </c>
      <c r="O229" t="inlineStr">
        <is>
          <t>Remanufactured</t>
        </is>
      </c>
      <c r="P229" t="inlineStr"/>
      <c r="Q229" t="inlineStr"/>
      <c r="R229" t="inlineStr"/>
      <c r="S229" t="inlineStr">
        <is>
          <t>2.9000</t>
        </is>
      </c>
      <c r="T229" t="inlineStr"/>
      <c r="U229" t="inlineStr">
        <is>
          <t>1 Year/18,000 Mile</t>
        </is>
      </c>
      <c r="V229" t="inlineStr">
        <is>
          <t>Yes</t>
        </is>
      </c>
      <c r="W229" t="inlineStr">
        <is>
          <t>Available to Order</t>
        </is>
      </c>
      <c r="X229" t="inlineStr">
        <is>
          <t>Ford Taurus 2012-10; Lincoln MKS 2012-10</t>
        </is>
      </c>
      <c r="Y229" t="inlineStr">
        <is>
          <t>00082617967037</t>
        </is>
      </c>
      <c r="Z229" t="inlineStr">
        <is>
          <t>40-2090::98384:114753:510</t>
        </is>
      </c>
      <c r="AA229" t="inlineStr">
        <is>
          <t>Yes</t>
        </is>
      </c>
      <c r="AB229" t="inlineStr"/>
      <c r="AC229" t="inlineStr"/>
    </row>
    <row r="230">
      <c r="A230" t="inlineStr">
        <is>
          <t>229</t>
        </is>
      </c>
      <c r="B230" t="inlineStr">
        <is>
          <t>Windshield Wiper Motor</t>
        </is>
      </c>
      <c r="C230" t="inlineStr">
        <is>
          <t>40-2095</t>
        </is>
      </c>
      <c r="D230" t="inlineStr">
        <is>
          <t>Windshield Wiper Motor - 40-2095</t>
        </is>
      </c>
      <c r="E230" t="inlineStr">
        <is>
          <t>CARDONE Reman</t>
        </is>
      </c>
      <c r="F230" t="inlineStr">
        <is>
          <t>2T1Z17508A;6T1Z17508A</t>
        </is>
      </c>
      <c r="G230" t="inlineStr">
        <is>
          <t>Ford Transit Connect 2010-2013</t>
        </is>
      </c>
      <c r="H230" t="inlineStr">
        <is>
          <t>Ford Transit Connect 2010-2013 2L L4 122cid
Ford Transit Connect 2011-2012</t>
        </is>
      </c>
      <c r="I230" t="inlineStr">
        <is>
          <t>{"0": {"productDeskExternalKey": "CPCX|40-2095"}, "1": {"Package Contents": "Wiper Motor; Instruction Sheet"}, "2": {"E-Waste": "Yes"}, "3": {"Product Condition": "Remanufactured"}, "4": {"Mounting Hole Quantity": "3"}, "5": {"Terminal Type": "Blade"}, "6": {"Mounting Type": "Eyelet; Grommet"}, "7": {"Weight PG": "2.0000"}, "8": {"Washer Pump Included": "No"}, "9": {"Part Type": "Windshield Wiper Motor"}, "10": {"Warranty Info": "1 Year/18,000 Mile"}, "11": {"Sustainable Choice": "Yes"}, "12": {"Lifecycle Status": "Available to Order"}, "13": {"Application Summary": "Ford Transit Connect 2013-10"}, "14": {"ItemLevelGTIN": "00082617967112"}, "15": {"_addonCardone": "40-2095::98384:114757:510"}, "16": {"Eligible for R&amp;R Service": "Yes"}}</t>
        </is>
      </c>
      <c r="J230" t="inlineStr">
        <is>
          <t>https://www.cardone.com/product/windshield-wiper-motor-40-2095</t>
        </is>
      </c>
      <c r="K230">
        <f>DISPIMG("ID_4E08DFF3ECDF405FA6ED583390AA033F",1)</f>
        <v/>
      </c>
      <c r="L230" t="inlineStr">
        <is>
          <t>CPCX|40-2095</t>
        </is>
      </c>
      <c r="M230" t="inlineStr">
        <is>
          <t>Wiper Motor; Instruction Sheet</t>
        </is>
      </c>
      <c r="N230" t="inlineStr">
        <is>
          <t>Yes</t>
        </is>
      </c>
      <c r="O230" t="inlineStr">
        <is>
          <t>Remanufactured</t>
        </is>
      </c>
      <c r="P230" t="inlineStr">
        <is>
          <t>3</t>
        </is>
      </c>
      <c r="Q230" t="inlineStr">
        <is>
          <t>Blade</t>
        </is>
      </c>
      <c r="R230" t="inlineStr">
        <is>
          <t>Eyelet; Grommet</t>
        </is>
      </c>
      <c r="S230" t="inlineStr">
        <is>
          <t>2.0000</t>
        </is>
      </c>
      <c r="T230" t="inlineStr">
        <is>
          <t>No</t>
        </is>
      </c>
      <c r="U230" t="inlineStr">
        <is>
          <t>1 Year/18,000 Mile</t>
        </is>
      </c>
      <c r="V230" t="inlineStr">
        <is>
          <t>Yes</t>
        </is>
      </c>
      <c r="W230" t="inlineStr">
        <is>
          <t>Available to Order</t>
        </is>
      </c>
      <c r="X230" t="inlineStr">
        <is>
          <t>Ford Transit Connect 2013-10</t>
        </is>
      </c>
      <c r="Y230" t="inlineStr">
        <is>
          <t>00082617967112</t>
        </is>
      </c>
      <c r="Z230" t="inlineStr">
        <is>
          <t>40-2095::98384:114757:510</t>
        </is>
      </c>
      <c r="AA230" t="inlineStr">
        <is>
          <t>Yes</t>
        </is>
      </c>
      <c r="AB230" t="inlineStr"/>
      <c r="AC230" t="inlineStr"/>
    </row>
    <row r="231">
      <c r="A231" t="inlineStr">
        <is>
          <t>230</t>
        </is>
      </c>
      <c r="B231" t="inlineStr">
        <is>
          <t>Windshield Wiper Motor</t>
        </is>
      </c>
      <c r="C231" t="inlineStr">
        <is>
          <t>40-2096</t>
        </is>
      </c>
      <c r="D231" t="inlineStr">
        <is>
          <t>Windshield Wiper Motor - 40-2096</t>
        </is>
      </c>
      <c r="E231" t="inlineStr">
        <is>
          <t>CARDONE Reman</t>
        </is>
      </c>
      <c r="F231" t="inlineStr">
        <is>
          <t>96FB17B571DA</t>
        </is>
      </c>
      <c r="G231" t="inlineStr">
        <is>
          <t>Ford Fiesta 1998-2007</t>
        </is>
      </c>
      <c r="H231" t="inlineStr">
        <is>
          <t>Ford Fiesta 1998-2000 1.4L L4 85cid
Ford Fiesta 1998-2001 1.3L L4 79cid
Ford Fiesta 2001-2007 1.6L L4 97cid</t>
        </is>
      </c>
      <c r="I231" t="inlineStr">
        <is>
          <t>{"0": {"productDeskExternalKey": "CPCX|40-2096"},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"Ford Fiesta 2007-03 2001-98"}, "14": {"ItemLevelGTIN": "00884548015197"}, "15": {"_addonCardone": "40-2096::98384:114760:510"}, "16": {"Eligible for R&amp;R Service": "Yes"}}</t>
        </is>
      </c>
      <c r="J231" t="inlineStr">
        <is>
          <t>https://www.cardone.com/product/windshield-wiper-motor-40-2096</t>
        </is>
      </c>
      <c r="K231">
        <f>DISPIMG("ID_EEC3197D754441FE93B39499DB5B582E",1)</f>
        <v/>
      </c>
      <c r="L231" t="inlineStr">
        <is>
          <t>CPCX|40-2096</t>
        </is>
      </c>
      <c r="M231" t="inlineStr">
        <is>
          <t>Wiper Motor; Instruction Sheet</t>
        </is>
      </c>
      <c r="N231" t="inlineStr">
        <is>
          <t>Yes</t>
        </is>
      </c>
      <c r="O231" t="inlineStr">
        <is>
          <t>Remanufactured</t>
        </is>
      </c>
      <c r="P231" t="inlineStr">
        <is>
          <t>3</t>
        </is>
      </c>
      <c r="Q231" t="inlineStr">
        <is>
          <t>Blade</t>
        </is>
      </c>
      <c r="R231" t="inlineStr">
        <is>
          <t>Direct Bolt</t>
        </is>
      </c>
      <c r="S231" t="inlineStr">
        <is>
          <t>3.0000</t>
        </is>
      </c>
      <c r="T231" t="inlineStr">
        <is>
          <t>No</t>
        </is>
      </c>
      <c r="U231" t="inlineStr">
        <is>
          <t>1 Year/18,000 Mile</t>
        </is>
      </c>
      <c r="V231" t="inlineStr">
        <is>
          <t>Yes</t>
        </is>
      </c>
      <c r="W231" t="inlineStr">
        <is>
          <t>Available to Order</t>
        </is>
      </c>
      <c r="X231" t="inlineStr">
        <is>
          <t>Ford Fiesta 2007-03 2001-98</t>
        </is>
      </c>
      <c r="Y231" t="inlineStr">
        <is>
          <t>00884548015197</t>
        </is>
      </c>
      <c r="Z231" t="inlineStr">
        <is>
          <t>40-2096::98384:114760:510</t>
        </is>
      </c>
      <c r="AA231" t="inlineStr">
        <is>
          <t>Yes</t>
        </is>
      </c>
      <c r="AB231" t="inlineStr"/>
      <c r="AC231" t="inlineStr"/>
    </row>
    <row r="232">
      <c r="A232" t="inlineStr">
        <is>
          <t>231</t>
        </is>
      </c>
      <c r="B232" t="inlineStr">
        <is>
          <t>Windshield Wiper Motor</t>
        </is>
      </c>
      <c r="C232" t="inlineStr">
        <is>
          <t>40-2097</t>
        </is>
      </c>
      <c r="D232" t="inlineStr">
        <is>
          <t>Windshield Wiper Motor - 40-2097</t>
        </is>
      </c>
      <c r="E232" t="inlineStr">
        <is>
          <t>CARDONE Reman</t>
        </is>
      </c>
      <c r="F232" t="inlineStr">
        <is>
          <t>M98FU17504AA</t>
        </is>
      </c>
      <c r="G232" t="inlineStr">
        <is>
          <t>Ford Courier 2001-2010</t>
        </is>
      </c>
      <c r="H232" t="inlineStr">
        <is>
          <t>Ford Courier 2001-2010 1.6L L4 98cid</t>
        </is>
      </c>
      <c r="I232" t="inlineStr">
        <is>
          <t>{"0": {"productDeskExternalKey": "CPCX|40-2097"},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"Ford Courier 2010-01"}, "14": {"ItemLevelGTIN": "00884548015203"}, "15": {"_addonCardone": "40-2097::98384:114764:510"}, "16": {"Eligible for R&amp;R Service": "Yes"}}</t>
        </is>
      </c>
      <c r="J232" t="inlineStr">
        <is>
          <t>https://www.cardone.com/product/windshield-wiper-motor-40-2097</t>
        </is>
      </c>
      <c r="K232">
        <f>DISPIMG("ID_BF3F9DF9B5384EEF98460C02F419B368",1)</f>
        <v/>
      </c>
      <c r="L232" t="inlineStr">
        <is>
          <t>CPCX|40-2097</t>
        </is>
      </c>
      <c r="M232" t="inlineStr">
        <is>
          <t>Wiper Motor; Instruction Sheet</t>
        </is>
      </c>
      <c r="N232" t="inlineStr">
        <is>
          <t>Yes</t>
        </is>
      </c>
      <c r="O232" t="inlineStr">
        <is>
          <t>Remanufactured</t>
        </is>
      </c>
      <c r="P232" t="inlineStr">
        <is>
          <t>3</t>
        </is>
      </c>
      <c r="Q232" t="inlineStr">
        <is>
          <t>Blade</t>
        </is>
      </c>
      <c r="R232" t="inlineStr">
        <is>
          <t>Direct Bolt</t>
        </is>
      </c>
      <c r="S232" t="inlineStr">
        <is>
          <t>2.7000</t>
        </is>
      </c>
      <c r="T232" t="inlineStr">
        <is>
          <t>No</t>
        </is>
      </c>
      <c r="U232" t="inlineStr">
        <is>
          <t>1 Year/18,000 Mile</t>
        </is>
      </c>
      <c r="V232" t="inlineStr">
        <is>
          <t>Yes</t>
        </is>
      </c>
      <c r="W232" t="inlineStr">
        <is>
          <t>Available to Order</t>
        </is>
      </c>
      <c r="X232" t="inlineStr">
        <is>
          <t>Ford Courier 2010-01</t>
        </is>
      </c>
      <c r="Y232" t="inlineStr">
        <is>
          <t>00884548015203</t>
        </is>
      </c>
      <c r="Z232" t="inlineStr">
        <is>
          <t>40-2097::98384:114764:510</t>
        </is>
      </c>
      <c r="AA232" t="inlineStr">
        <is>
          <t>Yes</t>
        </is>
      </c>
      <c r="AB232" t="inlineStr"/>
      <c r="AC232" t="inlineStr"/>
    </row>
    <row r="233">
      <c r="A233" t="inlineStr">
        <is>
          <t>232</t>
        </is>
      </c>
      <c r="B233" t="inlineStr">
        <is>
          <t>Windshield Wiper Motor</t>
        </is>
      </c>
      <c r="C233" t="inlineStr">
        <is>
          <t>40-2098</t>
        </is>
      </c>
      <c r="D233" t="inlineStr">
        <is>
          <t>Windshield Wiper Motor - 40-2098</t>
        </is>
      </c>
      <c r="E233" t="inlineStr">
        <is>
          <t>CARDONE Reman</t>
        </is>
      </c>
      <c r="F233" t="inlineStr">
        <is>
          <t>M2S6517504AC</t>
        </is>
      </c>
      <c r="G233" t="inlineStr">
        <is>
          <t>Ford EcoSport 2004-2010
Ford Fiesta Ikon 2003-2004</t>
        </is>
      </c>
      <c r="H233" t="inlineStr">
        <is>
          <t>Ford EcoSport 2004-2010 2L L4 122cid
Ford Fiesta Ikon 2003-2004 1.6L L4 97cid</t>
        </is>
      </c>
      <c r="I233" t="inlineStr">
        <is>
          <t>{"0": {"productDeskExternalKey": "CPCX|40-2098"}, "1": {"E-Waste": "Yes"}, "2": {"Product Condition": "Remanufactured"}, "3": {"Weight PG": "2.7000"}, "4": {"Part Type": "Windshield Wiper Motor"}, "5": {"Warranty Info": "1 Year/18,000 Mile"}, "6": {"Sustainable Choice": "Yes"}, "7": {"Lifecycle Status": "Available to Order"}, "8": {"Application Summary": "Ford EcoSport 2010-04, Fiesta Ikon 2004-03"}, "9": {"ItemLevelGTIN": "00884548028135"}, "10": {"_addonCardone": "40-2098::98384:114767:510"}, "11": {"Eligible for R&amp;R Service": "Yes"}}</t>
        </is>
      </c>
      <c r="J233" t="inlineStr">
        <is>
          <t>https://www.cardone.com/product/windshield-wiper-motor-40-2098</t>
        </is>
      </c>
      <c r="K233">
        <f>DISPIMG("ID_1967DA6FD29D45F493791AB42CF8590A",1)</f>
        <v/>
      </c>
      <c r="L233" t="inlineStr">
        <is>
          <t>CPCX|40-2098</t>
        </is>
      </c>
      <c r="M233" t="inlineStr"/>
      <c r="N233" t="inlineStr">
        <is>
          <t>Yes</t>
        </is>
      </c>
      <c r="O233" t="inlineStr">
        <is>
          <t>Remanufactured</t>
        </is>
      </c>
      <c r="P233" t="inlineStr"/>
      <c r="Q233" t="inlineStr"/>
      <c r="R233" t="inlineStr"/>
      <c r="S233" t="inlineStr">
        <is>
          <t>2.7000</t>
        </is>
      </c>
      <c r="T233" t="inlineStr"/>
      <c r="U233" t="inlineStr">
        <is>
          <t>1 Year/18,000 Mile</t>
        </is>
      </c>
      <c r="V233" t="inlineStr">
        <is>
          <t>Yes</t>
        </is>
      </c>
      <c r="W233" t="inlineStr">
        <is>
          <t>Available to Order</t>
        </is>
      </c>
      <c r="X233" t="inlineStr">
        <is>
          <t>Ford EcoSport 2010-04, Fiesta Ikon 2004-03</t>
        </is>
      </c>
      <c r="Y233" t="inlineStr">
        <is>
          <t>00884548028135</t>
        </is>
      </c>
      <c r="Z233" t="inlineStr">
        <is>
          <t>40-2098::98384:114767:510</t>
        </is>
      </c>
      <c r="AA233" t="inlineStr">
        <is>
          <t>Yes</t>
        </is>
      </c>
      <c r="AB233" t="inlineStr"/>
      <c r="AC233" t="inlineStr"/>
    </row>
    <row r="234">
      <c r="A234" t="inlineStr">
        <is>
          <t>233</t>
        </is>
      </c>
      <c r="B234" t="inlineStr">
        <is>
          <t>Windshield Wiper Motor</t>
        </is>
      </c>
      <c r="C234" t="inlineStr">
        <is>
          <t>40-2100</t>
        </is>
      </c>
      <c r="D234" t="inlineStr">
        <is>
          <t>Windshield Wiper Motor - 40-2100</t>
        </is>
      </c>
      <c r="E234" t="inlineStr">
        <is>
          <t>CARDONE Reman</t>
        </is>
      </c>
      <c r="F234" t="inlineStr">
        <is>
          <t>BE8Z17508B</t>
        </is>
      </c>
      <c r="G234" t="inlineStr">
        <is>
          <t>Ford Fiesta 2011-2019</t>
        </is>
      </c>
      <c r="H234" t="inlineStr">
        <is>
          <t>Ford Fiesta 2011-2014 1.6L L4 98cid
Ford Fiesta 2011-2019 1.6L L4 97cid
Ford Fiesta 2014-2017 1L L3 61cid</t>
        </is>
      </c>
      <c r="I234" t="inlineStr">
        <is>
          <t>{"0": {"productDeskExternalKey": "CPCX|40-2100"}, "1": {"Package Contents": "Wiper Motor; Instruction Sheet"}, "2": {"E-Waste": "Yes"}, "3": {"Product Condition": "Remanufactured"}, "4": {"Mounting Hole Quantity": "3"}, "5": {"Terminal Type": "Blade"}, "6": {"Mounting Type": "Eyelet; Grommet"}, "7": {"Weight PG": "2.2000"}, "8": {"Washer Pump Included": "No"}, "9": {"Part Type": "Windshield Wiper Motor"}, "10": {"Warranty Info": "1 Year/18,000 Mile"}, "11": {"Sustainable Choice": "Yes"}, "12": {"Lifecycle Status": "Available to Order"}, "13": {"Application Summary": "Ford Fiesta 2019-11"}, "14": {"ItemLevelGTIN": "00884548028159"}, "15": {"_addonCardone": "40-2100::98384:114772:510"}, "16": {"Eligible for R&amp;R Service": "Yes"}}</t>
        </is>
      </c>
      <c r="J234" t="inlineStr">
        <is>
          <t>https://www.cardone.com/product/windshield-wiper-motor-40-2100</t>
        </is>
      </c>
      <c r="K234">
        <f>DISPIMG("ID_119707BAFAEF40B9984497C4336C0307",1)</f>
        <v/>
      </c>
      <c r="L234" t="inlineStr">
        <is>
          <t>CPCX|40-2100</t>
        </is>
      </c>
      <c r="M234" t="inlineStr">
        <is>
          <t>Wiper Motor; Instruction Sheet</t>
        </is>
      </c>
      <c r="N234" t="inlineStr">
        <is>
          <t>Yes</t>
        </is>
      </c>
      <c r="O234" t="inlineStr">
        <is>
          <t>Remanufactured</t>
        </is>
      </c>
      <c r="P234" t="inlineStr">
        <is>
          <t>3</t>
        </is>
      </c>
      <c r="Q234" t="inlineStr">
        <is>
          <t>Blade</t>
        </is>
      </c>
      <c r="R234" t="inlineStr">
        <is>
          <t>Eyelet; Grommet</t>
        </is>
      </c>
      <c r="S234" t="inlineStr">
        <is>
          <t>2.2000</t>
        </is>
      </c>
      <c r="T234" t="inlineStr">
        <is>
          <t>No</t>
        </is>
      </c>
      <c r="U234" t="inlineStr">
        <is>
          <t>1 Year/18,000 Mile</t>
        </is>
      </c>
      <c r="V234" t="inlineStr">
        <is>
          <t>Yes</t>
        </is>
      </c>
      <c r="W234" t="inlineStr">
        <is>
          <t>Available to Order</t>
        </is>
      </c>
      <c r="X234" t="inlineStr">
        <is>
          <t>Ford Fiesta 2019-11</t>
        </is>
      </c>
      <c r="Y234" t="inlineStr">
        <is>
          <t>00884548028159</t>
        </is>
      </c>
      <c r="Z234" t="inlineStr">
        <is>
          <t>40-2100::98384:114772:510</t>
        </is>
      </c>
      <c r="AA234" t="inlineStr">
        <is>
          <t>Yes</t>
        </is>
      </c>
      <c r="AB234" t="inlineStr"/>
      <c r="AC234" t="inlineStr"/>
    </row>
    <row r="235">
      <c r="A235" t="inlineStr">
        <is>
          <t>234</t>
        </is>
      </c>
      <c r="B235" t="inlineStr">
        <is>
          <t>Windshield Wiper Motor</t>
        </is>
      </c>
      <c r="C235" t="inlineStr">
        <is>
          <t>40-2101</t>
        </is>
      </c>
      <c r="D235" t="inlineStr">
        <is>
          <t>Windshield Wiper Motor - 40-2101</t>
        </is>
      </c>
      <c r="E235" t="inlineStr">
        <is>
          <t>CARDONE Reman</t>
        </is>
      </c>
      <c r="F235" t="inlineStr">
        <is>
          <t>3M51R17K441AF</t>
        </is>
      </c>
      <c r="G235" t="inlineStr">
        <is>
          <t>Ford Focus 2007-2011</t>
        </is>
      </c>
      <c r="H235" t="inlineStr">
        <is>
          <t>Ford Focus 2007-2011 2.5L L5 154cid
Ford Focus 2007-2011 2L L4 121cid</t>
        </is>
      </c>
      <c r="I235" t="inlineStr">
        <is>
          <t>{"0": {"productDeskExternalKey": "CPCX|40-2101"}, "1": {"E-Waste": "Yes"}, "2": {"Product Condition": "Remanufactured"}, "3": {"Weight PG": "3.0000"}, "4": {"Part Type": "Windshield Wiper Motor"}, "5": {"Warranty Info": "1 Year/18,000 Mile"}, "6": {"Sustainable Choice": "Yes"}, "7": {"Lifecycle Status": "Available to Order"}, "8": {"Application Summary": "Ford Focus 2011-07"}, "9": {"ItemLevelGTIN": "00884548028166"}, "10": {"_addonCardone": "40-2101::98384:114777:510"}, "11": {"Eligible for R&amp;R Service": "Yes"}}</t>
        </is>
      </c>
      <c r="J235" t="inlineStr">
        <is>
          <t>https://www.cardone.com/product/windshield-wiper-motor-40-2101</t>
        </is>
      </c>
      <c r="K235">
        <f>DISPIMG("ID_08F92E4BBAAB40A891F453EF1679E860",1)</f>
        <v/>
      </c>
      <c r="L235" t="inlineStr">
        <is>
          <t>CPCX|40-2101</t>
        </is>
      </c>
      <c r="M235" t="inlineStr"/>
      <c r="N235" t="inlineStr">
        <is>
          <t>Yes</t>
        </is>
      </c>
      <c r="O235" t="inlineStr">
        <is>
          <t>Remanufactured</t>
        </is>
      </c>
      <c r="P235" t="inlineStr"/>
      <c r="Q235" t="inlineStr"/>
      <c r="R235" t="inlineStr"/>
      <c r="S235" t="inlineStr">
        <is>
          <t>3.0000</t>
        </is>
      </c>
      <c r="T235" t="inlineStr"/>
      <c r="U235" t="inlineStr">
        <is>
          <t>1 Year/18,000 Mile</t>
        </is>
      </c>
      <c r="V235" t="inlineStr">
        <is>
          <t>Yes</t>
        </is>
      </c>
      <c r="W235" t="inlineStr">
        <is>
          <t>Available to Order</t>
        </is>
      </c>
      <c r="X235" t="inlineStr">
        <is>
          <t>Ford Focus 2011-07</t>
        </is>
      </c>
      <c r="Y235" t="inlineStr">
        <is>
          <t>00884548028166</t>
        </is>
      </c>
      <c r="Z235" t="inlineStr">
        <is>
          <t>40-2101::98384:114777:510</t>
        </is>
      </c>
      <c r="AA235" t="inlineStr">
        <is>
          <t>Yes</t>
        </is>
      </c>
      <c r="AB235" t="inlineStr"/>
      <c r="AC235" t="inlineStr"/>
    </row>
    <row r="236">
      <c r="A236" t="inlineStr">
        <is>
          <t>235</t>
        </is>
      </c>
      <c r="B236" t="inlineStr">
        <is>
          <t>Windshield Wiper Motor</t>
        </is>
      </c>
      <c r="C236" t="inlineStr">
        <is>
          <t>40-2102</t>
        </is>
      </c>
      <c r="D236" t="inlineStr">
        <is>
          <t>Windshield Wiper Motor - 40-2102</t>
        </is>
      </c>
      <c r="E236" t="inlineStr">
        <is>
          <t>CARDONE Reman</t>
        </is>
      </c>
      <c r="F236" t="inlineStr">
        <is>
          <t>4M5117508BB</t>
        </is>
      </c>
      <c r="G236" t="inlineStr">
        <is>
          <t>Ford Focus 2011</t>
        </is>
      </c>
      <c r="H236" t="inlineStr">
        <is>
          <t>Ford Focus 2011 2.5L L5 154cid
Ford Focus 2011 2L L4 121cid</t>
        </is>
      </c>
      <c r="I236" t="inlineStr">
        <is>
          <t>{"0": {"productDeskExternalKey": "CPCX|40-2102"}, "1": {"E-Waste": "Yes"}, "2": {"Product Condition": "Remanufactured"}, "3": {"Weight PG": "3.0000"}, "4": {"Part Type": "Windshield Wiper Motor"}, "5": {"Warranty Info": "1 Year/18,000 Mile"}, "6": {"Sustainable Choice": "Yes"}, "7": {"Lifecycle Status": "Available to Order"}, "8": {"Application Summary": "Ford Focus 2011"}, "9": {"ItemLevelGTIN": "00884548028173"}, "10": {"_addonCardone": "40-2102::98384:114779:510"}, "11": {"Eligible for R&amp;R Service": "Yes"}}</t>
        </is>
      </c>
      <c r="J236" t="inlineStr">
        <is>
          <t>https://www.cardone.com/product/windshield-wiper-motor-40-2102</t>
        </is>
      </c>
      <c r="K236">
        <f>DISPIMG("ID_9E77A661750149C2917CA89409A74201",1)</f>
        <v/>
      </c>
      <c r="L236" t="inlineStr">
        <is>
          <t>CPCX|40-2102</t>
        </is>
      </c>
      <c r="M236" t="inlineStr"/>
      <c r="N236" t="inlineStr">
        <is>
          <t>Yes</t>
        </is>
      </c>
      <c r="O236" t="inlineStr">
        <is>
          <t>Remanufactured</t>
        </is>
      </c>
      <c r="P236" t="inlineStr"/>
      <c r="Q236" t="inlineStr"/>
      <c r="R236" t="inlineStr"/>
      <c r="S236" t="inlineStr">
        <is>
          <t>3.0000</t>
        </is>
      </c>
      <c r="T236" t="inlineStr"/>
      <c r="U236" t="inlineStr">
        <is>
          <t>1 Year/18,000 Mile</t>
        </is>
      </c>
      <c r="V236" t="inlineStr">
        <is>
          <t>Yes</t>
        </is>
      </c>
      <c r="W236" t="inlineStr">
        <is>
          <t>Available to Order</t>
        </is>
      </c>
      <c r="X236" t="inlineStr">
        <is>
          <t>Ford Focus 2011</t>
        </is>
      </c>
      <c r="Y236" t="inlineStr">
        <is>
          <t>00884548028173</t>
        </is>
      </c>
      <c r="Z236" t="inlineStr">
        <is>
          <t>40-2102::98384:114779:510</t>
        </is>
      </c>
      <c r="AA236" t="inlineStr">
        <is>
          <t>Yes</t>
        </is>
      </c>
      <c r="AB236" t="inlineStr"/>
      <c r="AC236" t="inlineStr"/>
    </row>
    <row r="237">
      <c r="A237" t="inlineStr">
        <is>
          <t>236</t>
        </is>
      </c>
      <c r="B237" t="inlineStr">
        <is>
          <t>Windshield Wiper Motor</t>
        </is>
      </c>
      <c r="C237" t="inlineStr">
        <is>
          <t>40-2104</t>
        </is>
      </c>
      <c r="D237" t="inlineStr">
        <is>
          <t>Windshield Wiper Motor - 40-2104</t>
        </is>
      </c>
      <c r="E237" t="inlineStr">
        <is>
          <t>CARDONE Reman</t>
        </is>
      </c>
      <c r="F237" t="inlineStr">
        <is>
          <t>BB5Z17508A</t>
        </is>
      </c>
      <c r="G237" t="inlineStr">
        <is>
          <t>Ford Explorer 2011-2015
Ford Police Interceptor Utility 2014-2015</t>
        </is>
      </c>
      <c r="H237" t="inlineStr">
        <is>
          <t>Ford Explorer 2011-2015 3.5L V6 213cid
Ford Explorer 2012-2015 2L L4 122cid
Ford Police Interceptor Utility 2014-2015 3.5L V6 213cid
Ford Police Interceptor Utility 2014-2015 3.7L V6 227cid</t>
        </is>
      </c>
      <c r="I237" t="inlineStr">
        <is>
          <t>{"0": {"productDeskExternalKey": "CPCX|40-2104"}, "1": {"E-Waste": "Yes"}, "2": {"Product Condition": "Remanufactured"}, "3": {"Weight PG": "3.0000"}, "4": {"Part Type": "Windshield Wiper Motor"}, "5": {"Warranty Info": "1 Year/18,000 Mile"}, "6": {"Sustainable Choice": "Yes"}, "7": {"Lifecycle Status": "Available to Order"}, "8": {"Application Summary": "Ford Explorer 2015-11, Police Interceptor Utility 2015-14"}, "9": {"ItemLevelGTIN": "00884548028197"}, "10": {"_addonCardone": "40-2104::98384:114784:510"}, "11": {"Eligible for R&amp;R Service": "Yes"}}</t>
        </is>
      </c>
      <c r="J237" t="inlineStr">
        <is>
          <t>https://www.cardone.com/product/windshield-wiper-motor-40-2104</t>
        </is>
      </c>
      <c r="K237">
        <f>DISPIMG("ID_52F72E7F4A8148CE9FC47BB0B0769C1B",1)</f>
        <v/>
      </c>
      <c r="L237" t="inlineStr">
        <is>
          <t>CPCX|40-2104</t>
        </is>
      </c>
      <c r="M237" t="inlineStr"/>
      <c r="N237" t="inlineStr">
        <is>
          <t>Yes</t>
        </is>
      </c>
      <c r="O237" t="inlineStr">
        <is>
          <t>Remanufactured</t>
        </is>
      </c>
      <c r="P237" t="inlineStr"/>
      <c r="Q237" t="inlineStr"/>
      <c r="R237" t="inlineStr"/>
      <c r="S237" t="inlineStr">
        <is>
          <t>3.0000</t>
        </is>
      </c>
      <c r="T237" t="inlineStr"/>
      <c r="U237" t="inlineStr">
        <is>
          <t>1 Year/18,000 Mile</t>
        </is>
      </c>
      <c r="V237" t="inlineStr">
        <is>
          <t>Yes</t>
        </is>
      </c>
      <c r="W237" t="inlineStr">
        <is>
          <t>Available to Order</t>
        </is>
      </c>
      <c r="X237" t="inlineStr">
        <is>
          <t>Ford Explorer 2015-11, Police Interceptor Utility 2015-14</t>
        </is>
      </c>
      <c r="Y237" t="inlineStr">
        <is>
          <t>00884548028197</t>
        </is>
      </c>
      <c r="Z237" t="inlineStr">
        <is>
          <t>40-2104::98384:114784:510</t>
        </is>
      </c>
      <c r="AA237" t="inlineStr">
        <is>
          <t>Yes</t>
        </is>
      </c>
      <c r="AB237" t="inlineStr"/>
      <c r="AC237" t="inlineStr"/>
    </row>
    <row r="238">
      <c r="A238" t="inlineStr">
        <is>
          <t>237</t>
        </is>
      </c>
      <c r="B238" t="inlineStr">
        <is>
          <t>Windshield Wiper Motor</t>
        </is>
      </c>
      <c r="C238" t="inlineStr">
        <is>
          <t>40-2105</t>
        </is>
      </c>
      <c r="D238" t="inlineStr">
        <is>
          <t>Windshield Wiper Motor - 40-2105</t>
        </is>
      </c>
      <c r="E238" t="inlineStr">
        <is>
          <t>CARDONE Reman</t>
        </is>
      </c>
      <c r="F238" t="inlineStr">
        <is>
          <t>CJ5Z17508B;BB5Z17508B</t>
        </is>
      </c>
      <c r="G238" t="inlineStr">
        <is>
          <t>Ford Escape 2013-2019
Ford Explorer 2011-2019
Ford Police Interceptor Utility 2013-2019</t>
        </is>
      </c>
      <c r="H238" t="inlineStr">
        <is>
          <t>Ford Escape 2013-2016 1.6L L4 97cid
Ford Escape 2013-2019 2.5L L4 152cid
Ford Escape 2013-2019 2L L4 122cid
Ford Escape 2017-2019 1.5L L4 91cid
Ford Explorer 2011-2019 3.5L V6 213cid
Ford Explorer 2012-2015 2L L4 122cid
Ford Explorer 2016-2019 2.3L L4 140cid
Ford Police Interceptor Utility 2013-2019 3.7L V6 227cid
Ford Police Interceptor Utility 2014-2019 3.5L V6 213cid</t>
        </is>
      </c>
      <c r="I238" t="inlineStr">
        <is>
          <t>{"0": {"productDeskExternalKey": "CPCX|40-2105"}, "1": {"Package Contents": "Wiper Motor; Instruction Sheet"}, "2": {"E-Waste": "Yes"}, "3": {"Product Condition": "Remanufactured"}, "4": {"Mounting Hole Quantity": "3"}, "5": {"Terminal Type": "Blade"}, "6": {"Mounting Type": "Grommet"}, "7": {"Weight PG": "1.9000"}, "8": {"Washer Pump Included": "No"}, "9": {"Part Type": "Windshield Wiper Motor"}, "10": {"Warranty Info": "1 Year/18,000 Mile"}, "11": {"Sustainable Choice": "Yes"}, "12": {"Lifecycle Status": "Available to Order"}, "13": {"Application Summary": "Ford Escape 2019-13, Explorer 2019-11, Police Interceptor Utility 2019-13; Lincoln MKC 2019-15, MKT 2019-13"}, "14": {"ItemLevelGTIN": "00884548028203"}, "15": {"_addonCardone": "40-2105::98384:114789:510"}, "16": {"Eligible for R&amp;R Service": "Yes"}}</t>
        </is>
      </c>
      <c r="J238" t="inlineStr">
        <is>
          <t>https://www.cardone.com/product/windshield-wiper-motor-40-2105</t>
        </is>
      </c>
      <c r="K238">
        <f>DISPIMG("ID_DB2FD557CB4C4BAB87968761CBB0D5BD",1)</f>
        <v/>
      </c>
      <c r="L238" t="inlineStr">
        <is>
          <t>CPCX|40-2105</t>
        </is>
      </c>
      <c r="M238" t="inlineStr">
        <is>
          <t>Wiper Motor; Instruction Sheet</t>
        </is>
      </c>
      <c r="N238" t="inlineStr">
        <is>
          <t>Yes</t>
        </is>
      </c>
      <c r="O238" t="inlineStr">
        <is>
          <t>Remanufactured</t>
        </is>
      </c>
      <c r="P238" t="inlineStr">
        <is>
          <t>3</t>
        </is>
      </c>
      <c r="Q238" t="inlineStr">
        <is>
          <t>Blade</t>
        </is>
      </c>
      <c r="R238" t="inlineStr">
        <is>
          <t>Grommet</t>
        </is>
      </c>
      <c r="S238" t="inlineStr">
        <is>
          <t>1.9000</t>
        </is>
      </c>
      <c r="T238" t="inlineStr">
        <is>
          <t>No</t>
        </is>
      </c>
      <c r="U238" t="inlineStr">
        <is>
          <t>1 Year/18,000 Mile</t>
        </is>
      </c>
      <c r="V238" t="inlineStr">
        <is>
          <t>Yes</t>
        </is>
      </c>
      <c r="W238" t="inlineStr">
        <is>
          <t>Available to Order</t>
        </is>
      </c>
      <c r="X238" t="inlineStr">
        <is>
          <t>Ford Escape 2019-13, Explorer 2019-11, Police Interceptor Utility 2019-13; Lincoln MKC 2019-15, MKT 2019-13</t>
        </is>
      </c>
      <c r="Y238" t="inlineStr">
        <is>
          <t>00884548028203</t>
        </is>
      </c>
      <c r="Z238" t="inlineStr">
        <is>
          <t>40-2105::98384:114789:510</t>
        </is>
      </c>
      <c r="AA238" t="inlineStr">
        <is>
          <t>Yes</t>
        </is>
      </c>
      <c r="AB238" t="inlineStr"/>
      <c r="AC238" t="inlineStr"/>
    </row>
    <row r="239">
      <c r="A239" t="inlineStr">
        <is>
          <t>238</t>
        </is>
      </c>
      <c r="B239" t="inlineStr">
        <is>
          <t>Windshield Wiper Motor</t>
        </is>
      </c>
      <c r="C239" t="inlineStr">
        <is>
          <t>40-2106</t>
        </is>
      </c>
      <c r="D239" t="inlineStr">
        <is>
          <t>Windshield Wiper Motor - 40-2106</t>
        </is>
      </c>
      <c r="E239" t="inlineStr">
        <is>
          <t>CARDONE Reman</t>
        </is>
      </c>
      <c r="F239" t="inlineStr">
        <is>
          <t>XS7117B571AA</t>
        </is>
      </c>
      <c r="G239" t="inlineStr">
        <is>
          <t>Ford Transit 2007-2011</t>
        </is>
      </c>
      <c r="H239" t="inlineStr">
        <is>
          <t>Ford Transit 2007-2011 2.2L L4 134cid</t>
        </is>
      </c>
      <c r="I239" t="inlineStr">
        <is>
          <t>{"0": {"productDeskExternalKey": "CPCX|40-2106"}, "1": {"E-Waste": "Yes"}, "2": {"Product Condition": "Remanufactured"}, "3": {"Weight PG": "3.0000"}, "4": {"Part Type": "Windshield Wiper Motor"}, "5": {"Warranty Info": "1 Year/18,000 Mile"}, "6": {"Sustainable Choice": "Yes"}, "7": {"Lifecycle Status": "Available to Order"}, "8": {"Application Summary": "Ford Transit 2011-07"}, "9": {"ItemLevelGTIN": "00884548028210"}, "10": {"_addonCardone": "40-2106::98384:114797:510"}, "11": {"Eligible for R&amp;R Service": "Yes"}}</t>
        </is>
      </c>
      <c r="J239" t="inlineStr">
        <is>
          <t>https://www.cardone.com/product/windshield-wiper-motor-40-2106</t>
        </is>
      </c>
      <c r="K239">
        <f>DISPIMG("ID_F02AB15FB4FF45069E3F7D881352F283",1)</f>
        <v/>
      </c>
      <c r="L239" t="inlineStr">
        <is>
          <t>CPCX|40-2106</t>
        </is>
      </c>
      <c r="M239" t="inlineStr"/>
      <c r="N239" t="inlineStr">
        <is>
          <t>Yes</t>
        </is>
      </c>
      <c r="O239" t="inlineStr">
        <is>
          <t>Remanufactured</t>
        </is>
      </c>
      <c r="P239" t="inlineStr"/>
      <c r="Q239" t="inlineStr"/>
      <c r="R239" t="inlineStr"/>
      <c r="S239" t="inlineStr">
        <is>
          <t>3.0000</t>
        </is>
      </c>
      <c r="T239" t="inlineStr"/>
      <c r="U239" t="inlineStr">
        <is>
          <t>1 Year/18,000 Mile</t>
        </is>
      </c>
      <c r="V239" t="inlineStr">
        <is>
          <t>Yes</t>
        </is>
      </c>
      <c r="W239" t="inlineStr">
        <is>
          <t>Available to Order</t>
        </is>
      </c>
      <c r="X239" t="inlineStr">
        <is>
          <t>Ford Transit 2011-07</t>
        </is>
      </c>
      <c r="Y239" t="inlineStr">
        <is>
          <t>00884548028210</t>
        </is>
      </c>
      <c r="Z239" t="inlineStr">
        <is>
          <t>40-2106::98384:114797:510</t>
        </is>
      </c>
      <c r="AA239" t="inlineStr">
        <is>
          <t>Yes</t>
        </is>
      </c>
      <c r="AB239" t="inlineStr"/>
      <c r="AC239" t="inlineStr"/>
    </row>
    <row r="240">
      <c r="A240" t="inlineStr">
        <is>
          <t>239</t>
        </is>
      </c>
      <c r="B240" t="inlineStr">
        <is>
          <t>Windshield Wiper Motor</t>
        </is>
      </c>
      <c r="C240" t="inlineStr">
        <is>
          <t>40-2107</t>
        </is>
      </c>
      <c r="D240" t="inlineStr">
        <is>
          <t>Windshield Wiper Motor - 40-2107</t>
        </is>
      </c>
      <c r="E240" t="inlineStr">
        <is>
          <t>CARDONE Reman</t>
        </is>
      </c>
      <c r="F240" t="inlineStr">
        <is>
          <t>6C1117W400AC</t>
        </is>
      </c>
      <c r="G240" t="inlineStr">
        <is>
          <t>Ford Transit 2007-2011</t>
        </is>
      </c>
      <c r="H240" t="inlineStr">
        <is>
          <t>Ford Transit 2007-2011 2.2L L4 134cid</t>
        </is>
      </c>
      <c r="I240" t="inlineStr">
        <is>
          <t>{"0": {"productDeskExternalKey": "CPCX|40-2107"}, "1": {"E-Waste": "Yes"}, "2": {"Product Condition": "Remanufactured"}, "3": {"Weight PG": "3.0000"}, "4": {"Part Type": "Windshield Wiper Motor"}, "5": {"Warranty Info": "1 Year/18,000 Mile"}, "6": {"Sustainable Choice": "Yes"}, "7": {"Lifecycle Status": "Available to Order"}, "8": {"Application Summary": "Ford Transit 2011-07"}, "9": {"ItemLevelGTIN": "00884548028227"}, "10": {"_addonCardone": "40-2107::98384:114803:510"}, "11": {"Eligible for R&amp;R Service": "Yes"}}</t>
        </is>
      </c>
      <c r="J240" t="inlineStr">
        <is>
          <t>https://www.cardone.com/product/windshield-wiper-motor-40-2107</t>
        </is>
      </c>
      <c r="K240">
        <f>DISPIMG("ID_A459AE68FE9647DCAA771B5C102D10DE",1)</f>
        <v/>
      </c>
      <c r="L240" t="inlineStr">
        <is>
          <t>CPCX|40-2107</t>
        </is>
      </c>
      <c r="M240" t="inlineStr"/>
      <c r="N240" t="inlineStr">
        <is>
          <t>Yes</t>
        </is>
      </c>
      <c r="O240" t="inlineStr">
        <is>
          <t>Remanufactured</t>
        </is>
      </c>
      <c r="P240" t="inlineStr"/>
      <c r="Q240" t="inlineStr"/>
      <c r="R240" t="inlineStr"/>
      <c r="S240" t="inlineStr">
        <is>
          <t>3.0000</t>
        </is>
      </c>
      <c r="T240" t="inlineStr"/>
      <c r="U240" t="inlineStr">
        <is>
          <t>1 Year/18,000 Mile</t>
        </is>
      </c>
      <c r="V240" t="inlineStr">
        <is>
          <t>Yes</t>
        </is>
      </c>
      <c r="W240" t="inlineStr">
        <is>
          <t>Available to Order</t>
        </is>
      </c>
      <c r="X240" t="inlineStr">
        <is>
          <t>Ford Transit 2011-07</t>
        </is>
      </c>
      <c r="Y240" t="inlineStr">
        <is>
          <t>00884548028227</t>
        </is>
      </c>
      <c r="Z240" t="inlineStr">
        <is>
          <t>40-2107::98384:114803:510</t>
        </is>
      </c>
      <c r="AA240" t="inlineStr">
        <is>
          <t>Yes</t>
        </is>
      </c>
      <c r="AB240" t="inlineStr"/>
      <c r="AC240" t="inlineStr"/>
    </row>
    <row r="241">
      <c r="A241" t="inlineStr">
        <is>
          <t>240</t>
        </is>
      </c>
      <c r="B241" t="inlineStr">
        <is>
          <t>Windshield Wiper Motor</t>
        </is>
      </c>
      <c r="C241" t="inlineStr">
        <is>
          <t>40-2108L</t>
        </is>
      </c>
      <c r="D241" t="inlineStr">
        <is>
          <t>Windshield Wiper Motor - 40-2108L</t>
        </is>
      </c>
      <c r="E241" t="inlineStr">
        <is>
          <t>CARDONE Reman</t>
        </is>
      </c>
      <c r="F241" t="inlineStr">
        <is>
          <t>8T4Z17508A</t>
        </is>
      </c>
      <c r="G241" t="inlineStr">
        <is>
          <t>Ford Edge 2008-2010</t>
        </is>
      </c>
      <c r="H241" t="inlineStr">
        <is>
          <t>Ford Edge 2008-2010 3.5L V6 213cid</t>
        </is>
      </c>
      <c r="I241" t="inlineStr">
        <is>
          <t>{"0": {"productDeskExternalKey": "CPCX|40-2108L"}, "1": {"Package Contents": "Wiper Motor; Instruction Sheet"}, "2": {"E-Waste": "Yes"}, "3": {"Product Condition": "Remanufactured"}, "4": {"Mounting Hole Quantity": "2"}, "5": {"Terminal Type": "Blade"}, "6": {"Mounting Type": "Grommet"}, "7": {"Weight PG": "6.5000"}, "8": {"Washer Pump Included": "No"}, "9": {"Part Type": "Windshield Wiper Motor"}, "10": {"Warranty Info": "1 Year/18,000 Mile"}, "11": {"Sustainable Choice": "Yes"}, "12": {"Lifecycle Status": "Available to Order"}, "13": {"Application Summary": "Ford Edge 2010-08; Lincoln MKX 2010"}, "14": {"ItemLevelGTIN": "00884548067530"}, "15": {"_addonCardone": "40-2108L::98384:114815:510"}, "16": {"Eligible for R&amp;R Service": "Yes"}}</t>
        </is>
      </c>
      <c r="J241" t="inlineStr">
        <is>
          <t>https://www.cardone.com/product/windshield-wiper-motor-40-2108l</t>
        </is>
      </c>
      <c r="K241">
        <f>DISPIMG("ID_B0C10F083AE64B4FB5B80FBB5569A012",1)</f>
        <v/>
      </c>
      <c r="L241" t="inlineStr">
        <is>
          <t>CPCX|40-2108L</t>
        </is>
      </c>
      <c r="M241" t="inlineStr">
        <is>
          <t>Wiper Motor; Instruction Sheet</t>
        </is>
      </c>
      <c r="N241" t="inlineStr">
        <is>
          <t>Yes</t>
        </is>
      </c>
      <c r="O241" t="inlineStr">
        <is>
          <t>Remanufactured</t>
        </is>
      </c>
      <c r="P241" t="inlineStr">
        <is>
          <t>2</t>
        </is>
      </c>
      <c r="Q241" t="inlineStr">
        <is>
          <t>Blade</t>
        </is>
      </c>
      <c r="R241" t="inlineStr">
        <is>
          <t>Grommet</t>
        </is>
      </c>
      <c r="S241" t="inlineStr">
        <is>
          <t>6.5000</t>
        </is>
      </c>
      <c r="T241" t="inlineStr">
        <is>
          <t>No</t>
        </is>
      </c>
      <c r="U241" t="inlineStr">
        <is>
          <t>1 Year/18,000 Mile</t>
        </is>
      </c>
      <c r="V241" t="inlineStr">
        <is>
          <t>Yes</t>
        </is>
      </c>
      <c r="W241" t="inlineStr">
        <is>
          <t>Available to Order</t>
        </is>
      </c>
      <c r="X241" t="inlineStr">
        <is>
          <t>Ford Edge 2010-08; Lincoln MKX 2010</t>
        </is>
      </c>
      <c r="Y241" t="inlineStr">
        <is>
          <t>00884548067530</t>
        </is>
      </c>
      <c r="Z241" t="inlineStr">
        <is>
          <t>40-2108L::98384:114815:510</t>
        </is>
      </c>
      <c r="AA241" t="inlineStr">
        <is>
          <t>Yes</t>
        </is>
      </c>
      <c r="AB241" t="inlineStr"/>
      <c r="AC241" t="inlineStr"/>
    </row>
    <row r="242">
      <c r="A242" t="inlineStr">
        <is>
          <t>241</t>
        </is>
      </c>
      <c r="B242" t="inlineStr">
        <is>
          <t>Windshield Wiper Motor</t>
        </is>
      </c>
      <c r="C242" t="inlineStr">
        <is>
          <t>40-2109</t>
        </is>
      </c>
      <c r="D242" t="inlineStr">
        <is>
          <t>Windshield Wiper Motor - 40-2109</t>
        </is>
      </c>
      <c r="E242" t="inlineStr">
        <is>
          <t>CARDONE Reman</t>
        </is>
      </c>
      <c r="F242" t="inlineStr">
        <is>
          <t>1S7117508AD</t>
        </is>
      </c>
      <c r="G242" t="inlineStr">
        <is>
          <t>Ford Mondeo 2001-2007</t>
        </is>
      </c>
      <c r="H242" t="inlineStr">
        <is>
          <t>Ford Mondeo 2001-2007 2.5L V6 155cid
Ford Mondeo 2001-2007 2L L4 122cid
Ford Mondeo 2004 3L V6 181cid</t>
        </is>
      </c>
      <c r="I242" t="inlineStr">
        <is>
          <t>{"0": {"productDeskExternalKey": "CPCX|40-2109"}, "1": {"E-Waste": "Yes"}, "2": {"Product Condition": "Remanufactured"}, "3": {"Weight PG": "1.5000"}, "4": {"Part Type": "Windshield Wiper Motor"}, "5": {"Warranty Info": "1 Year/18,000 Mile"}, "6": {"Sustainable Choice": "Yes"}, "7": {"Lifecycle Status": "Available to Order"}, "8": {"Application Summary": "Ford Mondeo 2007 2004-01"}, "9": {"ItemLevelGTIN": "00884548068568"}, "10": {"_addonCardone": "40-2109::98384:114824:510"}, "11": {"Eligible for R&amp;R Service": "Yes"}}</t>
        </is>
      </c>
      <c r="J242" t="inlineStr">
        <is>
          <t>https://www.cardone.com/product/windshield-wiper-motor-40-2109</t>
        </is>
      </c>
      <c r="K242">
        <f>DISPIMG("ID_7B5708DD18084B08A5E59C01A1BBDAB7",1)</f>
        <v/>
      </c>
      <c r="L242" t="inlineStr">
        <is>
          <t>CPCX|40-2109</t>
        </is>
      </c>
      <c r="M242" t="inlineStr"/>
      <c r="N242" t="inlineStr">
        <is>
          <t>Yes</t>
        </is>
      </c>
      <c r="O242" t="inlineStr">
        <is>
          <t>Remanufactured</t>
        </is>
      </c>
      <c r="P242" t="inlineStr"/>
      <c r="Q242" t="inlineStr"/>
      <c r="R242" t="inlineStr"/>
      <c r="S242" t="inlineStr">
        <is>
          <t>1.5000</t>
        </is>
      </c>
      <c r="T242" t="inlineStr"/>
      <c r="U242" t="inlineStr">
        <is>
          <t>1 Year/18,000 Mile</t>
        </is>
      </c>
      <c r="V242" t="inlineStr">
        <is>
          <t>Yes</t>
        </is>
      </c>
      <c r="W242" t="inlineStr">
        <is>
          <t>Available to Order</t>
        </is>
      </c>
      <c r="X242" t="inlineStr">
        <is>
          <t>Ford Mondeo 2007 2004-01</t>
        </is>
      </c>
      <c r="Y242" t="inlineStr">
        <is>
          <t>00884548068568</t>
        </is>
      </c>
      <c r="Z242" t="inlineStr">
        <is>
          <t>40-2109::98384:114824:510</t>
        </is>
      </c>
      <c r="AA242" t="inlineStr">
        <is>
          <t>Yes</t>
        </is>
      </c>
      <c r="AB242" t="inlineStr"/>
      <c r="AC242" t="inlineStr"/>
    </row>
    <row r="243">
      <c r="A243" t="inlineStr">
        <is>
          <t>242</t>
        </is>
      </c>
      <c r="B243" t="inlineStr">
        <is>
          <t>Windshield Wiper Motor</t>
        </is>
      </c>
      <c r="C243" t="inlineStr">
        <is>
          <t>40-211</t>
        </is>
      </c>
      <c r="D243" t="inlineStr">
        <is>
          <t>Windshield Wiper Motor - 40-211</t>
        </is>
      </c>
      <c r="E243" t="inlineStr">
        <is>
          <t>CARDONE Reman</t>
        </is>
      </c>
      <c r="F243" t="inlineStr">
        <is>
          <t>C3UZ17508C;C4TF17B571F;C4UF17B571B;C4TZ17508G;C4TF17B571H;C4TF17504B;C4TF17504C;C3DF17504N;C5TF17504A;C3UF17504C;C5UZ17508A;C3TF17504J</t>
        </is>
      </c>
      <c r="G243" t="inlineStr">
        <is>
          <t>Ford Econoline 1965-1966
Ford F-100 1964-1966
Ford F-250 1964-1966
Ford F-350 1964-1966
Ford Fairlane 1963-1965
Ford Falcon 1963-1965
Ford Mustang 1965-1966
Mercury Comet 1963-1965
Mercury Meteor 1963</t>
        </is>
      </c>
      <c r="H243" t="inlineStr">
        <is>
          <t>Ford Econoline 1965 2.4L L6 144cid
Ford Econoline 1965-1966 2.8L L6 170cid
Ford Econoline 1965-1966 3.9L L6 240cid
Ford F-100 1964 3.6L L6 223cid
Ford F-100 1964 4.3L L6 262cid
Ford F-100 1964-1965 4.8L V8 292cid
Ford F-100 1964-1966 5.9L V8 361cid
Ford F-100 1965-1966 3.9L L6 240cid
Ford F-100 1965-1966 4.9L L6 300cid
Ford F-100 1965-1966 5.8L V8 352cid
Ford F-250 1964 3.6L L6 223cid
Ford F-250 1964 4.3L L6 262cid
Ford F-250 1964-1965 4.8L V8 292cid
Ford F-250 1964-1966 5.9L V8 361cid
Ford F-250 1965-1966 3.9L L6 240cid
Ford F-250 1965-1966 4.9L L6 300cid
Ford F-250 1965-1966 5.8L V8 352cid
Ford F-350 1964 3.6L L6 223cid
Ford F-350 1964 4.3L L6 262cid
Ford F-350 1964-1965 4.8L V8 292cid
Ford F-350 1964-1966 5.9L V8 360cid
Ford F-350 1964-1966 5.9L V8 361cid
Ford F-350 1965-1966 3.9L L6 240cid
Ford F-350 1965-1966 4.9L L6 300cid
Ford F-350 1965-1966 5.8L V8 352cid
Ford F-350 1965-1966 5L V8 302cid
Ford Fairlane 1963 3.6L V8 221cid
Ford Fairlane 1963-1964 4.3L V8 260cid
Ford Fairlane 1963-1965 2.8L L6 170cid
Ford Fairlane 1963-1965 3.3L L6 200cid
Ford Fairlane 1963-1965 4.7L V8 289cid
Ford Fairlane 1963-1965 5.8L V8 352cid
Ford Fairlane 1963-1965 6.4L V8 390cid
Ford Fairlane 1964-1965 7L V8 427cid
Ford Falcon 1963 3.6L V8 221cid
Ford Falcon 1963-1964 2.4L L6 144cid
Ford Falcon 1963-1965 2.8L L6 170cid
Ford Falcon 1963-1965 4.3L V8 260cid
Ford Falcon 1964-1965 3.3L L6 200cid
Ford Falcon 1964-1965 4.7L V8 289cid
Ford Mustang 1965 2.8L L6 170cid
Ford Mustang 1965 4.3L V8 260cid
Ford Mustang 1965-1966 3.3L L6 200cid
Ford Mustang 1965-1966 4.7L V8 289cid
Mercury Comet 1963 2.4L L6 144cid
Mercury Comet 1963 3.6L V8 221cid
Mercury Comet 1963-1965 2.8L L6 170cid
Mercury Comet 1963-1965 3.3L L6 200cid
Mercury Comet 1963-1965 4.3L V8 260cid
Mercury Comet 1964-1965 4.7L V8 289cid
Mercury Comet 1964-1965 7L V8 427cid
Mercury Meteor 1963 2.8L L6 170cid
Mercury Meteor 1963 3.3L L6 200cid
Mercury Meteor 1963 3.6L V8 221cid
Mercury Meteor 1963 4.3L V8 260cid
Mercury Meteor 1963 4.7L V8 289cid
Mercury Meteor 1963 6.4L V8 390cid</t>
        </is>
      </c>
      <c r="I243" t="inlineStr">
        <is>
          <t>{"0": {"productDeskExternalKey": "CPCX|40-211"}, "1": {"Package Contents": "Wiper Motor; Instruction Sheet"}, "2": {"E-Waste": "Yes"}, "3": {"Product Condition": "Remanufactured"}, "4": {"Mounting Hole Quantity": "3"}, "5": {"Terminal Type": "Blade"}, "6": {"Mounting Type": "Direct Bolt"}, "7": {"Weight PG": "3.0500"}, "8": {"Washer Pump Included": "No"}, "9": {"Part Type": "Windshield Wiper Motor"}, "10": {"Warranty Info": "1 Year/18,000 Mile"}, "11": {"Sustainable Choice": "Yes"}, "12": {"Lifecycle Status": "Available to Order"}, "13": {"Application Summary": "Ford Econoline 1966-65, F-100 1966-64, F-250 1966-64, F-350 1966-64, Fairlane 1965-63, Falcon 1965-63, Mustang 1966-65; Mercury Comet 1965-63, Meteor 1963"}, "14": {"ItemLevelGTIN": "00082617040051"}, "15": {"_addonCardone": "40-211::98384:114831:510"}, "16": {"Eligible for R&amp;R Service": "Yes"}}</t>
        </is>
      </c>
      <c r="J243" t="inlineStr">
        <is>
          <t>https://www.cardone.com/product/windshield-wiper-motor-40-211</t>
        </is>
      </c>
      <c r="K243">
        <f>DISPIMG("ID_A32397F63BCC4D8E914662E58FF7D49E",1)</f>
        <v/>
      </c>
      <c r="L243" t="inlineStr">
        <is>
          <t>CPCX|40-211</t>
        </is>
      </c>
      <c r="M243" t="inlineStr">
        <is>
          <t>Wiper Motor; Instruction Sheet</t>
        </is>
      </c>
      <c r="N243" t="inlineStr">
        <is>
          <t>Yes</t>
        </is>
      </c>
      <c r="O243" t="inlineStr">
        <is>
          <t>Remanufactured</t>
        </is>
      </c>
      <c r="P243" t="inlineStr">
        <is>
          <t>3</t>
        </is>
      </c>
      <c r="Q243" t="inlineStr">
        <is>
          <t>Blade</t>
        </is>
      </c>
      <c r="R243" t="inlineStr">
        <is>
          <t>Direct Bolt</t>
        </is>
      </c>
      <c r="S243" t="inlineStr">
        <is>
          <t>3.0500</t>
        </is>
      </c>
      <c r="T243" t="inlineStr">
        <is>
          <t>No</t>
        </is>
      </c>
      <c r="U243" t="inlineStr">
        <is>
          <t>1 Year/18,000 Mile</t>
        </is>
      </c>
      <c r="V243" t="inlineStr">
        <is>
          <t>Yes</t>
        </is>
      </c>
      <c r="W243" t="inlineStr">
        <is>
          <t>Available to Order</t>
        </is>
      </c>
      <c r="X243" t="inlineStr">
        <is>
          <t>Ford Econoline 1966-65, F-100 1966-64, F-250 1966-64, F-350 1966-64, Fairlane 1965-63, Falcon 1965-63, Mustang 1966-65; Mercury Comet 1965-63, Meteor 1963</t>
        </is>
      </c>
      <c r="Y243" t="inlineStr">
        <is>
          <t>00082617040051</t>
        </is>
      </c>
      <c r="Z243" t="inlineStr">
        <is>
          <t>40-211::98384:114831:510</t>
        </is>
      </c>
      <c r="AA243" t="inlineStr">
        <is>
          <t>Yes</t>
        </is>
      </c>
      <c r="AB243" t="inlineStr"/>
      <c r="AC243" t="inlineStr"/>
    </row>
    <row r="244">
      <c r="A244" t="inlineStr">
        <is>
          <t>243</t>
        </is>
      </c>
      <c r="B244" t="inlineStr">
        <is>
          <t>Windshield Wiper Motor</t>
        </is>
      </c>
      <c r="C244" t="inlineStr">
        <is>
          <t>40-2110</t>
        </is>
      </c>
      <c r="D244" t="inlineStr">
        <is>
          <t>Windshield Wiper Motor - 40-2110</t>
        </is>
      </c>
      <c r="E244" t="inlineStr">
        <is>
          <t>CARDONE Reman</t>
        </is>
      </c>
      <c r="F244" t="inlineStr">
        <is>
          <t>2S71A17K441AA</t>
        </is>
      </c>
      <c r="G244" t="inlineStr">
        <is>
          <t>Ford Mondeo 2001-2007</t>
        </is>
      </c>
      <c r="H244" t="inlineStr">
        <is>
          <t>Ford Mondeo 2001-2007 2.5L V6 155cid
Ford Mondeo 2001-2007 2L L4 122cid
Ford Mondeo 2004-2005 3L V6 181cid</t>
        </is>
      </c>
      <c r="I244" t="inlineStr">
        <is>
          <t>{"0": {"productDeskExternalKey": "CPCX|40-2110"}, "1": {"E-Waste": "Yes"}, "2": {"Product Condition": "Remanufactured"}, "3": {"Weight PG": "1.5000"}, "4": {"Part Type": "Windshield Wiper Motor"}, "5": {"Warranty Info": "1 Year/18,000 Mile"}, "6": {"Sustainable Choice": "Yes"}, "7": {"Lifecycle Status": "Available to Order"}, "8": {"Application Summary": "Ford Mondeo 2007-01"}, "9": {"ItemLevelGTIN": "00884548068575"}, "10": {"_addonCardone": "40-2110::98384:114839:510"}, "11": {"Eligible for R&amp;R Service": "Yes"}}</t>
        </is>
      </c>
      <c r="J244" t="inlineStr">
        <is>
          <t>https://www.cardone.com/product/windshield-wiper-motor-40-2110</t>
        </is>
      </c>
      <c r="K244">
        <f>DISPIMG("ID_9511D26D15224F3ABB9ACD00AF78DA13",1)</f>
        <v/>
      </c>
      <c r="L244" t="inlineStr">
        <is>
          <t>CPCX|40-2110</t>
        </is>
      </c>
      <c r="M244" t="inlineStr"/>
      <c r="N244" t="inlineStr">
        <is>
          <t>Yes</t>
        </is>
      </c>
      <c r="O244" t="inlineStr">
        <is>
          <t>Remanufactured</t>
        </is>
      </c>
      <c r="P244" t="inlineStr"/>
      <c r="Q244" t="inlineStr"/>
      <c r="R244" t="inlineStr"/>
      <c r="S244" t="inlineStr">
        <is>
          <t>1.5000</t>
        </is>
      </c>
      <c r="T244" t="inlineStr"/>
      <c r="U244" t="inlineStr">
        <is>
          <t>1 Year/18,000 Mile</t>
        </is>
      </c>
      <c r="V244" t="inlineStr">
        <is>
          <t>Yes</t>
        </is>
      </c>
      <c r="W244" t="inlineStr">
        <is>
          <t>Available to Order</t>
        </is>
      </c>
      <c r="X244" t="inlineStr">
        <is>
          <t>Ford Mondeo 2007-01</t>
        </is>
      </c>
      <c r="Y244" t="inlineStr">
        <is>
          <t>00884548068575</t>
        </is>
      </c>
      <c r="Z244" t="inlineStr">
        <is>
          <t>40-2110::98384:114839:510</t>
        </is>
      </c>
      <c r="AA244" t="inlineStr">
        <is>
          <t>Yes</t>
        </is>
      </c>
      <c r="AB244" t="inlineStr"/>
      <c r="AC244" t="inlineStr"/>
    </row>
    <row r="245">
      <c r="A245" t="inlineStr">
        <is>
          <t>244</t>
        </is>
      </c>
      <c r="B245" t="inlineStr">
        <is>
          <t>Windshield Wiper Motor</t>
        </is>
      </c>
      <c r="C245" t="inlineStr">
        <is>
          <t>40-2111</t>
        </is>
      </c>
      <c r="D245" t="inlineStr">
        <is>
          <t>Windshield Wiper Motor - 40-2111</t>
        </is>
      </c>
      <c r="E245" t="inlineStr">
        <is>
          <t>CARDONE Reman</t>
        </is>
      </c>
      <c r="F245" t="inlineStr">
        <is>
          <t>M98KU17504BB</t>
        </is>
      </c>
      <c r="G245" t="inlineStr">
        <is>
          <t>Ford Ka 2001-2008</t>
        </is>
      </c>
      <c r="H245" t="inlineStr">
        <is>
          <t>Ford Ka 2001-2008 1.6L L4 97cid</t>
        </is>
      </c>
      <c r="I245" t="inlineStr">
        <is>
          <t>{"0": {"productDeskExternalKey": "CPCX|40-2111"}, "1": {"E-Waste": "Yes"}, "2": {"Product Condition": "Remanufactured"}, "3": {"Weight PG": "1.5000"}, "4": {"Part Type": "Windshield Wiper Motor"}, "5": {"Warranty Info": "1 Year/18,000 Mile"}, "6": {"Sustainable Choice": "Yes"}, "7": {"Lifecycle Status": "Available to Order"}, "8": {"Application Summary": "Ford Ka 2008-01"}, "9": {"ItemLevelGTIN": "00884548068582"}, "10": {"_addonCardone": "40-2111::98384:114847:510"}, "11": {"Eligible for R&amp;R Service": "Yes"}}</t>
        </is>
      </c>
      <c r="J245" t="inlineStr">
        <is>
          <t>https://www.cardone.com/product/windshield-wiper-motor-40-2111</t>
        </is>
      </c>
      <c r="K245">
        <f>DISPIMG("ID_A32E5994BECF4133921667C20AFD1CD4",1)</f>
        <v/>
      </c>
      <c r="L245" t="inlineStr">
        <is>
          <t>CPCX|40-2111</t>
        </is>
      </c>
      <c r="M245" t="inlineStr"/>
      <c r="N245" t="inlineStr">
        <is>
          <t>Yes</t>
        </is>
      </c>
      <c r="O245" t="inlineStr">
        <is>
          <t>Remanufactured</t>
        </is>
      </c>
      <c r="P245" t="inlineStr"/>
      <c r="Q245" t="inlineStr"/>
      <c r="R245" t="inlineStr"/>
      <c r="S245" t="inlineStr">
        <is>
          <t>1.5000</t>
        </is>
      </c>
      <c r="T245" t="inlineStr"/>
      <c r="U245" t="inlineStr">
        <is>
          <t>1 Year/18,000 Mile</t>
        </is>
      </c>
      <c r="V245" t="inlineStr">
        <is>
          <t>Yes</t>
        </is>
      </c>
      <c r="W245" t="inlineStr">
        <is>
          <t>Available to Order</t>
        </is>
      </c>
      <c r="X245" t="inlineStr">
        <is>
          <t>Ford Ka 2008-01</t>
        </is>
      </c>
      <c r="Y245" t="inlineStr">
        <is>
          <t>00884548068582</t>
        </is>
      </c>
      <c r="Z245" t="inlineStr">
        <is>
          <t>40-2111::98384:114847:510</t>
        </is>
      </c>
      <c r="AA245" t="inlineStr">
        <is>
          <t>Yes</t>
        </is>
      </c>
      <c r="AB245" t="inlineStr"/>
      <c r="AC245" t="inlineStr"/>
    </row>
    <row r="246">
      <c r="A246" t="inlineStr">
        <is>
          <t>245</t>
        </is>
      </c>
      <c r="B246" t="inlineStr">
        <is>
          <t>Windshield Wiper Motor</t>
        </is>
      </c>
      <c r="C246" t="inlineStr">
        <is>
          <t>40-2112</t>
        </is>
      </c>
      <c r="D246" t="inlineStr">
        <is>
          <t>Windshield Wiper Motor - 40-2112</t>
        </is>
      </c>
      <c r="E246" t="inlineStr">
        <is>
          <t>CARDONE Reman</t>
        </is>
      </c>
      <c r="F246" t="inlineStr">
        <is>
          <t>M2S5517K441AB</t>
        </is>
      </c>
      <c r="G246" t="inlineStr">
        <is>
          <t>Ford Ka 2001-2008</t>
        </is>
      </c>
      <c r="H246" t="inlineStr">
        <is>
          <t>Ford Ka 2001-2008 1.6L L4 97cid</t>
        </is>
      </c>
      <c r="I246" t="inlineStr">
        <is>
          <t>{"0": {"productDeskExternalKey": "CPCX|40-2112"}, "1": {"E-Waste": "Yes"}, "2": {"Product Condition": "Remanufactured"}, "3": {"Weight PG": "1.5000"}, "4": {"Part Type": "Windshield Wiper Motor"}, "5": {"Warranty Info": "1 Year/18,000 Mile"}, "6": {"Sustainable Choice": "Yes"}, "7": {"Lifecycle Status": "Available to Order"}, "8": {"Application Summary": "Ford Ka 2008-01"}, "9": {"ItemLevelGTIN": "00884548068599"}, "10": {"_addonCardone": "40-2112::98384:114853:510"}, "11": {"Eligible for R&amp;R Service": "Yes"}}</t>
        </is>
      </c>
      <c r="J246" t="inlineStr">
        <is>
          <t>https://www.cardone.com/product/windshield-wiper-motor-40-2112</t>
        </is>
      </c>
      <c r="K246">
        <f>DISPIMG("ID_39A8D6A2F149465A8BF4A80C3A0B9C0F",1)</f>
        <v/>
      </c>
      <c r="L246" t="inlineStr">
        <is>
          <t>CPCX|40-2112</t>
        </is>
      </c>
      <c r="M246" t="inlineStr"/>
      <c r="N246" t="inlineStr">
        <is>
          <t>Yes</t>
        </is>
      </c>
      <c r="O246" t="inlineStr">
        <is>
          <t>Remanufactured</t>
        </is>
      </c>
      <c r="P246" t="inlineStr"/>
      <c r="Q246" t="inlineStr"/>
      <c r="R246" t="inlineStr"/>
      <c r="S246" t="inlineStr">
        <is>
          <t>1.5000</t>
        </is>
      </c>
      <c r="T246" t="inlineStr"/>
      <c r="U246" t="inlineStr">
        <is>
          <t>1 Year/18,000 Mile</t>
        </is>
      </c>
      <c r="V246" t="inlineStr">
        <is>
          <t>Yes</t>
        </is>
      </c>
      <c r="W246" t="inlineStr">
        <is>
          <t>Available to Order</t>
        </is>
      </c>
      <c r="X246" t="inlineStr">
        <is>
          <t>Ford Ka 2008-01</t>
        </is>
      </c>
      <c r="Y246" t="inlineStr">
        <is>
          <t>00884548068599</t>
        </is>
      </c>
      <c r="Z246" t="inlineStr">
        <is>
          <t>40-2112::98384:114853:510</t>
        </is>
      </c>
      <c r="AA246" t="inlineStr">
        <is>
          <t>Yes</t>
        </is>
      </c>
      <c r="AB246" t="inlineStr"/>
      <c r="AC246" t="inlineStr"/>
    </row>
    <row r="247">
      <c r="A247" t="inlineStr">
        <is>
          <t>246</t>
        </is>
      </c>
      <c r="B247" t="inlineStr">
        <is>
          <t>Windshield Wiper Motor</t>
        </is>
      </c>
      <c r="C247" t="inlineStr">
        <is>
          <t>40-2113</t>
        </is>
      </c>
      <c r="D247" t="inlineStr">
        <is>
          <t>Windshield Wiper Motor - 40-2113</t>
        </is>
      </c>
      <c r="E247" t="inlineStr">
        <is>
          <t>CARDONE Reman</t>
        </is>
      </c>
      <c r="F247" t="inlineStr">
        <is>
          <t>M2S6517W400AB</t>
        </is>
      </c>
      <c r="G247" t="inlineStr">
        <is>
          <t>Ford EcoSport 2004-2010
Ford Fiesta Ikon 2003-2004</t>
        </is>
      </c>
      <c r="H247" t="inlineStr">
        <is>
          <t>Ford EcoSport 2004-2010 2L L4 122cid
Ford Fiesta Ikon 2003-2004 1.6L L4 97cid</t>
        </is>
      </c>
      <c r="I247" t="inlineStr">
        <is>
          <t>{"0": {"productDeskExternalKey": "CPCX|40-2113"}, "1": {"E-Waste": "Yes"}, "2": {"Product Condition": "Remanufactured"}, "3": {"Weight PG": "2.5000"}, "4": {"Part Type": "Windshield Wiper Motor"}, "5": {"Warranty Info": "1 Year/18,000 Mile"}, "6": {"Sustainable Choice": "Yes"}, "7": {"Lifecycle Status": "Available to Order"}, "8": {"Application Summary": "Ford EcoSport 2010-04, Fiesta Ikon 2004-03"}, "9": {"ItemLevelGTIN": "00884548068605"}, "10": {"_addonCardone": "40-2113::98384:114860:510"}, "11": {"Eligible for R&amp;R Service": "Yes"}}</t>
        </is>
      </c>
      <c r="J247" t="inlineStr">
        <is>
          <t>https://www.cardone.com/product/windshield-wiper-motor-40-2113</t>
        </is>
      </c>
      <c r="K247">
        <f>DISPIMG("ID_52540E71C4D34E1BB0745B1CF9917B96",1)</f>
        <v/>
      </c>
      <c r="L247" t="inlineStr">
        <is>
          <t>CPCX|40-2113</t>
        </is>
      </c>
      <c r="M247" t="inlineStr"/>
      <c r="N247" t="inlineStr">
        <is>
          <t>Yes</t>
        </is>
      </c>
      <c r="O247" t="inlineStr">
        <is>
          <t>Remanufactured</t>
        </is>
      </c>
      <c r="P247" t="inlineStr"/>
      <c r="Q247" t="inlineStr"/>
      <c r="R247" t="inlineStr"/>
      <c r="S247" t="inlineStr">
        <is>
          <t>2.5000</t>
        </is>
      </c>
      <c r="T247" t="inlineStr"/>
      <c r="U247" t="inlineStr">
        <is>
          <t>1 Year/18,000 Mile</t>
        </is>
      </c>
      <c r="V247" t="inlineStr">
        <is>
          <t>Yes</t>
        </is>
      </c>
      <c r="W247" t="inlineStr">
        <is>
          <t>Available to Order</t>
        </is>
      </c>
      <c r="X247" t="inlineStr">
        <is>
          <t>Ford EcoSport 2010-04, Fiesta Ikon 2004-03</t>
        </is>
      </c>
      <c r="Y247" t="inlineStr">
        <is>
          <t>00884548068605</t>
        </is>
      </c>
      <c r="Z247" t="inlineStr">
        <is>
          <t>40-2113::98384:114860:510</t>
        </is>
      </c>
      <c r="AA247" t="inlineStr">
        <is>
          <t>Yes</t>
        </is>
      </c>
      <c r="AB247" t="inlineStr"/>
      <c r="AC247" t="inlineStr"/>
    </row>
    <row r="248">
      <c r="A248" t="inlineStr">
        <is>
          <t>247</t>
        </is>
      </c>
      <c r="B248" t="inlineStr">
        <is>
          <t>Windshield Wiper Motor</t>
        </is>
      </c>
      <c r="C248" t="inlineStr">
        <is>
          <t>40-2117</t>
        </is>
      </c>
      <c r="D248" t="inlineStr">
        <is>
          <t>Windshield Wiper Motor - 40-2117</t>
        </is>
      </c>
      <c r="E248" t="inlineStr">
        <is>
          <t>CARDONE Reman</t>
        </is>
      </c>
      <c r="F248" t="inlineStr">
        <is>
          <t>4M5117508AB</t>
        </is>
      </c>
      <c r="G248" t="inlineStr">
        <is>
          <t>Ford Focus 2007-2008</t>
        </is>
      </c>
      <c r="H248" t="inlineStr">
        <is>
          <t>Ford Focus 2007-2008 2.5L L5 154cid
Ford Focus 2007-2008 2L L4 121cid</t>
        </is>
      </c>
      <c r="I248" t="inlineStr">
        <is>
          <t>{"0": {"productDeskExternalKey": "CPCX|40-2117"}, "1": {"E-Waste": "Yes"}, "2": {"Product Condition": "Remanufactured"}, "3": {"Weight PG": "1.5000"}, "4": {"Part Type": "Windshield Wiper Motor"}, "5": {"Warranty Info": "1 Year/18,000 Mile"}, "6": {"Sustainable Choice": "Yes"}, "7": {"Lifecycle Status": "Available to Order"}, "8": {"Application Summary": "Ford Focus 2008-07"}, "9": {"ItemLevelGTIN": "00884548068650"}, "10": {"_addonCardone": "40-2117::98384:114966:510"}, "11": {"Eligible for R&amp;R Service": "Yes"}}</t>
        </is>
      </c>
      <c r="J248" t="inlineStr">
        <is>
          <t>https://www.cardone.com/product/windshield-wiper-motor-40-2117</t>
        </is>
      </c>
      <c r="K248">
        <f>DISPIMG("ID_32AE52C93C144E7E9CB7C9AB4964D43C",1)</f>
        <v/>
      </c>
      <c r="L248" t="inlineStr">
        <is>
          <t>CPCX|40-2117</t>
        </is>
      </c>
      <c r="M248" t="inlineStr"/>
      <c r="N248" t="inlineStr">
        <is>
          <t>Yes</t>
        </is>
      </c>
      <c r="O248" t="inlineStr">
        <is>
          <t>Remanufactured</t>
        </is>
      </c>
      <c r="P248" t="inlineStr"/>
      <c r="Q248" t="inlineStr"/>
      <c r="R248" t="inlineStr"/>
      <c r="S248" t="inlineStr">
        <is>
          <t>1.5000</t>
        </is>
      </c>
      <c r="T248" t="inlineStr"/>
      <c r="U248" t="inlineStr">
        <is>
          <t>1 Year/18,000 Mile</t>
        </is>
      </c>
      <c r="V248" t="inlineStr">
        <is>
          <t>Yes</t>
        </is>
      </c>
      <c r="W248" t="inlineStr">
        <is>
          <t>Available to Order</t>
        </is>
      </c>
      <c r="X248" t="inlineStr">
        <is>
          <t>Ford Focus 2008-07</t>
        </is>
      </c>
      <c r="Y248" t="inlineStr">
        <is>
          <t>00884548068650</t>
        </is>
      </c>
      <c r="Z248" t="inlineStr">
        <is>
          <t>40-2117::98384:114966:510</t>
        </is>
      </c>
      <c r="AA248" t="inlineStr">
        <is>
          <t>Yes</t>
        </is>
      </c>
      <c r="AB248" t="inlineStr"/>
      <c r="AC248" t="inlineStr"/>
    </row>
    <row r="249">
      <c r="A249" t="inlineStr">
        <is>
          <t>248</t>
        </is>
      </c>
      <c r="B249" t="inlineStr">
        <is>
          <t>Windshield Wiper Motor</t>
        </is>
      </c>
      <c r="C249" t="inlineStr">
        <is>
          <t>40-2118</t>
        </is>
      </c>
      <c r="D249" t="inlineStr">
        <is>
          <t>Windshield Wiper Motor - 40-2118</t>
        </is>
      </c>
      <c r="E249" t="inlineStr">
        <is>
          <t>CARDONE Reman</t>
        </is>
      </c>
      <c r="F249" t="inlineStr">
        <is>
          <t>4M5117508BA</t>
        </is>
      </c>
      <c r="G249" t="inlineStr">
        <is>
          <t>Ford Focus 2008-2010</t>
        </is>
      </c>
      <c r="H249" t="inlineStr">
        <is>
          <t>Ford Focus 2008-2010 2.5L L5 154cid
Ford Focus 2008-2010 2L L4 121cid</t>
        </is>
      </c>
      <c r="I249" t="inlineStr">
        <is>
          <t>{"0": {"productDeskExternalKey": "CPCX|40-2118"}, "1": {"E-Waste": "Yes"}, "2": {"Product Condition": "Remanufactured"}, "3": {"Weight PG": "1.5000"}, "4": {"Part Type": "Windshield Wiper Motor"}, "5": {"Warranty Info": "1 Year/18,000 Mile"}, "6": {"Sustainable Choice": "Yes"}, "7": {"Lifecycle Status": "Available to Order"}, "8": {"Application Summary": "Ford Focus 2010-08"}, "9": {"ItemLevelGTIN": "00884548068667"}, "10": {"_addonCardone": "40-2118::98384:114971:510"}, "11": {"Eligible for R&amp;R Service": "Yes"}}</t>
        </is>
      </c>
      <c r="J249" t="inlineStr">
        <is>
          <t>https://www.cardone.com/product/windshield-wiper-motor-40-2118</t>
        </is>
      </c>
      <c r="K249">
        <f>DISPIMG("ID_4E0BC04CC15149BC85470C77403D7E4D",1)</f>
        <v/>
      </c>
      <c r="L249" t="inlineStr">
        <is>
          <t>CPCX|40-2118</t>
        </is>
      </c>
      <c r="M249" t="inlineStr"/>
      <c r="N249" t="inlineStr">
        <is>
          <t>Yes</t>
        </is>
      </c>
      <c r="O249" t="inlineStr">
        <is>
          <t>Remanufactured</t>
        </is>
      </c>
      <c r="P249" t="inlineStr"/>
      <c r="Q249" t="inlineStr"/>
      <c r="R249" t="inlineStr"/>
      <c r="S249" t="inlineStr">
        <is>
          <t>1.5000</t>
        </is>
      </c>
      <c r="T249" t="inlineStr"/>
      <c r="U249" t="inlineStr">
        <is>
          <t>1 Year/18,000 Mile</t>
        </is>
      </c>
      <c r="V249" t="inlineStr">
        <is>
          <t>Yes</t>
        </is>
      </c>
      <c r="W249" t="inlineStr">
        <is>
          <t>Available to Order</t>
        </is>
      </c>
      <c r="X249" t="inlineStr">
        <is>
          <t>Ford Focus 2010-08</t>
        </is>
      </c>
      <c r="Y249" t="inlineStr">
        <is>
          <t>00884548068667</t>
        </is>
      </c>
      <c r="Z249" t="inlineStr">
        <is>
          <t>40-2118::98384:114971:510</t>
        </is>
      </c>
      <c r="AA249" t="inlineStr">
        <is>
          <t>Yes</t>
        </is>
      </c>
      <c r="AB249" t="inlineStr"/>
      <c r="AC249" t="inlineStr"/>
    </row>
    <row r="250">
      <c r="A250" t="inlineStr">
        <is>
          <t>249</t>
        </is>
      </c>
      <c r="B250" t="inlineStr">
        <is>
          <t>Windshield Wiper Motor</t>
        </is>
      </c>
      <c r="C250" t="inlineStr">
        <is>
          <t>40-2121</t>
        </is>
      </c>
      <c r="D250" t="inlineStr">
        <is>
          <t>Windshield Wiper Motor - 40-2121</t>
        </is>
      </c>
      <c r="E250" t="inlineStr">
        <is>
          <t>CARDONE Reman</t>
        </is>
      </c>
      <c r="F250" t="inlineStr">
        <is>
          <t>BT4Z17508A</t>
        </is>
      </c>
      <c r="G250" t="inlineStr">
        <is>
          <t>Ford Edge 2011-2014</t>
        </is>
      </c>
      <c r="H250" t="inlineStr">
        <is>
          <t>Ford Edge 2011-2014 3.5L V6 213cid
Ford Edge 2011-2014 3.7L V6 227cid
Ford Edge 2012-2014 2L L4 122cid</t>
        </is>
      </c>
      <c r="I250" t="inlineStr">
        <is>
          <t>{"0": {"productDeskExternalKey": "CPCX|40-2121"},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"Ford Edge 2014-11; Lincoln MKX 2015-11"}, "14": {"ItemLevelGTIN": "00884548099579"}, "15": {"_addonCardone": "40-2121::98384:114977:510"}, "16": {"Eligible for R&amp;R Service": "Yes"}}</t>
        </is>
      </c>
      <c r="J250" t="inlineStr">
        <is>
          <t>https://www.cardone.com/product/windshield-wiper-motor-40-2121</t>
        </is>
      </c>
      <c r="K250">
        <f>DISPIMG("ID_DCA7B8026F884DB5897B6BC06D5C95CF",1)</f>
        <v/>
      </c>
      <c r="L250" t="inlineStr">
        <is>
          <t>CPCX|40-2121</t>
        </is>
      </c>
      <c r="M250" t="inlineStr">
        <is>
          <t>Wiper Motor; Instruction Sheet</t>
        </is>
      </c>
      <c r="N250" t="inlineStr">
        <is>
          <t>Yes</t>
        </is>
      </c>
      <c r="O250" t="inlineStr">
        <is>
          <t>Remanufactured</t>
        </is>
      </c>
      <c r="P250" t="inlineStr">
        <is>
          <t>3</t>
        </is>
      </c>
      <c r="Q250" t="inlineStr">
        <is>
          <t>Blade</t>
        </is>
      </c>
      <c r="R250" t="inlineStr">
        <is>
          <t>Grommet</t>
        </is>
      </c>
      <c r="S250" t="inlineStr">
        <is>
          <t>2.2000</t>
        </is>
      </c>
      <c r="T250" t="inlineStr">
        <is>
          <t>No</t>
        </is>
      </c>
      <c r="U250" t="inlineStr">
        <is>
          <t>1 Year/18,000 Mile</t>
        </is>
      </c>
      <c r="V250" t="inlineStr">
        <is>
          <t>Yes</t>
        </is>
      </c>
      <c r="W250" t="inlineStr">
        <is>
          <t>Available to Order</t>
        </is>
      </c>
      <c r="X250" t="inlineStr">
        <is>
          <t>Ford Edge 2014-11; Lincoln MKX 2015-11</t>
        </is>
      </c>
      <c r="Y250" t="inlineStr">
        <is>
          <t>00884548099579</t>
        </is>
      </c>
      <c r="Z250" t="inlineStr">
        <is>
          <t>40-2121::98384:114977:510</t>
        </is>
      </c>
      <c r="AA250" t="inlineStr">
        <is>
          <t>Yes</t>
        </is>
      </c>
      <c r="AB250" t="inlineStr"/>
      <c r="AC250" t="inlineStr"/>
    </row>
    <row r="251">
      <c r="A251" t="inlineStr">
        <is>
          <t>250</t>
        </is>
      </c>
      <c r="B251" t="inlineStr">
        <is>
          <t>Windshield Wiper Motor</t>
        </is>
      </c>
      <c r="C251" t="inlineStr">
        <is>
          <t>40-2123</t>
        </is>
      </c>
      <c r="D251" t="inlineStr">
        <is>
          <t>Windshield Wiper Motor - 40-2123</t>
        </is>
      </c>
      <c r="E251" t="inlineStr">
        <is>
          <t>CARDONE Reman</t>
        </is>
      </c>
      <c r="F251" t="inlineStr">
        <is>
          <t>6T1Z17508A</t>
        </is>
      </c>
      <c r="G251" t="inlineStr">
        <is>
          <t>Ford Transit Connect 2010-2013</t>
        </is>
      </c>
      <c r="H251" t="inlineStr">
        <is>
          <t>Ford Transit Connect 2010-2013 2L L4 122cid
Ford Transit Connect 2011-2012</t>
        </is>
      </c>
      <c r="I251" t="inlineStr">
        <is>
          <t>{"0": {"productDeskExternalKey": "CPCX|40-2123"}, "1": {"Package Contents": "Wiper Motor; Instruction Sheet"}, "2": {"E-Waste": "Yes"}, "3": {"Product Condition": "Remanufactured"}, "4": {"Mounting Hole Quantity": "3"}, "5": {"Terminal Type": "Blade"}, "6": {"Mounting Type": "Eyelet; Grommet"}, "7": {"Weight PG": "2.0000"}, "8": {"Washer Pump Included": "No"}, "9": {"Part Type": "Windshield Wiper Motor"}, "10": {"Warranty Info": "1 Year/18,000 Mile"}, "11": {"Sustainable Choice": "Yes"}, "12": {"Lifecycle Status": "Available to Order"}, "13": {"Application Summary": "Ford Transit Connect 2013-10"}, "14": {"ItemLevelGTIN": "00884548124523"}, "15": {"_addonCardone": "40-2123::98384:114982:510"}, "16": {"Eligible for R&amp;R Service": "Yes"}}</t>
        </is>
      </c>
      <c r="J251" t="inlineStr">
        <is>
          <t>https://www.cardone.com/product/windshield-wiper-motor-40-2123</t>
        </is>
      </c>
      <c r="K251">
        <f>DISPIMG("ID_5122A9B68FF747EE97F4133AD652E0E0",1)</f>
        <v/>
      </c>
      <c r="L251" t="inlineStr">
        <is>
          <t>CPCX|40-2123</t>
        </is>
      </c>
      <c r="M251" t="inlineStr">
        <is>
          <t>Wiper Motor; Instruction Sheet</t>
        </is>
      </c>
      <c r="N251" t="inlineStr">
        <is>
          <t>Yes</t>
        </is>
      </c>
      <c r="O251" t="inlineStr">
        <is>
          <t>Remanufactured</t>
        </is>
      </c>
      <c r="P251" t="inlineStr">
        <is>
          <t>3</t>
        </is>
      </c>
      <c r="Q251" t="inlineStr">
        <is>
          <t>Blade</t>
        </is>
      </c>
      <c r="R251" t="inlineStr">
        <is>
          <t>Eyelet; Grommet</t>
        </is>
      </c>
      <c r="S251" t="inlineStr">
        <is>
          <t>2.0000</t>
        </is>
      </c>
      <c r="T251" t="inlineStr">
        <is>
          <t>No</t>
        </is>
      </c>
      <c r="U251" t="inlineStr">
        <is>
          <t>1 Year/18,000 Mile</t>
        </is>
      </c>
      <c r="V251" t="inlineStr">
        <is>
          <t>Yes</t>
        </is>
      </c>
      <c r="W251" t="inlineStr">
        <is>
          <t>Available to Order</t>
        </is>
      </c>
      <c r="X251" t="inlineStr">
        <is>
          <t>Ford Transit Connect 2013-10</t>
        </is>
      </c>
      <c r="Y251" t="inlineStr">
        <is>
          <t>00884548124523</t>
        </is>
      </c>
      <c r="Z251" t="inlineStr">
        <is>
          <t>40-2123::98384:114982:510</t>
        </is>
      </c>
      <c r="AA251" t="inlineStr">
        <is>
          <t>Yes</t>
        </is>
      </c>
      <c r="AB251" t="inlineStr"/>
      <c r="AC251" t="inlineStr"/>
    </row>
    <row r="252">
      <c r="A252" t="inlineStr">
        <is>
          <t>251</t>
        </is>
      </c>
      <c r="B252" t="inlineStr">
        <is>
          <t>Windshield Wiper Motor</t>
        </is>
      </c>
      <c r="C252" t="inlineStr">
        <is>
          <t>40-2125</t>
        </is>
      </c>
      <c r="D252" t="inlineStr">
        <is>
          <t>Windshield Wiper Motor - 40-2125</t>
        </is>
      </c>
      <c r="E252" t="inlineStr">
        <is>
          <t>CARDONE Reman</t>
        </is>
      </c>
      <c r="F252" t="inlineStr">
        <is>
          <t>F1FZ17508A;BV6Z17508B</t>
        </is>
      </c>
      <c r="G252" t="inlineStr">
        <is>
          <t>Ford Focus 2012-2018</t>
        </is>
      </c>
      <c r="H252" t="inlineStr">
        <is>
          <t>Ford Focus 2012-2018
Ford Focus 2012-2018 2L L4 122cid
Ford Focus 2015-2018 1L L3 61cid
Ford Focus 2016-2018 2.3L L4 140cid</t>
        </is>
      </c>
      <c r="I252" t="inlineStr">
        <is>
          <t>{"0": {"productDeskExternalKey": "CPCX|40-2125"}, "1": {"Package Contents": "Wiper Motor; Instruction Sheet"}, "2": {"E-Waste": "Yes"}, "3": {"Product Condition": "Remanufactured"}, "4": {"Mounting Hole Quantity": "3"}, "5": {"Terminal Type": "Blade"}, "6": {"Mounting Type": "Eyelet; Grommet"}, "7": {"Weight PG": "2.2000"}, "8": {"Washer Pump Included": "No"}, "9": {"Part Type": "Windshield Wiper Motor"}, "10": {"Warranty Info": "1 Year/18,000 Mile"}, "11": {"Sustainable Choice": "Yes"}, "12": {"Lifecycle Status": "Available to Order"}, "13": {"Application Summary": "Ford Focus 2018-12"}, "14": {"ItemLevelGTIN": "00884548146419"}, "15": {"_addonCardone": "40-2125::98384:114988:510"}, "16": {"Eligible for R&amp;R Service": "Yes"}}</t>
        </is>
      </c>
      <c r="J252" t="inlineStr">
        <is>
          <t>https://www.cardone.com/product/windshield-wiper-motor-40-2125</t>
        </is>
      </c>
      <c r="K252">
        <f>DISPIMG("ID_82CDD8C68133448FA9839D617BDB5236",1)</f>
        <v/>
      </c>
      <c r="L252" t="inlineStr">
        <is>
          <t>CPCX|40-2125</t>
        </is>
      </c>
      <c r="M252" t="inlineStr">
        <is>
          <t>Wiper Motor; Instruction Sheet</t>
        </is>
      </c>
      <c r="N252" t="inlineStr">
        <is>
          <t>Yes</t>
        </is>
      </c>
      <c r="O252" t="inlineStr">
        <is>
          <t>Remanufactured</t>
        </is>
      </c>
      <c r="P252" t="inlineStr">
        <is>
          <t>3</t>
        </is>
      </c>
      <c r="Q252" t="inlineStr">
        <is>
          <t>Blade</t>
        </is>
      </c>
      <c r="R252" t="inlineStr">
        <is>
          <t>Eyelet; Grommet</t>
        </is>
      </c>
      <c r="S252" t="inlineStr">
        <is>
          <t>2.2000</t>
        </is>
      </c>
      <c r="T252" t="inlineStr">
        <is>
          <t>No</t>
        </is>
      </c>
      <c r="U252" t="inlineStr">
        <is>
          <t>1 Year/18,000 Mile</t>
        </is>
      </c>
      <c r="V252" t="inlineStr">
        <is>
          <t>Yes</t>
        </is>
      </c>
      <c r="W252" t="inlineStr">
        <is>
          <t>Available to Order</t>
        </is>
      </c>
      <c r="X252" t="inlineStr">
        <is>
          <t>Ford Focus 2018-12</t>
        </is>
      </c>
      <c r="Y252" t="inlineStr">
        <is>
          <t>00884548146419</t>
        </is>
      </c>
      <c r="Z252" t="inlineStr">
        <is>
          <t>40-2125::98384:114988:510</t>
        </is>
      </c>
      <c r="AA252" t="inlineStr">
        <is>
          <t>Yes</t>
        </is>
      </c>
      <c r="AB252" t="inlineStr"/>
      <c r="AC252" t="inlineStr"/>
    </row>
    <row r="253">
      <c r="A253" t="inlineStr">
        <is>
          <t>252</t>
        </is>
      </c>
      <c r="B253" t="inlineStr">
        <is>
          <t>Windshield Wiper Motor</t>
        </is>
      </c>
      <c r="C253" t="inlineStr">
        <is>
          <t>40-2134</t>
        </is>
      </c>
      <c r="D253" t="inlineStr">
        <is>
          <t>Windshield Wiper Motor - 40-2134</t>
        </is>
      </c>
      <c r="E253" t="inlineStr">
        <is>
          <t>CARDONE Reman</t>
        </is>
      </c>
      <c r="F253" t="inlineStr">
        <is>
          <t>DA8Z17508A</t>
        </is>
      </c>
      <c r="G253" t="inlineStr">
        <is>
          <t>Ford Flex 2013-2019</t>
        </is>
      </c>
      <c r="H253" t="inlineStr">
        <is>
          <t>Ford Flex 2013-2019 3.5L V6 213cid</t>
        </is>
      </c>
      <c r="I253" t="inlineStr">
        <is>
          <t>{"0": {"productDeskExternalKey": "CPCX|40-2134"}, "1": {"Package Contents": "Wiper Motor; Instruction Sheet"}, "2": {"E-Waste": "Yes"}, "3": {"Product Condition": "Remanufactured"}, "4": {"Mounting Hole Quantity": "4"}, "5": {"Terminal Type": "Blade"}, "6": {"Mounting Type": "Grommet; Through Hole"}, "7": {"Weight PG": "2.2000"}, "8": {"Washer Pump Included": "No"}, "9": {"Part Type": "Windshield Wiper Motor"}, "10": {"Warranty Info": "1 Year/18,000 Mile"}, "11": {"Sustainable Choice": "Yes"}, "12": {"Lifecycle Status": "Available to Order"}, "13": {"Application Summary": "Ford Flex 2019-13"}, "14": {"ItemLevelGTIN": "00884548187030"}, "15": {"_addonCardone": "40-2134::98384:114992:510"}, "16": {"Eligible for R&amp;R Service": "Yes"}}</t>
        </is>
      </c>
      <c r="J253" t="inlineStr">
        <is>
          <t>https://www.cardone.com/product/windshield-wiper-motor-40-2134</t>
        </is>
      </c>
      <c r="K253">
        <f>DISPIMG("ID_01503C716A0F407192FFDF941AA01F3A",1)</f>
        <v/>
      </c>
      <c r="L253" t="inlineStr">
        <is>
          <t>CPCX|40-2134</t>
        </is>
      </c>
      <c r="M253" t="inlineStr">
        <is>
          <t>Wiper Motor; Instruction Sheet</t>
        </is>
      </c>
      <c r="N253" t="inlineStr">
        <is>
          <t>Yes</t>
        </is>
      </c>
      <c r="O253" t="inlineStr">
        <is>
          <t>Remanufactured</t>
        </is>
      </c>
      <c r="P253" t="inlineStr">
        <is>
          <t>4</t>
        </is>
      </c>
      <c r="Q253" t="inlineStr">
        <is>
          <t>Blade</t>
        </is>
      </c>
      <c r="R253" t="inlineStr">
        <is>
          <t>Grommet; Through Hole</t>
        </is>
      </c>
      <c r="S253" t="inlineStr">
        <is>
          <t>2.2000</t>
        </is>
      </c>
      <c r="T253" t="inlineStr">
        <is>
          <t>No</t>
        </is>
      </c>
      <c r="U253" t="inlineStr">
        <is>
          <t>1 Year/18,000 Mile</t>
        </is>
      </c>
      <c r="V253" t="inlineStr">
        <is>
          <t>Yes</t>
        </is>
      </c>
      <c r="W253" t="inlineStr">
        <is>
          <t>Available to Order</t>
        </is>
      </c>
      <c r="X253" t="inlineStr">
        <is>
          <t>Ford Flex 2019-13</t>
        </is>
      </c>
      <c r="Y253" t="inlineStr">
        <is>
          <t>00884548187030</t>
        </is>
      </c>
      <c r="Z253" t="inlineStr">
        <is>
          <t>40-2134::98384:114992:510</t>
        </is>
      </c>
      <c r="AA253" t="inlineStr">
        <is>
          <t>Yes</t>
        </is>
      </c>
      <c r="AB253" t="inlineStr"/>
      <c r="AC253" t="inlineStr"/>
    </row>
    <row r="254">
      <c r="A254" t="inlineStr">
        <is>
          <t>253</t>
        </is>
      </c>
      <c r="B254" t="inlineStr">
        <is>
          <t>Windshield Wiper Motor</t>
        </is>
      </c>
      <c r="C254" t="inlineStr">
        <is>
          <t>40-2135</t>
        </is>
      </c>
      <c r="D254" t="inlineStr">
        <is>
          <t>Windshield Wiper Motor - 40-2135</t>
        </is>
      </c>
      <c r="E254" t="inlineStr">
        <is>
          <t>CARDONE Reman</t>
        </is>
      </c>
      <c r="F254" t="inlineStr">
        <is>
          <t>AM5Z17508B</t>
        </is>
      </c>
      <c r="G254" t="inlineStr">
        <is>
          <t>Ford C-Max 2013-2018</t>
        </is>
      </c>
      <c r="H254" t="inlineStr">
        <is>
          <t>Ford C-Max 2013-2018 2L L4 122cid</t>
        </is>
      </c>
      <c r="I254" t="inlineStr">
        <is>
          <t>{"0": {"productDeskExternalKey": "CPCX|40-2135"}, "1": {"Package Contents": "Wiper Motor; Instruction Sheet"}, "2": {"E-Waste": "Yes"}, "3": {"Product Condition": "Remanufactured"}, "4": {"Mounting Hole Quantity": "2"}, "5": {"Terminal Type": "Blade"}, "6": {"Mounting Type": "Direct Bolt"}, "7": {"Weight PG": "3.3000"}, "8": {"Washer Pump Included": "No"}, "9": {"Part Type": "Windshield Wiper Motor"}, "10": {"Warranty Info": "1 Year/18,000 Mile"}, "11": {"Sustainable Choice": "Yes"}, "12": {"Lifecycle Status": "Available to Order"}, "13": {"Application Summary": "Ford C-Max 2018-13"}, "14": {"ItemLevelGTIN": "00884548187047"}, "15": {"_addonCardone": "40-2135::98384:114997:510"}, "16": {"Eligible for R&amp;R Service": "Yes"}}</t>
        </is>
      </c>
      <c r="J254" t="inlineStr">
        <is>
          <t>https://www.cardone.com/product/windshield-wiper-motor-40-2135</t>
        </is>
      </c>
      <c r="K254">
        <f>DISPIMG("ID_A3AD2BDBB3B341C898251EEE12D31017",1)</f>
        <v/>
      </c>
      <c r="L254" t="inlineStr">
        <is>
          <t>CPCX|40-2135</t>
        </is>
      </c>
      <c r="M254" t="inlineStr">
        <is>
          <t>Wiper Motor; Instruction Sheet</t>
        </is>
      </c>
      <c r="N254" t="inlineStr">
        <is>
          <t>Yes</t>
        </is>
      </c>
      <c r="O254" t="inlineStr">
        <is>
          <t>Remanufactured</t>
        </is>
      </c>
      <c r="P254" t="inlineStr">
        <is>
          <t>2</t>
        </is>
      </c>
      <c r="Q254" t="inlineStr">
        <is>
          <t>Blade</t>
        </is>
      </c>
      <c r="R254" t="inlineStr">
        <is>
          <t>Direct Bolt</t>
        </is>
      </c>
      <c r="S254" t="inlineStr">
        <is>
          <t>3.3000</t>
        </is>
      </c>
      <c r="T254" t="inlineStr">
        <is>
          <t>No</t>
        </is>
      </c>
      <c r="U254" t="inlineStr">
        <is>
          <t>1 Year/18,000 Mile</t>
        </is>
      </c>
      <c r="V254" t="inlineStr">
        <is>
          <t>Yes</t>
        </is>
      </c>
      <c r="W254" t="inlineStr">
        <is>
          <t>Available to Order</t>
        </is>
      </c>
      <c r="X254" t="inlineStr">
        <is>
          <t>Ford C-Max 2018-13</t>
        </is>
      </c>
      <c r="Y254" t="inlineStr">
        <is>
          <t>00884548187047</t>
        </is>
      </c>
      <c r="Z254" t="inlineStr">
        <is>
          <t>40-2135::98384:114997:510</t>
        </is>
      </c>
      <c r="AA254" t="inlineStr">
        <is>
          <t>Yes</t>
        </is>
      </c>
      <c r="AB254" t="inlineStr"/>
      <c r="AC254" t="inlineStr"/>
    </row>
    <row r="255">
      <c r="A255" t="inlineStr">
        <is>
          <t>254</t>
        </is>
      </c>
      <c r="B255" t="inlineStr">
        <is>
          <t>Windshield Wiper Motor</t>
        </is>
      </c>
      <c r="C255" t="inlineStr">
        <is>
          <t>40-2136</t>
        </is>
      </c>
      <c r="D255" t="inlineStr">
        <is>
          <t>Windshield Wiper Motor - 40-2136</t>
        </is>
      </c>
      <c r="E255" t="inlineStr">
        <is>
          <t>CARDONE Reman</t>
        </is>
      </c>
      <c r="F255" t="inlineStr">
        <is>
          <t>AV6Z17508A</t>
        </is>
      </c>
      <c r="G255" t="inlineStr">
        <is>
          <t>Ford C-Max 2013-2018</t>
        </is>
      </c>
      <c r="H255" t="inlineStr">
        <is>
          <t>Ford C-Max 2013-2018 2L L4 122cid</t>
        </is>
      </c>
      <c r="I255" t="inlineStr">
        <is>
          <t>{"0": {"productDeskExternalKey": "CPCX|40-2136"}, "1": {"Package Contents": "Wiper Motor; Instruction Sheet"}, "2": {"E-Waste": "Yes"}, "3": {"Product Condition": "Remanufactured"}, "4": {"Mounting Hole Quantity": "4"}, "5": {"Terminal Type": "Blade"}, "6": {"Mounting Type": "Grommet; Through Hole"}, "7": {"Weight PG": "2.3800"}, "8": {"Washer Pump Included": "No"}, "9": {"Part Type": "Windshield Wiper Motor"}, "10": {"Warranty Info": "1 Year/18,000 Mile"}, "11": {"Sustainable Choice": "Yes"}, "12": {"Lifecycle Status": "Available to Order"}, "13": {"Application Summary": "Ford C-Max 2018-13"}, "14": {"ItemLevelGTIN": "00884548187054"}, "15": {"_addonCardone": "40-2136::98384:115001:510"}, "16": {"Eligible for R&amp;R Service": "Yes"}}</t>
        </is>
      </c>
      <c r="J255" t="inlineStr">
        <is>
          <t>https://www.cardone.com/product/windshield-wiper-motor-40-2136</t>
        </is>
      </c>
      <c r="K255">
        <f>DISPIMG("ID_79DF6B7F713D417299307B835B9FE262",1)</f>
        <v/>
      </c>
      <c r="L255" t="inlineStr">
        <is>
          <t>CPCX|40-2136</t>
        </is>
      </c>
      <c r="M255" t="inlineStr">
        <is>
          <t>Wiper Motor; Instruction Sheet</t>
        </is>
      </c>
      <c r="N255" t="inlineStr">
        <is>
          <t>Yes</t>
        </is>
      </c>
      <c r="O255" t="inlineStr">
        <is>
          <t>Remanufactured</t>
        </is>
      </c>
      <c r="P255" t="inlineStr">
        <is>
          <t>4</t>
        </is>
      </c>
      <c r="Q255" t="inlineStr">
        <is>
          <t>Blade</t>
        </is>
      </c>
      <c r="R255" t="inlineStr">
        <is>
          <t>Grommet; Through Hole</t>
        </is>
      </c>
      <c r="S255" t="inlineStr">
        <is>
          <t>2.3800</t>
        </is>
      </c>
      <c r="T255" t="inlineStr">
        <is>
          <t>No</t>
        </is>
      </c>
      <c r="U255" t="inlineStr">
        <is>
          <t>1 Year/18,000 Mile</t>
        </is>
      </c>
      <c r="V255" t="inlineStr">
        <is>
          <t>Yes</t>
        </is>
      </c>
      <c r="W255" t="inlineStr">
        <is>
          <t>Available to Order</t>
        </is>
      </c>
      <c r="X255" t="inlineStr">
        <is>
          <t>Ford C-Max 2018-13</t>
        </is>
      </c>
      <c r="Y255" t="inlineStr">
        <is>
          <t>00884548187054</t>
        </is>
      </c>
      <c r="Z255" t="inlineStr">
        <is>
          <t>40-2136::98384:115001:510</t>
        </is>
      </c>
      <c r="AA255" t="inlineStr">
        <is>
          <t>Yes</t>
        </is>
      </c>
      <c r="AB255" t="inlineStr"/>
      <c r="AC255" t="inlineStr"/>
    </row>
    <row r="256">
      <c r="A256" t="inlineStr">
        <is>
          <t>255</t>
        </is>
      </c>
      <c r="B256" t="inlineStr">
        <is>
          <t>Windshield Wiper Motor</t>
        </is>
      </c>
      <c r="C256" t="inlineStr">
        <is>
          <t>40-215</t>
        </is>
      </c>
      <c r="D256" t="inlineStr">
        <is>
          <t>Windshield Wiper Motor - 40-215</t>
        </is>
      </c>
      <c r="E256" t="inlineStr">
        <is>
          <t>CARDONE Reman</t>
        </is>
      </c>
      <c r="F256" t="inlineStr">
        <is>
          <t>F3XY17508A;287000B000</t>
        </is>
      </c>
      <c r="G256" t="inlineStr">
        <is>
          <t>Nissan Quest 1993-1995</t>
        </is>
      </c>
      <c r="H256" t="inlineStr">
        <is>
          <t>Nissan Quest 1993-1995 3L V6 181cid</t>
        </is>
      </c>
      <c r="I256" t="inlineStr">
        <is>
          <t>{"0": {"productDeskExternalKey": "CPCX|40-215"}, "1": {"Package Contents": "Wiper Motor; Instruction Sheet"}, "2": {"E-Waste": "Yes"}, "3": {"Product Condition": "Remanufactured"}, "4": {"Mounting Hole Quantity": "3"}, "5": {"Terminal Type": "Blade"}, "6": {"Mounting Type": "Grommet"}, "7": {"Weight PG": "2.9500"}, "8": {"Washer Pump Included": "No"}, "9": {"Part Type": "Windshield Wiper Motor"}, "10": {"Warranty Info": "1 Year/18,000 Mile"}, "11": {"Sustainable Choice": "Yes"}, "12": {"Lifecycle Status": "Available to Order"}, "13": {"Application Summary": "Mercury Villager 1993; Nissan Quest 1995-93"}, "14": {"ItemLevelGTIN": "00082617272575"}, "15": {"_addonCardone": "40-215::98384:115006:510"}, "16": {"Eligible for R&amp;R Service": "Yes"}}</t>
        </is>
      </c>
      <c r="J256" t="inlineStr">
        <is>
          <t>https://www.cardone.com/product/windshield-wiper-motor-40-215</t>
        </is>
      </c>
      <c r="K256">
        <f>DISPIMG("ID_97197EBFC3434A12BE2D1B428646B756",1)</f>
        <v/>
      </c>
      <c r="L256" t="inlineStr">
        <is>
          <t>CPCX|40-215</t>
        </is>
      </c>
      <c r="M256" t="inlineStr">
        <is>
          <t>Wiper Motor; Instruction Sheet</t>
        </is>
      </c>
      <c r="N256" t="inlineStr">
        <is>
          <t>Yes</t>
        </is>
      </c>
      <c r="O256" t="inlineStr">
        <is>
          <t>Remanufactured</t>
        </is>
      </c>
      <c r="P256" t="inlineStr">
        <is>
          <t>3</t>
        </is>
      </c>
      <c r="Q256" t="inlineStr">
        <is>
          <t>Blade</t>
        </is>
      </c>
      <c r="R256" t="inlineStr">
        <is>
          <t>Grommet</t>
        </is>
      </c>
      <c r="S256" t="inlineStr">
        <is>
          <t>2.9500</t>
        </is>
      </c>
      <c r="T256" t="inlineStr">
        <is>
          <t>No</t>
        </is>
      </c>
      <c r="U256" t="inlineStr">
        <is>
          <t>1 Year/18,000 Mile</t>
        </is>
      </c>
      <c r="V256" t="inlineStr">
        <is>
          <t>Yes</t>
        </is>
      </c>
      <c r="W256" t="inlineStr">
        <is>
          <t>Available to Order</t>
        </is>
      </c>
      <c r="X256" t="inlineStr">
        <is>
          <t>Mercury Villager 1993; Nissan Quest 1995-93</t>
        </is>
      </c>
      <c r="Y256" t="inlineStr">
        <is>
          <t>00082617272575</t>
        </is>
      </c>
      <c r="Z256" t="inlineStr">
        <is>
          <t>40-215::98384:115006:510</t>
        </is>
      </c>
      <c r="AA256" t="inlineStr">
        <is>
          <t>Yes</t>
        </is>
      </c>
      <c r="AB256" t="inlineStr"/>
      <c r="AC256" t="inlineStr"/>
    </row>
    <row r="257">
      <c r="A257" t="inlineStr">
        <is>
          <t>256</t>
        </is>
      </c>
      <c r="B257" t="inlineStr">
        <is>
          <t>Windshield Wiper Motor</t>
        </is>
      </c>
      <c r="C257" t="inlineStr">
        <is>
          <t>40-241</t>
        </is>
      </c>
      <c r="D257" t="inlineStr">
        <is>
          <t>Windshield Wiper Motor - 40-241</t>
        </is>
      </c>
      <c r="E257" t="inlineStr">
        <is>
          <t>CARDONE Reman</t>
        </is>
      </c>
      <c r="F257" t="inlineStr">
        <is>
          <t>E4TZ17508A</t>
        </is>
      </c>
      <c r="G257" t="inlineStr">
        <is>
          <t>Ford Bronco II 1984-1986</t>
        </is>
      </c>
      <c r="H257" t="inlineStr">
        <is>
          <t>Ford Bronco II 1984-1985 2.8L V6 171cid
Ford Bronco II 1985-1986 2.3L L4 134cid
Ford Bronco II 1986 2.9L V6 177cid</t>
        </is>
      </c>
      <c r="I257" t="inlineStr">
        <is>
          <t>{"0": {"productDeskExternalKey": "CPCX|40-241"}, "1": {"Package Contents": "Wiper Motor; Instruction Sheet"}, "2": {"E-Waste": "Yes"}, "3": {"Product Condition": "Remanufactured"}, "4": {"Mounting Hole Quantity": "3"}, "5": {"Terminal Type": "Blade"}, "6": {"Mounting Type": "Eyelet"}, "7": {"Weight PG": "2.5000"}, "8": {"Washer Pump Included": "No"}, "9": {"Part Type": "Windshield Wiper Motor"}, "10": {"Warranty Info": "1 Year/18,000 Mile"}, "11": {"Sustainable Choice": "Yes"}, "12": {"Lifecycle Status": "Available to Order"}, "13": {"Application Summary": "Ford Bronco II 1986-84"}, "14": {"ItemLevelGTIN": "00082617076166"}, "15": {"_addonCardone": "40-241::98384:115010:510"}, "16": {"Eligible for R&amp;R Service": "Yes"}}</t>
        </is>
      </c>
      <c r="J257" t="inlineStr">
        <is>
          <t>https://www.cardone.com/product/windshield-wiper-motor-40-241</t>
        </is>
      </c>
      <c r="K257">
        <f>DISPIMG("ID_A37BDE452C5A4CBFBD8DDA29B97EBB3B",1)</f>
        <v/>
      </c>
      <c r="L257" t="inlineStr">
        <is>
          <t>CPCX|40-241</t>
        </is>
      </c>
      <c r="M257" t="inlineStr">
        <is>
          <t>Wiper Motor; Instruction Sheet</t>
        </is>
      </c>
      <c r="N257" t="inlineStr">
        <is>
          <t>Yes</t>
        </is>
      </c>
      <c r="O257" t="inlineStr">
        <is>
          <t>Remanufactured</t>
        </is>
      </c>
      <c r="P257" t="inlineStr">
        <is>
          <t>3</t>
        </is>
      </c>
      <c r="Q257" t="inlineStr">
        <is>
          <t>Blade</t>
        </is>
      </c>
      <c r="R257" t="inlineStr">
        <is>
          <t>Eyelet</t>
        </is>
      </c>
      <c r="S257" t="inlineStr">
        <is>
          <t>2.5000</t>
        </is>
      </c>
      <c r="T257" t="inlineStr">
        <is>
          <t>No</t>
        </is>
      </c>
      <c r="U257" t="inlineStr">
        <is>
          <t>1 Year/18,000 Mile</t>
        </is>
      </c>
      <c r="V257" t="inlineStr">
        <is>
          <t>Yes</t>
        </is>
      </c>
      <c r="W257" t="inlineStr">
        <is>
          <t>Available to Order</t>
        </is>
      </c>
      <c r="X257" t="inlineStr">
        <is>
          <t>Ford Bronco II 1986-84</t>
        </is>
      </c>
      <c r="Y257" t="inlineStr">
        <is>
          <t>00082617076166</t>
        </is>
      </c>
      <c r="Z257" t="inlineStr">
        <is>
          <t>40-241::98384:115010:510</t>
        </is>
      </c>
      <c r="AA257" t="inlineStr">
        <is>
          <t>Yes</t>
        </is>
      </c>
      <c r="AB257" t="inlineStr"/>
      <c r="AC257" t="inlineStr"/>
    </row>
    <row r="258">
      <c r="A258" t="inlineStr">
        <is>
          <t>257</t>
        </is>
      </c>
      <c r="B258" t="inlineStr">
        <is>
          <t>Windshield Wiper Motor</t>
        </is>
      </c>
      <c r="C258" t="inlineStr">
        <is>
          <t>40-242</t>
        </is>
      </c>
      <c r="D258" t="inlineStr">
        <is>
          <t>Windshield Wiper Motor - 40-242</t>
        </is>
      </c>
      <c r="E258" t="inlineStr">
        <is>
          <t>CARDONE Reman</t>
        </is>
      </c>
      <c r="F258" t="inlineStr">
        <is>
          <t>E69Z17508A;F49Z17508AA</t>
        </is>
      </c>
      <c r="G258" t="inlineStr">
        <is>
          <t>Ford Aerostar 1986-1995</t>
        </is>
      </c>
      <c r="H258" t="inlineStr">
        <is>
          <t>Ford Aerostar 1986 2.8L V6 171cid
Ford Aerostar 1986-1987 2.3L L4 140cid
Ford Aerostar 1986-1995 3L V6 182cid
Ford Aerostar 1990-1995 4L V6 245cid</t>
        </is>
      </c>
      <c r="I258" t="inlineStr">
        <is>
          <t>{"0": {"productDeskExternalKey": "CPCX|40-242"}, "1": {"Package Contents": "Wiper Motor; Instruction Sheet"}, "2": {"E-Waste": "Yes"}, "3": {"Product Condition": "Remanufactured"}, "4": {"Mounting Hole Quantity": "2"}, "5": {"Terminal Type": "Blade"}, "6": {"Mounting Type": "Direct Bolt"}, "7": {"Weight PG": "2.9200"}, "8": {"Washer Pump Included": "No"}, "9": {"Part Type": "Windshield Wiper Motor"}, "10": {"Warranty Info": "1 Year/18,000 Mile"}, "11": {"Sustainable Choice": "Yes"}, "12": {"Lifecycle Status": "Available to Order"}, "13": {"Application Summary": "Ford Aerostar 1995-86"}, "14": {"ItemLevelGTIN": "00082617076173"}, "15": {"_addonCardone": "40-242::98384:115015:510"}, "16": {"Eligible for R&amp;R Service": "Yes"}}</t>
        </is>
      </c>
      <c r="J258" t="inlineStr">
        <is>
          <t>https://www.cardone.com/product/windshield-wiper-motor-40-242</t>
        </is>
      </c>
      <c r="K258">
        <f>DISPIMG("ID_9969BD1376E34534B7C8B41C4B847690",1)</f>
        <v/>
      </c>
      <c r="L258" t="inlineStr">
        <is>
          <t>CPCX|40-242</t>
        </is>
      </c>
      <c r="M258" t="inlineStr">
        <is>
          <t>Wiper Motor; Instruction Sheet</t>
        </is>
      </c>
      <c r="N258" t="inlineStr">
        <is>
          <t>Yes</t>
        </is>
      </c>
      <c r="O258" t="inlineStr">
        <is>
          <t>Remanufactured</t>
        </is>
      </c>
      <c r="P258" t="inlineStr">
        <is>
          <t>2</t>
        </is>
      </c>
      <c r="Q258" t="inlineStr">
        <is>
          <t>Blade</t>
        </is>
      </c>
      <c r="R258" t="inlineStr">
        <is>
          <t>Direct Bolt</t>
        </is>
      </c>
      <c r="S258" t="inlineStr">
        <is>
          <t>2.9200</t>
        </is>
      </c>
      <c r="T258" t="inlineStr">
        <is>
          <t>No</t>
        </is>
      </c>
      <c r="U258" t="inlineStr">
        <is>
          <t>1 Year/18,000 Mile</t>
        </is>
      </c>
      <c r="V258" t="inlineStr">
        <is>
          <t>Yes</t>
        </is>
      </c>
      <c r="W258" t="inlineStr">
        <is>
          <t>Available to Order</t>
        </is>
      </c>
      <c r="X258" t="inlineStr">
        <is>
          <t>Ford Aerostar 1995-86</t>
        </is>
      </c>
      <c r="Y258" t="inlineStr">
        <is>
          <t>00082617076173</t>
        </is>
      </c>
      <c r="Z258" t="inlineStr">
        <is>
          <t>40-242::98384:115015:510</t>
        </is>
      </c>
      <c r="AA258" t="inlineStr">
        <is>
          <t>Yes</t>
        </is>
      </c>
      <c r="AB258" t="inlineStr"/>
      <c r="AC258" t="inlineStr"/>
    </row>
    <row r="259">
      <c r="A259" t="inlineStr">
        <is>
          <t>258</t>
        </is>
      </c>
      <c r="B259" t="inlineStr">
        <is>
          <t>Windshield Wiper Motor</t>
        </is>
      </c>
      <c r="C259" t="inlineStr">
        <is>
          <t>40-243</t>
        </is>
      </c>
      <c r="D259" t="inlineStr">
        <is>
          <t>Windshield Wiper Motor - 40-243</t>
        </is>
      </c>
      <c r="E259" t="inlineStr">
        <is>
          <t>CARDONE Reman</t>
        </is>
      </c>
      <c r="F259" t="inlineStr">
        <is>
          <t>E6FZ17508A</t>
        </is>
      </c>
      <c r="G259" t="inlineStr">
        <is>
          <t>Ford Escort 1986-1990
Mercury Lynx 1986-1987</t>
        </is>
      </c>
      <c r="H259" t="inlineStr">
        <is>
          <t>Ford Escort 1986-1987 2L L4 122cid
Ford Escort 1986-1990 1.9L L4 116cid
Mercury Lynx 1986-1987 1.9L L4 116cid
Mercury Lynx 1986-1987 2L L4 122cid</t>
        </is>
      </c>
      <c r="I259" t="inlineStr">
        <is>
          <t>{"0": {"productDeskExternalKey": "CPCX|40-243"}, "1": {"Package Contents": "Wiper Motor; Instruction Sheet"}, "2": {"E-Waste": "Yes"}, "3": {"Product Condition": "Remanufactured"}, "4": {"Mounting Hole Quantity": "2"}, "5": {"Terminal Type": "Pin"}, "6": {"Mounting Type": "Direct Bolt"}, "7": {"Weight PG": "2.6800"}, "8": {"Washer Pump Included": "No"}, "9": {"Part Type": "Windshield Wiper Motor"}, "10": {"Warranty Info": "1 Year/18,000 Mile"}, "11": {"Sustainable Choice": "Yes"}, "12": {"Lifecycle Status": "Available to Order"}, "13": {"Application Summary": "Ford Escort 1990-86; Mercury Lynx 1987-86"}, "14": {"ItemLevelGTIN": "00082617076180"}, "15": {"_addonCardone": "40-243::98384:115019:510"}, "16": {"Eligible for R&amp;R Service": "Yes"}}</t>
        </is>
      </c>
      <c r="J259" t="inlineStr">
        <is>
          <t>https://www.cardone.com/product/windshield-wiper-motor-40-243</t>
        </is>
      </c>
      <c r="K259">
        <f>DISPIMG("ID_D4FC5D22400842058D5C715A2F650EDA",1)</f>
        <v/>
      </c>
      <c r="L259" t="inlineStr">
        <is>
          <t>CPCX|40-243</t>
        </is>
      </c>
      <c r="M259" t="inlineStr">
        <is>
          <t>Wiper Motor; Instruction Sheet</t>
        </is>
      </c>
      <c r="N259" t="inlineStr">
        <is>
          <t>Yes</t>
        </is>
      </c>
      <c r="O259" t="inlineStr">
        <is>
          <t>Remanufactured</t>
        </is>
      </c>
      <c r="P259" t="inlineStr">
        <is>
          <t>2</t>
        </is>
      </c>
      <c r="Q259" t="inlineStr">
        <is>
          <t>Pin</t>
        </is>
      </c>
      <c r="R259" t="inlineStr">
        <is>
          <t>Direct Bolt</t>
        </is>
      </c>
      <c r="S259" t="inlineStr">
        <is>
          <t>2.6800</t>
        </is>
      </c>
      <c r="T259" t="inlineStr">
        <is>
          <t>No</t>
        </is>
      </c>
      <c r="U259" t="inlineStr">
        <is>
          <t>1 Year/18,000 Mile</t>
        </is>
      </c>
      <c r="V259" t="inlineStr">
        <is>
          <t>Yes</t>
        </is>
      </c>
      <c r="W259" t="inlineStr">
        <is>
          <t>Available to Order</t>
        </is>
      </c>
      <c r="X259" t="inlineStr">
        <is>
          <t>Ford Escort 1990-86; Mercury Lynx 1987-86</t>
        </is>
      </c>
      <c r="Y259" t="inlineStr">
        <is>
          <t>00082617076180</t>
        </is>
      </c>
      <c r="Z259" t="inlineStr">
        <is>
          <t>40-243::98384:115019:510</t>
        </is>
      </c>
      <c r="AA259" t="inlineStr">
        <is>
          <t>Yes</t>
        </is>
      </c>
      <c r="AB259" t="inlineStr"/>
      <c r="AC259" t="inlineStr"/>
    </row>
    <row r="260">
      <c r="A260" t="inlineStr">
        <is>
          <t>259</t>
        </is>
      </c>
      <c r="B260" t="inlineStr">
        <is>
          <t>Windshield Wiper Motor</t>
        </is>
      </c>
      <c r="C260" t="inlineStr">
        <is>
          <t>40-245</t>
        </is>
      </c>
      <c r="D260" t="inlineStr">
        <is>
          <t>Windshield Wiper Motor - 40-245</t>
        </is>
      </c>
      <c r="E260" t="inlineStr">
        <is>
          <t>CARDONE Reman</t>
        </is>
      </c>
      <c r="F260" t="inlineStr">
        <is>
          <t>D8BZ17508A</t>
        </is>
      </c>
      <c r="G260" t="inlineStr">
        <is>
          <t>Ford Escort 1981-1988
Ford Fairmont 1980-1982
Ford Granada 1980-1982
Ford LTD 1983-1986
Ford Mustang 1980-1982
Mercury Cougar 1982
Mercury Lynx 1981-1987
Mercury Marquis 1980-1986
Mercury Monarch 1980</t>
        </is>
      </c>
      <c r="H260" t="inlineStr">
        <is>
          <t>Ford Escort 1981-1985 1.6L L4 98cid
Ford Escort 1984-1987 2L L4 122cid
Ford Escort 1985-1988 1.9L L4 116cid
Ford Fairmont 1980-1982 2.3L L4 140cid
Ford Fairmont 1980-1982 3.3L L6 200cid
Ford Fairmont 1980-1982 4.2L V8 255cid
Ford Fairmont 1980-1982 5L V8 302cid
Ford Granada 1980 4.1L L6 250cid
Ford Granada 1980 5L V8 302cid
Ford Granada 1980-1981 4.2L V8 255cid
Ford Granada 1981-1982 2.3L L4 140cid
Ford Granada 1981-1982 3.3L L6 200cid
Ford Granada 1982 3.8L V6 232cid
Ford LTD 1983 3.3L L6 200cid
Ford LTD 1983-1986 2.3L L4 140cid
Ford LTD 1983-1986 3.8L V6 232cid
Ford LTD 1984-1985 5L V8 302cid
Ford Mustang 1980-1982 2.3L L4 140cid
Ford Mustang 1980-1982 3.3L L6 200cid
Ford Mustang 1980-1982 4.2L V8 255cid
Ford Mustang 1980-1982 5L V8 302cid
Mercury Cougar 1982 2.3L L4 140cid
Mercury Cougar 1982 3.3L L6 200cid
Mercury Cougar 1982 3.8L V6 232cid
Mercury Cougar 1982 4.2L V8 255cid
Mercury Lynx 1981-1985 1.6L L4 98cid
Mercury Lynx 1984-1987 2L L4 122cid
Mercury Lynx 1985-1987 1.9L L4 116cid
Mercury Marquis 1980-1981 5.8L V8 351cid
Mercury Marquis 1980-1982 5L V8 302cid
Mercury Marquis 1981-1982 4.2L V8 255cid
Mercury Marquis 1983 3.3L L6 200cid
Mercury Marquis 1983-1986 2.3L L4 140cid
Mercury Marquis 1983-1986 3.8L V6 232cid
Mercury Monarch 1980 4.1L L6 250cid
Mercury Monarch 1980 4.2L V8 255cid
Mercury Monarch 1980 5L V8 302cid</t>
        </is>
      </c>
      <c r="I260" t="inlineStr">
        <is>
          <t>{"0": {"productDeskExternalKey": "CPCX|40-245"}, "1": {"Package Contents": "Wiper Motor; Instruction Sheet"}, "2": {"E-Waste": "Yes"}, "3": {"Product Condition": "Remanufactured"}, "4": {"Mounting Hole Quantity": "2"}, "5": {"Terminal Type": "Pin"}, "6": {"Mounting Type": "Direct Bolt"}, "7": {"Weight PG": "2.3500"}, "8": {"Washer Pump Included": "No"}, "9": {"Part Type": "Windshield Wiper Motor"}, "10": {"Warranty Info": "1 Year/18,000 Mile"}, "11": {"Sustainable Choice": "Yes"}, "12": {"Lifecycle Status": "Available to Order"}, "13": {"Application Summary": "Ford Escort 1988-81, Fairmont 1982-80, Granada 1982-80, LTD 1986-83, Mustang 1982-80; Mercury Capri 1982-80, Cougar 1982, Lynx 1987-81, Marquis 1986-80, Monarch 1980, Zephyr 1983-80"}, "14": {"ItemLevelGTIN": "00082617076203"}, "15": {"_addonCardone": "40-245::98384:115025:510"}, "16": {"Eligible for R&amp;R Service": "Yes"}}</t>
        </is>
      </c>
      <c r="J260" t="inlineStr">
        <is>
          <t>https://www.cardone.com/product/windshield-wiper-motor-40-245</t>
        </is>
      </c>
      <c r="K260">
        <f>DISPIMG("ID_7BA6C166E2C04496B802837B687D0BAB",1)</f>
        <v/>
      </c>
      <c r="L260" t="inlineStr">
        <is>
          <t>CPCX|40-245</t>
        </is>
      </c>
      <c r="M260" t="inlineStr">
        <is>
          <t>Wiper Motor; Instruction Sheet</t>
        </is>
      </c>
      <c r="N260" t="inlineStr">
        <is>
          <t>Yes</t>
        </is>
      </c>
      <c r="O260" t="inlineStr">
        <is>
          <t>Remanufactured</t>
        </is>
      </c>
      <c r="P260" t="inlineStr">
        <is>
          <t>2</t>
        </is>
      </c>
      <c r="Q260" t="inlineStr">
        <is>
          <t>Pin</t>
        </is>
      </c>
      <c r="R260" t="inlineStr">
        <is>
          <t>Direct Bolt</t>
        </is>
      </c>
      <c r="S260" t="inlineStr">
        <is>
          <t>2.3500</t>
        </is>
      </c>
      <c r="T260" t="inlineStr">
        <is>
          <t>No</t>
        </is>
      </c>
      <c r="U260" t="inlineStr">
        <is>
          <t>1 Year/18,000 Mile</t>
        </is>
      </c>
      <c r="V260" t="inlineStr">
        <is>
          <t>Yes</t>
        </is>
      </c>
      <c r="W260" t="inlineStr">
        <is>
          <t>Available to Order</t>
        </is>
      </c>
      <c r="X260" t="inlineStr">
        <is>
          <t>Ford Escort 1988-81, Fairmont 1982-80, Granada 1982-80, LTD 1986-83, Mustang 1982-80; Mercury Capri 1982-80, Cougar 1982, Lynx 1987-81, Marquis 1986-80, Monarch 1980, Zephyr 1983-80</t>
        </is>
      </c>
      <c r="Y260" t="inlineStr">
        <is>
          <t>00082617076203</t>
        </is>
      </c>
      <c r="Z260" t="inlineStr">
        <is>
          <t>40-245::98384:115025:510</t>
        </is>
      </c>
      <c r="AA260" t="inlineStr">
        <is>
          <t>Yes</t>
        </is>
      </c>
      <c r="AB260" t="inlineStr"/>
      <c r="AC260" t="inlineStr"/>
    </row>
    <row r="261">
      <c r="A261" t="inlineStr">
        <is>
          <t>260</t>
        </is>
      </c>
      <c r="B261" t="inlineStr">
        <is>
          <t>Windshield Wiper Motor</t>
        </is>
      </c>
      <c r="C261" t="inlineStr">
        <is>
          <t>40-246</t>
        </is>
      </c>
      <c r="D261" t="inlineStr">
        <is>
          <t>Windshield Wiper Motor - 40-246</t>
        </is>
      </c>
      <c r="E261" t="inlineStr">
        <is>
          <t>CARDONE Reman</t>
        </is>
      </c>
      <c r="F261" t="inlineStr">
        <is>
          <t>F0DZ17508A;E6DZ17508A;F4DZ17508A</t>
        </is>
      </c>
      <c r="G261" t="inlineStr">
        <is>
          <t>Ford Sable 1994-1995
Ford Taurus 1986-1995
Mercury Sable 1986-1995</t>
        </is>
      </c>
      <c r="H261" t="inlineStr">
        <is>
          <t>Ford Sable 1994-1995 3.8L V6 232cid
Ford Taurus 1986-1991 2.5L L4 153cid
Ford Taurus 1986-1995 3L V6 182cid
Ford Taurus 1988-1995 3.8L V6 232cid
Ford Taurus 1993-1995 3.2L V6 195cid
Mercury Sable 1986 2.5L L4 153cid
Mercury Sable 1986-1995 3L V6 182cid
Mercury Sable 1988-1995 3.8L V6 232cid</t>
        </is>
      </c>
      <c r="I261" t="inlineStr">
        <is>
          <t>{"0": {"productDeskExternalKey": "CPCX|40-246"}, "1": {"Package Contents": "Wiper Motor; Instruction Sheet"}, "2": {"E-Waste": "Yes"}, "3": {"Product Condition": "Remanufactured"}, "4": {"Mounting Hole Quantity": "2"}, "5": {"Terminal Type": "Blade"}, "6": {"Mounting Type": "Direct Bolt; Eyelet"}, "7": {"Weight PG": "3.1200"}, "8": {"Washer Pump Included": "No"}, "9": {"Part Type": "Windshield Wiper Motor"}, "10": {"Warranty Info": "1 Year/18,000 Mile"}, "11": {"Sustainable Choice": "Yes"}, "12": {"Lifecycle Status": "Available to Order"}, "13": {"Application Summary": "Ford Sable 1995-94, Taurus 1995-86; Mercury Sable 1995-86"}, "14": {"ItemLevelGTIN": "00082617076210"}, "15": {"_addonCardone": "40-246::98384:115030:510"}, "16": {"Eligible for R&amp;R Service": "Yes"}}</t>
        </is>
      </c>
      <c r="J261" t="inlineStr">
        <is>
          <t>https://www.cardone.com/product/windshield-wiper-motor-40-246</t>
        </is>
      </c>
      <c r="K261">
        <f>DISPIMG("ID_BFD94C675B764DE9AF3EDC90A69F8760",1)</f>
        <v/>
      </c>
      <c r="L261" t="inlineStr">
        <is>
          <t>CPCX|40-246</t>
        </is>
      </c>
      <c r="M261" t="inlineStr">
        <is>
          <t>Wiper Motor; Instruction Sheet</t>
        </is>
      </c>
      <c r="N261" t="inlineStr">
        <is>
          <t>Yes</t>
        </is>
      </c>
      <c r="O261" t="inlineStr">
        <is>
          <t>Remanufactured</t>
        </is>
      </c>
      <c r="P261" t="inlineStr">
        <is>
          <t>2</t>
        </is>
      </c>
      <c r="Q261" t="inlineStr">
        <is>
          <t>Blade</t>
        </is>
      </c>
      <c r="R261" t="inlineStr">
        <is>
          <t>Direct Bolt; Eyelet</t>
        </is>
      </c>
      <c r="S261" t="inlineStr">
        <is>
          <t>3.1200</t>
        </is>
      </c>
      <c r="T261" t="inlineStr">
        <is>
          <t>No</t>
        </is>
      </c>
      <c r="U261" t="inlineStr">
        <is>
          <t>1 Year/18,000 Mile</t>
        </is>
      </c>
      <c r="V261" t="inlineStr">
        <is>
          <t>Yes</t>
        </is>
      </c>
      <c r="W261" t="inlineStr">
        <is>
          <t>Available to Order</t>
        </is>
      </c>
      <c r="X261" t="inlineStr">
        <is>
          <t>Ford Sable 1995-94, Taurus 1995-86; Mercury Sable 1995-86</t>
        </is>
      </c>
      <c r="Y261" t="inlineStr">
        <is>
          <t>00082617076210</t>
        </is>
      </c>
      <c r="Z261" t="inlineStr">
        <is>
          <t>40-246::98384:115030:510</t>
        </is>
      </c>
      <c r="AA261" t="inlineStr">
        <is>
          <t>Yes</t>
        </is>
      </c>
      <c r="AB261" t="inlineStr"/>
      <c r="AC261" t="inlineStr"/>
    </row>
    <row r="262">
      <c r="A262" t="inlineStr">
        <is>
          <t>261</t>
        </is>
      </c>
      <c r="B262" t="inlineStr">
        <is>
          <t>Windshield Wiper Motor</t>
        </is>
      </c>
      <c r="C262" t="inlineStr">
        <is>
          <t>40-247</t>
        </is>
      </c>
      <c r="D262" t="inlineStr">
        <is>
          <t>Windshield Wiper Motor - 40-247</t>
        </is>
      </c>
      <c r="E262" t="inlineStr">
        <is>
          <t>CARDONE Reman</t>
        </is>
      </c>
      <c r="F262" t="inlineStr">
        <is>
          <t>E7TZ17508B;E4TZ17508A</t>
        </is>
      </c>
      <c r="G262" t="inlineStr">
        <is>
          <t>Ford Bronco II 1986-1990</t>
        </is>
      </c>
      <c r="H262" t="inlineStr">
        <is>
          <t>Ford Bronco II 1986 2.3L L4 134cid
Ford Bronco II 1986-1990 2.9L V6 177cid</t>
        </is>
      </c>
      <c r="I262" t="inlineStr">
        <is>
          <t>{"0": {"productDeskExternalKey": "CPCX|40-247"}, "1": {"Package Contents": "Wiper Motor; Instruction Sheet"}, "2": {"E-Waste": "Yes"}, "3": {"Product Condition": "Remanufactured"}, "4": {"Mounting Hole Quantity": "2"}, "5": {"Terminal Type": "Blade"}, "6": {"Mounting Type": "Direct Bolt"}, "7": {"Weight PG": "2.9200"}, "8": {"Washer Pump Included": "No"}, "9": {"Part Type": "Windshield Wiper Motor"}, "10": {"Warranty Info": "1 Year/18,000 Mile"}, "11": {"Sustainable Choice": "Yes"}, "12": {"Lifecycle Status": "Available to Order"}, "13": {"Application Summary": "Ford Bronco II 1990-86"}, "14": {"ItemLevelGTIN": "00082617176491"}, "15": {"_addonCardone": "40-247::98384:115036:510"}, "16": {"Eligible for R&amp;R Service": "Yes"}}</t>
        </is>
      </c>
      <c r="J262" t="inlineStr">
        <is>
          <t>https://www.cardone.com/product/windshield-wiper-motor-40-247</t>
        </is>
      </c>
      <c r="K262">
        <f>DISPIMG("ID_C6C40F14505E47979E7726214FC05F98",1)</f>
        <v/>
      </c>
      <c r="L262" t="inlineStr">
        <is>
          <t>CPCX|40-247</t>
        </is>
      </c>
      <c r="M262" t="inlineStr">
        <is>
          <t>Wiper Motor; Instruction Sheet</t>
        </is>
      </c>
      <c r="N262" t="inlineStr">
        <is>
          <t>Yes</t>
        </is>
      </c>
      <c r="O262" t="inlineStr">
        <is>
          <t>Remanufactured</t>
        </is>
      </c>
      <c r="P262" t="inlineStr">
        <is>
          <t>2</t>
        </is>
      </c>
      <c r="Q262" t="inlineStr">
        <is>
          <t>Blade</t>
        </is>
      </c>
      <c r="R262" t="inlineStr">
        <is>
          <t>Direct Bolt</t>
        </is>
      </c>
      <c r="S262" t="inlineStr">
        <is>
          <t>2.9200</t>
        </is>
      </c>
      <c r="T262" t="inlineStr">
        <is>
          <t>No</t>
        </is>
      </c>
      <c r="U262" t="inlineStr">
        <is>
          <t>1 Year/18,000 Mile</t>
        </is>
      </c>
      <c r="V262" t="inlineStr">
        <is>
          <t>Yes</t>
        </is>
      </c>
      <c r="W262" t="inlineStr">
        <is>
          <t>Available to Order</t>
        </is>
      </c>
      <c r="X262" t="inlineStr">
        <is>
          <t>Ford Bronco II 1990-86</t>
        </is>
      </c>
      <c r="Y262" t="inlineStr">
        <is>
          <t>00082617176491</t>
        </is>
      </c>
      <c r="Z262" t="inlineStr">
        <is>
          <t>40-247::98384:115036:510</t>
        </is>
      </c>
      <c r="AA262" t="inlineStr">
        <is>
          <t>Yes</t>
        </is>
      </c>
      <c r="AB262" t="inlineStr"/>
      <c r="AC262" t="inlineStr"/>
    </row>
    <row r="263">
      <c r="A263" t="inlineStr">
        <is>
          <t>262</t>
        </is>
      </c>
      <c r="B263" t="inlineStr">
        <is>
          <t>Windshield Wiper Motor</t>
        </is>
      </c>
      <c r="C263" t="inlineStr">
        <is>
          <t>40-258</t>
        </is>
      </c>
      <c r="D263" t="inlineStr">
        <is>
          <t>Windshield Wiper Motor - 40-258</t>
        </is>
      </c>
      <c r="E263" t="inlineStr">
        <is>
          <t>CARDONE Reman</t>
        </is>
      </c>
      <c r="F263" t="inlineStr">
        <is>
          <t>C8TF17C504A;C6TF17504A;C7TF17C504A;C6TF17504E;D0UZ17508A;C7UF17C504A;D0UF17C504A;C7TF17504B;D3TF17504AA;C7TZ17508D;C8TF17504A;D2TF17504AA;D8TF17504AA</t>
        </is>
      </c>
      <c r="G263" t="inlineStr">
        <is>
          <t>Ford Bronco 1978-1979
Ford Econoline 1966-1967
Ford F-100 1966-1979
Ford F-150 1975-1979
Ford F-250 1966-1979
Ford F-350 1966-1979
Ford F-700 1970-1979
Lincoln Mark III 1970</t>
        </is>
      </c>
      <c r="H263" t="inlineStr">
        <is>
          <t>Ford Bronco 1978-1979 5.8L V8 351cid
Ford Bronco 1978-1979 6.6L V8 400cid
Ford Econoline 1966-1967 2.8L L6 170cid
Ford Econoline 1966-1967 3.9L L6 240cid
Ford F-100 1966 5.9L V8 361cid
Ford F-100 1966-1967 5.8L V8 352cid
Ford F-100 1966-1974 3.9L L6 240cid
Ford F-100 1966-1979 4.9L L6 300cid
Ford F-100 1968-1976 5.9L V8 360cid
Ford F-100 1968-1976 6.4L V8 390cid
Ford F-100 1969-1979 5L V8 302cid
Ford F-100 1973-1979 7.5L V8 460cid
Ford F-100 1977-1979 5.8L V8 351cid
Ford F-100 1977-1979 6.6L V8 400cid
Ford F-150 1975-1976 5.9L V8 360cid
Ford F-150 1975-1976 6.4L V8 390cid
Ford F-150 1975-1979 4.9L L6 300cid
Ford F-150 1975-1979 5L V8 302cid
Ford F-150 1975-1979 7.5L V8 460cid
Ford F-150 1977-1979 5.8L V8 351cid
Ford F-150 1977-1979 6.6L V8 400cid
Ford F-250 1966 5.9L V8 361cid
Ford F-250 1966-1967 5.8L V8 352cid
Ford F-250 1966-1974 3.9L L6 240cid
Ford F-250 1966-1979 4.9L L6 300cid
Ford F-250 1968-1976 5.9L V8 360cid
Ford F-250 1968-1976 6.4L V8 390cid
Ford F-250 1969-1978 5L V8 302cid
Ford F-250 1973-1979 7.5L V8 460cid
Ford F-250 1977-1979 5.8L V8 351cid
Ford F-250 1977-1979 6.6L V8 400cid
Ford F-350 1966 5.9L V8 361cid
Ford F-350 1966-1967 5.8L V8 352cid
Ford F-350 1966-1974 3.9L L6 240cid
Ford F-350 1966-1976 5.9L V8 360cid
Ford F-350 1966-1979 4.9L L6 300cid
Ford F-350 1966-1979 5L V8 302cid
Ford F-350 1968-1976 6.4L V8 390cid
Ford F-350 1973-1979 7.5L V8 460cid
Ford F-350 1977-1979 5.8L V8 351cid
Ford F-350 1977-1979 6.6L V8 400cid
Ford F-700 1970-1979
Lincoln Mark III 1970 7.5L V8 460cid</t>
        </is>
      </c>
      <c r="I263" t="inlineStr">
        <is>
          <t>{"0": {"productDeskExternalKey": "CPCX|40-258"}, "1": {"Package Contents": "Wiper Motor; Instruction Sheet"}, "2": {"E-Waste": "Yes"}, "3": {"Product Condition": "Remanufactured"}, "4": {"Mounting Hole Quantity": "3"}, "5": {"Terminal Type": "Blade"}, "6": {"Mounting Type": "Direct Bolt"}, "7": {"Weight PG": "3.6700"}, "8": {"Washer Pump Included": "No"}, "9": {"Part Type": "Windshield Wiper Motor"}, "10": {"Warranty Info": "1 Year/18,000 Mile"}, "11": {"Sustainable Choice": "Yes"}, "12": {"Lifecycle Status": "Available to Order"}, "13": {"Application Summary": "Ford Bronco 1979-78, Econoline 1967-66, F-100 1979-66, F-150 1979-75, F-250 1979-66, F-350 1979-66, F-700 1979-70; Lincoln Mark III 1970"}, "14": {"ItemLevelGTIN": "00082617040204"}, "15": {"_addonCardone": "40-258::98384:115042:510"}, "16": {"Eligible for R&amp;R Service": "Yes"}}</t>
        </is>
      </c>
      <c r="J263" t="inlineStr">
        <is>
          <t>https://www.cardone.com/product/windshield-wiper-motor-40-258</t>
        </is>
      </c>
      <c r="K263">
        <f>DISPIMG("ID_7017F776ABE741AABC1C982928F7C2F5",1)</f>
        <v/>
      </c>
      <c r="L263" t="inlineStr">
        <is>
          <t>CPCX|40-258</t>
        </is>
      </c>
      <c r="M263" t="inlineStr">
        <is>
          <t>Wiper Motor; Instruction Sheet</t>
        </is>
      </c>
      <c r="N263" t="inlineStr">
        <is>
          <t>Yes</t>
        </is>
      </c>
      <c r="O263" t="inlineStr">
        <is>
          <t>Remanufactured</t>
        </is>
      </c>
      <c r="P263" t="inlineStr">
        <is>
          <t>3</t>
        </is>
      </c>
      <c r="Q263" t="inlineStr">
        <is>
          <t>Blade</t>
        </is>
      </c>
      <c r="R263" t="inlineStr">
        <is>
          <t>Direct Bolt</t>
        </is>
      </c>
      <c r="S263" t="inlineStr">
        <is>
          <t>3.6700</t>
        </is>
      </c>
      <c r="T263" t="inlineStr">
        <is>
          <t>No</t>
        </is>
      </c>
      <c r="U263" t="inlineStr">
        <is>
          <t>1 Year/18,000 Mile</t>
        </is>
      </c>
      <c r="V263" t="inlineStr">
        <is>
          <t>Yes</t>
        </is>
      </c>
      <c r="W263" t="inlineStr">
        <is>
          <t>Available to Order</t>
        </is>
      </c>
      <c r="X263" t="inlineStr">
        <is>
          <t>Ford Bronco 1979-78, Econoline 1967-66, F-100 1979-66, F-150 1979-75, F-250 1979-66, F-350 1979-66, F-700 1979-70; Lincoln Mark III 1970</t>
        </is>
      </c>
      <c r="Y263" t="inlineStr">
        <is>
          <t>00082617040204</t>
        </is>
      </c>
      <c r="Z263" t="inlineStr">
        <is>
          <t>40-258::98384:115042:510</t>
        </is>
      </c>
      <c r="AA263" t="inlineStr">
        <is>
          <t>Yes</t>
        </is>
      </c>
      <c r="AB263" t="inlineStr"/>
      <c r="AC263" t="inlineStr"/>
    </row>
    <row r="264">
      <c r="A264" t="inlineStr">
        <is>
          <t>263</t>
        </is>
      </c>
      <c r="B264" t="inlineStr">
        <is>
          <t>Windshield Wiper Motor</t>
        </is>
      </c>
      <c r="C264" t="inlineStr">
        <is>
          <t>40-259</t>
        </is>
      </c>
      <c r="D264" t="inlineStr">
        <is>
          <t>Windshield Wiper Motor - 40-259</t>
        </is>
      </c>
      <c r="E264" t="inlineStr">
        <is>
          <t>CARDONE Reman</t>
        </is>
      </c>
      <c r="F264" t="inlineStr">
        <is>
          <t>E92Z17508A</t>
        </is>
      </c>
      <c r="G264" t="inlineStr">
        <is>
          <t>Ford Probe 1989-1992</t>
        </is>
      </c>
      <c r="H264" t="inlineStr">
        <is>
          <t>Ford Probe 1989-1992 2.2L L4 133cid
Ford Probe 1990-1992 3L V6 182cid</t>
        </is>
      </c>
      <c r="I264" t="inlineStr">
        <is>
          <t>{"0": {"productDeskExternalKey": "CPCX|40-259"}, "1": {"Package Contents": "Wiper Motor; Instruction Sheet"}, "2": {"E-Waste": "Yes"}, "3": {"Product Condition": "Remanufactured"}, "4": {"Mounting Hole Quantity": "3"}, "5": {"Terminal Type": "Blade"}, "6": {"Mounting Type": "Grommet"}, "7": {"Weight PG": "4.3600"}, "8": {"Washer Pump Included": "No"}, "9": {"Part Type": "Windshield Wiper Motor"}, "10": {"Warranty Info": "1 Year/18,000 Mile"}, "11": {"Sustainable Choice": "Yes"}, "12": {"Lifecycle Status": "Available to Order"}, "13": {"Application Summary": "Ford Probe 1992-89"}, "14": {"ItemLevelGTIN": "00082617153157"}, "15": {"_addonCardone": "40-259::98384:115049:510"}, "16": {"Eligible for R&amp;R Service": "Yes"}}</t>
        </is>
      </c>
      <c r="J264" t="inlineStr">
        <is>
          <t>https://www.cardone.com/product/windshield-wiper-motor-40-259</t>
        </is>
      </c>
      <c r="K264">
        <f>DISPIMG("ID_7FE00B8E3116464EBCB9AB0D7D99852F",1)</f>
        <v/>
      </c>
      <c r="L264" t="inlineStr">
        <is>
          <t>CPCX|40-259</t>
        </is>
      </c>
      <c r="M264" t="inlineStr">
        <is>
          <t>Wiper Motor; Instruction Sheet</t>
        </is>
      </c>
      <c r="N264" t="inlineStr">
        <is>
          <t>Yes</t>
        </is>
      </c>
      <c r="O264" t="inlineStr">
        <is>
          <t>Remanufactured</t>
        </is>
      </c>
      <c r="P264" t="inlineStr">
        <is>
          <t>3</t>
        </is>
      </c>
      <c r="Q264" t="inlineStr">
        <is>
          <t>Blade</t>
        </is>
      </c>
      <c r="R264" t="inlineStr">
        <is>
          <t>Grommet</t>
        </is>
      </c>
      <c r="S264" t="inlineStr">
        <is>
          <t>4.3600</t>
        </is>
      </c>
      <c r="T264" t="inlineStr">
        <is>
          <t>No</t>
        </is>
      </c>
      <c r="U264" t="inlineStr">
        <is>
          <t>1 Year/18,000 Mile</t>
        </is>
      </c>
      <c r="V264" t="inlineStr">
        <is>
          <t>Yes</t>
        </is>
      </c>
      <c r="W264" t="inlineStr">
        <is>
          <t>Available to Order</t>
        </is>
      </c>
      <c r="X264" t="inlineStr">
        <is>
          <t>Ford Probe 1992-89</t>
        </is>
      </c>
      <c r="Y264" t="inlineStr">
        <is>
          <t>00082617153157</t>
        </is>
      </c>
      <c r="Z264" t="inlineStr">
        <is>
          <t>40-259::98384:115049:510</t>
        </is>
      </c>
      <c r="AA264" t="inlineStr">
        <is>
          <t>Yes</t>
        </is>
      </c>
      <c r="AB264" t="inlineStr"/>
      <c r="AC264" t="inlineStr"/>
    </row>
    <row r="265">
      <c r="A265" t="inlineStr">
        <is>
          <t>264</t>
        </is>
      </c>
      <c r="B265" t="inlineStr">
        <is>
          <t>Windshield Wiper Motor</t>
        </is>
      </c>
      <c r="C265" t="inlineStr">
        <is>
          <t>40-265</t>
        </is>
      </c>
      <c r="D265" t="inlineStr">
        <is>
          <t>Windshield Wiper Motor - 40-265</t>
        </is>
      </c>
      <c r="E265" t="inlineStr">
        <is>
          <t>CARDONE Reman</t>
        </is>
      </c>
      <c r="F265" t="inlineStr">
        <is>
          <t>E4ZZ17508A;D7DZ17508A;E1FZ17508B;E4DZ17508A;E4FZ17508A;D8BZ17508B;J3665760;ZZL067340;E9TZ17508A;E3TZ17508A;5758467;J5758467</t>
        </is>
      </c>
      <c r="G265" t="inlineStr">
        <is>
          <t>American Motors AMX 1978-1980
American Motors Ambassador 1973-1974
American Motors Concord 1978-1983
American Motors Eagle 1980-1988
American Motors Gremlin 1973-1978
American Motors Hornet 1973-1977
American Motors Javelin 1973-1974
American Motors Matador 1973-1978
American Motors Spirit 1979-1983
Ford Bronco 1966-1977
Ford Bronco II 1984-1990
Ford E-100 Econoline 1969-1974
Ford E-200 Econoline 1969-1974
Ford E-300 Econoline 1969-1974
Ford EXP 1982-1988
Ford Escort 1981-1990
Ford Explorer 1991-1994
Ford Fairlane 1966-1970
Ford Fairmont 1978-1983
Ford Falcon 1966-1970
Ford Gran Torino 1972-1973
Ford Granada 1975-1982
Ford LTD 1983-1986
Ford Maverick 1970-1977
Ford Mustang 1967-1986
Ford Ranger 1983-1994
Ford Thunderbird 1980-1982
Ford Torino 1968-1976
Jeep Cherokee 1979-1983
Jeep Grand Wagoneer 1984-1986
Jeep J10 1979-1986
Jeep J20 1979-1986
Jeep Wagoneer 1979-1983
Lincoln Versailles 1977-1980
Mazda Navajo 1991-1994
Mercury Capri 1979-1986
Mercury Comet 1966-1977
Mercury Cougar 1969-1982
Mercury LN7 1982-1983
Mercury Lynx 1981-1987
Mercury Marquis 1967-1986
Mercury Monarch 1975-1980
Mercury Montego 1968-1973</t>
        </is>
      </c>
      <c r="H265" t="inlineStr">
        <is>
          <t>American Motors AMX 1978-1979 5L V8 304cid
American Motors AMX 1978-1980 4.2L L6 258cid
American Motors Ambassador 1973-1974 5.9L V8 360cid
American Motors Ambassador 1973-1974 5L V8 304cid
American Motors Ambassador 1973-1974 6.6L V8 401cid
American Motors Concord 1978-1979 2L L4 121cid
American Motors Concord 1978-1979 3.8L L6 232cid
American Motors Concord 1978-1979 5L V8 304cid
American Motors Concord 1978-1983 4.2L L6 258cid
American Motors Concord 1980-1982 2.5L L4 151cid
American Motors Eagle 1980-1988 4.2L L6 258cid
American Motors Eagle 1981-1983 2.5L L4 151cid
American Motors Eagle 1983-1984 2.5L L4 150cid
American Motors Gremlin 1973-1976 5L V8 304cid
American Motors Gremlin 1973-1978 3.8L L6 232cid
American Motors Gremlin 1973-1978 4.2L L6 258cid
American Motors Gremlin 1977-1978 2L L4 121cid
American Motors Hornet 1973-1974 5.9L V8 360cid
American Motors Hornet 1973-1977 3.8L L6 232cid
American Motors Hornet 1973-1977 4.2L L6 258cid
American Motors Hornet 1973-1977 5L V8 304cid
American Motors Javelin 1973-1974 3.8L L6 232cid
American Motors Javelin 1973-1974 4.2L L6 258cid
American Motors Javelin 1973-1974 5.9L V8 360cid
American Motors Javelin 1973-1974 5L V8 304cid
American Motors Javelin 1973-1974 6.6L V8 401cid
American Motors Matador 1973-1974 3.8L L6 232cid
American Motors Matador 1973-1976 6.6L V8 401cid
American Motors Matador 1973-1977 5L V8 304cid
American Motors Matador 1973-1978 4.2L L6 258cid
American Motors Matador 1973-1978 5.9L V8 360cid
American Motors Spirit 1979 2L L4 121cid
American Motors Spirit 1979 3.8L L6 232cid
American Motors Spirit 1979 5L V8 304cid
American Motors Spirit 1979-1983 4.2L L6 258cid
American Motors Spirit 1980-1982 2.5L L4 151cid
Ford Bronco 1966-1967 3.9L L6 240cid
Ford Bronco 1966-1968 4.7L V8 289cid
Ford Bronco 1966-1972 2.8L L6 170cid
Ford Bronco 1968-1977 5L V8 302cid
Ford Bronco 1973
Ford Bronco 1973-1974 3.3L L6 200cid
Ford Bronco II 1984-1985 2.8L V6 171cid
Ford Bronco II 1985-1986 2.3L L4 134cid
Ford Bronco II 1986-1990 2.9L V6 177cid
Ford E-100 Econoline 1969-1971 2.8L L6 170cid
Ford E-100 Econoline 1969-1974 3.9L L6 240cid
Ford E-100 Econoline 1969-1974 5L V8 302cid
Ford E-100 Econoline 1972-1974 4.9L L6 300cid
Ford E-200 Econoline 1969-1971 2.8L L6 170cid
Ford E-200 Econoline 1969-1974 3.9L L6 240cid
Ford E-200 Econoline 1969-1974 5L V8 302cid
Ford E-200 Econoline 1972-1974 4.9L L6 300cid
Ford E-300 Econoline 1969-1970 2.8L L6 170cid
Ford E-300 Econoline 1969-1974 3.9L L6 240cid
Ford E-300 Econoline 1969-1974 5L V8 302cid
Ford E-300 Econoline 1972-1974 4.9L L6 300cid
Ford EXP 1982-1985 1.6L L4 98cid
Ford EXP 1986-1988 1.9L L4 116cid
Ford Escort 1981-1985 1.6L L4 98cid
Ford Escort 1984-1987 2L L4 122cid
Ford Escort 1985-1990 1.9L L4 116cid
Ford Explorer 1991-1994 4L V6 245cid
Ford Fairlane 1966 2.8L L6 170cid
Ford Fairlane 1966 5.8L V8 352cid
Ford Fairlane 1966-1967 4.7L V8 289cid
Ford Fairlane 1966-1969 3.3L L6 200cid
Ford Fairlane 1966-1969 7L V8 427cid
Ford Fairlane 1966-1970 6.4L V8 390cid
Ford Fairlane 1968-1970 5L V8 302cid
Ford Fairlane 1968-1970 7L V8 428cid
Ford Fairlane 1969-1970 4.1L L6 250cid
Ford Fairlane 1969-1970 5.8L V8 351cid
Ford Fairlane 1970 7L V8 429cid
Ford Fairmont 1978-1983 2.3L L4 140cid
Ford Fairmont 1978-1983 3.3L L6 200cid
Ford Fairmont 1978-1983 5L V8 302cid
Ford Fairmont 1980-1982 4.2L V8 255cid
Ford Falcon 1966-1968 4.7L V8 289cid
Ford Falcon 1966-1969 2.8L L6 170cid
Ford Falcon 1966-1970 3.3L L6 200cid
Ford Falcon 1968-1970 5L V8 302cid
Ford Falcon 1969-1970 5.8L V8 351cid
Ford Falcon 1970 4.1L L6 250cid
Ford Falcon 1970 7L V8 429cid
Ford Gran Torino 1972-1973 4.1L L6 250cid
Ford Gran Torino 1972-1973 5.8L V8 351cid
Ford Gran Torino 1972-1973 5L V8 302cid
Ford Gran Torino 1972-1973 6.6L V8 400cid
Ford Gran Torino 1972-1973 7L V8 429cid
Ford Gran Torino 1973 7.5L V8 460cid
Ford Granada 1975-1977 5.8L V8 351cid
Ford Granada 1975-1980 4.1L L6 250cid
Ford Granada 1975-1980 5L V8 302cid
Ford Granada 1975-1982 3.3L L6 200cid
Ford Granada 1980-1981 4.2L V8 255cid
Ford Granada 1981-1982 2.3L L4 140cid
Ford Granada 1982 3.8L V6 232cid
Ford LTD 1983 3.3L L6 200cid
Ford LTD 1983-1986 2.3L L4 140cid
Ford LTD 1983-1986 3.8L V6 232cid
Ford LTD 1984-1985 5L V8 302cid
Ford Maverick 1970-1972 2.8L L6 170cid
Ford Maverick 1970-1977 3.3L L6 200cid
Ford Maverick 1970-1977 4.1L L6 250cid
Ford Maverick 1970-1977 5L V8 302cid
Ford Maverick 1971-1977 4.7L V8 289cid
Ford Mustang 1967-1968 4.7L V8 289cid
Ford Mustang 1967-1969 6.4L V8 390cid
Ford Mustang 1967-1970 7L V8 428cid
Ford Mustang 1967-1982 3.3L L6 200cid
Ford Mustang 1968 7L V8 427cid
Ford Mustang 1968-1986 5L V8 302cid
Ford Mustang 1969-1971 7L V8 429cid
Ford Mustang 1969-1973 4.1L L6 250cid
Ford Mustang 1969-1973 5.8L V8 351cid
Ford Mustang 1979 2.8L V6 171cid
Ford Mustang 1979-1986 2.3L L4 140cid
Ford Mustang 1980-1982 4.2L V8 255cid
Ford Mustang 1983-1986 3.8L V6 232cid
Ford Ranger 1983-1984 2.2L L4 134cid
Ford Ranger 1983-1985 2.8L V6 171cid
Ford Ranger 1983-1988 2L L4 122cid
Ford Ranger 1983-1994 2.3L L4 140cid
Ford Ranger 1986-1992 2.9L V6 177cid
Ford Ranger 1990-1994 4L V6 245cid
Ford Ranger 1991-1994 3L V6 182cid
Ford Thunderbird 1980-1981 5L V8 302cid
Ford Thunderbird 1980-1982 3.3L L6 200cid
Ford Thunderbird 1980-1982 4.2L V8 255cid
Ford Thunderbird 1982 3.8L V6 232cid
Ford Torino 1968 3.3L L6 200cid
Ford Torino 1968 7L V8 427cid
Ford Torino 1968-1970 6.4L V8 390cid
Ford Torino 1968-1970 7L V8 428cid
Ford Torino 1968-1974 5L V8 302cid
Ford Torino 1969-1974 4.1L L6 250cid
Ford Torino 1969-1976 5.8L V8 351cid
Ford Torino 1970-1973 7L V8 429cid
Ford Torino 1972-1976 6.6L V8 400cid
Ford Torino 1973-1976 7.5L V8 460cid
Jeep Cherokee 1979-1983 4.2L L6 258cid
Jeep Cherokee 1979-1983 5.9L V8 360cid
Jeep Grand Wagoneer 1984 4.6L L6 282cid
Jeep Grand Wagoneer 1984-1986 4.2L L6 258cid
Jeep Grand Wagoneer 1984-1986 5.9L V8 360cid
Jeep J10 1979-1986 4.2L L6 258cid
Jeep J10 1979-1986 4.6L L6 282cid
Jeep J10 1979-1986 5.9L V8 360cid
Jeep J20 1979-1986 5.9L V8 360cid
Jeep Wagoneer 1979-1983 4.6L L6 282cid
Jeep Wagoneer 1979-1983 5.9L V8 360cid
Jeep Wagoneer 1980-1983 4.2L L6 258cid
Lincoln Versailles 1977 5.8L V8 351cid
Lincoln Versailles 1977-1980 5L V8 302cid
Mazda Navajo 1991-1994 4L V6 245cid
Mercury Capri 1979 2.8L V6 171cid
Mercury Capri 1979-1982 3.3L L6 200cid
Mercury Capri 1979-1986 2.3L L4 140cid
Mercury Capri 1979-1986 5L V8 302cid
Mercury Capri 1980-1982 4.2L V8 255cid
Mercury Capri 1983-1986 3.8L V6 232cid
Mercury Comet 1966-1968 4.7L V8 289cid
Mercury Comet 1966-1969 6.4L V8 390cid
Mercury Comet 1966-1969 7L V8 427cid
Mercury Comet 1966-1972 2.8L L6 170cid
Mercury Comet 1966-1977 3.3L L6 200cid
Mercury Comet 1968-1969 7L V8 428cid
Mercury Comet 1968-1977 5L V8 302cid
Mercury Comet 1969 5.8L V8 351cid
Mercury Comet 1969-1977 4.1L L6 250cid
Mercury Cougar 1969-1970 6.4L V8 390cid
Mercury Cougar 1969-1970 7L V8 428cid
Mercury Cougar 1969-1971 7L V8 429cid
Mercury Cougar 1969-1974 5.8L V8 351cid
Mercury Cougar 1969-1981 5L V8 302cid
Mercury Cougar 1973-1974 6.6L V8 400cid
Mercury Cougar 1973-1974 7.5L V8 460cid
Mercury Cougar 1980-1982 3.3L L6 200cid
Mercury Cougar 1980-1982 4.2L V8 255cid
Mercury Cougar 1981-1982 2.3L L4 140cid
Mercury Cougar 1982 3.8L V6 232cid
Mercury LN7 1982-1983 1.6L L4 98cid
Mercury Lynx 1981-1985 1.6L L4 98cid
Mercury Lynx 1984-1987 2L L4 122cid
Mercury Lynx 1985-1987 1.9L L4 116cid
Mercury Marquis 1967 6.7L V8 410cid
Mercury Marquis 1967 7L V8 427cid
Mercury Marquis 1967-1968 6.4L V8 390cid
Mercury Marquis 1967-1968 7L V8 428cid
Mercury Marquis 1983 3.3L L6 200cid
Mercury Marquis 1983-1986 2.3L L4 140cid
Mercury Marquis 1983-1986 3.8L V6 232cid
Mercury Monarch 1975-1977 3.3L L6 200cid
Mercury Monarch 1975-1977 5.8L V8 351cid
Mercury Monarch 1975-1980 4.1L L6 250cid
Mercury Monarch 1975-1980 5L V8 302cid
Mercury Monarch 1980 4.2L V8 255cid
Mercury Montego 1968 3.3L L6 200cid
Mercury Montego 1968 4.7L V8 289cid
Mercury Montego 1968-1969 6.4L V8 390cid
Mercury Montego 1968-1969 7L V8 427cid
Mercury Montego 1968-1969 7L V8 428cid
Mercury Montego 1968-1973 5L V8 302cid
Mercury Montego 1969-1973 4.1L L6 250cid
Mercury Montego 1969-1973 5.8L V8 351cid
Mercury Montego 1970-1973 7L V8 429cid
Mercury Montego 1972-1973 6.6L V8 400cid
Mercury Montego 1973 7.5L V8 460cid</t>
        </is>
      </c>
      <c r="I265" t="inlineStr">
        <is>
          <t>{"0": {"productDeskExternalKey": "CPCX|40-265"}, "1": {"Package Contents": "Wiper Motor; Instruction Sheet; Kit; Connector; Washer"}, "2": {"E-Waste": "Yes"}, "3": {"Product Condition": "Remanufactured"}, "4": {"Mounting Hole Quantity": "3"}, "5": {"Terminal Type": "Pin"}, "6": {"Mounting Type": "Direct Bolt"}, "7": {"Weight PG": "3.4700"}, "8": {"Washer Pump Included": "No"}, "9": {"Part Type": "Windshield Wiper Motor"}, "10": {"Warranty Info": "1 Year/18,000 Mile"}, "11": {"Sustainable Choice": "Yes"}, "12": {"Lifecycle Status": "Available to Order"}, "13": {"ItemLevelGTIN": "00082617040266"}, "14": {"_addonCardone": "40-265::98384:115055:510"}, "15": {"Eligible for R&amp;R Service": "Yes"}}</t>
        </is>
      </c>
      <c r="J265" t="inlineStr">
        <is>
          <t>https://www.cardone.com/product/windshield-wiper-motor-40-265</t>
        </is>
      </c>
      <c r="K265">
        <f>DISPIMG("ID_43C8B786103F4F06B6EFD5C8BE9970B8",1)</f>
        <v/>
      </c>
      <c r="L265" t="inlineStr">
        <is>
          <t>CPCX|40-265</t>
        </is>
      </c>
      <c r="M265" t="inlineStr">
        <is>
          <t>Wiper Motor; Instruction Sheet; Kit; Connector; Washer</t>
        </is>
      </c>
      <c r="N265" t="inlineStr">
        <is>
          <t>Yes</t>
        </is>
      </c>
      <c r="O265" t="inlineStr">
        <is>
          <t>Remanufactured</t>
        </is>
      </c>
      <c r="P265" t="inlineStr">
        <is>
          <t>3</t>
        </is>
      </c>
      <c r="Q265" t="inlineStr">
        <is>
          <t>Pin</t>
        </is>
      </c>
      <c r="R265" t="inlineStr">
        <is>
          <t>Direct Bolt</t>
        </is>
      </c>
      <c r="S265" t="inlineStr">
        <is>
          <t>3.4700</t>
        </is>
      </c>
      <c r="T265" t="inlineStr">
        <is>
          <t>No</t>
        </is>
      </c>
      <c r="U265" t="inlineStr">
        <is>
          <t>1 Year/18,000 Mile</t>
        </is>
      </c>
      <c r="V265" t="inlineStr">
        <is>
          <t>Yes</t>
        </is>
      </c>
      <c r="W265" t="inlineStr">
        <is>
          <t>Available to Order</t>
        </is>
      </c>
      <c r="X265" t="inlineStr"/>
      <c r="Y265" t="inlineStr">
        <is>
          <t>00082617040266</t>
        </is>
      </c>
      <c r="Z265" t="inlineStr">
        <is>
          <t>40-265::98384:115055:510</t>
        </is>
      </c>
      <c r="AA265" t="inlineStr">
        <is>
          <t>Yes</t>
        </is>
      </c>
      <c r="AB265" t="inlineStr"/>
      <c r="AC265" t="inlineStr"/>
    </row>
    <row r="266">
      <c r="A266" t="inlineStr">
        <is>
          <t>265</t>
        </is>
      </c>
      <c r="B266" t="inlineStr">
        <is>
          <t>Windshield Wiper Motor</t>
        </is>
      </c>
      <c r="C266" t="inlineStr">
        <is>
          <t>40-267</t>
        </is>
      </c>
      <c r="D266" t="inlineStr">
        <is>
          <t>Windshield Wiper Motor - 40-267</t>
        </is>
      </c>
      <c r="E266" t="inlineStr">
        <is>
          <t>CARDONE Reman</t>
        </is>
      </c>
      <c r="F266" t="inlineStr">
        <is>
          <t>E9SZ17508A;F3SZ17508A</t>
        </is>
      </c>
      <c r="G266" t="inlineStr">
        <is>
          <t>Ford Cougar 1990-1993
Ford Thunderbird 1989-1993
Mercury Cougar 1989-1993</t>
        </is>
      </c>
      <c r="H266" t="inlineStr">
        <is>
          <t>Ford Cougar 1990-1993 3.8L V6 232cid
Ford Cougar 1990-1993 5L V8 302cid
Ford Thunderbird 1989-1993 3.8L V6 232cid
Ford Thunderbird 1991-1993 5L V8 302cid
Mercury Cougar 1989-1993 3.8L V6 232cid
Mercury Cougar 1991-1993 5L V8 302cid</t>
        </is>
      </c>
      <c r="I266" t="inlineStr">
        <is>
          <t>{"0": {"productDeskExternalKey": "CPCX|40-267"}, "1": {"Package Contents": "Wiper Motor; Instruction Sheet"}, "2": {"E-Waste": "Yes"}, "3": {"Product Condition": "Remanufactured"}, "4": {"Mounting Hole Quantity": "3"}, "5": {"Terminal Type": "Blade; Bullet"}, "6": {"Mounting Type": "Direct Bolt"}, "7": {"Weight PG": "3.3200"}, "8": {"Washer Pump Included": "No"}, "9": {"Part Type": "Windshield Wiper Motor"}, "10": {"Warranty Info": "1 Year/18,000 Mile"}, "11": {"Sustainable Choice": "Yes"}, "12": {"Lifecycle Status": "Available to Order"}, "13": {"Application Summary": "Ford Cougar 1993-90, Thunderbird 1993-89; Mercury Cougar 1993-89"}, "14": {"ItemLevelGTIN": "00082617153133"}, "15": {"_addonCardone": "40-267::98384:115062:510"}, "16": {"Eligible for R&amp;R Service": "Yes"}}</t>
        </is>
      </c>
      <c r="J266" t="inlineStr">
        <is>
          <t>https://www.cardone.com/product/windshield-wiper-motor-40-267</t>
        </is>
      </c>
      <c r="K266">
        <f>DISPIMG("ID_42AD516CE7A440FDB712A1BB97B349A5",1)</f>
        <v/>
      </c>
      <c r="L266" t="inlineStr">
        <is>
          <t>CPCX|40-267</t>
        </is>
      </c>
      <c r="M266" t="inlineStr">
        <is>
          <t>Wiper Motor; Instruction Sheet</t>
        </is>
      </c>
      <c r="N266" t="inlineStr">
        <is>
          <t>Yes</t>
        </is>
      </c>
      <c r="O266" t="inlineStr">
        <is>
          <t>Remanufactured</t>
        </is>
      </c>
      <c r="P266" t="inlineStr">
        <is>
          <t>3</t>
        </is>
      </c>
      <c r="Q266" t="inlineStr">
        <is>
          <t>Blade; Bullet</t>
        </is>
      </c>
      <c r="R266" t="inlineStr">
        <is>
          <t>Direct Bolt</t>
        </is>
      </c>
      <c r="S266" t="inlineStr">
        <is>
          <t>3.3200</t>
        </is>
      </c>
      <c r="T266" t="inlineStr">
        <is>
          <t>No</t>
        </is>
      </c>
      <c r="U266" t="inlineStr">
        <is>
          <t>1 Year/18,000 Mile</t>
        </is>
      </c>
      <c r="V266" t="inlineStr">
        <is>
          <t>Yes</t>
        </is>
      </c>
      <c r="W266" t="inlineStr">
        <is>
          <t>Available to Order</t>
        </is>
      </c>
      <c r="X266" t="inlineStr">
        <is>
          <t>Ford Cougar 1993-90, Thunderbird 1993-89; Mercury Cougar 1993-89</t>
        </is>
      </c>
      <c r="Y266" t="inlineStr">
        <is>
          <t>00082617153133</t>
        </is>
      </c>
      <c r="Z266" t="inlineStr">
        <is>
          <t>40-267::98384:115062:510</t>
        </is>
      </c>
      <c r="AA266" t="inlineStr">
        <is>
          <t>Yes</t>
        </is>
      </c>
      <c r="AB266" t="inlineStr"/>
      <c r="AC266" t="inlineStr"/>
    </row>
    <row r="267">
      <c r="A267" t="inlineStr">
        <is>
          <t>266</t>
        </is>
      </c>
      <c r="B267" t="inlineStr">
        <is>
          <t>Windshield Wiper Motor</t>
        </is>
      </c>
      <c r="C267" t="inlineStr">
        <is>
          <t>40-268</t>
        </is>
      </c>
      <c r="D267" t="inlineStr">
        <is>
          <t>Windshield Wiper Motor - 40-268</t>
        </is>
      </c>
      <c r="E267" t="inlineStr">
        <is>
          <t>CARDONE Reman</t>
        </is>
      </c>
      <c r="F267" t="inlineStr">
        <is>
          <t>C9AF17504B;C9AF17504C;D2PF17C504AA;D1ZF17504AA;D3SZ17508A;C9AZ17508B;D0VF17504E;C9AF17504D;C9ZA17508C;C9AF17A429E2;D2AZ17508A</t>
        </is>
      </c>
      <c r="G267" t="inlineStr">
        <is>
          <t>Ford Country Sedan 1969-1973
Ford Country Squire 1969-1973
Ford Custom 1969-1972
Ford Custom 500 1969-1973
Ford Fairlane 1967-1970
Ford Galaxie 500 1969-1973
Ford Gran Torino 1972-1973
Ford LTD 1969-1973
Ford Ranch Wagon 1969-1973
Ford Thunderbird 1972-1973
Ford Torino 1968-1973
Lincoln Mark IV 1972-1973
Mercury Marquis 1969-1973
Mercury Montego 1972-1973</t>
        </is>
      </c>
      <c r="H267" t="inlineStr">
        <is>
          <t>Ford Country Sedan 1969 2.8L L6 170cid
Ford Country Sedan 1969-1970 3.3L L6 200cid
Ford Country Sedan 1969-1970 7L V8 428cid
Ford Country Sedan 1969-1971 6.4L V8 390cid
Ford Country Sedan 1969-1972 3.9L L6 240cid
Ford Country Sedan 1969-1973 4.1L L6 250cid
Ford Country Sedan 1969-1973 5.8L V8 351cid
Ford Country Sedan 1969-1973 5L V8 302cid
Ford Country Sedan 1969-1973 7L V8 429cid
Ford Country Sedan 1971-1973 6.6L V8 400cid
Ford Country Sedan 1972-1973 7.5L V8 460cid
Ford Country Squire 1969 2.8L L6 170cid
Ford Country Squire 1969-1970 3.3L L6 200cid
Ford Country Squire 1969-1970 7L V8 428cid
Ford Country Squire 1969-1971 6.4L V8 390cid
Ford Country Squire 1969-1972 3.9L L6 240cid
Ford Country Squire 1969-1973 4.1L L6 250cid
Ford Country Squire 1969-1973 5.8L V8 351cid
Ford Country Squire 1969-1973 5L V8 302cid
Ford Country Squire 1969-1973 7L V8 429cid
Ford Country Squire 1971-1973 6.6L V8 400cid
Ford Country Squire 1972-1973 7.5L V8 460cid
Ford Custom 1969-1970 7L V8 428cid
Ford Custom 1969-1971 6.4L V8 390cid
Ford Custom 1969-1972 3.9L L6 240cid
Ford Custom 1969-1972 5.8L V8 351cid
Ford Custom 1969-1972 5L V8 302cid
Ford Custom 1969-1972 7L V8 429cid
Ford Custom 1971-1972 6.6L V8 400cid
Ford Custom 1972 7.5L V8 460cid
Ford Custom 500 1969-1970 7L V8 428cid
Ford Custom 500 1969-1971 6.4L V8 390cid
Ford Custom 500 1969-1972 3.9L L6 240cid
Ford Custom 500 1969-1973 5.8L V8 351cid
Ford Custom 500 1969-1973 5L V8 302cid
Ford Custom 500 1969-1973 7L V8 429cid
Ford Custom 500 1971-1973 6.6L V8 400cid
Ford Custom 500 1972-1973 7.5L V8 460cid
Ford Fairlane 1967 4.7L V8 289cid
Ford Fairlane 1967-1969 3.3L L6 200cid
Ford Fairlane 1967-1969 7L V8 427cid
Ford Fairlane 1967-1970 6.4L V8 390cid
Ford Fairlane 1968-1970 5L V8 302cid
Ford Fairlane 1968-1970 7L V8 428cid
Ford Fairlane 1969-1970 4.1L L6 250cid
Ford Fairlane 1969-1970 5.8L V8 351cid
Ford Fairlane 1970 7L V8 429cid
Ford Galaxie 500 1969-1970 7L V8 428cid
Ford Galaxie 500 1969-1971 6.4L V8 390cid
Ford Galaxie 500 1969-1972 3.9L L6 240cid
Ford Galaxie 500 1969-1973 5.8L V8 351cid
Ford Galaxie 500 1969-1973 5L V8 302cid
Ford Galaxie 500 1969-1973 7L V8 429cid
Ford Galaxie 500 1971-1973 6.6L V8 400cid
Ford Galaxie 500 1972-1973 7.5L V8 460cid
Ford Gran Torino 1972-1973 4.1L L6 250cid
Ford Gran Torino 1972-1973 5.8L V8 351cid
Ford Gran Torino 1972-1973 5L V8 302cid
Ford Gran Torino 1972-1973 6.6L V8 400cid
Ford Gran Torino 1972-1973 7L V8 429cid
Ford Gran Torino 1973 7.5L V8 460cid
Ford LTD 1969-1970 7L V8 428cid
Ford LTD 1969-1971 6.4L V8 390cid
Ford LTD 1969-1972 3.9L L6 240cid
Ford LTD 1969-1973 5.8L V8 351cid
Ford LTD 1969-1973 5L V8 302cid
Ford LTD 1969-1973 7L V8 429cid
Ford LTD 1971-1973 6.6L V8 400cid
Ford LTD 1972-1973 7.5L V8 460cid
Ford Ranch Wagon 1969 2.8L L6 170cid
Ford Ranch Wagon 1969-1970 3.3L L6 200cid
Ford Ranch Wagon 1969-1970 7L V8 428cid
Ford Ranch Wagon 1969-1971 6.4L V8 390cid
Ford Ranch Wagon 1969-1972 3.9L L6 240cid
Ford Ranch Wagon 1969-1973 4.1L L6 250cid
Ford Ranch Wagon 1969-1973 5.8L V8 351cid
Ford Ranch Wagon 1969-1973 5L V8 302cid
Ford Ranch Wagon 1969-1973 7L V8 429cid
Ford Ranch Wagon 1971-1973 6.6L V8 400cid
Ford Ranch Wagon 1972-1973 7.5L V8 460cid
Ford Thunderbird 1972-1973 6.6L V8 400cid
Ford Thunderbird 1972-1973 7.5L V8 460cid
Ford Thunderbird 1972-1973 7L V8 429cid
Ford Torino 1968 3.3L L6 200cid
Ford Torino 1968 7L V8 427cid
Ford Torino 1968-1970 6.4L V8 390cid
Ford Torino 1968-1970 7L V8 428cid
Ford Torino 1968-1973 5L V8 302cid
Ford Torino 1969-1973 4.1L L6 250cid
Ford Torino 1969-1973 5.8L V8 351cid
Ford Torino 1970-1973 7L V8 429cid
Ford Torino 1972-1973 6.6L V8 400cid
Ford Torino 1973 7.5L V8 460cid
Lincoln Mark IV 1972-1973 7.5L V8 460cid
Mercury Marquis 1969-1970 6.4L V8 390cid
Mercury Marquis 1969-1970 7L V8 428cid
Mercury Marquis 1969-1973 7L V8 429cid
Mercury Marquis 1970-1973 5.8L V8 351cid
Mercury Marquis 1971-1973 6.6L V8 400cid
Mercury Marquis 1972-1973 7.5L V8 460cid
Mercury Montego 1972-1973 4.1L L6 250cid
Mercury Montego 1972-1973 5.8L V8 351cid
Mercury Montego 1972-1973 5L V8 302cid
Mercury Montego 1972-1973 6.6L V8 400cid
Mercury Montego 1972-1973 7L V8 429cid
Mercury Montego 1973 7.5L V8 460cid</t>
        </is>
      </c>
      <c r="I267" t="inlineStr">
        <is>
          <t>{"0": {"productDeskExternalKey": "CPCX|40-268"}, "1": {"Package Contents": "Wiper Motor; Instruction Sheet"}, "2": {"E-Waste": "Yes"}, "3": {"Product Condition": "Remanufactured"}, "4": {"Mounting Hole Quantity": "3"}, "5": {"Terminal Type": "Pin"}, "6": {"Mounting Type": "Grommet"}, "7": {"Weight PG": "5.7200"}, "8": {"Washer Pump Included": "No"}, "9": {"Part Type": "Windshield Wiper Motor"}, "10": {"Warranty Info": "1 Year/18,000 Mile"}, "11": {"Sustainable Choice": "Yes"}, "12": {"Lifecycle Status": "Available to Order"}, "13": {"ItemLevelGTIN": "00082617040273"}, "14": {"_addonCardone": "40-268::98384:115068:510"}, "15": {"Eligible for R&amp;R Service": "Yes"}}</t>
        </is>
      </c>
      <c r="J267" t="inlineStr">
        <is>
          <t>https://www.cardone.com/product/windshield-wiper-motor-40-268</t>
        </is>
      </c>
      <c r="K267">
        <f>DISPIMG("ID_64C11F71FD0C4B2DA435D363240FC1CB",1)</f>
        <v/>
      </c>
      <c r="L267" t="inlineStr">
        <is>
          <t>CPCX|40-268</t>
        </is>
      </c>
      <c r="M267" t="inlineStr">
        <is>
          <t>Wiper Motor; Instruction Sheet</t>
        </is>
      </c>
      <c r="N267" t="inlineStr">
        <is>
          <t>Yes</t>
        </is>
      </c>
      <c r="O267" t="inlineStr">
        <is>
          <t>Remanufactured</t>
        </is>
      </c>
      <c r="P267" t="inlineStr">
        <is>
          <t>3</t>
        </is>
      </c>
      <c r="Q267" t="inlineStr">
        <is>
          <t>Pin</t>
        </is>
      </c>
      <c r="R267" t="inlineStr">
        <is>
          <t>Grommet</t>
        </is>
      </c>
      <c r="S267" t="inlineStr">
        <is>
          <t>5.7200</t>
        </is>
      </c>
      <c r="T267" t="inlineStr">
        <is>
          <t>No</t>
        </is>
      </c>
      <c r="U267" t="inlineStr">
        <is>
          <t>1 Year/18,000 Mile</t>
        </is>
      </c>
      <c r="V267" t="inlineStr">
        <is>
          <t>Yes</t>
        </is>
      </c>
      <c r="W267" t="inlineStr">
        <is>
          <t>Available to Order</t>
        </is>
      </c>
      <c r="X267" t="inlineStr"/>
      <c r="Y267" t="inlineStr">
        <is>
          <t>00082617040273</t>
        </is>
      </c>
      <c r="Z267" t="inlineStr">
        <is>
          <t>40-268::98384:115068:510</t>
        </is>
      </c>
      <c r="AA267" t="inlineStr">
        <is>
          <t>Yes</t>
        </is>
      </c>
      <c r="AB267" t="inlineStr"/>
      <c r="AC267" t="inlineStr"/>
    </row>
    <row r="268">
      <c r="A268" t="inlineStr">
        <is>
          <t>267</t>
        </is>
      </c>
      <c r="B268" t="inlineStr">
        <is>
          <t>Windshield Wiper Motor</t>
        </is>
      </c>
      <c r="C268" t="inlineStr">
        <is>
          <t>40-269</t>
        </is>
      </c>
      <c r="D268" t="inlineStr">
        <is>
          <t>Windshield Wiper Motor - 40-269</t>
        </is>
      </c>
      <c r="E268" t="inlineStr">
        <is>
          <t>CARDONE Reman</t>
        </is>
      </c>
      <c r="F268" t="inlineStr">
        <is>
          <t>F0VY17508A;F2VY17508A</t>
        </is>
      </c>
      <c r="G268" t="inlineStr">
        <is>
          <t>Ford Crown Victoria 1992-1994
Ford Grand Marquis 1992-1994
Lincoln Town Car 1990-1994
Mercury Grand Marquis 1992-1994</t>
        </is>
      </c>
      <c r="H268" t="inlineStr">
        <is>
          <t>Ford Crown Victoria 1992-1994 4.6L V8 281cid
Ford Grand Marquis 1992-1994 4.6L V8 281cid
Lincoln Town Car 1990 5L V8 302cid
Lincoln Town Car 1991-1994 4.6L V8 281cid
Mercury Grand Marquis 1992-1994 4.6L V8 281cid</t>
        </is>
      </c>
      <c r="I268" t="inlineStr">
        <is>
          <t>{"0": {"productDeskExternalKey": "CPCX|40-269"}, "1": {"Package Contents": "Wiper Motor; Instruction Sheet"}, "2": {"E-Waste": "Yes"}, "3": {"Product Condition": "Remanufactured"}, "4": {"Mounting Hole Quantity": "3"}, "5": {"Terminal Type": "Blade"}, "6": {"Mounting Type": "Eyelet"}, "7": {"Weight PG": "4.4400"}, "8": {"Washer Pump Included": "No"}, "9": {"Part Type": "Windshield Wiper Motor"}, "10": {"Warranty Info": "1 Year/18,000 Mile"}, "11": {"Sustainable Choice": "Yes"}, "12": {"Lifecycle Status": "Available to Order"}, "13": {"Application Summary": "Ford Crown Victoria 1994-92, Grand Marquis 1994-92; Lincoln Town Car 1994-90; Mercury Grand Marquis 1994-92"}, "14": {"ItemLevelGTIN": "00082617153164"}, "15": {"_addonCardone": "40-269::98384:115075:510"}, "16": {"Eligible for R&amp;R Service": "Yes"}}</t>
        </is>
      </c>
      <c r="J268" t="inlineStr">
        <is>
          <t>https://www.cardone.com/product/windshield-wiper-motor-40-269</t>
        </is>
      </c>
      <c r="K268">
        <f>DISPIMG("ID_9606A87AAB9D47D6927823D9443FF1BD",1)</f>
        <v/>
      </c>
      <c r="L268" t="inlineStr">
        <is>
          <t>CPCX|40-269</t>
        </is>
      </c>
      <c r="M268" t="inlineStr">
        <is>
          <t>Wiper Motor; Instruction Sheet</t>
        </is>
      </c>
      <c r="N268" t="inlineStr">
        <is>
          <t>Yes</t>
        </is>
      </c>
      <c r="O268" t="inlineStr">
        <is>
          <t>Remanufactured</t>
        </is>
      </c>
      <c r="P268" t="inlineStr">
        <is>
          <t>3</t>
        </is>
      </c>
      <c r="Q268" t="inlineStr">
        <is>
          <t>Blade</t>
        </is>
      </c>
      <c r="R268" t="inlineStr">
        <is>
          <t>Eyelet</t>
        </is>
      </c>
      <c r="S268" t="inlineStr">
        <is>
          <t>4.4400</t>
        </is>
      </c>
      <c r="T268" t="inlineStr">
        <is>
          <t>No</t>
        </is>
      </c>
      <c r="U268" t="inlineStr">
        <is>
          <t>1 Year/18,000 Mile</t>
        </is>
      </c>
      <c r="V268" t="inlineStr">
        <is>
          <t>Yes</t>
        </is>
      </c>
      <c r="W268" t="inlineStr">
        <is>
          <t>Available to Order</t>
        </is>
      </c>
      <c r="X268" t="inlineStr">
        <is>
          <t>Ford Crown Victoria 1994-92, Grand Marquis 1994-92; Lincoln Town Car 1994-90; Mercury Grand Marquis 1994-92</t>
        </is>
      </c>
      <c r="Y268" t="inlineStr">
        <is>
          <t>00082617153164</t>
        </is>
      </c>
      <c r="Z268" t="inlineStr">
        <is>
          <t>40-269::98384:115075:510</t>
        </is>
      </c>
      <c r="AA268" t="inlineStr">
        <is>
          <t>Yes</t>
        </is>
      </c>
      <c r="AB268" t="inlineStr"/>
      <c r="AC268" t="inlineStr"/>
    </row>
    <row r="269">
      <c r="A269" t="inlineStr">
        <is>
          <t>268</t>
        </is>
      </c>
      <c r="B269" t="inlineStr">
        <is>
          <t>Windshield Wiper Motor</t>
        </is>
      </c>
      <c r="C269" t="inlineStr">
        <is>
          <t>40-270</t>
        </is>
      </c>
      <c r="D269" t="inlineStr">
        <is>
          <t>Windshield Wiper Motor - 40-270</t>
        </is>
      </c>
      <c r="E269" t="inlineStr">
        <is>
          <t>CARDONE Reman</t>
        </is>
      </c>
      <c r="F269" t="inlineStr">
        <is>
          <t>D4ZZ17508A</t>
        </is>
      </c>
      <c r="G269" t="inlineStr">
        <is>
          <t>Ford Mustang II 1974-1978
Ford Pinto 1971-1980</t>
        </is>
      </c>
      <c r="H269" t="inlineStr">
        <is>
          <t>Ford Mustang II 1974-1978 2.3L L4 140cid
Ford Mustang II 1974-1978 2.8L V6 171cid
Ford Mustang II 1974-1978 5L V8 302cid
Ford Pinto 1971-1973 1.6L L4 98cid
Ford Pinto 1971-1974 2L L4 122cid
Ford Pinto 1974-1980 2.3L L4 140cid
Ford Pinto 1975-1979 2.8L V6 171cid</t>
        </is>
      </c>
      <c r="I269" t="inlineStr">
        <is>
          <t>{"0": {"productDeskExternalKey": "CPCX|40-270"}, "1": {"Package Contents": "Wiper Motor; Instruction Sheet"}, "2": {"E-Waste": "Yes"}, "3": {"Product Condition": "Remanufactured"}, "4": {"Mounting Hole Quantity": "3"}, "5": {"Terminal Type": "Bullet; Pin"}, "6": {"Mounting Type": "Eyelet"}, "7": {"Weight PG": "3.4400"}, "8": {"Washer Pump Included": "No"}, "9": {"Part Type": "Windshield Wiper Motor"}, "10": {"Warranty Info": "1 Year/18,000 Mile"}, "11": {"Sustainable Choice": "Yes"}, "12": {"Lifecycle Status": "Available to Order"}, "13": {"Application Summary": "Ford Mustang II 1978-74, Pinto 1980-71; Mercury Bobcat 1980-75"}, "14": {"ItemLevelGTIN": "00082617040280"}, "15": {"_addonCardone": "40-270::98384:115080:510"}, "16": {"Eligible for R&amp;R Service": "Yes"}}</t>
        </is>
      </c>
      <c r="J269" t="inlineStr">
        <is>
          <t>https://www.cardone.com/product/windshield-wiper-motor-40-270</t>
        </is>
      </c>
      <c r="K269">
        <f>DISPIMG("ID_14388B3E642442AF8A933FE179093C26",1)</f>
        <v/>
      </c>
      <c r="L269" t="inlineStr">
        <is>
          <t>CPCX|40-270</t>
        </is>
      </c>
      <c r="M269" t="inlineStr">
        <is>
          <t>Wiper Motor; Instruction Sheet</t>
        </is>
      </c>
      <c r="N269" t="inlineStr">
        <is>
          <t>Yes</t>
        </is>
      </c>
      <c r="O269" t="inlineStr">
        <is>
          <t>Remanufactured</t>
        </is>
      </c>
      <c r="P269" t="inlineStr">
        <is>
          <t>3</t>
        </is>
      </c>
      <c r="Q269" t="inlineStr">
        <is>
          <t>Bullet; Pin</t>
        </is>
      </c>
      <c r="R269" t="inlineStr">
        <is>
          <t>Eyelet</t>
        </is>
      </c>
      <c r="S269" t="inlineStr">
        <is>
          <t>3.4400</t>
        </is>
      </c>
      <c r="T269" t="inlineStr">
        <is>
          <t>No</t>
        </is>
      </c>
      <c r="U269" t="inlineStr">
        <is>
          <t>1 Year/18,000 Mile</t>
        </is>
      </c>
      <c r="V269" t="inlineStr">
        <is>
          <t>Yes</t>
        </is>
      </c>
      <c r="W269" t="inlineStr">
        <is>
          <t>Available to Order</t>
        </is>
      </c>
      <c r="X269" t="inlineStr">
        <is>
          <t>Ford Mustang II 1978-74, Pinto 1980-71; Mercury Bobcat 1980-75</t>
        </is>
      </c>
      <c r="Y269" t="inlineStr">
        <is>
          <t>00082617040280</t>
        </is>
      </c>
      <c r="Z269" t="inlineStr">
        <is>
          <t>40-270::98384:115080:510</t>
        </is>
      </c>
      <c r="AA269" t="inlineStr">
        <is>
          <t>Yes</t>
        </is>
      </c>
      <c r="AB269" t="inlineStr"/>
      <c r="AC269" t="inlineStr"/>
    </row>
    <row r="270">
      <c r="A270" t="inlineStr">
        <is>
          <t>269</t>
        </is>
      </c>
      <c r="B270" t="inlineStr">
        <is>
          <t>Windshield Wiper Motor</t>
        </is>
      </c>
      <c r="C270" t="inlineStr">
        <is>
          <t>40-278</t>
        </is>
      </c>
      <c r="D270" t="inlineStr">
        <is>
          <t>Windshield Wiper Motor - 40-278</t>
        </is>
      </c>
      <c r="E270" t="inlineStr">
        <is>
          <t>CARDONE Reman</t>
        </is>
      </c>
      <c r="F270" t="inlineStr">
        <is>
          <t>E6VY17508A;E6AZ17508A</t>
        </is>
      </c>
      <c r="G270" t="inlineStr">
        <is>
          <t>American Motors Matador 1974-1978
American Motors Pacer 1975-1980
Ford Country Sedan 1974
Ford Country Squire 1974
Ford Custom 500 1974-1977
Ford Galaxie 500 1974
Ford L800 1980-1984
Ford L8000 1981-1986
Ford L900 1981
Ford L9000 1981-1986
Ford LN600 1980-1985
Ford LN700 1980-1985
Ford LN7000 1981-1986
Ford LN800 1980-1985
Ford LN8000 1981-1986
Ford LN900 1981
Ford LN9000 1981-1986
Ford LNT800 1981-1984
Ford LNT900 1981
Ford LNT9000 1981-1986
Ford LTD 1974-1986
Ford LTD II 1977-1979
Ford Ranch Wagon 1974
Ford Thunderbird 1974-1979
Ford Torino 1974-1976
Lincoln Continental 1974-1980
Lincoln Mark IV 1974-1976
Lincoln Mark V 1977-1979
Lincoln Mark VI 1980-1983
Lincoln Town Car 1981-1986
Mercury Colony Park 1974
Mercury Cougar 1974
Mercury Grand Marquis 1975-1986
Mercury Marquis 1974-1982
Mercury Montego 1974-1976</t>
        </is>
      </c>
      <c r="H270" t="inlineStr">
        <is>
          <t>American Motors Matador 1974 3.8L L6 232cid
American Motors Matador 1974-1976 6.6L V8 401cid
American Motors Matador 1974-1977 5L V8 304cid
American Motors Matador 1974-1978 4.2L L6 258cid
American Motors Matador 1974-1978 5.9L V8 360cid
American Motors Pacer 1975-1978 3.8L L6 232cid
American Motors Pacer 1975-1980 4.2L L6 258cid
American Motors Pacer 1978-1979 5L V8 304cid
Ford Country Sedan 1974 4.1L L6 250cid
Ford Country Sedan 1974 5.8L V8 351cid
Ford Country Sedan 1974 5L V8 302cid
Ford Country Sedan 1974 6.6L V8 400cid
Ford Country Sedan 1974 7.5L V8 460cid
Ford Country Squire 1974 4.1L L6 250cid
Ford Country Squire 1974 5.8L V8 351cid
Ford Country Squire 1974 5L V8 302cid
Ford Country Squire 1974 6.6L V8 400cid
Ford Country Squire 1974 7.5L V8 460cid
Ford Custom 500 1974 5L V8 302cid
Ford Custom 500 1974-1976 7.5L V8 460cid
Ford Custom 500 1974-1977 5.8L V8 351cid
Ford Custom 500 1974-1977 6.6L V8 400cid
Ford Galaxie 500 1974 5.8L V8 351cid
Ford Galaxie 500 1974 5L V8 302cid
Ford Galaxie 500 1974 6.6L V8 400cid
Ford Galaxie 500 1974 7.5L V8 460cid
Ford L800 1980-1984 6.1L V8 370cid
Ford L800 1980-1984 7L V8 429cid
Ford L8000 1981 9.1L V8 555cid
Ford L8000 1981-1986 10.4L V8 636cid
Ford L900 1981 7.8L V8 477cid
Ford L900 1981 8.8L V8 534cid
Ford L9000 1981-1983 9.3L V8 568cid
Ford L9000 1981-1985 7L L6 426cid
Ford L9000 1981-1986 14.6L L6 893cid
Ford L9000 1981-1986 14L L6 855cid
Ford L9000 1981-1986 9L V6 552cid
Ford L9000 1985-1986 10L L6 611cid
Ford LN600 1980-1985 6.1L V8 370cid
Ford LN600 1981-1985 8.2L V8 501cid
Ford LN700 1980-1985 6.1L V8 370cid
Ford LN700 1980-1985 7L V8 429cid
Ford LN700 1980-1985 8.2L V8 501cid
Ford LN7000 1981-1986 10.4L V8 636cid
Ford LN800 1980-1985 6.1L V8 370cid
Ford LN800 1980-1985 7L V8 429cid
Ford LN800 1980-1985 8.2L V8 501cid
Ford LN8000 1981-1982 9.1L V8 555cid
Ford LN8000 1981-1986 10.4L V8 636cid
Ford LN900 1981 7.8L V8 477cid
Ford LN900 1981 8.8L V8 534cid
Ford LN9000 1981-1985 7L L6 426cid
Ford LN9000 1981-1986 14.6L L6 893cid
Ford LN9000 1981-1986 14L L6 855cid
Ford LN9000 1981-1986 9L V6 552cid
Ford LN9000 1982 9.3L V8 568cid
Ford LN9000 1984-1986 10L L6 611cid
Ford LNT800 1981-1984 7L V8 429cid
Ford LNT900 1981 7.8L V8 477cid
Ford LNT9000 1981 10.4L V8 636cid
Ford LNT9000 1981-1982 9.3L V8 568cid
Ford LNT9000 1981-1985 7L L6 426cid
Ford LNT9000 1981-1986 14.6L L6 893cid
Ford LNT9000 1981-1986 14L L6 855cid
Ford LNT9000 1981-1986 9L V6 552cid
Ford LNT9000 1984-1986 10L L6 611cid
Ford LNT9000 1985 14.8L V8 903cid
Ford LTD 1974-1978 6.6L V8 400cid
Ford LTD 1974-1978 7.5L V8 460cid
Ford LTD 1974-1986 5.8L V8 351cid
Ford LTD 1974-1986 5L V8 302cid
Ford LTD 1981-1982 4.2L V8 255cid
Ford LTD II 1977-1978 6.6L V8 400cid
Ford LTD II 1977-1979 5.8L V8 351cid
Ford LTD II 1977-1979 5L V8 302cid
Ford Ranch Wagon 1974 4.1L L6 250cid
Ford Ranch Wagon 1974 5.8L V8 351cid
Ford Ranch Wagon 1974 5L V8 302cid
Ford Ranch Wagon 1974 6.6L V8 400cid
Ford Ranch Wagon 1974 7.5L V8 460cid
Ford Thunderbird 1974-1976 7.5L V8 460cid
Ford Thunderbird 1974-1978 6.6L V8 400cid
Ford Thunderbird 1977-1979 5.8L V8 351cid
Ford Thunderbird 1977-1979 5L V8 302cid
Ford Torino 1974 4.1L L6 250cid
Ford Torino 1974 5L V8 302cid
Ford Torino 1974-1976 5.8L V8 351cid
Ford Torino 1974-1976 6.6L V8 400cid
Ford Torino 1974-1976 7.5L V8 460cid
Lincoln Continental 1974-1978 7.5L V8 460cid
Lincoln Continental 1977-1979 6.6L V8 400cid
Lincoln Continental 1980 5.8L V8 351cid
Lincoln Continental 1980 5L V8 302cid
Lincoln Mark IV 1974-1976 7.5L V8 460cid
Lincoln Mark V 1977-1978 7.5L V8 460cid
Lincoln Mark V 1977-1979 6.6L V8 400cid
Lincoln Mark VI 1980 5.8L V8 351cid
Lincoln Mark VI 1980-1983 5L V8 302cid
Lincoln Town Car 1981-1986 5L V8 302cid
Mercury Colony Park 1974 5.8L V8 351cid
Mercury Colony Park 1974 6.6L V8 400cid
Mercury Colony Park 1974 7.5L V8 460cid
Mercury Cougar 1974 5.8L V8 351cid
Mercury Cougar 1974 6.6L V8 400cid
Mercury Cougar 1974 7.5L V8 460cid
Mercury Grand Marquis 1975-1978 6.6L V8 400cid
Mercury Grand Marquis 1975-1978 7.5L V8 460cid
Mercury Grand Marquis 1978-1986 5.8L V8 351cid
Mercury Grand Marquis 1979-1986 5L V8 302cid
Mercury Grand Marquis 1981-1982 4.2L V8 255cid
Mercury Marquis 1974-1978 6.6L V8 400cid
Mercury Marquis 1974-1978 7.5L V8 460cid
Mercury Marquis 1974-1981 5.8L V8 351cid
Mercury Marquis 1979-1982 5L V8 302cid
Mercury Marquis 1981-1982 4.2L V8 255cid
Mercury Montego 1974 4.1L L6 250cid
Mercury Montego 1974 5L V8 302cid
Mercury Montego 1974-1976 5.8L V8 351cid
Mercury Montego 1974-1976 6.6L V8 400cid
Mercury Montego 1974-1976 7.5L V8 460cid</t>
        </is>
      </c>
      <c r="I270" t="inlineStr">
        <is>
          <t>{"0": {"productDeskExternalKey": "CPCX|40-278"}, "1": {"Package Contents": "Wiper Motor; Instruction Sheet"}, "2": {"E-Waste": "Yes"}, "3": {"Product Condition": "Remanufactured"}, "4": {"Mounting Hole Quantity": "3"}, "5": {"Terminal Type": "Bullet; Pin"}, "6": {"Mounting Type": "Grommet"}, "7": {"Weight PG": "5.7100"}, "8": {"Washer Pump Included": "No"}, "9": {"Part Type": "Windshield Wiper Motor"}, "10": {"Warranty Info": "1 Year/18,000 Mile"}, "11": {"Sustainable Choice": "Yes"}, "12": {"Lifecycle Status": "Available to Order"}, "13": {"ItemLevelGTIN": "00082617040327"}, "14": {"_addonCardone": "40-278::98384:115087:510"}, "15": {"Eligible for R&amp;R Service": "Yes"}}</t>
        </is>
      </c>
      <c r="J270" t="inlineStr">
        <is>
          <t>https://www.cardone.com/product/windshield-wiper-motor-40-278</t>
        </is>
      </c>
      <c r="K270">
        <f>DISPIMG("ID_8F46DDCB020E447DA3C7688FC6E7F485",1)</f>
        <v/>
      </c>
      <c r="L270" t="inlineStr">
        <is>
          <t>CPCX|40-278</t>
        </is>
      </c>
      <c r="M270" t="inlineStr">
        <is>
          <t>Wiper Motor; Instruction Sheet</t>
        </is>
      </c>
      <c r="N270" t="inlineStr">
        <is>
          <t>Yes</t>
        </is>
      </c>
      <c r="O270" t="inlineStr">
        <is>
          <t>Remanufactured</t>
        </is>
      </c>
      <c r="P270" t="inlineStr">
        <is>
          <t>3</t>
        </is>
      </c>
      <c r="Q270" t="inlineStr">
        <is>
          <t>Bullet; Pin</t>
        </is>
      </c>
      <c r="R270" t="inlineStr">
        <is>
          <t>Grommet</t>
        </is>
      </c>
      <c r="S270" t="inlineStr">
        <is>
          <t>5.7100</t>
        </is>
      </c>
      <c r="T270" t="inlineStr">
        <is>
          <t>No</t>
        </is>
      </c>
      <c r="U270" t="inlineStr">
        <is>
          <t>1 Year/18,000 Mile</t>
        </is>
      </c>
      <c r="V270" t="inlineStr">
        <is>
          <t>Yes</t>
        </is>
      </c>
      <c r="W270" t="inlineStr">
        <is>
          <t>Available to Order</t>
        </is>
      </c>
      <c r="X270" t="inlineStr"/>
      <c r="Y270" t="inlineStr">
        <is>
          <t>00082617040327</t>
        </is>
      </c>
      <c r="Z270" t="inlineStr">
        <is>
          <t>40-278::98384:115087:510</t>
        </is>
      </c>
      <c r="AA270" t="inlineStr">
        <is>
          <t>Yes</t>
        </is>
      </c>
      <c r="AB270" t="inlineStr"/>
      <c r="AC270" t="inlineStr"/>
    </row>
    <row r="271">
      <c r="A271" t="inlineStr">
        <is>
          <t>270</t>
        </is>
      </c>
      <c r="B271" t="inlineStr">
        <is>
          <t>Windshield Wiper Motor</t>
        </is>
      </c>
      <c r="C271" t="inlineStr">
        <is>
          <t>40-287</t>
        </is>
      </c>
      <c r="D271" t="inlineStr">
        <is>
          <t>Windshield Wiper Motor - 40-287</t>
        </is>
      </c>
      <c r="E271" t="inlineStr">
        <is>
          <t>CARDONE Reman</t>
        </is>
      </c>
      <c r="F271" t="inlineStr">
        <is>
          <t>E9UZ17508A</t>
        </is>
      </c>
      <c r="G271" t="inlineStr">
        <is>
          <t>Ford E-150 Econoline 1989-1991
Ford E-150 Econoline Club Wagon 1989-1991
Ford E-250 Econoline 1989-1991
Ford E-250 Econoline Club Wagon 1989-1991
Ford E-350 Econoline 1989-1991
Ford E-350 Econoline Club Wagon 1989-1991</t>
        </is>
      </c>
      <c r="H271" t="inlineStr">
        <is>
          <t>Ford E-150 Econoline 1989-1991 4.9L L6 300cid
Ford E-150 Econoline 1989-1991 5.8L V8 351cid
Ford E-150 Econoline 1989-1991 5L V8 302cid
Ford E-150 Econoline Club Wagon 1989-1991 4.9L L6 300cid
Ford E-150 Econoline Club Wagon 1989-1991 5.8L V8 351cid
Ford E-150 Econoline Club Wagon 1989-1991 5L V8 302cid
Ford E-250 Econoline 1989-1991 4.9L L6 300cid
Ford E-250 Econoline 1989-1991 5.8L V8 351cid
Ford E-250 Econoline 1989-1991 5L V8 302cid
Ford E-250 Econoline Club Wagon 1989-1991 4.9L L6 300cid
Ford E-250 Econoline Club Wagon 1989-1991 5.8L V8 351cid
Ford E-250 Econoline Club Wagon 1989-1991 7.3L V8 445cid
Ford E-250 Econoline Club Wagon 1989-1991 7.5L V8 460cid
Ford E-350 Econoline 1989-1991 4.9L L6 300cid
Ford E-350 Econoline 1989-1991 5.8L V8 351cid
Ford E-350 Econoline 1989-1991 7.3L V8 445cid
Ford E-350 Econoline 1989-1991 7.5L V8 460cid
Ford E-350 Econoline Club Wagon 1989-1991 4.9L L6 300cid
Ford E-350 Econoline Club Wagon 1989-1991 5.8L V8 351cid
Ford E-350 Econoline Club Wagon 1989-1991 7.3L V8 445cid
Ford E-350 Econoline Club Wagon 1989-1991 7.5L V8 460cid</t>
        </is>
      </c>
      <c r="I271" t="inlineStr">
        <is>
          <t>{"0": {"productDeskExternalKey": "CPCX|40-287"}, "1": {"Package Contents": "Wiper Motor; Instruction Sheet"}, "2": {"E-Waste": "Yes"}, "3": {"Product Condition": "Remanufactured"}, "4": {"Mounting Hole Quantity": "3"}, "5": {"Terminal Type": "Blade"}, "6": {"Mounting Type": "Grommet"}, "7": {"Weight PG": "5.7500"}, "8": {"Washer Pump Included": "No"}, "9": {"Part Type": "Windshield Wiper Motor"}, "10": {"Warranty Info": "1 Year/18,000 Mile"}, "11": {"Sustainable Choice": "Yes"}, "12": {"Lifecycle Status": "Available to Order"}, "13": {"Application Summary": "Ford E-150 Econoline 1991-89, E-150 Econoline Club Wagon 1991-89, E-250 Econoline 1991-89, E-250 Econoline Club Wagon 1991-89, E-350 Econoline 1991-89, E-350 Econoline Club Wagon 1991-89"}, "14": {"ItemLevelGTIN": "00082617153140"}, "15": {"_addonCardone": "40-287::98384:115093:510"}, "16": {"Eligible for R&amp;R Service": "Yes"}}</t>
        </is>
      </c>
      <c r="J271" t="inlineStr">
        <is>
          <t>https://www.cardone.com/product/windshield-wiper-motor-40-287</t>
        </is>
      </c>
      <c r="K271">
        <f>DISPIMG("ID_E3B41A45DB434DFC894D7D2AACCCD821",1)</f>
        <v/>
      </c>
      <c r="L271" t="inlineStr">
        <is>
          <t>CPCX|40-287</t>
        </is>
      </c>
      <c r="M271" t="inlineStr">
        <is>
          <t>Wiper Motor; Instruction Sheet</t>
        </is>
      </c>
      <c r="N271" t="inlineStr">
        <is>
          <t>Yes</t>
        </is>
      </c>
      <c r="O271" t="inlineStr">
        <is>
          <t>Remanufactured</t>
        </is>
      </c>
      <c r="P271" t="inlineStr">
        <is>
          <t>3</t>
        </is>
      </c>
      <c r="Q271" t="inlineStr">
        <is>
          <t>Blade</t>
        </is>
      </c>
      <c r="R271" t="inlineStr">
        <is>
          <t>Grommet</t>
        </is>
      </c>
      <c r="S271" t="inlineStr">
        <is>
          <t>5.7500</t>
        </is>
      </c>
      <c r="T271" t="inlineStr">
        <is>
          <t>No</t>
        </is>
      </c>
      <c r="U271" t="inlineStr">
        <is>
          <t>1 Year/18,000 Mile</t>
        </is>
      </c>
      <c r="V271" t="inlineStr">
        <is>
          <t>Yes</t>
        </is>
      </c>
      <c r="W271" t="inlineStr">
        <is>
          <t>Available to Order</t>
        </is>
      </c>
      <c r="X271" t="inlineStr">
        <is>
          <t>Ford E-150 Econoline 1991-89, E-150 Econoline Club Wagon 1991-89, E-250 Econoline 1991-89, E-250 Econoline Club Wagon 1991-89, E-350 Econoline 1991-89, E-350 Econoline Club Wagon 1991-89</t>
        </is>
      </c>
      <c r="Y271" t="inlineStr">
        <is>
          <t>00082617153140</t>
        </is>
      </c>
      <c r="Z271" t="inlineStr">
        <is>
          <t>40-287::98384:115093:510</t>
        </is>
      </c>
      <c r="AA271" t="inlineStr">
        <is>
          <t>Yes</t>
        </is>
      </c>
      <c r="AB271" t="inlineStr"/>
      <c r="AC271" t="inlineStr"/>
    </row>
    <row r="272">
      <c r="A272" t="inlineStr">
        <is>
          <t>271</t>
        </is>
      </c>
      <c r="B272" t="inlineStr">
        <is>
          <t>Windshield Wiper Motor</t>
        </is>
      </c>
      <c r="C272" t="inlineStr">
        <is>
          <t>40-288</t>
        </is>
      </c>
      <c r="D272" t="inlineStr">
        <is>
          <t>Windshield Wiper Motor - 40-288</t>
        </is>
      </c>
      <c r="E272" t="inlineStr">
        <is>
          <t>CARDONE Reman</t>
        </is>
      </c>
      <c r="F272" t="inlineStr">
        <is>
          <t>E3PZ17508A;D9UZ17508A</t>
        </is>
      </c>
      <c r="G272" t="inlineStr">
        <is>
          <t>Ford E-100 Econoline 1975-1983
Ford E-100 Econoline Club Wagon 1975-1983
Ford E-150 Econoline 1975-1988
Ford E-150 Econoline Club Wagon 1975-1988
Ford E-250 Econoline 1975-1988
Ford E-250 Econoline Club Wagon 1975-1988
Ford E-350 Econoline 1975-1988
Ford E-350 Econoline Club Wagon 1977-1988</t>
        </is>
      </c>
      <c r="H272" t="inlineStr">
        <is>
          <t>Ford E-100 Econoline 1975-1983 4.9L L6 300cid
Ford E-100 Econoline 1975-1983 5.8L V8 351cid
Ford E-100 Econoline 1975-1983 5L V8 302cid
Ford E-100 Econoline 1978 7.5L V8 460cid
Ford E-100 Econoline 1980 6.6L V8 400cid
Ford E-100 Econoline Club Wagon 1975-1983 4.9L L6 300cid
Ford E-100 Econoline Club Wagon 1975-1983 5.8L V8 351cid
Ford E-100 Econoline Club Wagon 1979-1983 5L V8 302cid
Ford E-150 Econoline 1975-1988 4.9L L6 300cid
Ford E-150 Econoline 1975-1988 5.8L V8 351cid
Ford E-150 Econoline 1975-1988 5L V8 302cid
Ford E-150 Econoline Club Wagon 1975-1988 4.9L L6 300cid
Ford E-150 Econoline Club Wagon 1975-1988 5.8L V8 351cid
Ford E-150 Econoline Club Wagon 1979-1988 5L V8 302cid
Ford E-250 Econoline 1975-1980 7.5L V8 460cid
Ford E-250 Econoline 1975-1988 4.9L L6 300cid
Ford E-250 Econoline 1975-1988 5.8L V8 351cid
Ford E-250 Econoline 1975-1988 5L V8 302cid
Ford E-250 Econoline 1980 6.6L V8 400cid
Ford E-250 Econoline Club Wagon 1975-1988 5.8L V8 351cid
Ford E-250 Econoline Club Wagon 1975-1988 7.5L V8 460cid
Ford E-250 Econoline Club Wagon 1977-1988 4.9L L6 300cid
Ford E-250 Econoline Club Wagon 1979-1980 5L V8 302cid
Ford E-250 Econoline Club Wagon 1980-1982 6.6L V8 400cid
Ford E-250 Econoline Club Wagon 1983-1987 6.9L V8 420cid
Ford E-250 Econoline Club Wagon 1988 7.3L V8 445cid
Ford E-350 Econoline 1975-1982 5L V8 302cid
Ford E-350 Econoline 1975-1988 4.9L L6 300cid
Ford E-350 Econoline 1975-1988 5.8L V8 351cid
Ford E-350 Econoline 1975-1988 7.5L V8 460cid
Ford E-350 Econoline 1980-1982 6.6L V8 400cid
Ford E-350 Econoline 1983-1987 6.9L V8 420cid
Ford E-350 Econoline 1988 7.3L V8 445cid
Ford E-350 Econoline Club Wagon 1977-1988 4.9L L6 300cid
Ford E-350 Econoline Club Wagon 1977-1988 5.8L V8 351cid
Ford E-350 Econoline Club Wagon 1977-1988 7.5L V8 460cid
Ford E-350 Econoline Club Wagon 1979-1980 5L V8 302cid
Ford E-350 Econoline Club Wagon 1980-1982 6.6L V8 400cid
Ford E-350 Econoline Club Wagon 1983-1987 6.9L V8 420cid
Ford E-350 Econoline Club Wagon 1988 7.3L V8 445cid</t>
        </is>
      </c>
      <c r="I272" t="inlineStr">
        <is>
          <t>{"0": {"productDeskExternalKey": "CPCX|40-288"}, "1": {"Package Contents": "Wiper Motor; Instruction Sheet"}, "2": {"E-Waste": "Yes"}, "3": {"Product Condition": "Remanufactured"}, "4": {"Mounting Hole Quantity": "3"}, "5": {"Terminal Type": "Bullet; Pin"}, "6": {"Mounting Type": "Grommet"}, "7": {"Weight PG": "5.7700"}, "8": {"Washer Pump Included": "No"}, "9": {"Part Type": "Windshield Wiper Motor"}, "10": {"Warranty Info": "1 Year/18,000 Mile"}, "11": {"Sustainable Choice": "Yes"}, "12": {"Lifecycle Status": "Available to Order"}, "13": {"Application Summary": "Ford E-100 Econoline 1983-75, E-100 Econoline Club Wagon 1983-75, E-150 Econoline 1988-75, E-150 Econoline Club Wagon 1988-75, E-250 Econoline 1988-75, E-250 Econoline Club Wagon 1988-75, E-350 Econoline 1988-75, E-350 Econoline Club Wagon 1988-77"}, "14": {"ItemLevelGTIN": "00082617040341"}, "15": {"_addonCardone": "40-288::98384:115098:510"}, "16": {"Eligible for R&amp;R Service": "Yes"}}</t>
        </is>
      </c>
      <c r="J272" t="inlineStr">
        <is>
          <t>https://www.cardone.com/product/windshield-wiper-motor-40-288</t>
        </is>
      </c>
      <c r="K272">
        <f>DISPIMG("ID_9478CD57C1934B668A491503F1EDEB18",1)</f>
        <v/>
      </c>
      <c r="L272" t="inlineStr">
        <is>
          <t>CPCX|40-288</t>
        </is>
      </c>
      <c r="M272" t="inlineStr">
        <is>
          <t>Wiper Motor; Instruction Sheet</t>
        </is>
      </c>
      <c r="N272" t="inlineStr">
        <is>
          <t>Yes</t>
        </is>
      </c>
      <c r="O272" t="inlineStr">
        <is>
          <t>Remanufactured</t>
        </is>
      </c>
      <c r="P272" t="inlineStr">
        <is>
          <t>3</t>
        </is>
      </c>
      <c r="Q272" t="inlineStr">
        <is>
          <t>Bullet; Pin</t>
        </is>
      </c>
      <c r="R272" t="inlineStr">
        <is>
          <t>Grommet</t>
        </is>
      </c>
      <c r="S272" t="inlineStr">
        <is>
          <t>5.7700</t>
        </is>
      </c>
      <c r="T272" t="inlineStr">
        <is>
          <t>No</t>
        </is>
      </c>
      <c r="U272" t="inlineStr">
        <is>
          <t>1 Year/18,000 Mile</t>
        </is>
      </c>
      <c r="V272" t="inlineStr">
        <is>
          <t>Yes</t>
        </is>
      </c>
      <c r="W272" t="inlineStr">
        <is>
          <t>Available to Order</t>
        </is>
      </c>
      <c r="X272" t="inlineStr">
        <is>
          <t>Ford E-100 Econoline 1983-75, E-100 Econoline Club Wagon 1983-75, E-150 Econoline 1988-75, E-150 Econoline Club Wagon 1988-75, E-250 Econoline 1988-75, E-250 Econoline Club Wagon 1988-75, E-350 Econoline 1988-75, E-350 Econoline Club Wagon 1988-77</t>
        </is>
      </c>
      <c r="Y272" t="inlineStr">
        <is>
          <t>00082617040341</t>
        </is>
      </c>
      <c r="Z272" t="inlineStr">
        <is>
          <t>40-288::98384:115098:510</t>
        </is>
      </c>
      <c r="AA272" t="inlineStr">
        <is>
          <t>Yes</t>
        </is>
      </c>
      <c r="AB272" t="inlineStr"/>
      <c r="AC272" t="inlineStr"/>
    </row>
    <row r="273">
      <c r="A273" t="inlineStr">
        <is>
          <t>272</t>
        </is>
      </c>
      <c r="B273" t="inlineStr">
        <is>
          <t>Windshield Wiper Motor</t>
        </is>
      </c>
      <c r="C273" t="inlineStr">
        <is>
          <t>40-290</t>
        </is>
      </c>
      <c r="D273" t="inlineStr">
        <is>
          <t>Windshield Wiper Motor - 40-290</t>
        </is>
      </c>
      <c r="E273" t="inlineStr">
        <is>
          <t>CARDONE Reman</t>
        </is>
      </c>
      <c r="F273" t="inlineStr">
        <is>
          <t>E69Z17508B;E2TZ17508A;E79Z17508A;E0TZ17508B</t>
        </is>
      </c>
      <c r="G273" t="inlineStr">
        <is>
          <t>Ford Aerostar 1986-1997
Ford Bronco 1980-1986
Ford F-100 1980-1983
Ford F-150 1980-1986
Ford F-250 1980-1986
Ford F-350 1980-1986
Ford F-700 1980-1986
Ford F-800 1980-1986</t>
        </is>
      </c>
      <c r="H273" t="inlineStr">
        <is>
          <t>Ford Aerostar 1986 2.8L V6 171cid
Ford Aerostar 1986-1987 2.3L L4 140cid
Ford Aerostar 1986-1997 3L V6 182cid
Ford Aerostar 1990-1997 4L V6 245cid
Ford Bronco 1980-1986 4.9L L6 300cid
Ford Bronco 1980-1986 5.8L V8 351cid
Ford Bronco 1980-1986 5L V8 302cid
Ford F-100 1980-1983 4.9L L6 300cid
Ford F-100 1980-1983 5L V8 302cid
Ford F-100 1981-1982 4.2L V8 255cid
Ford F-100 1982-1983 3.8L V6 232cid
Ford F-150 1980-1986 4.9L L6 300cid
Ford F-150 1980-1986 5.8L V8 351cid
Ford F-150 1980-1986 5L V8 302cid
Ford F-150 1984 6.9L V8 420cid
Ford F-150 1986 3.8L V6 232cid
Ford F-250 1980-1982 6.6L V8 400cid
Ford F-250 1980-1986 4.9L L6 300cid
Ford F-250 1980-1986 5.8L V8 351cid
Ford F-250 1980-1986 5L V8 302cid
Ford F-250 1983-1986 6.9L V8 420cid
Ford F-250 1983-1986 7.5L V8 460cid
Ford F-350 1980-1982 6.6L V8 400cid
Ford F-350 1980-1986 4.9L L6 300cid
Ford F-350 1980-1986 5.8L V8 351cid
Ford F-350 1980-1986 5L V8 302cid
Ford F-350 1983-1986 6.9L V8 420cid
Ford F-350 1983-1986 7.5L V8 460cid
Ford F-700 1980-1983 10.4L V8 636cid
Ford F-700 1980-1986 6.1L V8 370cid
Ford F-700 1980-1986 7L V8 429cid
Ford F-700 1980-1986 8.2L V8 501cid
Ford F-700 1986 6.6L L6 401cid
Ford F-800 1980-1986 6.1L V8 370cid
Ford F-800 1980-1986 7L V8 429cid
Ford F-800 1980-1986 8.2L V8 501cid
Ford F-800 1986 7.8L L6 473cid</t>
        </is>
      </c>
      <c r="I273" t="inlineStr">
        <is>
          <t>{"0": {"productDeskExternalKey": "CPCX|40-290"}, "1": {"Package Contents": "Wiper Motor; Instruction Sheet"}, "2": {"E-Waste": "Yes"}, "3": {"Product Condition": "Remanufactured"}, "4": {"Mounting Hole Quantity": "3"}, "5": {"Terminal Type": "Blade"}, "6": {"Mounting Type": "Grommet"}, "7": {"Weight PG": "4.1500"}, "8": {"Washer Pump Included": "No"}, "9": {"Part Type": "Windshield Wiper Motor"}, "10": {"Warranty Info": "1 Year/18,000 Mile"}, "11": {"Sustainable Choice": "Yes"}, "12": {"Lifecycle Status": "Available to Order"}, "13": {"Application Summary": "Ford Aerostar 1997-86, Bronco 1986-80, F-100 1983-80, F-150 1986-80, F-250 1986-80, F-350 1986-80, F-700 1986-80, F-800 1986-80"}, "14": {"ItemLevelGTIN": "00082617040358"}, "15": {"_addonCardone": "40-290::98384:115106:510"}, "16": {"Eligible for R&amp;R Service": "Yes"}}</t>
        </is>
      </c>
      <c r="J273" t="inlineStr">
        <is>
          <t>https://www.cardone.com/product/windshield-wiper-motor-40-290</t>
        </is>
      </c>
      <c r="K273">
        <f>DISPIMG("ID_B8876E7577F049F7A3F7E7B2E9C7E2E6",1)</f>
        <v/>
      </c>
      <c r="L273" t="inlineStr">
        <is>
          <t>CPCX|40-290</t>
        </is>
      </c>
      <c r="M273" t="inlineStr">
        <is>
          <t>Wiper Motor; Instruction Sheet</t>
        </is>
      </c>
      <c r="N273" t="inlineStr">
        <is>
          <t>Yes</t>
        </is>
      </c>
      <c r="O273" t="inlineStr">
        <is>
          <t>Remanufactured</t>
        </is>
      </c>
      <c r="P273" t="inlineStr">
        <is>
          <t>3</t>
        </is>
      </c>
      <c r="Q273" t="inlineStr">
        <is>
          <t>Blade</t>
        </is>
      </c>
      <c r="R273" t="inlineStr">
        <is>
          <t>Grommet</t>
        </is>
      </c>
      <c r="S273" t="inlineStr">
        <is>
          <t>4.1500</t>
        </is>
      </c>
      <c r="T273" t="inlineStr">
        <is>
          <t>No</t>
        </is>
      </c>
      <c r="U273" t="inlineStr">
        <is>
          <t>1 Year/18,000 Mile</t>
        </is>
      </c>
      <c r="V273" t="inlineStr">
        <is>
          <t>Yes</t>
        </is>
      </c>
      <c r="W273" t="inlineStr">
        <is>
          <t>Available to Order</t>
        </is>
      </c>
      <c r="X273" t="inlineStr">
        <is>
          <t>Ford Aerostar 1997-86, Bronco 1986-80, F-100 1983-80, F-150 1986-80, F-250 1986-80, F-350 1986-80, F-700 1986-80, F-800 1986-80</t>
        </is>
      </c>
      <c r="Y273" t="inlineStr">
        <is>
          <t>00082617040358</t>
        </is>
      </c>
      <c r="Z273" t="inlineStr">
        <is>
          <t>40-290::98384:115106:510</t>
        </is>
      </c>
      <c r="AA273" t="inlineStr">
        <is>
          <t>Yes</t>
        </is>
      </c>
      <c r="AB273" t="inlineStr"/>
      <c r="AC273" t="inlineStr"/>
    </row>
    <row r="274">
      <c r="A274" t="inlineStr">
        <is>
          <t>273</t>
        </is>
      </c>
      <c r="B274" t="inlineStr">
        <is>
          <t>Windshield Wiper Motor</t>
        </is>
      </c>
      <c r="C274" t="inlineStr">
        <is>
          <t>40-291</t>
        </is>
      </c>
      <c r="D274" t="inlineStr">
        <is>
          <t>Windshield Wiper Motor - 40-291</t>
        </is>
      </c>
      <c r="E274" t="inlineStr">
        <is>
          <t>CARDONE Reman</t>
        </is>
      </c>
      <c r="F274" t="inlineStr">
        <is>
          <t>E43Z17508A;E53Z17508A</t>
        </is>
      </c>
      <c r="G274" t="inlineStr">
        <is>
          <t>Ford Tempo 1984-1985
Ford Topaz 1984-1985
Mercury Topaz 1984-1985</t>
        </is>
      </c>
      <c r="H274" t="inlineStr">
        <is>
          <t>Ford Tempo 1984-1985 2.3L L4 140cid
Ford Tempo 1984-1985 2L L4 122cid
Ford Topaz 1984-1985 2.3L L4 140cid
Mercury Topaz 1984-1985 2.3L L4 140cid
Mercury Topaz 1984-1985 2L L4 122cid</t>
        </is>
      </c>
      <c r="I274" t="inlineStr">
        <is>
          <t>{"0": {"productDeskExternalKey": "CPCX|40-291"}, "1": {"Package Contents": "Wiper Motor; Instruction Sheet"}, "2": {"E-Waste": "Yes"}, "3": {"Product Condition": "Remanufactured"}, "4": {"Mounting Hole Quantity": "3"}, "5": {"Terminal Type": "Blade"}, "6": {"Mounting Type": "Grommet"}, "7": {"Weight PG": "4.4000"}, "8": {"Washer Pump Included": "No"}, "9": {"Part Type": "Windshield Wiper Motor"}, "10": {"Warranty Info": "1 Year/18,000 Mile"}, "11": {"Sustainable Choice": "Yes"}, "12": {"Lifecycle Status": "Available to Order"}, "13": {"Application Summary": "Ford Tempo 1985-84, Topaz 1985-84; Mercury Topaz 1985-84"}, "14": {"ItemLevelGTIN": "00082617040365"}, "15": {"_addonCardone": "40-291::98384:115113:510"}, "16": {"Eligible for R&amp;R Service": "Yes"}}</t>
        </is>
      </c>
      <c r="J274" t="inlineStr">
        <is>
          <t>https://www.cardone.com/product/windshield-wiper-motor-40-291</t>
        </is>
      </c>
      <c r="K274">
        <f>DISPIMG("ID_7EF49EA598494083BAB36A6E29C83091",1)</f>
        <v/>
      </c>
      <c r="L274" t="inlineStr">
        <is>
          <t>CPCX|40-291</t>
        </is>
      </c>
      <c r="M274" t="inlineStr">
        <is>
          <t>Wiper Motor; Instruction Sheet</t>
        </is>
      </c>
      <c r="N274" t="inlineStr">
        <is>
          <t>Yes</t>
        </is>
      </c>
      <c r="O274" t="inlineStr">
        <is>
          <t>Remanufactured</t>
        </is>
      </c>
      <c r="P274" t="inlineStr">
        <is>
          <t>3</t>
        </is>
      </c>
      <c r="Q274" t="inlineStr">
        <is>
          <t>Blade</t>
        </is>
      </c>
      <c r="R274" t="inlineStr">
        <is>
          <t>Grommet</t>
        </is>
      </c>
      <c r="S274" t="inlineStr">
        <is>
          <t>4.4000</t>
        </is>
      </c>
      <c r="T274" t="inlineStr">
        <is>
          <t>No</t>
        </is>
      </c>
      <c r="U274" t="inlineStr">
        <is>
          <t>1 Year/18,000 Mile</t>
        </is>
      </c>
      <c r="V274" t="inlineStr">
        <is>
          <t>Yes</t>
        </is>
      </c>
      <c r="W274" t="inlineStr">
        <is>
          <t>Available to Order</t>
        </is>
      </c>
      <c r="X274" t="inlineStr">
        <is>
          <t>Ford Tempo 1985-84, Topaz 1985-84; Mercury Topaz 1985-84</t>
        </is>
      </c>
      <c r="Y274" t="inlineStr">
        <is>
          <t>00082617040365</t>
        </is>
      </c>
      <c r="Z274" t="inlineStr">
        <is>
          <t>40-291::98384:115113:510</t>
        </is>
      </c>
      <c r="AA274" t="inlineStr">
        <is>
          <t>Yes</t>
        </is>
      </c>
      <c r="AB274" t="inlineStr"/>
      <c r="AC274" t="inlineStr"/>
    </row>
    <row r="275">
      <c r="A275" t="inlineStr">
        <is>
          <t>274</t>
        </is>
      </c>
      <c r="B275" t="inlineStr">
        <is>
          <t>Windshield Wiper Motor</t>
        </is>
      </c>
      <c r="C275" t="inlineStr">
        <is>
          <t>40-293</t>
        </is>
      </c>
      <c r="D275" t="inlineStr">
        <is>
          <t>Windshield Wiper Motor - 40-293</t>
        </is>
      </c>
      <c r="E275" t="inlineStr">
        <is>
          <t>CARDONE Reman</t>
        </is>
      </c>
      <c r="F275" t="inlineStr">
        <is>
          <t>E7AZ17508A;E7VY17508B</t>
        </is>
      </c>
      <c r="G275" t="inlineStr">
        <is>
          <t>Ford Country Squire 1987-1991
Ford Grand Marquis 1991
Ford LTD Crown Victoria 1987-1991
Lincoln Town Car 1987-1989
Mercury Colony Park 1987-1991
Mercury Grand Marquis 1987-1991</t>
        </is>
      </c>
      <c r="H275" t="inlineStr">
        <is>
          <t>Ford Country Squire 1987-1991 5L V8 302cid
Ford Grand Marquis 1991 4.6L V8 281cid
Ford LTD Crown Victoria 1987-1991 5.8L V8 351cid
Ford LTD Crown Victoria 1987-1991 5L V8 302cid
Lincoln Town Car 1987-1989 5L V8 302cid
Mercury Colony Park 1987-1991 5L V8 302cid
Mercury Grand Marquis 1987-1989 5.8L V8 351cid
Mercury Grand Marquis 1987-1991 5L V8 302cid</t>
        </is>
      </c>
      <c r="I275" t="inlineStr">
        <is>
          <t>{"0": {"productDeskExternalKey": "CPCX|40-293"}, "1": {"Package Contents": "Wiper Motor; Instruction Sheet"}, "2": {"E-Waste": "Yes"}, "3": {"Product Condition": "Remanufactured"}, "4": {"Mounting Hole Quantity": "3"}, "5": {"Terminal Type": "Blade"}, "6": {"Mounting Type": "Eyelet"}, "7": {"Weight PG": "5.0000"}, "8": {"Washer Pump Included": "No"}, "9": {"Part Type": "Windshield Wiper Motor"}, "10": {"Warranty Info": "1 Year/18,000 Mile"}, "11": {"Sustainable Choice": "Yes"}, "12": {"Lifecycle Status": "Available to Order"}, "13": {"Application Summary": "Ford Country Squire 1991-87, Grand Marquis 1991, LTD Crown Victoria 1991-87; Lincoln Town Car 1989-87; Mercury Colony Park 1991-87, Grand Marquis 1991-87"}, "14": {"ItemLevelGTIN": "00082617076241"}, "15": {"_addonCardone": "40-293::98384:115120:510"}, "16": {"Eligible for R&amp;R Service": "Yes"}}</t>
        </is>
      </c>
      <c r="J275" t="inlineStr">
        <is>
          <t>https://www.cardone.com/product/windshield-wiper-motor-40-293</t>
        </is>
      </c>
      <c r="K275">
        <f>DISPIMG("ID_0DA942C4DC8F4E5686E698CA0ED2DCB4",1)</f>
        <v/>
      </c>
      <c r="L275" t="inlineStr">
        <is>
          <t>CPCX|40-293</t>
        </is>
      </c>
      <c r="M275" t="inlineStr">
        <is>
          <t>Wiper Motor; Instruction Sheet</t>
        </is>
      </c>
      <c r="N275" t="inlineStr">
        <is>
          <t>Yes</t>
        </is>
      </c>
      <c r="O275" t="inlineStr">
        <is>
          <t>Remanufactured</t>
        </is>
      </c>
      <c r="P275" t="inlineStr">
        <is>
          <t>3</t>
        </is>
      </c>
      <c r="Q275" t="inlineStr">
        <is>
          <t>Blade</t>
        </is>
      </c>
      <c r="R275" t="inlineStr">
        <is>
          <t>Eyelet</t>
        </is>
      </c>
      <c r="S275" t="inlineStr">
        <is>
          <t>5.0000</t>
        </is>
      </c>
      <c r="T275" t="inlineStr">
        <is>
          <t>No</t>
        </is>
      </c>
      <c r="U275" t="inlineStr">
        <is>
          <t>1 Year/18,000 Mile</t>
        </is>
      </c>
      <c r="V275" t="inlineStr">
        <is>
          <t>Yes</t>
        </is>
      </c>
      <c r="W275" t="inlineStr">
        <is>
          <t>Available to Order</t>
        </is>
      </c>
      <c r="X275" t="inlineStr">
        <is>
          <t>Ford Country Squire 1991-87, Grand Marquis 1991, LTD Crown Victoria 1991-87; Lincoln Town Car 1989-87; Mercury Colony Park 1991-87, Grand Marquis 1991-87</t>
        </is>
      </c>
      <c r="Y275" t="inlineStr">
        <is>
          <t>00082617076241</t>
        </is>
      </c>
      <c r="Z275" t="inlineStr">
        <is>
          <t>40-293::98384:115120:510</t>
        </is>
      </c>
      <c r="AA275" t="inlineStr">
        <is>
          <t>Yes</t>
        </is>
      </c>
      <c r="AB275" t="inlineStr"/>
      <c r="AC275" t="inlineStr"/>
    </row>
    <row r="276">
      <c r="A276" t="inlineStr">
        <is>
          <t>275</t>
        </is>
      </c>
      <c r="B276" t="inlineStr">
        <is>
          <t>Windshield Wiper Motor</t>
        </is>
      </c>
      <c r="C276" t="inlineStr">
        <is>
          <t>40-295</t>
        </is>
      </c>
      <c r="D276" t="inlineStr">
        <is>
          <t>Windshield Wiper Motor - 40-295</t>
        </is>
      </c>
      <c r="E276" t="inlineStr">
        <is>
          <t>CARDONE Reman</t>
        </is>
      </c>
      <c r="F276" t="inlineStr">
        <is>
          <t>E6DZ17508B;E3SZ17508A;E7SZ17508A;E6SZ17508A</t>
        </is>
      </c>
      <c r="G276" t="inlineStr">
        <is>
          <t>Ford Cougar 1985-1988
Ford Taurus 1986
Ford Thunderbird 1983-1988
Mercury Cougar 1983-1988
Mercury Sable 1986</t>
        </is>
      </c>
      <c r="H276" t="inlineStr">
        <is>
          <t>Ford Cougar 1985-1988 3.8L V6 232cid
Ford Taurus 1986 2.5L L4 153cid
Ford Taurus 1986 3L V6 182cid
Ford Thunderbird 1983-1988 2.3L L4 140cid
Ford Thunderbird 1983-1988 3.8L V6 232cid
Ford Thunderbird 1983-1988 5L V8 302cid
Mercury Cougar 1983-1988 3.8L V6 232cid
Mercury Cougar 1983-1988 5L V8 302cid
Mercury Cougar 1984-1986 2.3L L4 140cid
Mercury Sable 1986 2.5L L4 153cid
Mercury Sable 1986 3L V6 182cid</t>
        </is>
      </c>
      <c r="I276" t="inlineStr">
        <is>
          <t>{"0": {"productDeskExternalKey": "CPCX|40-295"}, "1": {"Package Contents": "Wiper Motor; Instruction Sheet"}, "2": {"E-Waste": "Yes"}, "3": {"Product Condition": "Remanufactured"}, "4": {"Mounting Hole Quantity": "3"}, "5": {"Terminal Type": "Blade"}, "6": {"Mounting Type": "Eyelet"}, "7": {"Weight PG": "5.1500"}, "8": {"Washer Pump Included": "No"}, "9": {"Part Type": "Windshield Wiper Motor"}, "10": {"Warranty Info": "1 Year/18,000 Mile"}, "11": {"Sustainable Choice": "Yes"}, "12": {"Lifecycle Status": "Available to Order"}, "13": {"Application Summary": "Ford Cougar 1988-85, Taurus 1986, Thunderbird 1988-83; Lincoln Mark VII 1992-84; Mercury Cougar 1988-83, Sable 1986"}, "14": {"ItemLevelGTIN": "00082617040372"}, "15": {"_addonCardone": "40-295::98384:115127:510"}, "16": {"Eligible for R&amp;R Service": "Yes"}}</t>
        </is>
      </c>
      <c r="J276" t="inlineStr">
        <is>
          <t>https://www.cardone.com/product/windshield-wiper-motor-40-295</t>
        </is>
      </c>
      <c r="K276">
        <f>DISPIMG("ID_165BDFF3B2D04E86BFE540F9343D1A86",1)</f>
        <v/>
      </c>
      <c r="L276" t="inlineStr">
        <is>
          <t>CPCX|40-295</t>
        </is>
      </c>
      <c r="M276" t="inlineStr">
        <is>
          <t>Wiper Motor; Instruction Sheet</t>
        </is>
      </c>
      <c r="N276" t="inlineStr">
        <is>
          <t>Yes</t>
        </is>
      </c>
      <c r="O276" t="inlineStr">
        <is>
          <t>Remanufactured</t>
        </is>
      </c>
      <c r="P276" t="inlineStr">
        <is>
          <t>3</t>
        </is>
      </c>
      <c r="Q276" t="inlineStr">
        <is>
          <t>Blade</t>
        </is>
      </c>
      <c r="R276" t="inlineStr">
        <is>
          <t>Eyelet</t>
        </is>
      </c>
      <c r="S276" t="inlineStr">
        <is>
          <t>5.1500</t>
        </is>
      </c>
      <c r="T276" t="inlineStr">
        <is>
          <t>No</t>
        </is>
      </c>
      <c r="U276" t="inlineStr">
        <is>
          <t>1 Year/18,000 Mile</t>
        </is>
      </c>
      <c r="V276" t="inlineStr">
        <is>
          <t>Yes</t>
        </is>
      </c>
      <c r="W276" t="inlineStr">
        <is>
          <t>Available to Order</t>
        </is>
      </c>
      <c r="X276" t="inlineStr">
        <is>
          <t>Ford Cougar 1988-85, Taurus 1986, Thunderbird 1988-83; Lincoln Mark VII 1992-84; Mercury Cougar 1988-83, Sable 1986</t>
        </is>
      </c>
      <c r="Y276" t="inlineStr">
        <is>
          <t>00082617040372</t>
        </is>
      </c>
      <c r="Z276" t="inlineStr">
        <is>
          <t>40-295::98384:115127:510</t>
        </is>
      </c>
      <c r="AA276" t="inlineStr">
        <is>
          <t>Yes</t>
        </is>
      </c>
      <c r="AB276" t="inlineStr"/>
      <c r="AC276" t="inlineStr"/>
    </row>
    <row r="277">
      <c r="A277" t="inlineStr">
        <is>
          <t>276</t>
        </is>
      </c>
      <c r="B277" t="inlineStr">
        <is>
          <t>Windshield Wiper Motor</t>
        </is>
      </c>
      <c r="C277" t="inlineStr">
        <is>
          <t>40-296</t>
        </is>
      </c>
      <c r="D277" t="inlineStr">
        <is>
          <t>Windshield Wiper Motor - 40-296</t>
        </is>
      </c>
      <c r="E277" t="inlineStr">
        <is>
          <t>CARDONE Reman</t>
        </is>
      </c>
      <c r="F277" t="inlineStr">
        <is>
          <t>E45Y17508A;E25Y17508A</t>
        </is>
      </c>
      <c r="G277" t="inlineStr">
        <is>
          <t>Lincoln Continental 1982-1987</t>
        </is>
      </c>
      <c r="H277" t="inlineStr">
        <is>
          <t>Lincoln Continental 1982 3.8L V6 232cid
Lincoln Continental 1982-1987 5L V8 302cid
Lincoln Continental 1984-1985 2.4L L6 146cid</t>
        </is>
      </c>
      <c r="I277" t="inlineStr">
        <is>
          <t>{"0": {"productDeskExternalKey": "CPCX|40-296"}, "1": {"Package Contents": "Wiper Motor; Instruction Sheet"}, "2": {"E-Waste": "Yes"}, "3": {"Product Condition": "Remanufactured"}, "4": {"Mounting Hole Quantity": "3"}, "5": {"Terminal Type": "Blade"}, "6": {"Mounting Type": "Grommet"}, "7": {"Weight PG": "5.1300"}, "8": {"Washer Pump Included": "No"}, "9": {"Part Type": "Windshield Wiper Motor"}, "10": {"Warranty Info": "1 Year/18,000 Mile"}, "11": {"Sustainable Choice": "Yes"}, "12": {"Lifecycle Status": "Available to Order"}, "13": {"Application Summary": "Lincoln Continental 1987-82"}, "14": {"ItemLevelGTIN": "00082617040389"}, "15": {"_addonCardone": "40-296::98384:115133:510"}, "16": {"Eligible for R&amp;R Service": "Yes"}}</t>
        </is>
      </c>
      <c r="J277" t="inlineStr">
        <is>
          <t>https://www.cardone.com/product/windshield-wiper-motor-40-296</t>
        </is>
      </c>
      <c r="K277">
        <f>DISPIMG("ID_CF9CB7BEAB0B4C698B79651F86E67900",1)</f>
        <v/>
      </c>
      <c r="L277" t="inlineStr">
        <is>
          <t>CPCX|40-296</t>
        </is>
      </c>
      <c r="M277" t="inlineStr">
        <is>
          <t>Wiper Motor; Instruction Sheet</t>
        </is>
      </c>
      <c r="N277" t="inlineStr">
        <is>
          <t>Yes</t>
        </is>
      </c>
      <c r="O277" t="inlineStr">
        <is>
          <t>Remanufactured</t>
        </is>
      </c>
      <c r="P277" t="inlineStr">
        <is>
          <t>3</t>
        </is>
      </c>
      <c r="Q277" t="inlineStr">
        <is>
          <t>Blade</t>
        </is>
      </c>
      <c r="R277" t="inlineStr">
        <is>
          <t>Grommet</t>
        </is>
      </c>
      <c r="S277" t="inlineStr">
        <is>
          <t>5.1300</t>
        </is>
      </c>
      <c r="T277" t="inlineStr">
        <is>
          <t>No</t>
        </is>
      </c>
      <c r="U277" t="inlineStr">
        <is>
          <t>1 Year/18,000 Mile</t>
        </is>
      </c>
      <c r="V277" t="inlineStr">
        <is>
          <t>Yes</t>
        </is>
      </c>
      <c r="W277" t="inlineStr">
        <is>
          <t>Available to Order</t>
        </is>
      </c>
      <c r="X277" t="inlineStr">
        <is>
          <t>Lincoln Continental 1987-82</t>
        </is>
      </c>
      <c r="Y277" t="inlineStr">
        <is>
          <t>00082617040389</t>
        </is>
      </c>
      <c r="Z277" t="inlineStr">
        <is>
          <t>40-296::98384:115133:510</t>
        </is>
      </c>
      <c r="AA277" t="inlineStr">
        <is>
          <t>Yes</t>
        </is>
      </c>
      <c r="AB277" t="inlineStr"/>
      <c r="AC277" t="inlineStr"/>
    </row>
    <row r="278">
      <c r="A278" t="inlineStr">
        <is>
          <t>277</t>
        </is>
      </c>
      <c r="B278" t="inlineStr">
        <is>
          <t>Windshield Wiper Motor</t>
        </is>
      </c>
      <c r="C278" t="inlineStr">
        <is>
          <t>40-297</t>
        </is>
      </c>
      <c r="D278" t="inlineStr">
        <is>
          <t>Windshield Wiper Motor - 40-297</t>
        </is>
      </c>
      <c r="E278" t="inlineStr">
        <is>
          <t>CARDONE Reman</t>
        </is>
      </c>
      <c r="F278" t="inlineStr">
        <is>
          <t>E63Z17508A;E8ZZ17508A;F43Z17508A;F5UZ17508A;F0CZ17508A;E7ZZ17508A;E93Z17505A;F2UZ17508A;E93Z17508A</t>
        </is>
      </c>
      <c r="G278" t="inlineStr">
        <is>
          <t>Ford E-150 Econoline 1992-1994
Ford E-150 Econoline Club Wagon 1992-1994
Ford E-250 Econoline 1992-1994
Ford E-350 Econoline 1992-1994
Ford E-350 Econoline Club Wagon 1992-1994
Ford Escort 1991-1994
Ford Mustang 1987-1993
Ford Tempo 1986-1994
Ford Topaz 1986-1994</t>
        </is>
      </c>
      <c r="H278" t="inlineStr">
        <is>
          <t>Ford E-150 Econoline 1992-1994 4.9L L6 300cid
Ford E-150 Econoline 1992-1994 5.8L V8 351cid
Ford E-150 Econoline 1992-1994 5L V8 302cid
Ford E-150 Econoline Club Wagon 1992-1994 4.9L L6 300cid
Ford E-150 Econoline Club Wagon 1992-1994 5.8L V8 351cid
Ford E-150 Econoline Club Wagon 1992-1994 5L V8 302cid
Ford E-250 Econoline 1992-1994 4.9L L6 300cid
Ford E-250 Econoline 1992-1994 5.8L V8 351cid
Ford E-350 Econoline 1992-1994 4.9L L6 300cid
Ford E-350 Econoline 1992-1994 5.8L V8 351cid
Ford E-350 Econoline 1992-1994 7.3L V8 445cid
Ford E-350 Econoline 1992-1994 7.5L V8 460cid
Ford E-350 Econoline Club Wagon 1992-1994 4.9L L6 300cid
Ford E-350 Econoline Club Wagon 1992-1994 5.8L V8 351cid
Ford E-350 Econoline Club Wagon 1992-1994 7.3L V8 445cid
Ford E-350 Econoline Club Wagon 1992-1994 7.5L V8 460cid
Ford Escort 1991-1994 1.8L L4 112cid
Ford Escort 1991-1994 1.9L L4 116cid
Ford Escort 1994 1.9L L4 113cid
Ford Mustang 1987-1993 2.3L L4 140cid
Ford Mustang 1987-1993 5L V8 302cid
Ford Tempo 1986 2L L4 122cid
Ford Tempo 1986-1994 2.3L L4 140cid
Ford Tempo 1992-1994 3L V6 182cid
Ford Topaz 1986-1994 2.3L L4 140cid</t>
        </is>
      </c>
      <c r="I278" t="inlineStr">
        <is>
          <t>{"0": {"productDeskExternalKey": "CPCX|40-297"}, "1": {"Package Contents": "Wiper Motor; Instruction Sheet"}, "2": {"E-Waste": "Yes"}, "3": {"Product Condition": "Remanufactured"}, "4": {"Mounting Hole Quantity": "3"}, "5": {"Terminal Type": "Blade"}, "6": {"Mounting Type": "Direct Bolt"}, "7": {"Weight PG": "3.2700"}, "8": {"Washer Pump Included": "No"}, "9": {"Part Type": "Windshield Wiper Motor"}, "10": {"Warranty Info": "1 Year/18,000 Mile"}, "11": {"Sustainable Choice": "Yes"}, "12": {"Lifecycle Status": "Available to Order"}, "13": {"ItemLevelGTIN": "00082617057226"}, "14": {"_addonCardone": "40-297::98384:115137:510"}, "15": {"Eligible for R&amp;R Service": "Yes"}}</t>
        </is>
      </c>
      <c r="J278" t="inlineStr">
        <is>
          <t>https://www.cardone.com/product/windshield-wiper-motor-40-297</t>
        </is>
      </c>
      <c r="K278">
        <f>DISPIMG("ID_9903859A35AE4073BE8A1B2435756F63",1)</f>
        <v/>
      </c>
      <c r="L278" t="inlineStr">
        <is>
          <t>CPCX|40-297</t>
        </is>
      </c>
      <c r="M278" t="inlineStr">
        <is>
          <t>Wiper Motor; Instruction Sheet</t>
        </is>
      </c>
      <c r="N278" t="inlineStr">
        <is>
          <t>Yes</t>
        </is>
      </c>
      <c r="O278" t="inlineStr">
        <is>
          <t>Remanufactured</t>
        </is>
      </c>
      <c r="P278" t="inlineStr">
        <is>
          <t>3</t>
        </is>
      </c>
      <c r="Q278" t="inlineStr">
        <is>
          <t>Blade</t>
        </is>
      </c>
      <c r="R278" t="inlineStr">
        <is>
          <t>Direct Bolt</t>
        </is>
      </c>
      <c r="S278" t="inlineStr">
        <is>
          <t>3.2700</t>
        </is>
      </c>
      <c r="T278" t="inlineStr">
        <is>
          <t>No</t>
        </is>
      </c>
      <c r="U278" t="inlineStr">
        <is>
          <t>1 Year/18,000 Mile</t>
        </is>
      </c>
      <c r="V278" t="inlineStr">
        <is>
          <t>Yes</t>
        </is>
      </c>
      <c r="W278" t="inlineStr">
        <is>
          <t>Available to Order</t>
        </is>
      </c>
      <c r="X278" t="inlineStr"/>
      <c r="Y278" t="inlineStr">
        <is>
          <t>00082617057226</t>
        </is>
      </c>
      <c r="Z278" t="inlineStr">
        <is>
          <t>40-297::98384:115137:510</t>
        </is>
      </c>
      <c r="AA278" t="inlineStr">
        <is>
          <t>Yes</t>
        </is>
      </c>
      <c r="AB278" t="inlineStr"/>
      <c r="AC278" t="inlineStr"/>
    </row>
    <row r="279">
      <c r="A279" t="inlineStr">
        <is>
          <t>278</t>
        </is>
      </c>
      <c r="B279" t="inlineStr">
        <is>
          <t>Windshield Wiper Motor</t>
        </is>
      </c>
      <c r="C279" t="inlineStr">
        <is>
          <t>40-298</t>
        </is>
      </c>
      <c r="D279" t="inlineStr">
        <is>
          <t>Windshield Wiper Motor - 40-298</t>
        </is>
      </c>
      <c r="E279" t="inlineStr">
        <is>
          <t>CARDONE Reman</t>
        </is>
      </c>
      <c r="F279" t="inlineStr">
        <is>
          <t>E7DZ17508A</t>
        </is>
      </c>
      <c r="G279" t="inlineStr">
        <is>
          <t>Ford Taurus 1987-1993
Lincoln Continental 1988-1994</t>
        </is>
      </c>
      <c r="H279" t="inlineStr">
        <is>
          <t>Ford Taurus 1987-1991 2.5L L4 153cid
Ford Taurus 1987-1993 3L V6 182cid
Ford Taurus 1988-1993 3.8L V6 232cid
Ford Taurus 1993 3.2L V6 195cid
Lincoln Continental 1988-1994 3.8L V6 232cid</t>
        </is>
      </c>
      <c r="I279" t="inlineStr">
        <is>
          <t>{"0": {"productDeskExternalKey": "CPCX|40-298"}, "1": {"Package Contents": "Wiper Motor; Instruction Sheet"}, "2": {"E-Waste": "Yes"}, "3": {"Product Condition": "Remanufactured"}, "4": {"Mounting Hole Quantity": "3"}, "5": {"Terminal Type": "Blade"}, "6": {"Mounting Type": "Grommet"}, "7": {"Weight PG": "4.5300"}, "8": {"Washer Pump Included": "No"}, "9": {"Part Type": "Windshield Wiper Motor"}, "10": {"Warranty Info": "1 Year/18,000 Mile"}, "11": {"Sustainable Choice": "Yes"}, "12": {"Lifecycle Status": "Available to Order"}, "13": {"Application Summary": "Ford Taurus 1993-87; Lincoln Continental 1994-88; Mercury Sable 1993-87"}, "14": {"ItemLevelGTIN": "00082617059718"}, "15": {"_addonCardone": "40-298::98384:115252:510"}, "16": {"Eligible for R&amp;R Service": "Yes"}}</t>
        </is>
      </c>
      <c r="J279" t="inlineStr">
        <is>
          <t>https://www.cardone.com/product/windshield-wiper-motor-40-298</t>
        </is>
      </c>
      <c r="K279">
        <f>DISPIMG("ID_3B47CE3CADF841E6A3B9FCAF58235203",1)</f>
        <v/>
      </c>
      <c r="L279" t="inlineStr">
        <is>
          <t>CPCX|40-298</t>
        </is>
      </c>
      <c r="M279" t="inlineStr">
        <is>
          <t>Wiper Motor; Instruction Sheet</t>
        </is>
      </c>
      <c r="N279" t="inlineStr">
        <is>
          <t>Yes</t>
        </is>
      </c>
      <c r="O279" t="inlineStr">
        <is>
          <t>Remanufactured</t>
        </is>
      </c>
      <c r="P279" t="inlineStr">
        <is>
          <t>3</t>
        </is>
      </c>
      <c r="Q279" t="inlineStr">
        <is>
          <t>Blade</t>
        </is>
      </c>
      <c r="R279" t="inlineStr">
        <is>
          <t>Grommet</t>
        </is>
      </c>
      <c r="S279" t="inlineStr">
        <is>
          <t>4.5300</t>
        </is>
      </c>
      <c r="T279" t="inlineStr">
        <is>
          <t>No</t>
        </is>
      </c>
      <c r="U279" t="inlineStr">
        <is>
          <t>1 Year/18,000 Mile</t>
        </is>
      </c>
      <c r="V279" t="inlineStr">
        <is>
          <t>Yes</t>
        </is>
      </c>
      <c r="W279" t="inlineStr">
        <is>
          <t>Available to Order</t>
        </is>
      </c>
      <c r="X279" t="inlineStr">
        <is>
          <t>Ford Taurus 1993-87; Lincoln Continental 1994-88; Mercury Sable 1993-87</t>
        </is>
      </c>
      <c r="Y279" t="inlineStr">
        <is>
          <t>00082617059718</t>
        </is>
      </c>
      <c r="Z279" t="inlineStr">
        <is>
          <t>40-298::98384:115252:510</t>
        </is>
      </c>
      <c r="AA279" t="inlineStr">
        <is>
          <t>Yes</t>
        </is>
      </c>
      <c r="AB279" t="inlineStr"/>
      <c r="AC279" t="inlineStr"/>
    </row>
    <row r="280">
      <c r="A280" t="inlineStr">
        <is>
          <t>279</t>
        </is>
      </c>
      <c r="B280" t="inlineStr">
        <is>
          <t>Windshield Wiper Motor</t>
        </is>
      </c>
      <c r="C280" t="inlineStr">
        <is>
          <t>40-299</t>
        </is>
      </c>
      <c r="D280" t="inlineStr">
        <is>
          <t>Windshield Wiper Motor - 40-299</t>
        </is>
      </c>
      <c r="E280" t="inlineStr">
        <is>
          <t>CARDONE Reman</t>
        </is>
      </c>
      <c r="F280" t="inlineStr">
        <is>
          <t>E7TZ17508A</t>
        </is>
      </c>
      <c r="G280" t="inlineStr">
        <is>
          <t>Ford Bronco 1987-1996
Ford F-150 1987-1996
Ford F-250 1987-1996
Ford F-350 1987-1996
Ford F-53 Motorhome Chassis 1988-1996
Ford F-59 Commercial Stripped Chassis 1988-1996
Ford F-600 1990-1994
Ford F-700 1987-1996
Ford F-800 1987-1996
Ford F-Super Duty 1988-1994
Ford FT900 1990-1994</t>
        </is>
      </c>
      <c r="H280" t="inlineStr">
        <is>
          <t>Ford Bronco 1987-1992 4.9L L6 300cid
Ford Bronco 1987-1996 5.8L V8 351cid
Ford Bronco 1987-1996 5L V8 302cid
Ford F-150 1987-1994 3.8L V6 232cid
Ford F-150 1987-1996 4.9L L6 300cid
Ford F-150 1987-1996 5.8L V8 351cid
Ford F-150 1987-1996 5L V8 302cid
Ford F-250 1987 6.9L V8 420cid
Ford F-250 1987-1996 4.9L L6 300cid
Ford F-250 1987-1996 5.8L V8 351cid
Ford F-250 1987-1996 5L V8 302cid
Ford F-250 1987-1996 7.5L V8 460cid
Ford F-250 1988-1996 7.3L V8 445cid
Ford F-350 1987 6.9L V8 420cid
Ford F-350 1987-1996 4.9L L6 300cid
Ford F-350 1987-1996 5.8L V8 351cid
Ford F-350 1987-1996 5L V8 302cid
Ford F-350 1987-1996 7.5L V8 460cid
Ford F-350 1988-1996 7.3L V8 445cid
Ford F-53 Motorhome Chassis 1988-1996 7.5L V8 460cid
Ford F-59 Commercial Stripped Chassis 1988-1996 7.3L V8 445cid
Ford F-600 1990-1991 6.1L V8 370cid
Ford F-600 1990-1993 6.6L L6 401cid
Ford F-600 1990-1994 7L V8 429cid
Ford F-600 1991 7.8L L6 473cid
Ford F-600 1992-1994 5.9L L6 359cid
Ford F-700 1987 8.2L V8 501cid
Ford F-700 1987-1989 10.4L V8 636cid
Ford F-700 1987-1991 6.1L V8 370cid
Ford F-700 1987-1991 7.8L L6 473cid
Ford F-700 1987-1993 6.6L L6 401cid
Ford F-700 1987-1996 7L V8 429cid
Ford F-700 1992-1996 5.9L L6 359cid
Ford F-800 1987 8.2L V8 501cid
Ford F-800 1987-1991 6.1L V8 370cid
Ford F-800 1987-1991 6.6L L6 401cid
Ford F-800 1987-1991 7L V8 429cid
Ford F-800 1987-1993 7.8L L6 473cid
Ford F-800 1992-1996 8.3L L6 504cid
Ford F-800 1993-1996 5.9L L6 359cid
Ford F-Super Duty 1988-1994 7.3L V8 445cid
Ford F-Super Duty 1988-1994 7.5L V8 460cid
Ford FT900 1990-1993 7.8L L6 473cid
Ford FT900 1993-1994 8.3L L6 504cid</t>
        </is>
      </c>
      <c r="I280" t="inlineStr">
        <is>
          <t>{"0": {"productDeskExternalKey": "CPCX|40-299"}, "1": {"Package Contents": "Wiper Motor; Instruction Sheet"}, "2": {"E-Waste": "Yes"}, "3": {"Product Condition": "Remanufactured"}, "4": {"Mounting Hole Quantity": "3"}, "5": {"Terminal Type": "Blade"}, "6": {"Mounting Type": "Direct Bolt"}, "7": {"Weight PG": "3.4400"}, "8": {"Washer Pump Included": "No"}, "9": {"Part Type": "Windshield Wiper Motor"}, "10": {"Warranty Info": "1 Year/18,000 Mile"}, "11": {"Sustainable Choice": "Yes"}, "12": {"Lifecycle Status": "Available to Order"}, "13": {"Application Summary": "Ford Bronco 1996-87, F-150 1996-87, F-250 1996-87, F-350 1996-87, F-53 Motorhome Chassis 1996-88, F-59 Commercial Stripped Chassis 1996-88, F-600 1994-90, F-700 1996-87, F-800 1996-87, F-Super Duty 1994-88, FT900 1994-90"}, "14": {"ItemLevelGTIN": "00082617076272"}, "15": {"_addonCardone": "40-299::98384:115260:510"}, "16": {"Eligible for R&amp;R Service": "Yes"}}</t>
        </is>
      </c>
      <c r="J280" t="inlineStr">
        <is>
          <t>https://www.cardone.com/product/windshield-wiper-motor-40-299</t>
        </is>
      </c>
      <c r="K280">
        <f>DISPIMG("ID_B6DBF13395A04A8EB80C6273CD18448D",1)</f>
        <v/>
      </c>
      <c r="L280" t="inlineStr">
        <is>
          <t>CPCX|40-299</t>
        </is>
      </c>
      <c r="M280" t="inlineStr">
        <is>
          <t>Wiper Motor; Instruction Sheet</t>
        </is>
      </c>
      <c r="N280" t="inlineStr">
        <is>
          <t>Yes</t>
        </is>
      </c>
      <c r="O280" t="inlineStr">
        <is>
          <t>Remanufactured</t>
        </is>
      </c>
      <c r="P280" t="inlineStr">
        <is>
          <t>3</t>
        </is>
      </c>
      <c r="Q280" t="inlineStr">
        <is>
          <t>Blade</t>
        </is>
      </c>
      <c r="R280" t="inlineStr">
        <is>
          <t>Direct Bolt</t>
        </is>
      </c>
      <c r="S280" t="inlineStr">
        <is>
          <t>3.4400</t>
        </is>
      </c>
      <c r="T280" t="inlineStr">
        <is>
          <t>No</t>
        </is>
      </c>
      <c r="U280" t="inlineStr">
        <is>
          <t>1 Year/18,000 Mile</t>
        </is>
      </c>
      <c r="V280" t="inlineStr">
        <is>
          <t>Yes</t>
        </is>
      </c>
      <c r="W280" t="inlineStr">
        <is>
          <t>Available to Order</t>
        </is>
      </c>
      <c r="X280" t="inlineStr">
        <is>
          <t>Ford Bronco 1996-87, F-150 1996-87, F-250 1996-87, F-350 1996-87, F-53 Motorhome Chassis 1996-88, F-59 Commercial Stripped Chassis 1996-88, F-600 1994-90, F-700 1996-87, F-800 1996-87, F-Super Duty 1994-88, FT900 1994-90</t>
        </is>
      </c>
      <c r="Y280" t="inlineStr">
        <is>
          <t>00082617076272</t>
        </is>
      </c>
      <c r="Z280" t="inlineStr">
        <is>
          <t>40-299::98384:115260:510</t>
        </is>
      </c>
      <c r="AA280" t="inlineStr">
        <is>
          <t>Yes</t>
        </is>
      </c>
      <c r="AB280" t="inlineStr"/>
      <c r="AC280" t="inlineStr"/>
    </row>
    <row r="281">
      <c r="A281" t="inlineStr">
        <is>
          <t>280</t>
        </is>
      </c>
      <c r="B281" t="inlineStr">
        <is>
          <t>Windshield Wiper Motor</t>
        </is>
      </c>
      <c r="C281" t="inlineStr">
        <is>
          <t>40-3000</t>
        </is>
      </c>
      <c r="D281" t="inlineStr">
        <is>
          <t>Windshield Wiper Motor - 40-3000</t>
        </is>
      </c>
      <c r="E281" t="inlineStr">
        <is>
          <t>CARDONE Reman</t>
        </is>
      </c>
      <c r="F281" t="inlineStr">
        <is>
          <t>55076549;55076549AC</t>
        </is>
      </c>
      <c r="G281" t="inlineStr">
        <is>
          <t>Dodge Ram 1500 1997-1999
Dodge Ram 2500 1997-1999
Dodge Ram 3500 1997-1999</t>
        </is>
      </c>
      <c r="H281" t="inlineStr">
        <is>
          <t>Dodge Ram 1500 1997-1999 3.9L V6 239cid
Dodge Ram 1500 1997-1999 5.2L V8 318cid
Dodge Ram 1500 1997-1999 5.9L V8 360cid
Dodge Ram 1500 1998 3.9L V6 238cid
Dodge Ram 2500 1997-1999 5.2L V8 318cid
Dodge Ram 2500 1997-1999 5.9L L6 359cid
Dodge Ram 2500 1997-1999 5.9L V8 360cid
Dodge Ram 2500 1997-1999 8L V10 488cid
Dodge Ram 3500 1997-1999 5.9L L6 359cid
Dodge Ram 3500 1997-1999 5.9L V8 360cid
Dodge Ram 3500 1997-1999 8L V10 488cid</t>
        </is>
      </c>
      <c r="I281" t="inlineStr">
        <is>
          <t>{"0": {"productDeskExternalKey": "CPCX|40-3000"}, "1": {"Package Contents": "Wiper Motor; Instruction Sheet"}, "2": {"E-Waste": "Yes"}, "3": {"Product Condition": "Remanufactured"}, "4": {"Mounting Hole Quantity": "3"}, "5": {"Terminal Type": "Blade"}, "6": {"Mounting Type": "Direct Bolt"}, "7": {"Weight PG": "3.1000"}, "8": {"Washer Pump Included": "No"}, "9": {"Part Type": "Windshield Wiper Motor"}, "10": {"Warranty Info": "1 Year/18,000 Mile"}, "11": {"Sustainable Choice": "Yes"}, "12": {"Lifecycle Status": "Available to Order"}, "13": {"Application Summary": "Dodge Ram 1500 1999-97, Ram 2500 1999-97, Ram 3500 1999-97"}, "14": {"ItemLevelGTIN": "00082617442169"}, "15": {"_addonCardone": "40-3000::98384:115268:510"}, "16": {"Eligible for R&amp;R Service": "Yes"}}</t>
        </is>
      </c>
      <c r="J281" t="inlineStr">
        <is>
          <t>https://www.cardone.com/product/windshield-wiper-motor-40-3000</t>
        </is>
      </c>
      <c r="K281">
        <f>DISPIMG("ID_5B420814CD8F48AD84EC725ECD3C59A7",1)</f>
        <v/>
      </c>
      <c r="L281" t="inlineStr">
        <is>
          <t>CPCX|40-3000</t>
        </is>
      </c>
      <c r="M281" t="inlineStr">
        <is>
          <t>Wiper Motor; Instruction Sheet</t>
        </is>
      </c>
      <c r="N281" t="inlineStr">
        <is>
          <t>Yes</t>
        </is>
      </c>
      <c r="O281" t="inlineStr">
        <is>
          <t>Remanufactured</t>
        </is>
      </c>
      <c r="P281" t="inlineStr">
        <is>
          <t>3</t>
        </is>
      </c>
      <c r="Q281" t="inlineStr">
        <is>
          <t>Blade</t>
        </is>
      </c>
      <c r="R281" t="inlineStr">
        <is>
          <t>Direct Bolt</t>
        </is>
      </c>
      <c r="S281" t="inlineStr">
        <is>
          <t>3.1000</t>
        </is>
      </c>
      <c r="T281" t="inlineStr">
        <is>
          <t>No</t>
        </is>
      </c>
      <c r="U281" t="inlineStr">
        <is>
          <t>1 Year/18,000 Mile</t>
        </is>
      </c>
      <c r="V281" t="inlineStr">
        <is>
          <t>Yes</t>
        </is>
      </c>
      <c r="W281" t="inlineStr">
        <is>
          <t>Available to Order</t>
        </is>
      </c>
      <c r="X281" t="inlineStr">
        <is>
          <t>Dodge Ram 1500 1999-97, Ram 2500 1999-97, Ram 3500 1999-97</t>
        </is>
      </c>
      <c r="Y281" t="inlineStr">
        <is>
          <t>00082617442169</t>
        </is>
      </c>
      <c r="Z281" t="inlineStr">
        <is>
          <t>40-3000::98384:115268:510</t>
        </is>
      </c>
      <c r="AA281" t="inlineStr">
        <is>
          <t>Yes</t>
        </is>
      </c>
      <c r="AB281" t="inlineStr"/>
      <c r="AC281" t="inlineStr"/>
    </row>
    <row r="282">
      <c r="A282" t="inlineStr">
        <is>
          <t>281</t>
        </is>
      </c>
      <c r="B282" t="inlineStr">
        <is>
          <t>Windshield Wiper Motor</t>
        </is>
      </c>
      <c r="C282" t="inlineStr">
        <is>
          <t>40-3001</t>
        </is>
      </c>
      <c r="D282" t="inlineStr">
        <is>
          <t>Windshield Wiper Motor - 40-3001</t>
        </is>
      </c>
      <c r="E282" t="inlineStr">
        <is>
          <t>CARDONE Reman</t>
        </is>
      </c>
      <c r="F282" t="inlineStr">
        <is>
          <t>4708171;4673013AA;4673013</t>
        </is>
      </c>
      <c r="G282" t="inlineStr">
        <is>
          <t>Chrysler Grand Voyager 1997-2000
Chrysler Town &amp; Country 1996-2000
Chrysler Voyager 1997-2000
Dodge Caravan 1996-2000
Dodge Grand Caravan 1996-2000
Plymouth Grand Voyager 1996-2000
Plymouth Voyager 1996-2000</t>
        </is>
      </c>
      <c r="H282" t="inlineStr">
        <is>
          <t>Chrysler Grand Voyager 1997-2000 3.8L V6 231cid
Chrysler Grand Voyager 2000 3.3L V6 201cid
Chrysler Grand Voyager 2000 3L V6 181cid
Chrysler Town &amp; Country 1996-2000 3.3L V6 201cid
Chrysler Town &amp; Country 1996-2000 3.8L V6 231cid
Chrysler Voyager 1997-2000 3.3L V6 201cid
Chrysler Voyager 2000 2.4L L4 148cid
Chrysler Voyager 2000 3L V6 181cid
Dodge Caravan 1996-2000 2.4L L4 148cid
Dodge Caravan 1996-2000 3.3L V6 201cid
Dodge Caravan 1996-2000 3.8L V6 231cid
Dodge Caravan 1996-2000 3L V6 181cid
Dodge Caravan 1997-1999
Dodge Grand Caravan 1996-1997 2.4L L4 148cid
Dodge Grand Caravan 1996-2000 3.3L V6 201cid
Dodge Grand Caravan 1996-2000 3.8L V6 231cid
Dodge Grand Caravan 1996-2000 3L V6 181cid
Plymouth Grand Voyager 1996-1997 2.4L L4 148cid
Plymouth Grand Voyager 1996-1999 3.8L V6 231cid
Plymouth Grand Voyager 1996-2000 3.3L V6 201cid
Plymouth Grand Voyager 1996-2000 3L V6 181cid
Plymouth Voyager 1996-2000 2.4L L4 148cid
Plymouth Voyager 1996-2000 3.3L V6 201cid
Plymouth Voyager 1996-2000 3L V6 181cid
Plymouth Voyager 1997-1999 3.8L V6 231cid
Plymouth Voyager 1998-1999</t>
        </is>
      </c>
      <c r="I282" t="inlineStr">
        <is>
          <t>{"0": {"productDeskExternalKey": "CPCX|40-3001"}, "1": {"Package Contents": "Wiper Motor; Instruction Sheet"}, "2": {"E-Waste": "Yes"}, "3": {"Product Condition": "Remanufactured"}, "4": {"Mounting Hole Quantity": "3"}, "5": {"Terminal Type": "Blade"}, "6": {"Mounting Type": "Direct Bolt"}, "7": {"Weight PG": "3.9000"}, "8": {"Washer Pump Included": "No"}, "9": {"Part Type": "Windshield Wiper Motor"}, "10": {"Warranty Info": "1 Year/18,000 Mile"}, "11": {"Sustainable Choice": "Yes"}, "12": {"Lifecycle Status": "Available to Order"}, "13": {"Application Summary": "Chrysler Grand Voyager 2000-97, Town &amp; Country 2000-96, Voyager 2000-97; Dodge Caravan 2000-96, Grand Caravan 2000-96; Plymouth Grand Voyager 2000-96, Voyager 2000-96"}, "14": {"ItemLevelGTIN": "00082617455299"}, "15": {"_addonCardone": "40-3001::98384:115274:510"}, "16": {"Eligible for R&amp;R Service": "Yes"}}</t>
        </is>
      </c>
      <c r="J282" t="inlineStr">
        <is>
          <t>https://www.cardone.com/product/windshield-wiper-motor-40-3001</t>
        </is>
      </c>
      <c r="K282">
        <f>DISPIMG("ID_DB50AF95A15342FFAAF96108F51DEDF7",1)</f>
        <v/>
      </c>
      <c r="L282" t="inlineStr">
        <is>
          <t>CPCX|40-3001</t>
        </is>
      </c>
      <c r="M282" t="inlineStr">
        <is>
          <t>Wiper Motor; Instruction Sheet</t>
        </is>
      </c>
      <c r="N282" t="inlineStr">
        <is>
          <t>Yes</t>
        </is>
      </c>
      <c r="O282" t="inlineStr">
        <is>
          <t>Remanufactured</t>
        </is>
      </c>
      <c r="P282" t="inlineStr">
        <is>
          <t>3</t>
        </is>
      </c>
      <c r="Q282" t="inlineStr">
        <is>
          <t>Blade</t>
        </is>
      </c>
      <c r="R282" t="inlineStr">
        <is>
          <t>Direct Bolt</t>
        </is>
      </c>
      <c r="S282" t="inlineStr">
        <is>
          <t>3.9000</t>
        </is>
      </c>
      <c r="T282" t="inlineStr">
        <is>
          <t>No</t>
        </is>
      </c>
      <c r="U282" t="inlineStr">
        <is>
          <t>1 Year/18,000 Mile</t>
        </is>
      </c>
      <c r="V282" t="inlineStr">
        <is>
          <t>Yes</t>
        </is>
      </c>
      <c r="W282" t="inlineStr">
        <is>
          <t>Available to Order</t>
        </is>
      </c>
      <c r="X282" t="inlineStr">
        <is>
          <t>Chrysler Grand Voyager 2000-97, Town &amp; Country 2000-96, Voyager 2000-97; Dodge Caravan 2000-96, Grand Caravan 2000-96; Plymouth Grand Voyager 2000-96, Voyager 2000-96</t>
        </is>
      </c>
      <c r="Y282" t="inlineStr">
        <is>
          <t>00082617455299</t>
        </is>
      </c>
      <c r="Z282" t="inlineStr">
        <is>
          <t>40-3001::98384:115274:510</t>
        </is>
      </c>
      <c r="AA282" t="inlineStr">
        <is>
          <t>Yes</t>
        </is>
      </c>
      <c r="AB282" t="inlineStr"/>
      <c r="AC282" t="inlineStr"/>
    </row>
    <row r="283">
      <c r="A283" t="inlineStr">
        <is>
          <t>282</t>
        </is>
      </c>
      <c r="B283" t="inlineStr">
        <is>
          <t>Windshield Wiper Motor</t>
        </is>
      </c>
      <c r="C283" t="inlineStr">
        <is>
          <t>40-3002</t>
        </is>
      </c>
      <c r="D283" t="inlineStr">
        <is>
          <t>Windshield Wiper Motor - 40-3002</t>
        </is>
      </c>
      <c r="E283" t="inlineStr">
        <is>
          <t>CARDONE Reman</t>
        </is>
      </c>
      <c r="F283" t="inlineStr">
        <is>
          <t>4778375</t>
        </is>
      </c>
      <c r="G283" t="inlineStr">
        <is>
          <t>Chrysler Cirrus 1995-1997
Chrysler Sebring 1996-1997
Chrysler Voyager 1996
Dodge Stratus 1995-1997
Plymouth Breeze 1996-1999</t>
        </is>
      </c>
      <c r="H283" t="inlineStr">
        <is>
          <t>Chrysler Cirrus 1995-1997 2.4L L4 148cid
Chrysler Cirrus 1995-1997 2.5L V6 152cid
Chrysler Sebring 1996-1997 2.4L L4 148cid
Chrysler Sebring 1996-1997 2.5L V6 152cid
Chrysler Voyager 1996 3.3L V6 201cid
Dodge Stratus 1995-1997 2.4L L4 148cid
Dodge Stratus 1995-1997 2.5L V6 152cid
Dodge Stratus 1995-1997 2L L4 122cid
Plymouth Breeze 1996-1999 2.4L L4 148cid
Plymouth Breeze 1996-1999 2L L4 122cid</t>
        </is>
      </c>
      <c r="I283" t="inlineStr">
        <is>
          <t>{"0": {"productDeskExternalKey": "CPCX|40-3002"}, "1": {"Package Contents": "Wiper Motor; Instruction Sheet"}, "2": {"E-Waste": "Yes"}, "3": {"Product Condition": "Remanufactured"}, "4": {"Mounting Hole Quantity": "3"}, "5": {"Terminal Type": "Blade"}, "6": {"Mounting Type": "Direct Bolt"}, "7": {"Weight PG": "3.7000"}, "8": {"Washer Pump Included": "No"}, "9": {"Part Type": "Windshield Wiper Motor"}, "10": {"Warranty Info": "1 Year/18,000 Mile"}, "11": {"Sustainable Choice": "Yes"}, "12": {"Lifecycle Status": "Available to Order"}, "13": {"Application Summary": "Chrysler Cirrus 1997-95, Sebring 1997-96, Voyager 1996; Dodge Stratus 1997-95; Plymouth Breeze 1999-96"}, "14": {"ItemLevelGTIN": "00082617455312"}, "15": {"_addonCardone": "40-3002::98384:115280:510"}, "16": {"Eligible for R&amp;R Service": "Yes"}}</t>
        </is>
      </c>
      <c r="J283" t="inlineStr">
        <is>
          <t>https://www.cardone.com/product/windshield-wiper-motor-40-3002</t>
        </is>
      </c>
      <c r="K283">
        <f>DISPIMG("ID_1B039EEB2CD7428B95FC8FECEDE476E4",1)</f>
        <v/>
      </c>
      <c r="L283" t="inlineStr">
        <is>
          <t>CPCX|40-3002</t>
        </is>
      </c>
      <c r="M283" t="inlineStr">
        <is>
          <t>Wiper Motor; Instruction Sheet</t>
        </is>
      </c>
      <c r="N283" t="inlineStr">
        <is>
          <t>Yes</t>
        </is>
      </c>
      <c r="O283" t="inlineStr">
        <is>
          <t>Remanufactured</t>
        </is>
      </c>
      <c r="P283" t="inlineStr">
        <is>
          <t>3</t>
        </is>
      </c>
      <c r="Q283" t="inlineStr">
        <is>
          <t>Blade</t>
        </is>
      </c>
      <c r="R283" t="inlineStr">
        <is>
          <t>Direct Bolt</t>
        </is>
      </c>
      <c r="S283" t="inlineStr">
        <is>
          <t>3.7000</t>
        </is>
      </c>
      <c r="T283" t="inlineStr">
        <is>
          <t>No</t>
        </is>
      </c>
      <c r="U283" t="inlineStr">
        <is>
          <t>1 Year/18,000 Mile</t>
        </is>
      </c>
      <c r="V283" t="inlineStr">
        <is>
          <t>Yes</t>
        </is>
      </c>
      <c r="W283" t="inlineStr">
        <is>
          <t>Available to Order</t>
        </is>
      </c>
      <c r="X283" t="inlineStr">
        <is>
          <t>Chrysler Cirrus 1997-95, Sebring 1997-96, Voyager 1996; Dodge Stratus 1997-95; Plymouth Breeze 1999-96</t>
        </is>
      </c>
      <c r="Y283" t="inlineStr">
        <is>
          <t>00082617455312</t>
        </is>
      </c>
      <c r="Z283" t="inlineStr">
        <is>
          <t>40-3002::98384:115280:510</t>
        </is>
      </c>
      <c r="AA283" t="inlineStr">
        <is>
          <t>Yes</t>
        </is>
      </c>
      <c r="AB283" t="inlineStr"/>
      <c r="AC283" t="inlineStr"/>
    </row>
    <row r="284">
      <c r="A284" t="inlineStr">
        <is>
          <t>283</t>
        </is>
      </c>
      <c r="B284" t="inlineStr">
        <is>
          <t>Windshield Wiper Motor</t>
        </is>
      </c>
      <c r="C284" t="inlineStr">
        <is>
          <t>40-3003</t>
        </is>
      </c>
      <c r="D284" t="inlineStr">
        <is>
          <t>Windshield Wiper Motor - 40-3003</t>
        </is>
      </c>
      <c r="E284" t="inlineStr">
        <is>
          <t>CARDONE Reman</t>
        </is>
      </c>
      <c r="F284" t="inlineStr">
        <is>
          <t>4882617;4741484</t>
        </is>
      </c>
      <c r="G284" t="inlineStr">
        <is>
          <t>Dodge Neon 1995-1997
Plymouth Neon 1995-1997</t>
        </is>
      </c>
      <c r="H284" t="inlineStr">
        <is>
          <t>Dodge Neon 1995-1997 2L L4 122cid
Plymouth Neon 1995-1997 2L L4 122cid</t>
        </is>
      </c>
      <c r="I284" t="inlineStr">
        <is>
          <t>{"0": {"productDeskExternalKey": "CPCX|40-3003"}, "1": {"Package Contents": "Wiper Motor; Instruction Sheet"}, "2": {"E-Waste": "Yes"}, "3": {"Product Condition": "Remanufactured"}, "4": {"Mounting Hole Quantity": "3"}, "5": {"Terminal Type": "Pin"}, "6": {"Mounting Type": "Direct Bolt"}, "7": {"Weight PG": "2.5500"}, "8": {"Washer Pump Included": "No"}, "9": {"Part Type": "Windshield Wiper Motor"}, "10": {"Warranty Info": "1 Year/18,000 Mile"}, "11": {"Sustainable Choice": "Yes"}, "12": {"Lifecycle Status": "Available to Order"}, "13": {"Application Summary": "Dodge Neon 1997-95; Plymouth Neon 1997-95"}, "14": {"ItemLevelGTIN": "00082617455305"}, "15": {"_addonCardone": "40-3003::98384:115286:510"}, "16": {"Eligible for R&amp;R Service": "Yes"}}</t>
        </is>
      </c>
      <c r="J284" t="inlineStr">
        <is>
          <t>https://www.cardone.com/product/windshield-wiper-motor-40-3003</t>
        </is>
      </c>
      <c r="K284">
        <f>DISPIMG("ID_55388A55634A4B1C9748A300AA703C5A",1)</f>
        <v/>
      </c>
      <c r="L284" t="inlineStr">
        <is>
          <t>CPCX|40-3003</t>
        </is>
      </c>
      <c r="M284" t="inlineStr">
        <is>
          <t>Wiper Motor; Instruction Sheet</t>
        </is>
      </c>
      <c r="N284" t="inlineStr">
        <is>
          <t>Yes</t>
        </is>
      </c>
      <c r="O284" t="inlineStr">
        <is>
          <t>Remanufactured</t>
        </is>
      </c>
      <c r="P284" t="inlineStr">
        <is>
          <t>3</t>
        </is>
      </c>
      <c r="Q284" t="inlineStr">
        <is>
          <t>Pin</t>
        </is>
      </c>
      <c r="R284" t="inlineStr">
        <is>
          <t>Direct Bolt</t>
        </is>
      </c>
      <c r="S284" t="inlineStr">
        <is>
          <t>2.5500</t>
        </is>
      </c>
      <c r="T284" t="inlineStr">
        <is>
          <t>No</t>
        </is>
      </c>
      <c r="U284" t="inlineStr">
        <is>
          <t>1 Year/18,000 Mile</t>
        </is>
      </c>
      <c r="V284" t="inlineStr">
        <is>
          <t>Yes</t>
        </is>
      </c>
      <c r="W284" t="inlineStr">
        <is>
          <t>Available to Order</t>
        </is>
      </c>
      <c r="X284" t="inlineStr">
        <is>
          <t>Dodge Neon 1997-95; Plymouth Neon 1997-95</t>
        </is>
      </c>
      <c r="Y284" t="inlineStr">
        <is>
          <t>00082617455305</t>
        </is>
      </c>
      <c r="Z284" t="inlineStr">
        <is>
          <t>40-3003::98384:115286:510</t>
        </is>
      </c>
      <c r="AA284" t="inlineStr">
        <is>
          <t>Yes</t>
        </is>
      </c>
      <c r="AB284" t="inlineStr"/>
      <c r="AC284" t="inlineStr"/>
    </row>
    <row r="285">
      <c r="A285" t="inlineStr">
        <is>
          <t>284</t>
        </is>
      </c>
      <c r="B285" t="inlineStr">
        <is>
          <t>Windshield Wiper Motor</t>
        </is>
      </c>
      <c r="C285" t="inlineStr">
        <is>
          <t>40-3004</t>
        </is>
      </c>
      <c r="D285" t="inlineStr">
        <is>
          <t>Windshield Wiper Motor - 40-3004</t>
        </is>
      </c>
      <c r="E285" t="inlineStr">
        <is>
          <t>CARDONE Reman</t>
        </is>
      </c>
      <c r="F285" t="inlineStr">
        <is>
          <t>4673010</t>
        </is>
      </c>
      <c r="G285" t="inlineStr">
        <is>
          <t>Chrysler Grand Voyager 1998-2000
Chrysler Town &amp; Country 1996-2000
Chrysler Voyager 1997-2000
Dodge Caravan 1996-2000
Dodge Grand Caravan 1996-2000
Plymouth Grand Voyager 1996-2000
Plymouth Voyager 1996-2000</t>
        </is>
      </c>
      <c r="H285" t="inlineStr">
        <is>
          <t>Chrysler Grand Voyager 1998-2000 3.8L V6 231cid
Chrysler Grand Voyager 2000 3.3L V6 201cid
Chrysler Grand Voyager 2000 3L V6 181cid
Chrysler Town &amp; Country 1996-2000 3.3L V6 201cid
Chrysler Town &amp; Country 1996-2000 3.8L V6 231cid
Chrysler Voyager 1997-2000 3.3L V6 201cid
Chrysler Voyager 2000 2.4L L4 148cid
Chrysler Voyager 2000 3L V6 181cid
Dodge Caravan 1996-2000 2.4L L4 148cid
Dodge Caravan 1996-2000 3.3L V6 201cid
Dodge Caravan 1996-2000 3.8L V6 231cid
Dodge Caravan 1996-2000 3L V6 181cid
Dodge Caravan 1997-1999
Dodge Grand Caravan 1996-1997 2.4L L4 148cid
Dodge Grand Caravan 1996-2000 3.3L V6 201cid
Dodge Grand Caravan 1996-2000 3.8L V6 231cid
Dodge Grand Caravan 1996-2000 3L V6 181cid
Plymouth Grand Voyager 1996-1997 2.4L L4 148cid
Plymouth Grand Voyager 1996-1999 3.8L V6 231cid
Plymouth Grand Voyager 1996-2000 3.3L V6 201cid
Plymouth Grand Voyager 1996-2000 3L V6 181cid
Plymouth Voyager 1996-2000 2.4L L4 148cid
Plymouth Voyager 1996-2000 3.3L V6 201cid
Plymouth Voyager 1996-2000 3L V6 181cid
Plymouth Voyager 1997-1999 3.8L V6 231cid
Plymouth Voyager 1998-1999</t>
        </is>
      </c>
      <c r="I285" t="inlineStr">
        <is>
          <t>{"0": {"productDeskExternalKey": "CPCX|40-3004"}, "1": {"Package Contents": "Wiper Motor; Instruction Sheet"}, "2": {"E-Waste": "Yes"}, "3": {"Product Condition": "Remanufactured"}, "4": {"Mounting Hole Quantity": "3"}, "5": {"Terminal Type": "Blade"}, "6": {"Mounting Type": "Through Hole"}, "7": {"Weight PG": "2.7600"}, "8": {"Washer Pump Included": "No"}, "9": {"Part Type": "Windshield Wiper Motor"}, "10": {"Warranty Info": "1 Year/18,000 Mile"}, "11": {"Sustainable Choice": "Yes"}, "12": {"Lifecycle Status": "Available to Order"}, "13": {"Application Summary": "Chrysler Grand Voyager 2000 1998, Town &amp; Country 2000-96, Voyager 2000-97; Dodge Caravan 2000-96, Grand Caravan 2000-96; Plymouth Grand Voyager 2000-96, Voyager 2000-96"}, "14": {"ItemLevelGTIN": "00082617455282"}, "15": {"_addonCardone": "40-3004::98384:115294:510"}, "16": {"Eligible for R&amp;R Service": "Yes"}}</t>
        </is>
      </c>
      <c r="J285" t="inlineStr">
        <is>
          <t>https://www.cardone.com/product/windshield-wiper-motor-40-3004</t>
        </is>
      </c>
      <c r="K285">
        <f>DISPIMG("ID_41ABDFA60B274BF9B5F84220EB07D2B9",1)</f>
        <v/>
      </c>
      <c r="L285" t="inlineStr">
        <is>
          <t>CPCX|40-3004</t>
        </is>
      </c>
      <c r="M285" t="inlineStr">
        <is>
          <t>Wiper Motor; Instruction Sheet</t>
        </is>
      </c>
      <c r="N285" t="inlineStr">
        <is>
          <t>Yes</t>
        </is>
      </c>
      <c r="O285" t="inlineStr">
        <is>
          <t>Remanufactured</t>
        </is>
      </c>
      <c r="P285" t="inlineStr">
        <is>
          <t>3</t>
        </is>
      </c>
      <c r="Q285" t="inlineStr">
        <is>
          <t>Blade</t>
        </is>
      </c>
      <c r="R285" t="inlineStr">
        <is>
          <t>Through Hole</t>
        </is>
      </c>
      <c r="S285" t="inlineStr">
        <is>
          <t>2.7600</t>
        </is>
      </c>
      <c r="T285" t="inlineStr">
        <is>
          <t>No</t>
        </is>
      </c>
      <c r="U285" t="inlineStr">
        <is>
          <t>1 Year/18,000 Mile</t>
        </is>
      </c>
      <c r="V285" t="inlineStr">
        <is>
          <t>Yes</t>
        </is>
      </c>
      <c r="W285" t="inlineStr">
        <is>
          <t>Available to Order</t>
        </is>
      </c>
      <c r="X285" t="inlineStr">
        <is>
          <t>Chrysler Grand Voyager 2000 1998, Town &amp; Country 2000-96, Voyager 2000-97; Dodge Caravan 2000-96, Grand Caravan 2000-96; Plymouth Grand Voyager 2000-96, Voyager 2000-96</t>
        </is>
      </c>
      <c r="Y285" t="inlineStr">
        <is>
          <t>00082617455282</t>
        </is>
      </c>
      <c r="Z285" t="inlineStr">
        <is>
          <t>40-3004::98384:115294:510</t>
        </is>
      </c>
      <c r="AA285" t="inlineStr">
        <is>
          <t>Yes</t>
        </is>
      </c>
      <c r="AB285" t="inlineStr"/>
      <c r="AC285" t="inlineStr"/>
    </row>
    <row r="286">
      <c r="A286" t="inlineStr">
        <is>
          <t>285</t>
        </is>
      </c>
      <c r="B286" t="inlineStr">
        <is>
          <t>Windshield Wiper Motor</t>
        </is>
      </c>
      <c r="C286" t="inlineStr">
        <is>
          <t>40-3005</t>
        </is>
      </c>
      <c r="D286" t="inlineStr">
        <is>
          <t>Windshield Wiper Motor - 40-3005</t>
        </is>
      </c>
      <c r="E286" t="inlineStr">
        <is>
          <t>CARDONE Reman</t>
        </is>
      </c>
      <c r="F286" t="inlineStr">
        <is>
          <t>MB882375</t>
        </is>
      </c>
      <c r="G286" t="inlineStr">
        <is>
          <t>Eagle Talon 1995-1996</t>
        </is>
      </c>
      <c r="H286" t="inlineStr">
        <is>
          <t>Eagle Talon 1995-1996 2L L4 122cid</t>
        </is>
      </c>
      <c r="I286" t="inlineStr">
        <is>
          <t>{"0": {"productDeskExternalKey": "CPCX|40-3005"}, "1": {"Package Contents": "Wiper Motor; Instruction Sheet"}, "2": {"E-Waste": "Yes"}, "3": {"Product Condition": "Remanufactured"}, "4": {"Mounting Hole Quantity": "3"}, "5": {"Terminal Type": "Blade"}, "6": {"Mounting Type": "Eyelet"}, "7": {"Weight PG": "1.9200"}, "8": {"Washer Pump Included": "No"}, "9": {"Part Type": "Windshield Wiper Motor"}, "10": {"Warranty Info": "1 Year/18,000 Mile"}, "11": {"Sustainable Choice": "Yes"}, "12": {"Lifecycle Status": "Available to Order"}, "13": {"Application Summary": "Eagle Talon 1996-95; Mitsubishi Eclipse 1996-95"}, "14": {"ItemLevelGTIN": "00082617455374"}, "15": {"_addonCardone": "40-3005::98384:115301:510"}, "16": {"Eligible for R&amp;R Service": "Yes"}}</t>
        </is>
      </c>
      <c r="J286" t="inlineStr">
        <is>
          <t>https://www.cardone.com/product/windshield-wiper-motor-40-3005</t>
        </is>
      </c>
      <c r="K286">
        <f>DISPIMG("ID_4007F7A575F84B1A8B451311714E6EE9",1)</f>
        <v/>
      </c>
      <c r="L286" t="inlineStr">
        <is>
          <t>CPCX|40-3005</t>
        </is>
      </c>
      <c r="M286" t="inlineStr">
        <is>
          <t>Wiper Motor; Instruction Sheet</t>
        </is>
      </c>
      <c r="N286" t="inlineStr">
        <is>
          <t>Yes</t>
        </is>
      </c>
      <c r="O286" t="inlineStr">
        <is>
          <t>Remanufactured</t>
        </is>
      </c>
      <c r="P286" t="inlineStr">
        <is>
          <t>3</t>
        </is>
      </c>
      <c r="Q286" t="inlineStr">
        <is>
          <t>Blade</t>
        </is>
      </c>
      <c r="R286" t="inlineStr">
        <is>
          <t>Eyelet</t>
        </is>
      </c>
      <c r="S286" t="inlineStr">
        <is>
          <t>1.9200</t>
        </is>
      </c>
      <c r="T286" t="inlineStr">
        <is>
          <t>No</t>
        </is>
      </c>
      <c r="U286" t="inlineStr">
        <is>
          <t>1 Year/18,000 Mile</t>
        </is>
      </c>
      <c r="V286" t="inlineStr">
        <is>
          <t>Yes</t>
        </is>
      </c>
      <c r="W286" t="inlineStr">
        <is>
          <t>Available to Order</t>
        </is>
      </c>
      <c r="X286" t="inlineStr">
        <is>
          <t>Eagle Talon 1996-95; Mitsubishi Eclipse 1996-95</t>
        </is>
      </c>
      <c r="Y286" t="inlineStr">
        <is>
          <t>00082617455374</t>
        </is>
      </c>
      <c r="Z286" t="inlineStr">
        <is>
          <t>40-3005::98384:115301:510</t>
        </is>
      </c>
      <c r="AA286" t="inlineStr">
        <is>
          <t>Yes</t>
        </is>
      </c>
      <c r="AB286" t="inlineStr"/>
      <c r="AC286" t="inlineStr"/>
    </row>
    <row r="287">
      <c r="A287" t="inlineStr">
        <is>
          <t>286</t>
        </is>
      </c>
      <c r="B287" t="inlineStr">
        <is>
          <t>Windshield Wiper Motor</t>
        </is>
      </c>
      <c r="C287" t="inlineStr">
        <is>
          <t>40-3006</t>
        </is>
      </c>
      <c r="D287" t="inlineStr">
        <is>
          <t>Windshield Wiper Motor - 40-3006</t>
        </is>
      </c>
      <c r="E287" t="inlineStr">
        <is>
          <t>CARDONE Reman</t>
        </is>
      </c>
      <c r="F287" t="inlineStr">
        <is>
          <t>MR191433</t>
        </is>
      </c>
      <c r="G287" t="inlineStr">
        <is>
          <t>Chrysler Sebring 1995-1997
Dodge Avenger 1995-1997
Eagle Talon 1995-1998</t>
        </is>
      </c>
      <c r="H287" t="inlineStr">
        <is>
          <t>Chrysler Sebring 1995-1997 2.5L V6 152cid
Chrysler Sebring 1995-1997 2L L4 122cid
Dodge Avenger 1995-1997 2.5L V6 152cid
Dodge Avenger 1995-1997 2L L4 122cid
Eagle Talon 1995-1998 2L L4 122cid</t>
        </is>
      </c>
      <c r="I287" t="inlineStr">
        <is>
          <t>{"0": {"productDeskExternalKey": "CPCX|40-3006"}, "1": {"Package Contents": "Wiper Motor; Instruction Sheet"}, "2": {"E-Waste": "Yes"}, "3": {"Product Condition": "Remanufactured"}, "4": {"Mounting Hole Quantity": "5"}, "5": {"Terminal Type": "Pin"}, "6": {"Mounting Type": "Direct Bolt"}, "7": {"Weight PG": "3.5200"}, "8": {"Washer Pump Included": "No"}, "9": {"Part Type": "Windshield Wiper Motor"}, "10": {"Warranty Info": "1 Year/18,000 Mile"}, "11": {"Sustainable Choice": "Yes"}, "12": {"Lifecycle Status": "Available to Order"}, "13": {"Application Summary": "Chrysler Sebring 1997-95; Dodge Avenger 1997-95; Eagle Talon 1998-95; Mitsubishi Eclipse 1997-95"}, "14": {"ItemLevelGTIN": "00082617455381"}, "15": {"_addonCardone": "40-3006::98384:115309:510"}, "16": {"Eligible for R&amp;R Service": "Yes"}}</t>
        </is>
      </c>
      <c r="J287" t="inlineStr">
        <is>
          <t>https://www.cardone.com/product/windshield-wiper-motor-40-3006</t>
        </is>
      </c>
      <c r="K287">
        <f>DISPIMG("ID_8F2ED99D7BA04F23BF9909AD64EEB5DC",1)</f>
        <v/>
      </c>
      <c r="L287" t="inlineStr">
        <is>
          <t>CPCX|40-3006</t>
        </is>
      </c>
      <c r="M287" t="inlineStr">
        <is>
          <t>Wiper Motor; Instruction Sheet</t>
        </is>
      </c>
      <c r="N287" t="inlineStr">
        <is>
          <t>Yes</t>
        </is>
      </c>
      <c r="O287" t="inlineStr">
        <is>
          <t>Remanufactured</t>
        </is>
      </c>
      <c r="P287" t="inlineStr">
        <is>
          <t>5</t>
        </is>
      </c>
      <c r="Q287" t="inlineStr">
        <is>
          <t>Pin</t>
        </is>
      </c>
      <c r="R287" t="inlineStr">
        <is>
          <t>Direct Bolt</t>
        </is>
      </c>
      <c r="S287" t="inlineStr">
        <is>
          <t>3.5200</t>
        </is>
      </c>
      <c r="T287" t="inlineStr">
        <is>
          <t>No</t>
        </is>
      </c>
      <c r="U287" t="inlineStr">
        <is>
          <t>1 Year/18,000 Mile</t>
        </is>
      </c>
      <c r="V287" t="inlineStr">
        <is>
          <t>Yes</t>
        </is>
      </c>
      <c r="W287" t="inlineStr">
        <is>
          <t>Available to Order</t>
        </is>
      </c>
      <c r="X287" t="inlineStr">
        <is>
          <t>Chrysler Sebring 1997-95; Dodge Avenger 1997-95; Eagle Talon 1998-95; Mitsubishi Eclipse 1997-95</t>
        </is>
      </c>
      <c r="Y287" t="inlineStr">
        <is>
          <t>00082617455381</t>
        </is>
      </c>
      <c r="Z287" t="inlineStr">
        <is>
          <t>40-3006::98384:115309:510</t>
        </is>
      </c>
      <c r="AA287" t="inlineStr">
        <is>
          <t>Yes</t>
        </is>
      </c>
      <c r="AB287" t="inlineStr"/>
      <c r="AC287" t="inlineStr"/>
    </row>
    <row r="288">
      <c r="A288" t="inlineStr">
        <is>
          <t>287</t>
        </is>
      </c>
      <c r="B288" t="inlineStr">
        <is>
          <t>Windshield Wiper Motor</t>
        </is>
      </c>
      <c r="C288" t="inlineStr">
        <is>
          <t>40-3008</t>
        </is>
      </c>
      <c r="D288" t="inlineStr">
        <is>
          <t>Windshield Wiper Motor - 40-3008</t>
        </is>
      </c>
      <c r="E288" t="inlineStr">
        <is>
          <t>CARDONE Reman</t>
        </is>
      </c>
      <c r="F288" t="inlineStr">
        <is>
          <t>MB530290</t>
        </is>
      </c>
      <c r="G288" t="inlineStr">
        <is>
          <t>Eagle Talon 1990-1994
Plymouth Laser 1990-1994</t>
        </is>
      </c>
      <c r="H288" t="inlineStr">
        <is>
          <t>Eagle Talon 1990-1994 2L L4 122cid
Eagle Talon 1993-1994 1.8L L4 107cid
Plymouth Laser 1990-1994 1.8L L4 107cid
Plymouth Laser 1990-1994 2L L4 122cid</t>
        </is>
      </c>
      <c r="I288" t="inlineStr">
        <is>
          <t>{"0": {"productDeskExternalKey": "CPCX|40-3008"}, "1": {"Package Contents": "Wiper Motor; Instruction Sheet"}, "2": {"E-Waste": "Yes"}, "3": {"Product Condition": "Remanufactured"}, "4": {"Mounting Hole Quantity": "3"}, "5": {"Terminal Type": "Pin"}, "6": {"Mounting Type": "Eyelet"}, "7": {"Weight PG": "1.9400"}, "8": {"Washer Pump Included": "No"}, "9": {"Part Type": "Windshield Wiper Motor"}, "10": {"Warranty Info": "1 Year/18,000 Mile"}, "11": {"Sustainable Choice": "Yes"}, "12": {"Lifecycle Status": "Available to Order"}, "13": {"Application Summary": "Eagle Talon 1994-90; Mitsubishi Eclipse 1994-90; Plymouth Laser 1994-90"}, "14": {"ItemLevelGTIN": "00082617496148"}, "15": {"_addonCardone": "40-3008::98384:115316:510"}, "16": {"Eligible for R&amp;R Service": "Yes"}}</t>
        </is>
      </c>
      <c r="J288" t="inlineStr">
        <is>
          <t>https://www.cardone.com/product/windshield-wiper-motor-40-3008</t>
        </is>
      </c>
      <c r="K288">
        <f>DISPIMG("ID_DCB762892115423AB4DB96A6AED4D941",1)</f>
        <v/>
      </c>
      <c r="L288" t="inlineStr">
        <is>
          <t>CPCX|40-3008</t>
        </is>
      </c>
      <c r="M288" t="inlineStr">
        <is>
          <t>Wiper Motor; Instruction Sheet</t>
        </is>
      </c>
      <c r="N288" t="inlineStr">
        <is>
          <t>Yes</t>
        </is>
      </c>
      <c r="O288" t="inlineStr">
        <is>
          <t>Remanufactured</t>
        </is>
      </c>
      <c r="P288" t="inlineStr">
        <is>
          <t>3</t>
        </is>
      </c>
      <c r="Q288" t="inlineStr">
        <is>
          <t>Pin</t>
        </is>
      </c>
      <c r="R288" t="inlineStr">
        <is>
          <t>Eyelet</t>
        </is>
      </c>
      <c r="S288" t="inlineStr">
        <is>
          <t>1.9400</t>
        </is>
      </c>
      <c r="T288" t="inlineStr">
        <is>
          <t>No</t>
        </is>
      </c>
      <c r="U288" t="inlineStr">
        <is>
          <t>1 Year/18,000 Mile</t>
        </is>
      </c>
      <c r="V288" t="inlineStr">
        <is>
          <t>Yes</t>
        </is>
      </c>
      <c r="W288" t="inlineStr">
        <is>
          <t>Available to Order</t>
        </is>
      </c>
      <c r="X288" t="inlineStr">
        <is>
          <t>Eagle Talon 1994-90; Mitsubishi Eclipse 1994-90; Plymouth Laser 1994-90</t>
        </is>
      </c>
      <c r="Y288" t="inlineStr">
        <is>
          <t>00082617496148</t>
        </is>
      </c>
      <c r="Z288" t="inlineStr">
        <is>
          <t>40-3008::98384:115316:510</t>
        </is>
      </c>
      <c r="AA288" t="inlineStr">
        <is>
          <t>Yes</t>
        </is>
      </c>
      <c r="AB288" t="inlineStr"/>
      <c r="AC288" t="inlineStr"/>
    </row>
    <row r="289">
      <c r="A289" t="inlineStr">
        <is>
          <t>288</t>
        </is>
      </c>
      <c r="B289" t="inlineStr">
        <is>
          <t>Windshield Wiper Motor</t>
        </is>
      </c>
      <c r="C289" t="inlineStr">
        <is>
          <t>40-3009</t>
        </is>
      </c>
      <c r="D289" t="inlineStr">
        <is>
          <t>Windshield Wiper Motor - 40-3009</t>
        </is>
      </c>
      <c r="E289" t="inlineStr">
        <is>
          <t>CARDONE Reman</t>
        </is>
      </c>
      <c r="F289" t="inlineStr">
        <is>
          <t>55155046AD;55155046AE</t>
        </is>
      </c>
      <c r="G289" t="inlineStr">
        <is>
          <t>Dodge B1500 1998
Dodge B2500 1998
Dodge B3500 1998
Dodge Ram 1500 Van 1999-2003
Dodge Ram 2500 Van 1999-2003
Dodge Ram 3500 Van 1999-2003</t>
        </is>
      </c>
      <c r="H289" t="inlineStr">
        <is>
          <t>Dodge B1500 1998 3.9L V6 239cid
Dodge B1500 1998 5.2L V8 318cid
Dodge B1500 1998 5.9L V8 360cid
Dodge B2500 1998 5.2L V8 318cid
Dodge B2500 1998 5.9L V8 360cid
Dodge B3500 1998 5.2L V8 318cid
Dodge B3500 1998 5.9L V8 360cid
Dodge Ram 1500 Van 1999-2003 3.9L V6 239cid
Dodge Ram 1500 Van 1999-2003 5.2L V8 318cid
Dodge Ram 1500 Van 1999-2003 5.9L V8 360cid
Dodge Ram 2500 Van 1999-2003 5.2L V8 318cid
Dodge Ram 2500 Van 1999-2003 5.9L V8 360cid
Dodge Ram 2500 Van 2001 3.9L V6 239cid
Dodge Ram 3500 Van 1999-2003 5.2L V8 318cid
Dodge Ram 3500 Van 1999-2003 5.9L V8 360cid</t>
        </is>
      </c>
      <c r="I289" t="inlineStr">
        <is>
          <t>{"0": {"productDeskExternalKey": "CPCX|40-3009"}, "1": {"Package Contents": "Wiper Motor; Instruction Sheet"}, "2": {"E-Waste": "Yes"}, "3": {"Product Condition": "Remanufactured"}, "4": {"Mounting Hole Quantity": "3"}, "5": {"Terminal Type": "Blade"}, "6": {"Mounting Type": "Direct Bolt"}, "7": {"Weight PG": "3.1000"}, "8": {"Washer Pump Included": "No"}, "9": {"Part Type": "Windshield Wiper Motor"}, "10": {"Warranty Info": "1 Year/18,000 Mile"}, "11": {"Sustainable Choice": "Yes"}, "12": {"Lifecycle Status": "Available to Order"}, "13": {"Application Summary": "Dodge B1500 1998, B2500 1998, B3500 1998, Ram 1500 Van 2003-99, Ram 2500 Van 2003-99, Ram 3500 Van 2003-99"}, "14": {"ItemLevelGTIN": "00082617513210"}, "15": {"_addonCardone": "40-3009::98384:115324:510"}, "16": {"Eligible for R&amp;R Service": "Yes"}}</t>
        </is>
      </c>
      <c r="J289" t="inlineStr">
        <is>
          <t>https://www.cardone.com/product/windshield-wiper-motor-40-3009</t>
        </is>
      </c>
      <c r="K289">
        <f>DISPIMG("ID_6E5BFD4E0A5C4CFEB9105547D93FA479",1)</f>
        <v/>
      </c>
      <c r="L289" t="inlineStr">
        <is>
          <t>CPCX|40-3009</t>
        </is>
      </c>
      <c r="M289" t="inlineStr">
        <is>
          <t>Wiper Motor; Instruction Sheet</t>
        </is>
      </c>
      <c r="N289" t="inlineStr">
        <is>
          <t>Yes</t>
        </is>
      </c>
      <c r="O289" t="inlineStr">
        <is>
          <t>Remanufactured</t>
        </is>
      </c>
      <c r="P289" t="inlineStr">
        <is>
          <t>3</t>
        </is>
      </c>
      <c r="Q289" t="inlineStr">
        <is>
          <t>Blade</t>
        </is>
      </c>
      <c r="R289" t="inlineStr">
        <is>
          <t>Direct Bolt</t>
        </is>
      </c>
      <c r="S289" t="inlineStr">
        <is>
          <t>3.1000</t>
        </is>
      </c>
      <c r="T289" t="inlineStr">
        <is>
          <t>No</t>
        </is>
      </c>
      <c r="U289" t="inlineStr">
        <is>
          <t>1 Year/18,000 Mile</t>
        </is>
      </c>
      <c r="V289" t="inlineStr">
        <is>
          <t>Yes</t>
        </is>
      </c>
      <c r="W289" t="inlineStr">
        <is>
          <t>Available to Order</t>
        </is>
      </c>
      <c r="X289" t="inlineStr">
        <is>
          <t>Dodge B1500 1998, B2500 1998, B3500 1998, Ram 1500 Van 2003-99, Ram 2500 Van 2003-99, Ram 3500 Van 2003-99</t>
        </is>
      </c>
      <c r="Y289" t="inlineStr">
        <is>
          <t>00082617513210</t>
        </is>
      </c>
      <c r="Z289" t="inlineStr">
        <is>
          <t>40-3009::98384:115324:510</t>
        </is>
      </c>
      <c r="AA289" t="inlineStr">
        <is>
          <t>Yes</t>
        </is>
      </c>
      <c r="AB289" t="inlineStr"/>
      <c r="AC289" t="inlineStr"/>
    </row>
    <row r="290">
      <c r="A290" t="inlineStr">
        <is>
          <t>289</t>
        </is>
      </c>
      <c r="B290" t="inlineStr">
        <is>
          <t>Windshield Wiper Motor</t>
        </is>
      </c>
      <c r="C290" t="inlineStr">
        <is>
          <t>40-3010</t>
        </is>
      </c>
      <c r="D290" t="inlineStr">
        <is>
          <t>Windshield Wiper Motor - 40-3010</t>
        </is>
      </c>
      <c r="E290" t="inlineStr">
        <is>
          <t>CARDONE Reman</t>
        </is>
      </c>
      <c r="F290" t="inlineStr">
        <is>
          <t>5014790AA;5011390AA</t>
        </is>
      </c>
      <c r="G290" t="inlineStr">
        <is>
          <t>Dodge Neon 1998-2005
Dodge SX 2.0 2003-2005
Plymouth Neon 1998-2001</t>
        </is>
      </c>
      <c r="H290" t="inlineStr">
        <is>
          <t>Dodge Neon 1998-2005 2L L4 122cid
Dodge Neon 2003-2005 2.4L L4 148cid
Dodge SX 2.0 2003-2005 2L L4 122cid
Plymouth Neon 1998-2001 2L L4 122cid</t>
        </is>
      </c>
      <c r="I290" t="inlineStr">
        <is>
          <t>{"0": {"productDeskExternalKey": "CPCX|40-3010"},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"Dodge Neon 2005-98, SX 2.0 2005-03; Plymouth Neon 2001-98"}, "14": {"ItemLevelGTIN": "00082617559430"}, "15": {"_addonCardone": "40-3010::98384:115330:510"}, "16": {"Eligible for R&amp;R Service": "Yes"}}</t>
        </is>
      </c>
      <c r="J290" t="inlineStr">
        <is>
          <t>https://www.cardone.com/product/windshield-wiper-motor-40-3010</t>
        </is>
      </c>
      <c r="K290">
        <f>DISPIMG("ID_AA841164CCA448F7921A0FDD34AB4905",1)</f>
        <v/>
      </c>
      <c r="L290" t="inlineStr">
        <is>
          <t>CPCX|40-3010</t>
        </is>
      </c>
      <c r="M290" t="inlineStr">
        <is>
          <t>Wiper Motor; Instruction Sheet</t>
        </is>
      </c>
      <c r="N290" t="inlineStr">
        <is>
          <t>Yes</t>
        </is>
      </c>
      <c r="O290" t="inlineStr">
        <is>
          <t>Remanufactured</t>
        </is>
      </c>
      <c r="P290" t="inlineStr">
        <is>
          <t>3</t>
        </is>
      </c>
      <c r="Q290" t="inlineStr">
        <is>
          <t>Blade</t>
        </is>
      </c>
      <c r="R290" t="inlineStr">
        <is>
          <t>Direct Bolt</t>
        </is>
      </c>
      <c r="S290" t="inlineStr">
        <is>
          <t>3.0000</t>
        </is>
      </c>
      <c r="T290" t="inlineStr">
        <is>
          <t>No</t>
        </is>
      </c>
      <c r="U290" t="inlineStr">
        <is>
          <t>1 Year/18,000 Mile</t>
        </is>
      </c>
      <c r="V290" t="inlineStr">
        <is>
          <t>Yes</t>
        </is>
      </c>
      <c r="W290" t="inlineStr">
        <is>
          <t>Available to Order</t>
        </is>
      </c>
      <c r="X290" t="inlineStr">
        <is>
          <t>Dodge Neon 2005-98, SX 2.0 2005-03; Plymouth Neon 2001-98</t>
        </is>
      </c>
      <c r="Y290" t="inlineStr">
        <is>
          <t>00082617559430</t>
        </is>
      </c>
      <c r="Z290" t="inlineStr">
        <is>
          <t>40-3010::98384:115330:510</t>
        </is>
      </c>
      <c r="AA290" t="inlineStr">
        <is>
          <t>Yes</t>
        </is>
      </c>
      <c r="AB290" t="inlineStr"/>
      <c r="AC290" t="inlineStr"/>
    </row>
    <row r="291">
      <c r="A291" t="inlineStr">
        <is>
          <t>290</t>
        </is>
      </c>
      <c r="B291" t="inlineStr">
        <is>
          <t>Windshield Wiper Motor</t>
        </is>
      </c>
      <c r="C291" t="inlineStr">
        <is>
          <t>40-3012</t>
        </is>
      </c>
      <c r="D291" t="inlineStr">
        <is>
          <t>Windshield Wiper Motor - 40-3012</t>
        </is>
      </c>
      <c r="E291" t="inlineStr">
        <is>
          <t>CARDONE Reman</t>
        </is>
      </c>
      <c r="F291" t="inlineStr">
        <is>
          <t>5018450AA</t>
        </is>
      </c>
      <c r="G291" t="inlineStr">
        <is>
          <t>Chrysler PT Cruiser 2001-2004</t>
        </is>
      </c>
      <c r="H291" t="inlineStr">
        <is>
          <t>Chrysler PT Cruiser 2001-2004 2.4L L4 148cid</t>
        </is>
      </c>
      <c r="I291" t="inlineStr">
        <is>
          <t>{"0": {"productDeskExternalKey": "CPCX|40-3012"}, "1": {"Package Contents": "Wiper Motor; Instruction Sheet"}, "2": {"E-Waste": "Yes"}, "3": {"Product Condition": "Remanufactured"}, "4": {"Mounting Hole Quantity": "3"}, "5": {"Terminal Type": "Blade"}, "6": {"Mounting Type": "Direct Bolt"}, "7": {"Weight PG": "2.8000"}, "8": {"Washer Pump Included": "No"}, "9": {"Part Type": "Windshield Wiper Motor"}, "10": {"Warranty Info": "1 Year/18,000 Mile"}, "11": {"Sustainable Choice": "Yes"}, "12": {"Lifecycle Status": "Available to Order"}, "13": {"Application Summary": "Chrysler PT Cruiser 2004-01"}, "14": {"ItemLevelGTIN": "00082617559454"}, "15": {"_addonCardone": "40-3012::98384:115338:510"}, "16": {"Eligible for R&amp;R Service": "Yes"}}</t>
        </is>
      </c>
      <c r="J291" t="inlineStr">
        <is>
          <t>https://www.cardone.com/product/windshield-wiper-motor-40-3012</t>
        </is>
      </c>
      <c r="K291">
        <f>DISPIMG("ID_61D90FABA0EE45F382BAF94ACF88D7FA",1)</f>
        <v/>
      </c>
      <c r="L291" t="inlineStr">
        <is>
          <t>CPCX|40-3012</t>
        </is>
      </c>
      <c r="M291" t="inlineStr">
        <is>
          <t>Wiper Motor; Instruction Sheet</t>
        </is>
      </c>
      <c r="N291" t="inlineStr">
        <is>
          <t>Yes</t>
        </is>
      </c>
      <c r="O291" t="inlineStr">
        <is>
          <t>Remanufactured</t>
        </is>
      </c>
      <c r="P291" t="inlineStr">
        <is>
          <t>3</t>
        </is>
      </c>
      <c r="Q291" t="inlineStr">
        <is>
          <t>Blade</t>
        </is>
      </c>
      <c r="R291" t="inlineStr">
        <is>
          <t>Direct Bolt</t>
        </is>
      </c>
      <c r="S291" t="inlineStr">
        <is>
          <t>2.8000</t>
        </is>
      </c>
      <c r="T291" t="inlineStr">
        <is>
          <t>No</t>
        </is>
      </c>
      <c r="U291" t="inlineStr">
        <is>
          <t>1 Year/18,000 Mile</t>
        </is>
      </c>
      <c r="V291" t="inlineStr">
        <is>
          <t>Yes</t>
        </is>
      </c>
      <c r="W291" t="inlineStr">
        <is>
          <t>Available to Order</t>
        </is>
      </c>
      <c r="X291" t="inlineStr">
        <is>
          <t>Chrysler PT Cruiser 2004-01</t>
        </is>
      </c>
      <c r="Y291" t="inlineStr">
        <is>
          <t>00082617559454</t>
        </is>
      </c>
      <c r="Z291" t="inlineStr">
        <is>
          <t>40-3012::98384:115338:510</t>
        </is>
      </c>
      <c r="AA291" t="inlineStr">
        <is>
          <t>Yes</t>
        </is>
      </c>
      <c r="AB291" t="inlineStr"/>
      <c r="AC291" t="inlineStr"/>
    </row>
    <row r="292">
      <c r="A292" t="inlineStr">
        <is>
          <t>291</t>
        </is>
      </c>
      <c r="B292" t="inlineStr">
        <is>
          <t>Windshield Wiper Motor</t>
        </is>
      </c>
      <c r="C292" t="inlineStr">
        <is>
          <t>40-3013</t>
        </is>
      </c>
      <c r="D292" t="inlineStr">
        <is>
          <t>Windshield Wiper Motor - 40-3013</t>
        </is>
      </c>
      <c r="E292" t="inlineStr">
        <is>
          <t>CARDONE Reman</t>
        </is>
      </c>
      <c r="F292" t="inlineStr">
        <is>
          <t>5011199AB</t>
        </is>
      </c>
      <c r="G292" t="inlineStr">
        <is>
          <t>Chrysler 300M 1999-2004
Chrysler Concorde 1998-2004
Chrysler Intrepid 1998-2004
Chrysler LHS 1999-2001
Dodge Intrepid 1998-2004</t>
        </is>
      </c>
      <c r="H292" t="inlineStr">
        <is>
          <t>Chrysler 300M 1999-2004 3.5L V6 215cid
Chrysler Concorde 1998-2001 3.2L V6 197cid
Chrysler Concorde 1998-2004 2.7L V6 167cid
Chrysler Concorde 2002-2004 3.5L V6 215cid
Chrysler Intrepid 1998-2001 3.2L V6 197cid
Chrysler Intrepid 1998-2004 2.7L V6 167cid
Chrysler Intrepid 2000-2004 3.5L V6 215cid
Chrysler LHS 1999-2001 3.5L V6 215cid
Dodge Intrepid 1998-2001 3.2L V6 197cid
Dodge Intrepid 1998-2004 2.7L V6 167cid
Dodge Intrepid 2000-2004 3.5L V6 215cid</t>
        </is>
      </c>
      <c r="I292" t="inlineStr">
        <is>
          <t>{"0": {"productDeskExternalKey": "CPCX|40-3013"}, "1": {"Package Contents": "Wiper Motor; Instruction Sheet"}, "2": {"E-Waste": "Yes"}, "3": {"Product Condition": "Remanufactured"}, "4": {"Mounting Hole Quantity": "3"}, "5": {"Terminal Type": "Blade"}, "6": {"Mounting Type": "Direct Bolt"}, "7": {"Weight PG": "2.9000"}, "8": {"Washer Pump Included": "No"}, "9": {"Part Type": "Windshield Wiper Motor"}, "10": {"Warranty Info": "1 Year/18,000 Mile"}, "11": {"Sustainable Choice": "Yes"}, "12": {"Lifecycle Status": "Available to Order"}, "13": {"Application Summary": "Chrysler 300M 2004-99, Concorde 2004-98, Intrepid 2004-98, LHS 2001-99; Dodge Intrepid 2004-98"}, "14": {"ItemLevelGTIN": "00082617566667"}, "15": {"_addonCardone": "40-3013::98384:115346:510"}, "16": {"Eligible for R&amp;R Service": "Yes"}}</t>
        </is>
      </c>
      <c r="J292" t="inlineStr">
        <is>
          <t>https://www.cardone.com/product/windshield-wiper-motor-40-3013</t>
        </is>
      </c>
      <c r="K292">
        <f>DISPIMG("ID_4D046574223D4BDE8751BDAA47555438",1)</f>
        <v/>
      </c>
      <c r="L292" t="inlineStr">
        <is>
          <t>CPCX|40-3013</t>
        </is>
      </c>
      <c r="M292" t="inlineStr">
        <is>
          <t>Wiper Motor; Instruction Sheet</t>
        </is>
      </c>
      <c r="N292" t="inlineStr">
        <is>
          <t>Yes</t>
        </is>
      </c>
      <c r="O292" t="inlineStr">
        <is>
          <t>Remanufactured</t>
        </is>
      </c>
      <c r="P292" t="inlineStr">
        <is>
          <t>3</t>
        </is>
      </c>
      <c r="Q292" t="inlineStr">
        <is>
          <t>Blade</t>
        </is>
      </c>
      <c r="R292" t="inlineStr">
        <is>
          <t>Direct Bolt</t>
        </is>
      </c>
      <c r="S292" t="inlineStr">
        <is>
          <t>2.9000</t>
        </is>
      </c>
      <c r="T292" t="inlineStr">
        <is>
          <t>No</t>
        </is>
      </c>
      <c r="U292" t="inlineStr">
        <is>
          <t>1 Year/18,000 Mile</t>
        </is>
      </c>
      <c r="V292" t="inlineStr">
        <is>
          <t>Yes</t>
        </is>
      </c>
      <c r="W292" t="inlineStr">
        <is>
          <t>Available to Order</t>
        </is>
      </c>
      <c r="X292" t="inlineStr">
        <is>
          <t>Chrysler 300M 2004-99, Concorde 2004-98, Intrepid 2004-98, LHS 2001-99; Dodge Intrepid 2004-98</t>
        </is>
      </c>
      <c r="Y292" t="inlineStr">
        <is>
          <t>00082617566667</t>
        </is>
      </c>
      <c r="Z292" t="inlineStr">
        <is>
          <t>40-3013::98384:115346:510</t>
        </is>
      </c>
      <c r="AA292" t="inlineStr">
        <is>
          <t>Yes</t>
        </is>
      </c>
      <c r="AB292" t="inlineStr"/>
      <c r="AC292" t="inlineStr"/>
    </row>
    <row r="293">
      <c r="A293" t="inlineStr">
        <is>
          <t>292</t>
        </is>
      </c>
      <c r="B293" t="inlineStr">
        <is>
          <t>Windshield Wiper Motor</t>
        </is>
      </c>
      <c r="C293" t="inlineStr">
        <is>
          <t>40-3014</t>
        </is>
      </c>
      <c r="D293" t="inlineStr">
        <is>
          <t>Windshield Wiper Motor - 40-3014</t>
        </is>
      </c>
      <c r="E293" t="inlineStr">
        <is>
          <t>CARDONE Reman</t>
        </is>
      </c>
      <c r="F293" t="inlineStr">
        <is>
          <t>55076648</t>
        </is>
      </c>
      <c r="G293" t="inlineStr">
        <is>
          <t>Dodge Durango 1998-2000</t>
        </is>
      </c>
      <c r="H293" t="inlineStr">
        <is>
          <t>Dodge Durango 1998-1999 3.9L V6 239cid
Dodge Durango 1998-2000 5.2L V8 318cid
Dodge Durango 1998-2000 5.9L V8 360cid
Dodge Durango 2000 4.7L V8 287cid</t>
        </is>
      </c>
      <c r="I293" t="inlineStr">
        <is>
          <t>{"0": {"productDeskExternalKey": "CPCX|40-3014"}, "1": {"Package Contents": "Wiper Motor; Instruction Sheet"}, "2": {"E-Waste": "Yes"}, "3": {"Product Condition": "Remanufactured"}, "4": {"Mounting Hole Quantity": "2"}, "5": {"Terminal Type": "Pin"}, "6": {"Mounting Type": "Grommet"}, "7": {"Weight PG": "3.3500"}, "8": {"Washer Pump Included": "No"}, "9": {"Part Type": "Windshield Wiper Motor"}, "10": {"Warranty Info": "1 Year/18,000 Mile"}, "11": {"Sustainable Choice": "Yes"}, "12": {"Lifecycle Status": "Available to Order"}, "13": {"Application Summary": "Dodge Durango 2000-98"}, "14": {"ItemLevelGTIN": "00082617566674"}, "15": {"_addonCardone": "40-3014::98384:115353:510"}, "16": {"Eligible for R&amp;R Service": "Yes"}}</t>
        </is>
      </c>
      <c r="J293" t="inlineStr">
        <is>
          <t>https://www.cardone.com/product/windshield-wiper-motor-40-3014</t>
        </is>
      </c>
      <c r="K293">
        <f>DISPIMG("ID_1D3A8799C23542ADB85EEE0DE8BB0DF2",1)</f>
        <v/>
      </c>
      <c r="L293" t="inlineStr">
        <is>
          <t>CPCX|40-3014</t>
        </is>
      </c>
      <c r="M293" t="inlineStr">
        <is>
          <t>Wiper Motor; Instruction Sheet</t>
        </is>
      </c>
      <c r="N293" t="inlineStr">
        <is>
          <t>Yes</t>
        </is>
      </c>
      <c r="O293" t="inlineStr">
        <is>
          <t>Remanufactured</t>
        </is>
      </c>
      <c r="P293" t="inlineStr">
        <is>
          <t>2</t>
        </is>
      </c>
      <c r="Q293" t="inlineStr">
        <is>
          <t>Pin</t>
        </is>
      </c>
      <c r="R293" t="inlineStr">
        <is>
          <t>Grommet</t>
        </is>
      </c>
      <c r="S293" t="inlineStr">
        <is>
          <t>3.3500</t>
        </is>
      </c>
      <c r="T293" t="inlineStr">
        <is>
          <t>No</t>
        </is>
      </c>
      <c r="U293" t="inlineStr">
        <is>
          <t>1 Year/18,000 Mile</t>
        </is>
      </c>
      <c r="V293" t="inlineStr">
        <is>
          <t>Yes</t>
        </is>
      </c>
      <c r="W293" t="inlineStr">
        <is>
          <t>Available to Order</t>
        </is>
      </c>
      <c r="X293" t="inlineStr">
        <is>
          <t>Dodge Durango 2000-98</t>
        </is>
      </c>
      <c r="Y293" t="inlineStr">
        <is>
          <t>00082617566674</t>
        </is>
      </c>
      <c r="Z293" t="inlineStr">
        <is>
          <t>40-3014::98384:115353:510</t>
        </is>
      </c>
      <c r="AA293" t="inlineStr">
        <is>
          <t>Yes</t>
        </is>
      </c>
      <c r="AB293" t="inlineStr"/>
      <c r="AC293" t="inlineStr"/>
    </row>
    <row r="294">
      <c r="A294" t="inlineStr">
        <is>
          <t>293</t>
        </is>
      </c>
      <c r="B294" t="inlineStr">
        <is>
          <t>Windshield Wiper Motor</t>
        </is>
      </c>
      <c r="C294" t="inlineStr">
        <is>
          <t>40-3015</t>
        </is>
      </c>
      <c r="D294" t="inlineStr">
        <is>
          <t>Windshield Wiper Motor - 40-3015</t>
        </is>
      </c>
      <c r="E294" t="inlineStr">
        <is>
          <t>CARDONE Reman</t>
        </is>
      </c>
      <c r="F294" t="inlineStr">
        <is>
          <t>5012170AA</t>
        </is>
      </c>
      <c r="G294" t="inlineStr">
        <is>
          <t>Chrysler Cirrus 1998-2000
Chrysler Sebring 1998-2000
Dodge Stratus 1998-2000
Plymouth Breeze 2000</t>
        </is>
      </c>
      <c r="H294" t="inlineStr">
        <is>
          <t>Chrysler Cirrus 1998-2000 2.5L V6 152cid
Chrysler Cirrus 1999-2000 2.4L L4 148cid
Chrysler Cirrus 2000 2L L4 122cid
Chrysler Sebring 1998 2.4L L4 148cid
Chrysler Sebring 1998-2000 2.5L V6 152cid
Dodge Stratus 1998-2000 2.4L L4 148cid
Dodge Stratus 1998-2000 2.5L V6 152cid
Dodge Stratus 1998-2000 2L L4 122cid
Plymouth Breeze 2000 2.4L L4 148cid
Plymouth Breeze 2000 2L L4 122cid</t>
        </is>
      </c>
      <c r="I294" t="inlineStr">
        <is>
          <t>{"0": {"productDeskExternalKey": "CPCX|40-3015"}, "1": {"Package Contents": "Wiper Motor; Instruction Sheet"}, "2": {"E-Waste": "Yes"}, "3": {"Product Condition": "Remanufactured"}, "4": {"Mounting Hole Quantity": "3"}, "5": {"Terminal Type": "Pin"}, "6": {"Mounting Type": "Direct Bolt"}, "7": {"Weight PG": "3.7000"}, "8": {"Washer Pump Included": "No"}, "9": {"Part Type": "Windshield Wiper Motor"}, "10": {"Warranty Info": "1 Year/18,000 Mile"}, "11": {"Sustainable Choice": "Yes"}, "12": {"Lifecycle Status": "Available to Order"}, "13": {"Application Summary": "Chrysler Cirrus 2000-98, Sebring 2000-98; Dodge Stratus 2000-98; Plymouth Breeze 2000"}, "14": {"ItemLevelGTIN": "00082617587662"}, "15": {"_addonCardone": "40-3015::98384:115361:510"}, "16": {"Eligible for R&amp;R Service": "Yes"}}</t>
        </is>
      </c>
      <c r="J294" t="inlineStr">
        <is>
          <t>https://www.cardone.com/product/windshield-wiper-motor-40-3015</t>
        </is>
      </c>
      <c r="K294">
        <f>DISPIMG("ID_EFB1FA058C254281A889958E5213B479",1)</f>
        <v/>
      </c>
      <c r="L294" t="inlineStr">
        <is>
          <t>CPCX|40-3015</t>
        </is>
      </c>
      <c r="M294" t="inlineStr">
        <is>
          <t>Wiper Motor; Instruction Sheet</t>
        </is>
      </c>
      <c r="N294" t="inlineStr">
        <is>
          <t>Yes</t>
        </is>
      </c>
      <c r="O294" t="inlineStr">
        <is>
          <t>Remanufactured</t>
        </is>
      </c>
      <c r="P294" t="inlineStr">
        <is>
          <t>3</t>
        </is>
      </c>
      <c r="Q294" t="inlineStr">
        <is>
          <t>Pin</t>
        </is>
      </c>
      <c r="R294" t="inlineStr">
        <is>
          <t>Direct Bolt</t>
        </is>
      </c>
      <c r="S294" t="inlineStr">
        <is>
          <t>3.7000</t>
        </is>
      </c>
      <c r="T294" t="inlineStr">
        <is>
          <t>No</t>
        </is>
      </c>
      <c r="U294" t="inlineStr">
        <is>
          <t>1 Year/18,000 Mile</t>
        </is>
      </c>
      <c r="V294" t="inlineStr">
        <is>
          <t>Yes</t>
        </is>
      </c>
      <c r="W294" t="inlineStr">
        <is>
          <t>Available to Order</t>
        </is>
      </c>
      <c r="X294" t="inlineStr">
        <is>
          <t>Chrysler Cirrus 2000-98, Sebring 2000-98; Dodge Stratus 2000-98; Plymouth Breeze 2000</t>
        </is>
      </c>
      <c r="Y294" t="inlineStr">
        <is>
          <t>00082617587662</t>
        </is>
      </c>
      <c r="Z294" t="inlineStr">
        <is>
          <t>40-3015::98384:115361:510</t>
        </is>
      </c>
      <c r="AA294" t="inlineStr">
        <is>
          <t>Yes</t>
        </is>
      </c>
      <c r="AB294" t="inlineStr"/>
      <c r="AC294" t="inlineStr"/>
    </row>
    <row r="295">
      <c r="A295" t="inlineStr">
        <is>
          <t>294</t>
        </is>
      </c>
      <c r="B295" t="inlineStr">
        <is>
          <t>Windshield Wiper Motor</t>
        </is>
      </c>
      <c r="C295" t="inlineStr">
        <is>
          <t>40-3016L</t>
        </is>
      </c>
      <c r="D295" t="inlineStr">
        <is>
          <t>Windshield Wiper Motor - 40-3016L</t>
        </is>
      </c>
      <c r="E295" t="inlineStr">
        <is>
          <t>CARDONE Reman</t>
        </is>
      </c>
      <c r="F295" t="inlineStr">
        <is>
          <t>5018657AA</t>
        </is>
      </c>
      <c r="G295" t="inlineStr">
        <is>
          <t>Chrysler Grand Voyager 2001-2002
Chrysler Town &amp; Country 2001-2003
Chrysler Voyager 2001-2003
Dodge Caravan 2001-2003
Dodge Grand Caravan 2001-2003</t>
        </is>
      </c>
      <c r="H295" t="inlineStr">
        <is>
          <t>Chrysler Grand Voyager 2001-2002 3.8L V6 231cid
Chrysler Town &amp; Country 2001-2003 3.3L V6 201cid
Chrysler Town &amp; Country 2001-2003 3.8L V6 231cid
Chrysler Voyager 2001-2003 2.4L L4 148cid
Chrysler Voyager 2001-2003 3.3L V6 201cid
Dodge Caravan 2001-2003 2.4L L4 148cid
Dodge Caravan 2001-2003 3.3L V6 201cid
Dodge Grand Caravan 2001-2003 3.3L V6 201cid
Dodge Grand Caravan 2001-2003 3.8L V6 231cid</t>
        </is>
      </c>
      <c r="I295" t="inlineStr">
        <is>
          <t>{"0": {"productDeskExternalKey": "CPCX|40-3016L"}, "1": {"Package Contents": "Wiper Motor; Instruction Sheet"}, "2": {"E-Waste": "Yes"}, "3": {"Product Condition": "Remanufactured"}, "4": {"Mounting Hole Quantity": "4"}, "5": {"Terminal Type": "Blade"}, "6": {"Mounting Type": "Grommet"}, "7": {"Weight PG": "7.5000"}, "8": {"Washer Pump Included": "No"}, "9": {"Part Type": "Windshield Wiper Motor"}, "10": {"Warranty Info": "1 Year/18,000 Mile"}, "11": {"Sustainable Choice": "Yes"}, "12": {"Lifecycle Status": "Available to Order"}, "13": {"Application Summary": "Chrysler Grand Voyager 2002-01, Town &amp; Country 2003-01, Voyager 2003-01; Dodge Caravan 2003-01, Grand Caravan 2003-01"}, "14": {"ItemLevelGTIN": "00082617607872"}, "15": {"_addonCardone": "40-3016L::98384:115367:510"}, "16": {"Eligible for R&amp;R Service": "Yes"}}</t>
        </is>
      </c>
      <c r="J295" t="inlineStr">
        <is>
          <t>https://www.cardone.com/product/windshield-wiper-motor-40-3016l</t>
        </is>
      </c>
      <c r="K295">
        <f>DISPIMG("ID_309E44393F0D429291B7A6AFFC6B84D2",1)</f>
        <v/>
      </c>
      <c r="L295" t="inlineStr">
        <is>
          <t>CPCX|40-3016L</t>
        </is>
      </c>
      <c r="M295" t="inlineStr">
        <is>
          <t>Wiper Motor; Instruction Sheet</t>
        </is>
      </c>
      <c r="N295" t="inlineStr">
        <is>
          <t>Yes</t>
        </is>
      </c>
      <c r="O295" t="inlineStr">
        <is>
          <t>Remanufactured</t>
        </is>
      </c>
      <c r="P295" t="inlineStr">
        <is>
          <t>4</t>
        </is>
      </c>
      <c r="Q295" t="inlineStr">
        <is>
          <t>Blade</t>
        </is>
      </c>
      <c r="R295" t="inlineStr">
        <is>
          <t>Grommet</t>
        </is>
      </c>
      <c r="S295" t="inlineStr">
        <is>
          <t>7.5000</t>
        </is>
      </c>
      <c r="T295" t="inlineStr">
        <is>
          <t>No</t>
        </is>
      </c>
      <c r="U295" t="inlineStr">
        <is>
          <t>1 Year/18,000 Mile</t>
        </is>
      </c>
      <c r="V295" t="inlineStr">
        <is>
          <t>Yes</t>
        </is>
      </c>
      <c r="W295" t="inlineStr">
        <is>
          <t>Available to Order</t>
        </is>
      </c>
      <c r="X295" t="inlineStr">
        <is>
          <t>Chrysler Grand Voyager 2002-01, Town &amp; Country 2003-01, Voyager 2003-01; Dodge Caravan 2003-01, Grand Caravan 2003-01</t>
        </is>
      </c>
      <c r="Y295" t="inlineStr">
        <is>
          <t>00082617607872</t>
        </is>
      </c>
      <c r="Z295" t="inlineStr">
        <is>
          <t>40-3016L::98384:115367:510</t>
        </is>
      </c>
      <c r="AA295" t="inlineStr">
        <is>
          <t>Yes</t>
        </is>
      </c>
      <c r="AB295" t="inlineStr"/>
      <c r="AC295" t="inlineStr"/>
    </row>
    <row r="296">
      <c r="A296" t="inlineStr">
        <is>
          <t>295</t>
        </is>
      </c>
      <c r="B296" t="inlineStr">
        <is>
          <t>Windshield Wiper Motor</t>
        </is>
      </c>
      <c r="C296" t="inlineStr">
        <is>
          <t>40-3017L</t>
        </is>
      </c>
      <c r="D296" t="inlineStr">
        <is>
          <t>Windshield Wiper Motor - 40-3017L</t>
        </is>
      </c>
      <c r="E296" t="inlineStr">
        <is>
          <t>CARDONE Reman</t>
        </is>
      </c>
      <c r="F296" t="inlineStr">
        <is>
          <t>4805249AD;4805249AA;4805249AB</t>
        </is>
      </c>
      <c r="G296" t="inlineStr">
        <is>
          <t>Chrysler Cirrus 2001-2003
Chrysler Sebring 2001-2003
Dodge Stratus 2001-2004</t>
        </is>
      </c>
      <c r="H296" t="inlineStr">
        <is>
          <t>Chrysler Cirrus 2001-2003 2.4L L4 148cid
Chrysler Cirrus 2003 2.7L V6 167cid
Chrysler Sebring 2001-2003 2.4L L4 148cid
Chrysler Sebring 2001-2003 2.4L L4 2351cc
Chrysler Sebring 2001-2003 2.7L V6 167cid
Chrysler Sebring 2001-2003 3L V6 181cid
Dodge Stratus 2001-2004 2.4L L4 148cid
Dodge Stratus 2001-2004 2.4L L4 2351cc
Dodge Stratus 2001-2004 2.7L V6 167cid
Dodge Stratus 2001-2004 2L L4 122cid
Dodge Stratus 2001-2004 3L V6 181cid</t>
        </is>
      </c>
      <c r="I296" t="inlineStr">
        <is>
          <t>{"0": {"productDeskExternalKey": "CPCX|40-3017L"}, "1": {"Package Contents": "Wiper Motor; Instruction Sheet"}, "2": {"E-Waste": "Yes"}, "3": {"Product Condition": "Remanufactured"}, "4": {"Mounting Hole Quantity": "2"}, "5": {"Terminal Type": "Blade"}, "6": {"Mounting Type": "Grommet"}, "7": {"Weight PG": "7.5000"}, "8": {"Washer Pump Included": "No"}, "9": {"Part Type": "Windshield Wiper Motor"}, "10": {"Warranty Info": "1 Year/18,000 Mile"}, "11": {"Sustainable Choice": "Yes"}, "12": {"Lifecycle Status": "Available to Order"}, "13": {"Application Summary": "Chrysler Cirrus 2003-01, Sebring 2003-01; Dodge Stratus 2004-01"}, "14": {"ItemLevelGTIN": "00082617607889"}, "15": {"_addonCardone": "40-3017L::98384:115375:510"}, "16": {"Eligible for R&amp;R Service": "Yes"}}</t>
        </is>
      </c>
      <c r="J296" t="inlineStr">
        <is>
          <t>https://www.cardone.com/product/windshield-wiper-motor-40-3017l</t>
        </is>
      </c>
      <c r="K296">
        <f>DISPIMG("ID_39FB6A1968BC4858AAF69D260144AC48",1)</f>
        <v/>
      </c>
      <c r="L296" t="inlineStr">
        <is>
          <t>CPCX|40-3017L</t>
        </is>
      </c>
      <c r="M296" t="inlineStr">
        <is>
          <t>Wiper Motor; Instruction Sheet</t>
        </is>
      </c>
      <c r="N296" t="inlineStr">
        <is>
          <t>Yes</t>
        </is>
      </c>
      <c r="O296" t="inlineStr">
        <is>
          <t>Remanufactured</t>
        </is>
      </c>
      <c r="P296" t="inlineStr">
        <is>
          <t>2</t>
        </is>
      </c>
      <c r="Q296" t="inlineStr">
        <is>
          <t>Blade</t>
        </is>
      </c>
      <c r="R296" t="inlineStr">
        <is>
          <t>Grommet</t>
        </is>
      </c>
      <c r="S296" t="inlineStr">
        <is>
          <t>7.5000</t>
        </is>
      </c>
      <c r="T296" t="inlineStr">
        <is>
          <t>No</t>
        </is>
      </c>
      <c r="U296" t="inlineStr">
        <is>
          <t>1 Year/18,000 Mile</t>
        </is>
      </c>
      <c r="V296" t="inlineStr">
        <is>
          <t>Yes</t>
        </is>
      </c>
      <c r="W296" t="inlineStr">
        <is>
          <t>Available to Order</t>
        </is>
      </c>
      <c r="X296" t="inlineStr">
        <is>
          <t>Chrysler Cirrus 2003-01, Sebring 2003-01; Dodge Stratus 2004-01</t>
        </is>
      </c>
      <c r="Y296" t="inlineStr">
        <is>
          <t>00082617607889</t>
        </is>
      </c>
      <c r="Z296" t="inlineStr">
        <is>
          <t>40-3017L::98384:115375:510</t>
        </is>
      </c>
      <c r="AA296" t="inlineStr">
        <is>
          <t>Yes</t>
        </is>
      </c>
      <c r="AB296" t="inlineStr"/>
      <c r="AC296" t="inlineStr"/>
    </row>
    <row r="297">
      <c r="A297" t="inlineStr">
        <is>
          <t>296</t>
        </is>
      </c>
      <c r="B297" t="inlineStr">
        <is>
          <t>Windshield Wiper Motor</t>
        </is>
      </c>
      <c r="C297" t="inlineStr">
        <is>
          <t>40-3018</t>
        </is>
      </c>
      <c r="D297" t="inlineStr">
        <is>
          <t>Windshield Wiper Motor - 40-3018</t>
        </is>
      </c>
      <c r="E297" t="inlineStr">
        <is>
          <t>CARDONE Reman</t>
        </is>
      </c>
      <c r="F297" t="inlineStr">
        <is>
          <t>4717710AA;4717710AD;5018406AA</t>
        </is>
      </c>
      <c r="G297" t="inlineStr">
        <is>
          <t>Chrysler Grand Voyager 2001-2002
Chrysler PT Cruiser 2001-2003
Chrysler Town &amp; Country 2001-2003
Chrysler Voyager 2001-2003
Dodge Caravan 2001-2003
Dodge Grand Caravan 2001-2003</t>
        </is>
      </c>
      <c r="H297" t="inlineStr">
        <is>
          <t>Chrysler Grand Voyager 2001-2002 3.8L V6 231cid
Chrysler PT Cruiser 2001-2003 2.4L L4 148cid
Chrysler Town &amp; Country 2001-2003 3.3L V6 201cid
Chrysler Town &amp; Country 2001-2003 3.8L V6 231cid
Chrysler Voyager 2001-2003 2.4L L4 148cid
Chrysler Voyager 2001-2003 3.3L V6 201cid
Dodge Caravan 2001-2003 2.4L L4 148cid
Dodge Caravan 2001-2003 3.3L V6 201cid
Dodge Grand Caravan 2001-2003 3.3L V6 201cid
Dodge Grand Caravan 2001-2003 3.8L V6 231cid</t>
        </is>
      </c>
      <c r="I297" t="inlineStr">
        <is>
          <t>{"0": {"productDeskExternalKey": "CPCX|40-3018"}, "1": {"Package Contents": "Wiper Motor; Instruction Sheet"}, "2": {"E-Waste": "Yes"}, "3": {"Product Condition": "Remanufactured"}, "4": {"Mounting Hole Quantity": "3"}, "5": {"Terminal Type": "Blade"}, "6": {"Mounting Type": "Through Hole"}, "7": {"Weight PG": "2.7600"}, "8": {"Washer Pump Included": "No"}, "9": {"Part Type": "Windshield Wiper Motor"}, "10": {"Warranty Info": "1 Year/18,000 Mile"}, "11": {"Sustainable Choice": "Yes"}, "12": {"Lifecycle Status": "Available to Order"}, "13": {"Application Summary": "Chrysler Grand Voyager 2002-01, PT Cruiser 2003-01, Town &amp; Country 2003-01, Voyager 2003-01; Dodge Caravan 2003-01, Grand Caravan 2003-01"}, "14": {"ItemLevelGTIN": "00082617594790"}, "15": {"_addonCardone": "40-3018::98384:115382:510"}, "16": {"Eligible for R&amp;R Service": "Yes"}}</t>
        </is>
      </c>
      <c r="J297" t="inlineStr">
        <is>
          <t>https://www.cardone.com/product/windshield-wiper-motor-40-3018</t>
        </is>
      </c>
      <c r="K297">
        <f>DISPIMG("ID_44FFA89B8D2642FF89CC51B76AB3C9E6",1)</f>
        <v/>
      </c>
      <c r="L297" t="inlineStr">
        <is>
          <t>CPCX|40-3018</t>
        </is>
      </c>
      <c r="M297" t="inlineStr">
        <is>
          <t>Wiper Motor; Instruction Sheet</t>
        </is>
      </c>
      <c r="N297" t="inlineStr">
        <is>
          <t>Yes</t>
        </is>
      </c>
      <c r="O297" t="inlineStr">
        <is>
          <t>Remanufactured</t>
        </is>
      </c>
      <c r="P297" t="inlineStr">
        <is>
          <t>3</t>
        </is>
      </c>
      <c r="Q297" t="inlineStr">
        <is>
          <t>Blade</t>
        </is>
      </c>
      <c r="R297" t="inlineStr">
        <is>
          <t>Through Hole</t>
        </is>
      </c>
      <c r="S297" t="inlineStr">
        <is>
          <t>2.7600</t>
        </is>
      </c>
      <c r="T297" t="inlineStr">
        <is>
          <t>No</t>
        </is>
      </c>
      <c r="U297" t="inlineStr">
        <is>
          <t>1 Year/18,000 Mile</t>
        </is>
      </c>
      <c r="V297" t="inlineStr">
        <is>
          <t>Yes</t>
        </is>
      </c>
      <c r="W297" t="inlineStr">
        <is>
          <t>Available to Order</t>
        </is>
      </c>
      <c r="X297" t="inlineStr">
        <is>
          <t>Chrysler Grand Voyager 2002-01, PT Cruiser 2003-01, Town &amp; Country 2003-01, Voyager 2003-01; Dodge Caravan 2003-01, Grand Caravan 2003-01</t>
        </is>
      </c>
      <c r="Y297" t="inlineStr">
        <is>
          <t>00082617594790</t>
        </is>
      </c>
      <c r="Z297" t="inlineStr">
        <is>
          <t>40-3018::98384:115382:510</t>
        </is>
      </c>
      <c r="AA297" t="inlineStr">
        <is>
          <t>Yes</t>
        </is>
      </c>
      <c r="AB297" t="inlineStr"/>
      <c r="AC297" t="inlineStr"/>
    </row>
    <row r="298">
      <c r="A298" t="inlineStr">
        <is>
          <t>297</t>
        </is>
      </c>
      <c r="B298" t="inlineStr">
        <is>
          <t>Windshield Wiper Motor</t>
        </is>
      </c>
      <c r="C298" t="inlineStr">
        <is>
          <t>40-3019</t>
        </is>
      </c>
      <c r="D298" t="inlineStr">
        <is>
          <t>Windshield Wiper Motor - 40-3019</t>
        </is>
      </c>
      <c r="E298" t="inlineStr">
        <is>
          <t>CARDONE Reman</t>
        </is>
      </c>
      <c r="F298" t="inlineStr">
        <is>
          <t>55076648AB;55076648AD</t>
        </is>
      </c>
      <c r="G298" t="inlineStr">
        <is>
          <t>Dodge Durango 2001-2003</t>
        </is>
      </c>
      <c r="H298" t="inlineStr">
        <is>
          <t>Dodge Durango 2001-2003 4.7L V8 287cid
Dodge Durango 2001-2003 5.9L V8 360cid</t>
        </is>
      </c>
      <c r="I298" t="inlineStr">
        <is>
          <t>{"0": {"productDeskExternalKey": "CPCX|40-3019"}, "1": {"Package Contents": "Wiper Motor; Instruction Sheet"}, "2": {"E-Waste": "Yes"}, "3": {"Product Condition": "Remanufactured"}, "4": {"Mounting Hole Quantity": "3"}, "5": {"Terminal Type": "Pin"}, "6": {"Mounting Type": "Direct Bolt"}, "7": {"Weight PG": "2.5000"}, "8": {"Washer Pump Included": "No"}, "9": {"Part Type": "Windshield Wiper Motor"}, "10": {"Warranty Info": "1 Year/18,000 Mile"}, "11": {"Sustainable Choice": "Yes"}, "12": {"Lifecycle Status": "Available to Order"}, "13": {"Application Summary": "Dodge Durango 2003-01"}, "14": {"ItemLevelGTIN": "00082617594806"}, "15": {"_addonCardone": "40-3019::98384:115387:510"}, "16": {"Eligible for R&amp;R Service": "Yes"}}</t>
        </is>
      </c>
      <c r="J298" t="inlineStr">
        <is>
          <t>https://www.cardone.com/product/windshield-wiper-motor-40-3019</t>
        </is>
      </c>
      <c r="K298">
        <f>DISPIMG("ID_3B7ABEAC6D584357A834190E56D1EE0A",1)</f>
        <v/>
      </c>
      <c r="L298" t="inlineStr">
        <is>
          <t>CPCX|40-3019</t>
        </is>
      </c>
      <c r="M298" t="inlineStr">
        <is>
          <t>Wiper Motor; Instruction Sheet</t>
        </is>
      </c>
      <c r="N298" t="inlineStr">
        <is>
          <t>Yes</t>
        </is>
      </c>
      <c r="O298" t="inlineStr">
        <is>
          <t>Remanufactured</t>
        </is>
      </c>
      <c r="P298" t="inlineStr">
        <is>
          <t>3</t>
        </is>
      </c>
      <c r="Q298" t="inlineStr">
        <is>
          <t>Pin</t>
        </is>
      </c>
      <c r="R298" t="inlineStr">
        <is>
          <t>Direct Bolt</t>
        </is>
      </c>
      <c r="S298" t="inlineStr">
        <is>
          <t>2.5000</t>
        </is>
      </c>
      <c r="T298" t="inlineStr">
        <is>
          <t>No</t>
        </is>
      </c>
      <c r="U298" t="inlineStr">
        <is>
          <t>1 Year/18,000 Mile</t>
        </is>
      </c>
      <c r="V298" t="inlineStr">
        <is>
          <t>Yes</t>
        </is>
      </c>
      <c r="W298" t="inlineStr">
        <is>
          <t>Available to Order</t>
        </is>
      </c>
      <c r="X298" t="inlineStr">
        <is>
          <t>Dodge Durango 2003-01</t>
        </is>
      </c>
      <c r="Y298" t="inlineStr">
        <is>
          <t>00082617594806</t>
        </is>
      </c>
      <c r="Z298" t="inlineStr">
        <is>
          <t>40-3019::98384:115387:510</t>
        </is>
      </c>
      <c r="AA298" t="inlineStr">
        <is>
          <t>Yes</t>
        </is>
      </c>
      <c r="AB298" t="inlineStr"/>
      <c r="AC298" t="inlineStr"/>
    </row>
    <row r="299">
      <c r="A299" t="inlineStr">
        <is>
          <t>298</t>
        </is>
      </c>
      <c r="B299" t="inlineStr">
        <is>
          <t>Windshield Wiper Motor</t>
        </is>
      </c>
      <c r="C299" t="inlineStr">
        <is>
          <t>40-3021</t>
        </is>
      </c>
      <c r="D299" t="inlineStr">
        <is>
          <t>Windshield Wiper Motor - 40-3021</t>
        </is>
      </c>
      <c r="E299" t="inlineStr">
        <is>
          <t>CARDONE Reman</t>
        </is>
      </c>
      <c r="F299" t="inlineStr">
        <is>
          <t>4897761AA</t>
        </is>
      </c>
      <c r="G299" t="inlineStr">
        <is>
          <t>Chrysler Prowler 2001-2002
Plymouth Prowler 1997-2001</t>
        </is>
      </c>
      <c r="H299" t="inlineStr">
        <is>
          <t>Chrysler Prowler 2001-2002 3.5L V6 215cid
Plymouth Prowler 1997-2001 3.5L V6 215cid</t>
        </is>
      </c>
      <c r="I299" t="inlineStr">
        <is>
          <t>{"0": {"productDeskExternalKey": "CPCX|40-3021"},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"Chrysler Prowler 2002-01; Plymouth Prowler 2001-99 1997"}, "14": {"ItemLevelGTIN": "00082617617475"}, "15": {"_addonCardone": "40-3021::98384:115395:510"}, "16": {"Eligible for R&amp;R Service": "Yes"}}</t>
        </is>
      </c>
      <c r="J299" t="inlineStr">
        <is>
          <t>https://www.cardone.com/product/windshield-wiper-motor-40-3021</t>
        </is>
      </c>
      <c r="K299">
        <f>DISPIMG("ID_9AAC4DE0F023491881AE71AD50024D29",1)</f>
        <v/>
      </c>
      <c r="L299" t="inlineStr">
        <is>
          <t>CPCX|40-3021</t>
        </is>
      </c>
      <c r="M299" t="inlineStr">
        <is>
          <t>Wiper Motor; Instruction Sheet</t>
        </is>
      </c>
      <c r="N299" t="inlineStr">
        <is>
          <t>Yes</t>
        </is>
      </c>
      <c r="O299" t="inlineStr">
        <is>
          <t>Remanufactured</t>
        </is>
      </c>
      <c r="P299" t="inlineStr">
        <is>
          <t>3</t>
        </is>
      </c>
      <c r="Q299" t="inlineStr">
        <is>
          <t>Blade</t>
        </is>
      </c>
      <c r="R299" t="inlineStr">
        <is>
          <t>Direct Bolt</t>
        </is>
      </c>
      <c r="S299" t="inlineStr">
        <is>
          <t>3.5000</t>
        </is>
      </c>
      <c r="T299" t="inlineStr">
        <is>
          <t>No</t>
        </is>
      </c>
      <c r="U299" t="inlineStr">
        <is>
          <t>1 Year/18,000 Mile</t>
        </is>
      </c>
      <c r="V299" t="inlineStr">
        <is>
          <t>Yes</t>
        </is>
      </c>
      <c r="W299" t="inlineStr">
        <is>
          <t>Available to Order</t>
        </is>
      </c>
      <c r="X299" t="inlineStr">
        <is>
          <t>Chrysler Prowler 2002-01; Plymouth Prowler 2001-99 1997</t>
        </is>
      </c>
      <c r="Y299" t="inlineStr">
        <is>
          <t>00082617617475</t>
        </is>
      </c>
      <c r="Z299" t="inlineStr">
        <is>
          <t>40-3021::98384:115395:510</t>
        </is>
      </c>
      <c r="AA299" t="inlineStr">
        <is>
          <t>Yes</t>
        </is>
      </c>
      <c r="AB299" t="inlineStr"/>
      <c r="AC299" t="inlineStr"/>
    </row>
    <row r="300">
      <c r="A300" t="inlineStr">
        <is>
          <t>299</t>
        </is>
      </c>
      <c r="B300" t="inlineStr">
        <is>
          <t>Windshield Wiper Motor</t>
        </is>
      </c>
      <c r="C300" t="inlineStr">
        <is>
          <t>40-3024</t>
        </is>
      </c>
      <c r="D300" t="inlineStr">
        <is>
          <t>Windshield Wiper Motor - 40-3024</t>
        </is>
      </c>
      <c r="E300" t="inlineStr">
        <is>
          <t>CARDONE Reman</t>
        </is>
      </c>
      <c r="F300" t="inlineStr">
        <is>
          <t>55076549AF;55076549AG;55076549AH</t>
        </is>
      </c>
      <c r="G300" t="inlineStr">
        <is>
          <t>Dodge Ram 1500 1998-2002
Dodge Ram 2500 2000-2002
Dodge Ram 3500 2000-2002</t>
        </is>
      </c>
      <c r="H300" t="inlineStr">
        <is>
          <t>Dodge Ram 1500 1998-2001 5.2L V8 318cid
Dodge Ram 1500 1998-2002 3.9L V6 239cid
Dodge Ram 1500 1998-2002 5.9L V8 360cid
Dodge Ram 1500 2002 3.7L V6 226cid
Dodge Ram 1500 2002 4.7L V8 287cid
Dodge Ram 2500 2000-2001 5.2L V8 318cid
Dodge Ram 2500 2000-2002 5.9L L6 359cid
Dodge Ram 2500 2000-2002 5.9L V8 360cid
Dodge Ram 2500 2000-2002 8L V10 488cid
Dodge Ram 2500 2002 4.7L V8 287cid
Dodge Ram 3500 2000-2002 5.9L L6 359cid
Dodge Ram 3500 2000-2002 5.9L V8 360cid
Dodge Ram 3500 2000-2002 8L V10 488cid</t>
        </is>
      </c>
      <c r="I300" t="inlineStr">
        <is>
          <t>{"0": {"productDeskExternalKey": "CPCX|40-3024"}, "1": {"Package Contents": "Wiper Motor; Instruction Sheet"}, "2": {"E-Waste": "Yes"}, "3": {"Product Condition": "Remanufactured"}, "4": {"Mounting Hole Quantity": "3"}, "5": {"Terminal Type": "Blade"}, "6": {"Mounting Type": "Direct Bolt"}, "7": {"Weight PG": "3.1000"}, "8": {"Washer Pump Included": "No"}, "9": {"Part Type": "Windshield Wiper Motor"}, "10": {"Warranty Info": "1 Year/18,000 Mile"}, "11": {"Sustainable Choice": "Yes"}, "12": {"Lifecycle Status": "Available to Order"}, "13": {"Application Summary": "Dodge Ram 1500 2002-98, Ram 2500 2002-00, Ram 3500 2002-00"}, "14": {"ItemLevelGTIN": "00082617675642"}, "15": {"_addonCardone": "40-3024::98384:115400:510"}, "16": {"Eligible for R&amp;R Service": "Yes"}}</t>
        </is>
      </c>
      <c r="J300" t="inlineStr">
        <is>
          <t>https://www.cardone.com/product/windshield-wiper-motor-40-3024</t>
        </is>
      </c>
      <c r="K300">
        <f>DISPIMG("ID_E602E07182A44B108A7C742444E2B2D9",1)</f>
        <v/>
      </c>
      <c r="L300" t="inlineStr">
        <is>
          <t>CPCX|40-3024</t>
        </is>
      </c>
      <c r="M300" t="inlineStr">
        <is>
          <t>Wiper Motor; Instruction Sheet</t>
        </is>
      </c>
      <c r="N300" t="inlineStr">
        <is>
          <t>Yes</t>
        </is>
      </c>
      <c r="O300" t="inlineStr">
        <is>
          <t>Remanufactured</t>
        </is>
      </c>
      <c r="P300" t="inlineStr">
        <is>
          <t>3</t>
        </is>
      </c>
      <c r="Q300" t="inlineStr">
        <is>
          <t>Blade</t>
        </is>
      </c>
      <c r="R300" t="inlineStr">
        <is>
          <t>Direct Bolt</t>
        </is>
      </c>
      <c r="S300" t="inlineStr">
        <is>
          <t>3.1000</t>
        </is>
      </c>
      <c r="T300" t="inlineStr">
        <is>
          <t>No</t>
        </is>
      </c>
      <c r="U300" t="inlineStr">
        <is>
          <t>1 Year/18,000 Mile</t>
        </is>
      </c>
      <c r="V300" t="inlineStr">
        <is>
          <t>Yes</t>
        </is>
      </c>
      <c r="W300" t="inlineStr">
        <is>
          <t>Available to Order</t>
        </is>
      </c>
      <c r="X300" t="inlineStr">
        <is>
          <t>Dodge Ram 1500 2002-98, Ram 2500 2002-00, Ram 3500 2002-00</t>
        </is>
      </c>
      <c r="Y300" t="inlineStr">
        <is>
          <t>00082617675642</t>
        </is>
      </c>
      <c r="Z300" t="inlineStr">
        <is>
          <t>40-3024::98384:115400:510</t>
        </is>
      </c>
      <c r="AA300" t="inlineStr">
        <is>
          <t>Yes</t>
        </is>
      </c>
      <c r="AB300" t="inlineStr"/>
      <c r="AC300" t="inlineStr"/>
    </row>
    <row r="301">
      <c r="A301" t="inlineStr">
        <is>
          <t>300</t>
        </is>
      </c>
      <c r="B301" t="inlineStr">
        <is>
          <t>Windshield Wiper Motor</t>
        </is>
      </c>
      <c r="C301" t="inlineStr">
        <is>
          <t>40-3025</t>
        </is>
      </c>
      <c r="D301" t="inlineStr">
        <is>
          <t>Windshield Wiper Motor - 40-3025</t>
        </is>
      </c>
      <c r="E301" t="inlineStr">
        <is>
          <t>CARDONE Reman</t>
        </is>
      </c>
      <c r="F301" t="inlineStr">
        <is>
          <t>55077098AH;55077098AL;55077098AG;55077098AC;55077098AJ;68043386AC;55077098AK;55077098AA;55077098AF</t>
        </is>
      </c>
      <c r="G301" t="inlineStr">
        <is>
          <t>Dodge Ram 1500 2003-2009
Dodge Ram 2500 2003-2010
Dodge Ram 3500 2003-2010
Dodge Ram 4500 2008-2010
Dodge Ram 5500 2008-2010</t>
        </is>
      </c>
      <c r="H301" t="inlineStr">
        <is>
          <t>Dodge Ram 1500 2003 5.9L V8 360cid
Dodge Ram 1500 2003-2009 3.7L V6 226cid
Dodge Ram 1500 2003-2009 4.7L V8 287cid
Dodge Ram 1500 2003-2009 5.7L V8 345cid
Dodge Ram 1500 2004-2006 8.3L V10 505cid
Dodge Ram 2500 2003 8L V10 488cid
Dodge Ram 2500 2003-2009 5.9L L6 359cid
Dodge Ram 2500 2003-2010 4.7L V8 287cid
Dodge Ram 2500 2003-2010 5.7L V8 345cid
Dodge Ram 2500 2007-2010 6.7L L6 408cid
Dodge Ram 3500 2003 8L V10 488cid
Dodge Ram 3500 2003-2008 5.9L L6 359cid
Dodge Ram 3500 2003-2009 5.7L V8 345cid
Dodge Ram 3500 2007-2010 6.7L L6 408cid
Dodge Ram 4500 2008-2010 6.7L L6 408cid
Dodge Ram 5500 2008-2010 6.7L L6 408cid</t>
        </is>
      </c>
      <c r="I301" t="inlineStr">
        <is>
          <t>{"0": {"productDeskExternalKey": "CPCX|40-3025"}, "1": {"Package Contents": "Wiper Motor; Instruction Sheet"}, "2": {"E-Waste": "Yes"}, "3": {"Product Condition": "Remanufactured"}, "4": {"Mounting Hole Quantity": "3"}, "5": {"Terminal Type": "Blade"}, "6": {"Mounting Type": "Direct Bolt; Grommet"}, "7": {"Weight PG": "3.5000"}, "8": {"Washer Pump Included": "No"}, "9": {"Part Type": "Windshield Wiper Motor"}, "10": {"Warranty Info": "1 Year/18,000 Mile"}, "11": {"Sustainable Choice": "Yes"}, "12": {"Lifecycle Status": "Available to Order"}, "13": {"Application Summary": "Dodge Ram 1500 2009-03, Ram 2500 2010-03, Ram 3500 2010-03, Ram 4500 2010-08, Ram 5500 2010-08"}, "14": {"ItemLevelGTIN": "00082617694094"}, "15": {"_addonCardone": "40-3025::98384:115407:510"}, "16": {"Eligible for R&amp;R Service": "Yes"}}</t>
        </is>
      </c>
      <c r="J301" t="inlineStr">
        <is>
          <t>https://www.cardone.com/product/windshield-wiper-motor-40-3025</t>
        </is>
      </c>
      <c r="K301">
        <f>DISPIMG("ID_ED577B257326461DADC40FFF3DBC3902",1)</f>
        <v/>
      </c>
      <c r="L301" t="inlineStr">
        <is>
          <t>CPCX|40-3025</t>
        </is>
      </c>
      <c r="M301" t="inlineStr">
        <is>
          <t>Wiper Motor; Instruction Sheet</t>
        </is>
      </c>
      <c r="N301" t="inlineStr">
        <is>
          <t>Yes</t>
        </is>
      </c>
      <c r="O301" t="inlineStr">
        <is>
          <t>Remanufactured</t>
        </is>
      </c>
      <c r="P301" t="inlineStr">
        <is>
          <t>3</t>
        </is>
      </c>
      <c r="Q301" t="inlineStr">
        <is>
          <t>Blade</t>
        </is>
      </c>
      <c r="R301" t="inlineStr">
        <is>
          <t>Direct Bolt; Grommet</t>
        </is>
      </c>
      <c r="S301" t="inlineStr">
        <is>
          <t>3.5000</t>
        </is>
      </c>
      <c r="T301" t="inlineStr">
        <is>
          <t>No</t>
        </is>
      </c>
      <c r="U301" t="inlineStr">
        <is>
          <t>1 Year/18,000 Mile</t>
        </is>
      </c>
      <c r="V301" t="inlineStr">
        <is>
          <t>Yes</t>
        </is>
      </c>
      <c r="W301" t="inlineStr">
        <is>
          <t>Available to Order</t>
        </is>
      </c>
      <c r="X301" t="inlineStr">
        <is>
          <t>Dodge Ram 1500 2009-03, Ram 2500 2010-03, Ram 3500 2010-03, Ram 4500 2010-08, Ram 5500 2010-08</t>
        </is>
      </c>
      <c r="Y301" t="inlineStr">
        <is>
          <t>00082617694094</t>
        </is>
      </c>
      <c r="Z301" t="inlineStr">
        <is>
          <t>40-3025::98384:115407:510</t>
        </is>
      </c>
      <c r="AA301" t="inlineStr">
        <is>
          <t>Yes</t>
        </is>
      </c>
      <c r="AB301" t="inlineStr"/>
      <c r="AC301" t="inlineStr"/>
    </row>
    <row r="302">
      <c r="A302" t="inlineStr">
        <is>
          <t>301</t>
        </is>
      </c>
      <c r="B302" t="inlineStr">
        <is>
          <t>Windshield Wiper Motor</t>
        </is>
      </c>
      <c r="C302" t="inlineStr">
        <is>
          <t>40-3026</t>
        </is>
      </c>
      <c r="D302" t="inlineStr">
        <is>
          <t>Windshield Wiper Motor - 40-3026</t>
        </is>
      </c>
      <c r="E302" t="inlineStr">
        <is>
          <t>CARDONE Reman</t>
        </is>
      </c>
      <c r="F302" t="inlineStr">
        <is>
          <t>68003829AA;5101863AA</t>
        </is>
      </c>
      <c r="G302" t="inlineStr">
        <is>
          <t>Chrysler Cirrus 2004-2009
Chrysler Sebring 2004-2009
Dodge Avenger 2008
Dodge Stratus 2004-2006</t>
        </is>
      </c>
      <c r="H302" t="inlineStr">
        <is>
          <t>Chrysler Cirrus 2004-2006 2.4L L4 148cid
Chrysler Cirrus 2006 2.7L V6 167cid
Chrysler Cirrus 2007-2009 2.4L L4 144cid
Chrysler Cirrus 2007-2009 3.5L V6 215cid
Chrysler Sebring 2004-2005 2.4L L4 2351cc
Chrysler Sebring 2004-2005 3L V6 181cid
Chrysler Sebring 2004-2006 2.4L L4 148cid
Chrysler Sebring 2004-2009 2.7L V6 167cid
Chrysler Sebring 2007-2009 2.4L L4 144cid
Chrysler Sebring 2007-2009 3.5L V6 215cid
Dodge Avenger 2008 2.4L L4 144cid
Dodge Avenger 2008 2.7L V6 167cid
Dodge Avenger 2008 2L L4 122cid
Dodge Avenger 2008 3.5L V6 215cid
Dodge Stratus 2004-2005 2.4L L4 2351cc
Dodge Stratus 2004-2005 3L V6 181cid
Dodge Stratus 2004-2006 2.4L L4 148cid
Dodge Stratus 2004-2006 2.7L V6 167cid
Dodge Stratus 2004-2006 2L L4 122cid</t>
        </is>
      </c>
      <c r="I302" t="inlineStr">
        <is>
          <t>{"0": {"productDeskExternalKey": "CPCX|40-3026"},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"Chrysler Cirrus 2009-04, Sebring 2009-04; Dodge Avenger 2008, Stratus 2006-04"}, "14": {"ItemLevelGTIN": "00082617704922"}, "15": {"_addonCardone": "40-3026::98384:115413:510"}, "16": {"Eligible for R&amp;R Service": "Yes"}}</t>
        </is>
      </c>
      <c r="J302" t="inlineStr">
        <is>
          <t>https://www.cardone.com/product/windshield-wiper-motor-40-3026</t>
        </is>
      </c>
      <c r="K302">
        <f>DISPIMG("ID_F068EFEB554744739F31E9F0AE21704B",1)</f>
        <v/>
      </c>
      <c r="L302" t="inlineStr">
        <is>
          <t>CPCX|40-3026</t>
        </is>
      </c>
      <c r="M302" t="inlineStr">
        <is>
          <t>Wiper Motor; Instruction Sheet</t>
        </is>
      </c>
      <c r="N302" t="inlineStr">
        <is>
          <t>Yes</t>
        </is>
      </c>
      <c r="O302" t="inlineStr">
        <is>
          <t>Remanufactured</t>
        </is>
      </c>
      <c r="P302" t="inlineStr">
        <is>
          <t>3</t>
        </is>
      </c>
      <c r="Q302" t="inlineStr">
        <is>
          <t>Blade</t>
        </is>
      </c>
      <c r="R302" t="inlineStr">
        <is>
          <t>Direct Bolt</t>
        </is>
      </c>
      <c r="S302" t="inlineStr">
        <is>
          <t>3.0000</t>
        </is>
      </c>
      <c r="T302" t="inlineStr">
        <is>
          <t>No</t>
        </is>
      </c>
      <c r="U302" t="inlineStr">
        <is>
          <t>1 Year/18,000 Mile</t>
        </is>
      </c>
      <c r="V302" t="inlineStr">
        <is>
          <t>Yes</t>
        </is>
      </c>
      <c r="W302" t="inlineStr">
        <is>
          <t>Available to Order</t>
        </is>
      </c>
      <c r="X302" t="inlineStr">
        <is>
          <t>Chrysler Cirrus 2009-04, Sebring 2009-04; Dodge Avenger 2008, Stratus 2006-04</t>
        </is>
      </c>
      <c r="Y302" t="inlineStr">
        <is>
          <t>00082617704922</t>
        </is>
      </c>
      <c r="Z302" t="inlineStr">
        <is>
          <t>40-3026::98384:115413:510</t>
        </is>
      </c>
      <c r="AA302" t="inlineStr">
        <is>
          <t>Yes</t>
        </is>
      </c>
      <c r="AB302" t="inlineStr"/>
      <c r="AC302" t="inlineStr"/>
    </row>
    <row r="303">
      <c r="A303" t="inlineStr">
        <is>
          <t>302</t>
        </is>
      </c>
      <c r="B303" t="inlineStr">
        <is>
          <t>Windshield Wiper Motor</t>
        </is>
      </c>
      <c r="C303" t="inlineStr">
        <is>
          <t>40-3027</t>
        </is>
      </c>
      <c r="D303" t="inlineStr">
        <is>
          <t>Windshield Wiper Motor - 40-3027</t>
        </is>
      </c>
      <c r="E303" t="inlineStr">
        <is>
          <t>CARDONE Reman</t>
        </is>
      </c>
      <c r="F303" t="inlineStr">
        <is>
          <t>MR987767;MR971984</t>
        </is>
      </c>
      <c r="G303" t="inlineStr">
        <is>
          <t>Chrysler Cirrus 2003-2005
Chrysler Sebring 2003-2005
Dodge Stratus 2003-2005
Pontiac Solstice 2006</t>
        </is>
      </c>
      <c r="H303" t="inlineStr">
        <is>
          <t>Chrysler Cirrus 2003-2005 2.7L V6 167cid
Chrysler Sebring 2003-2005 2.4L L4 148cid
Chrysler Sebring 2003-2005 2.4L L4 2351cc
Chrysler Sebring 2003-2005 2.7L V6 167cid
Chrysler Sebring 2003-2005 3L V6 181cid
Dodge Stratus 2003-2005 2.4L L4 148cid
Dodge Stratus 2003-2005 2.4L L4 2351cc
Dodge Stratus 2003-2005 2.7L V6 167cid
Dodge Stratus 2003-2005 3L V6 181cid
Pontiac Solstice 2006 2.4L L4 145cid</t>
        </is>
      </c>
      <c r="I303" t="inlineStr">
        <is>
          <t>{"0": {"productDeskExternalKey": "CPCX|40-3027"},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"Chrysler Cirrus 2005-03, Sebring 2005-03; Dodge Stratus 2005-03; Mitsubishi Eclipse 2005-03, Galant 2011-04; Pontiac Solstice 2006"}, "14": {"ItemLevelGTIN": "00082617705080"}, "15": {"_addonCardone": "40-3027::98384:115420:510"}, "16": {"Eligible for R&amp;R Service": "Yes"}}</t>
        </is>
      </c>
      <c r="J303" t="inlineStr">
        <is>
          <t>https://www.cardone.com/product/windshield-wiper-motor-40-3027</t>
        </is>
      </c>
      <c r="K303">
        <f>DISPIMG("ID_3ADC67FE98DC4FD4A482F1E5DC0511C0",1)</f>
        <v/>
      </c>
      <c r="L303" t="inlineStr">
        <is>
          <t>CPCX|40-3027</t>
        </is>
      </c>
      <c r="M303" t="inlineStr">
        <is>
          <t>Wiper Motor; Instruction Sheet</t>
        </is>
      </c>
      <c r="N303" t="inlineStr">
        <is>
          <t>Yes</t>
        </is>
      </c>
      <c r="O303" t="inlineStr">
        <is>
          <t>Remanufactured</t>
        </is>
      </c>
      <c r="P303" t="inlineStr">
        <is>
          <t>3</t>
        </is>
      </c>
      <c r="Q303" t="inlineStr">
        <is>
          <t>Blade</t>
        </is>
      </c>
      <c r="R303" t="inlineStr">
        <is>
          <t>Direct Bolt</t>
        </is>
      </c>
      <c r="S303" t="inlineStr">
        <is>
          <t>2.5000</t>
        </is>
      </c>
      <c r="T303" t="inlineStr">
        <is>
          <t>No</t>
        </is>
      </c>
      <c r="U303" t="inlineStr">
        <is>
          <t>1 Year/18,000 Mile</t>
        </is>
      </c>
      <c r="V303" t="inlineStr">
        <is>
          <t>Yes</t>
        </is>
      </c>
      <c r="W303" t="inlineStr">
        <is>
          <t>Available to Order</t>
        </is>
      </c>
      <c r="X303" t="inlineStr">
        <is>
          <t>Chrysler Cirrus 2005-03, Sebring 2005-03; Dodge Stratus 2005-03; Mitsubishi Eclipse 2005-03, Galant 2011-04; Pontiac Solstice 2006</t>
        </is>
      </c>
      <c r="Y303" t="inlineStr">
        <is>
          <t>00082617705080</t>
        </is>
      </c>
      <c r="Z303" t="inlineStr">
        <is>
          <t>40-3027::98384:115420:510</t>
        </is>
      </c>
      <c r="AA303" t="inlineStr">
        <is>
          <t>Yes</t>
        </is>
      </c>
      <c r="AB303" t="inlineStr"/>
      <c r="AC303" t="inlineStr"/>
    </row>
    <row r="304">
      <c r="A304" t="inlineStr">
        <is>
          <t>303</t>
        </is>
      </c>
      <c r="B304" t="inlineStr">
        <is>
          <t>Windshield Wiper Motor</t>
        </is>
      </c>
      <c r="C304" t="inlineStr">
        <is>
          <t>40-3028</t>
        </is>
      </c>
      <c r="D304" t="inlineStr">
        <is>
          <t>Windshield Wiper Motor - 40-3028</t>
        </is>
      </c>
      <c r="E304" t="inlineStr">
        <is>
          <t>CARDONE Reman</t>
        </is>
      </c>
      <c r="F304" t="inlineStr">
        <is>
          <t>4857931AA;4857931AB;2518200042;4857931AD;4857931AC</t>
        </is>
      </c>
      <c r="G304" t="inlineStr">
        <is>
          <t>Chrysler PT Cruiser 2004-2010
Chrysler Town &amp; Country 2004-2007
Chrysler Voyager 2004-2007
Dodge Caravan 2004-2007
Dodge Grand Caravan 2004-2007
Mercedes-Benz GL320 2007-2009
Mercedes-Benz GL350 2010-2016
Mercedes-Benz GL450 2007-2016
Mercedes-Benz GL550 2008-2016
Mercedes-Benz GL63 AMG 2013-2016
Mercedes-Benz GLS450 2017-2019
Mercedes-Benz GLS550 2017-2019
Mercedes-Benz GLS63 AMG 2017-2019
Mercedes-Benz ML400 2015
Mercedes-Benz ML450 2010-2011
Mercedes-Benz ML500 2006-2007
Mercedes-Benz ML550 2008-2014
Mercedes-Benz ML63 AMG 2007-2015
Mercedes-Benz R320 2007-2009
Mercedes-Benz R350 2006-2012
Mercedes-Benz R500 2006-2007
Mercedes-Benz R63 AMG 2007</t>
        </is>
      </c>
      <c r="H304" t="inlineStr">
        <is>
          <t>Chrysler PT Cruiser 2004-2010 2.4L L4 148cid
Chrysler Town &amp; Country 2004-2007 3.3L V6 201cid
Chrysler Town &amp; Country 2004-2007 3.8L V6 231cid
Chrysler Voyager 2004-2007 3.3L V6 201cid
Dodge Caravan 2004-2007 2.4L L4 148cid
Dodge Caravan 2004-2007 3.3L V6 201cid
Dodge Grand Caravan 2004-2007 3.3L V6 201cid
Dodge Grand Caravan 2004-2007 3.8L V6 231cid
Mercedes-Benz GL320 2007-2009 3L V6 2987cc
Mercedes-Benz GL350 2010-2016 3L V6 2987cc
Mercedes-Benz GL450 2007-2014 4.7L V8 285cid
Mercedes-Benz GL450 2015-2016 3L V6 2996cc
Mercedes-Benz GL550 2008-2012 5.5L V8 333cid
Mercedes-Benz GL550 2013-2016 4.7L V8 285cid
Mercedes-Benz GL63 AMG 2013-2016 5.5L V8 333cid
Mercedes-Benz GLS450 2017-2019 3L V6 2996cc
Mercedes-Benz GLS550 2017-2019 4.7L V8 285cid
Mercedes-Benz GLS63 AMG 2017-2019 5.5L V8 333cid
Mercedes-Benz ML400 2015 3L V6 2996cc
Mercedes-Benz ML450 2010-2011 3.5L V6 3498cc
Mercedes-Benz ML500 2006 5L V8 4966cc
Mercedes-Benz ML500 2006-2007 5L V8 303cid
Mercedes-Benz ML500 2007 5L V8 4973cc
Mercedes-Benz ML550 2008-2011 5.5L V8 333cid
Mercedes-Benz ML550 2012-2014 4.7L V8 285cid
Mercedes-Benz ML63 AMG 2007-2011 6.3L V8 6208cc
Mercedes-Benz ML63 AMG 2012-2015 5.5L V8 333cid
Mercedes-Benz R320 2007-2009 3L V6 2987cc
Mercedes-Benz R350 2006-2012 3.5L V6 3498cc
Mercedes-Benz R350 2010-2012 3L V6 2987cc
Mercedes-Benz R500 2006-2007 5L V8 4966cc
Mercedes-Benz R500 2007 5L V8 4973cc
Mercedes-Benz R63 AMG 2007 6.3L V8 6208cc</t>
        </is>
      </c>
      <c r="I304" t="inlineStr">
        <is>
          <t>{"0": {"productDeskExternalKey": "CPCX|40-3028"},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{"ItemLevelGTIN": "00082617752619"}, "14": {"_addonCardone": "40-3028::98384:115426:510"}, "15": {"Eligible for R&amp;R Service": "Yes"}}</t>
        </is>
      </c>
      <c r="J304" t="inlineStr">
        <is>
          <t>https://www.cardone.com/product/windshield-wiper-motor-40-3028</t>
        </is>
      </c>
      <c r="K304">
        <f>DISPIMG("ID_B5B01EF402CF4020AAD80C7EDAE8DD1A",1)</f>
        <v/>
      </c>
      <c r="L304" t="inlineStr">
        <is>
          <t>CPCX|40-3028</t>
        </is>
      </c>
      <c r="M304" t="inlineStr">
        <is>
          <t>Wiper Motor; Instruction Sheet</t>
        </is>
      </c>
      <c r="N304" t="inlineStr">
        <is>
          <t>Yes</t>
        </is>
      </c>
      <c r="O304" t="inlineStr">
        <is>
          <t>Remanufactured</t>
        </is>
      </c>
      <c r="P304" t="inlineStr">
        <is>
          <t>3</t>
        </is>
      </c>
      <c r="Q304" t="inlineStr">
        <is>
          <t>Blade</t>
        </is>
      </c>
      <c r="R304" t="inlineStr">
        <is>
          <t>Grommet</t>
        </is>
      </c>
      <c r="S304" t="inlineStr">
        <is>
          <t>2.5000</t>
        </is>
      </c>
      <c r="T304" t="inlineStr">
        <is>
          <t>No</t>
        </is>
      </c>
      <c r="U304" t="inlineStr">
        <is>
          <t>1 Year/18,000 Mile</t>
        </is>
      </c>
      <c r="V304" t="inlineStr">
        <is>
          <t>Yes</t>
        </is>
      </c>
      <c r="W304" t="inlineStr">
        <is>
          <t>Available to Order</t>
        </is>
      </c>
      <c r="X304" t="inlineStr"/>
      <c r="Y304" t="inlineStr">
        <is>
          <t>00082617752619</t>
        </is>
      </c>
      <c r="Z304" t="inlineStr">
        <is>
          <t>40-3028::98384:115426:510</t>
        </is>
      </c>
      <c r="AA304" t="inlineStr">
        <is>
          <t>Yes</t>
        </is>
      </c>
      <c r="AB304" t="inlineStr"/>
      <c r="AC304" t="inlineStr"/>
    </row>
    <row r="305">
      <c r="A305" t="inlineStr">
        <is>
          <t>304</t>
        </is>
      </c>
      <c r="B305" t="inlineStr">
        <is>
          <t>Windshield Wiper Motor</t>
        </is>
      </c>
      <c r="C305" t="inlineStr">
        <is>
          <t>40-3029L</t>
        </is>
      </c>
      <c r="D305" t="inlineStr">
        <is>
          <t>Windshield Wiper Motor - 40-3029L</t>
        </is>
      </c>
      <c r="E305" t="inlineStr">
        <is>
          <t>CARDONE Reman</t>
        </is>
      </c>
      <c r="F305" t="inlineStr">
        <is>
          <t>4857931AB;5114534AA</t>
        </is>
      </c>
      <c r="G305" t="inlineStr">
        <is>
          <t>Chrysler Town &amp; Country 2004-2007
Chrysler Voyager 2004-2007
Dodge Caravan 2004-2007
Dodge Grand Caravan 2004-2007</t>
        </is>
      </c>
      <c r="H305" t="inlineStr">
        <is>
          <t>Chrysler Town &amp; Country 2004-2007 3.3L V6 201cid
Chrysler Town &amp; Country 2004-2007 3.8L V6 231cid
Chrysler Voyager 2004-2007 3.3L V6 201cid
Dodge Caravan 2004-2007 2.4L L4 148cid
Dodge Caravan 2004-2007 3.3L V6 201cid
Dodge Grand Caravan 2004-2007 3.3L V6 201cid
Dodge Grand Caravan 2004-2007 3.8L V6 231cid</t>
        </is>
      </c>
      <c r="I305" t="inlineStr">
        <is>
          <t>{"0": {"productDeskExternalKey": "CPCX|40-3029L"}, "1": {"Package Contents": "Wiper Motor; Instruction Sheet"}, "2": {"E-Waste": "Yes"}, "3": {"Product Condition": "Remanufactured"}, "4": {"Mounting Hole Quantity": "3"}, "5": {"Terminal Type": "Blade"}, "6": {"Mounting Type": "Direct Bolt"}, "7": {"Weight PG": "7.5000"}, "8": {"Washer Pump Included": "No"}, "9": {"Part Type": "Windshield Wiper Motor"}, "10": {"Warranty Info": "1 Year/18,000 Mile"}, "11": {"Sustainable Choice": "Yes"}, "12": {"Lifecycle Status": "Available to Order"}, "13": {"Application Summary": "Chrysler Town &amp; Country 2007-04, Voyager 2007-04; Dodge Caravan 2007-04, Grand Caravan 2007-04"}, "14": {"ItemLevelGTIN": "00082617749541"}, "15": {"_addonCardone": "40-3029L::98384:115433:510"}, "16": {"Eligible for R&amp;R Service": "Yes"}}</t>
        </is>
      </c>
      <c r="J305" t="inlineStr">
        <is>
          <t>https://www.cardone.com/product/windshield-wiper-motor-40-3029l</t>
        </is>
      </c>
      <c r="K305">
        <f>DISPIMG("ID_E671CDFD8B0D407FB66DCD5AE17B1E5B",1)</f>
        <v/>
      </c>
      <c r="L305" t="inlineStr">
        <is>
          <t>CPCX|40-3029L</t>
        </is>
      </c>
      <c r="M305" t="inlineStr">
        <is>
          <t>Wiper Motor; Instruction Sheet</t>
        </is>
      </c>
      <c r="N305" t="inlineStr">
        <is>
          <t>Yes</t>
        </is>
      </c>
      <c r="O305" t="inlineStr">
        <is>
          <t>Remanufactured</t>
        </is>
      </c>
      <c r="P305" t="inlineStr">
        <is>
          <t>3</t>
        </is>
      </c>
      <c r="Q305" t="inlineStr">
        <is>
          <t>Blade</t>
        </is>
      </c>
      <c r="R305" t="inlineStr">
        <is>
          <t>Direct Bolt</t>
        </is>
      </c>
      <c r="S305" t="inlineStr">
        <is>
          <t>7.5000</t>
        </is>
      </c>
      <c r="T305" t="inlineStr">
        <is>
          <t>No</t>
        </is>
      </c>
      <c r="U305" t="inlineStr">
        <is>
          <t>1 Year/18,000 Mile</t>
        </is>
      </c>
      <c r="V305" t="inlineStr">
        <is>
          <t>Yes</t>
        </is>
      </c>
      <c r="W305" t="inlineStr">
        <is>
          <t>Available to Order</t>
        </is>
      </c>
      <c r="X305" t="inlineStr">
        <is>
          <t>Chrysler Town &amp; Country 2007-04, Voyager 2007-04; Dodge Caravan 2007-04, Grand Caravan 2007-04</t>
        </is>
      </c>
      <c r="Y305" t="inlineStr">
        <is>
          <t>00082617749541</t>
        </is>
      </c>
      <c r="Z305" t="inlineStr">
        <is>
          <t>40-3029L::98384:115433:510</t>
        </is>
      </c>
      <c r="AA305" t="inlineStr">
        <is>
          <t>Yes</t>
        </is>
      </c>
      <c r="AB305" t="inlineStr"/>
      <c r="AC305" t="inlineStr"/>
    </row>
    <row r="306">
      <c r="A306" t="inlineStr">
        <is>
          <t>305</t>
        </is>
      </c>
      <c r="B306" t="inlineStr">
        <is>
          <t>Windshield Wiper Motor</t>
        </is>
      </c>
      <c r="C306" t="inlineStr">
        <is>
          <t>40-3030</t>
        </is>
      </c>
      <c r="D306" t="inlineStr">
        <is>
          <t>Windshield Wiper Motor - 40-3030</t>
        </is>
      </c>
      <c r="E306" t="inlineStr">
        <is>
          <t>CARDONE Reman</t>
        </is>
      </c>
      <c r="F306" t="inlineStr">
        <is>
          <t>5135058AC;5135058AA</t>
        </is>
      </c>
      <c r="G306" t="inlineStr">
        <is>
          <t>Chrysler Aspen 2007-2009
Dodge Durango 2004-2009</t>
        </is>
      </c>
      <c r="H306" t="inlineStr">
        <is>
          <t>Chrysler Aspen 2007-2009 4.7L V8 287cid
Chrysler Aspen 2007-2009 5.7L V8 345cid
Dodge Durango 2004-2009 3.7L V6 226cid
Dodge Durango 2004-2009 4.7L V8 287cid
Dodge Durango 2004-2009 5.7L V8 345cid</t>
        </is>
      </c>
      <c r="I306" t="inlineStr">
        <is>
          <t>{"0": {"productDeskExternalKey": "CPCX|40-3030"},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"Chrysler Aspen 2009-07; Dodge Durango 2009-04"}, "14": {"ItemLevelGTIN": "00082617752626"}, "15": {"_addonCardone": "40-3030::98384:115602:510"}, "16": {"Eligible for R&amp;R Service": "Yes"}}</t>
        </is>
      </c>
      <c r="J306" t="inlineStr">
        <is>
          <t>https://www.cardone.com/product/windshield-wiper-motor-40-3030</t>
        </is>
      </c>
      <c r="K306">
        <f>DISPIMG("ID_49E672ED2ABB4B1EA1FC96A50224165C",1)</f>
        <v/>
      </c>
      <c r="L306" t="inlineStr">
        <is>
          <t>CPCX|40-3030</t>
        </is>
      </c>
      <c r="M306" t="inlineStr">
        <is>
          <t>Wiper Motor; Instruction Sheet</t>
        </is>
      </c>
      <c r="N306" t="inlineStr">
        <is>
          <t>Yes</t>
        </is>
      </c>
      <c r="O306" t="inlineStr">
        <is>
          <t>Remanufactured</t>
        </is>
      </c>
      <c r="P306" t="inlineStr">
        <is>
          <t>3</t>
        </is>
      </c>
      <c r="Q306" t="inlineStr">
        <is>
          <t>Blade</t>
        </is>
      </c>
      <c r="R306" t="inlineStr">
        <is>
          <t>Direct Bolt</t>
        </is>
      </c>
      <c r="S306" t="inlineStr">
        <is>
          <t>3.5000</t>
        </is>
      </c>
      <c r="T306" t="inlineStr">
        <is>
          <t>No</t>
        </is>
      </c>
      <c r="U306" t="inlineStr">
        <is>
          <t>1 Year/18,000 Mile</t>
        </is>
      </c>
      <c r="V306" t="inlineStr">
        <is>
          <t>Yes</t>
        </is>
      </c>
      <c r="W306" t="inlineStr">
        <is>
          <t>Available to Order</t>
        </is>
      </c>
      <c r="X306" t="inlineStr">
        <is>
          <t>Chrysler Aspen 2009-07; Dodge Durango 2009-04</t>
        </is>
      </c>
      <c r="Y306" t="inlineStr">
        <is>
          <t>00082617752626</t>
        </is>
      </c>
      <c r="Z306" t="inlineStr">
        <is>
          <t>40-3030::98384:115602:510</t>
        </is>
      </c>
      <c r="AA306" t="inlineStr">
        <is>
          <t>Yes</t>
        </is>
      </c>
      <c r="AB306" t="inlineStr"/>
      <c r="AC306" t="inlineStr"/>
    </row>
    <row r="307">
      <c r="A307" t="inlineStr">
        <is>
          <t>306</t>
        </is>
      </c>
      <c r="B307" t="inlineStr">
        <is>
          <t>Windshield Wiper Motor</t>
        </is>
      </c>
      <c r="C307" t="inlineStr">
        <is>
          <t>40-3031</t>
        </is>
      </c>
      <c r="D307" t="inlineStr">
        <is>
          <t>Windshield Wiper Motor - 40-3031</t>
        </is>
      </c>
      <c r="E307" t="inlineStr">
        <is>
          <t>CARDONE Reman</t>
        </is>
      </c>
      <c r="F307" t="inlineStr">
        <is>
          <t>5139091AA</t>
        </is>
      </c>
      <c r="G307" t="inlineStr">
        <is>
          <t>Chrysler 300 2005-2009
Dodge Charger 2006-2009
Dodge Magnum 2005-2008</t>
        </is>
      </c>
      <c r="H307" t="inlineStr">
        <is>
          <t>Chrysler 300 2005-2009 2.7L V6 167cid
Chrysler 300 2005-2009 3.5L V6 215cid
Chrysler 300 2005-2009 5.7L V8 345cid
Chrysler 300 2005-2009 6.1L V8 370cid
Dodge Charger 2006-2009 2.7L V6 167cid
Dodge Charger 2006-2009 3.5L V6 215cid
Dodge Charger 2006-2009 5.7L V8 345cid
Dodge Charger 2006-2009 6.1L V8 370cid
Dodge Magnum 2005-2008 2.7L V6 167cid
Dodge Magnum 2005-2008 3.5L V6 215cid
Dodge Magnum 2005-2008 5.7L V8 345cid
Dodge Magnum 2006-2008 6.1L V8 370cid</t>
        </is>
      </c>
      <c r="I307" t="inlineStr">
        <is>
          <t>{"0": {"productDeskExternalKey": "CPCX|40-3031"}, "1": {"Package Contents": "Wiper Motor; Instruction Sheet"}, "2": {"E-Waste": "Yes"}, "3": {"Product Condition": "Remanufactured"}, "4": {"Mounting Hole Quantity": "2"}, "5": {"Terminal Type": "Blade"}, "6": {"Mounting Type": "Direct Bolt"}, "7": {"Weight PG": "3.0000"}, "8": {"Washer Pump Included": "No"}, "9": {"Part Type": "Windshield Wiper Motor"}, "10": {"Warranty Info": "1 Year/18,000 Mile"}, "11": {"Sustainable Choice": "Yes"}, "12": {"Lifecycle Status": "Available to Order"}, "13": {"Application Summary": "Chrysler 300 2009-05; Dodge Charger 2009-06, Magnum 2008-05"}, "14": {"ItemLevelGTIN": "00082617749558"}, "15": {"_addonCardone": "40-3031::98384:115613:510"}, "16": {"Eligible for R&amp;R Service": "Yes"}}</t>
        </is>
      </c>
      <c r="J307" t="inlineStr">
        <is>
          <t>https://www.cardone.com/product/windshield-wiper-motor-40-3031</t>
        </is>
      </c>
      <c r="K307">
        <f>DISPIMG("ID_75F7035127664116BAC784B8B8012CE6",1)</f>
        <v/>
      </c>
      <c r="L307" t="inlineStr">
        <is>
          <t>CPCX|40-3031</t>
        </is>
      </c>
      <c r="M307" t="inlineStr">
        <is>
          <t>Wiper Motor; Instruction Sheet</t>
        </is>
      </c>
      <c r="N307" t="inlineStr">
        <is>
          <t>Yes</t>
        </is>
      </c>
      <c r="O307" t="inlineStr">
        <is>
          <t>Remanufactured</t>
        </is>
      </c>
      <c r="P307" t="inlineStr">
        <is>
          <t>2</t>
        </is>
      </c>
      <c r="Q307" t="inlineStr">
        <is>
          <t>Blade</t>
        </is>
      </c>
      <c r="R307" t="inlineStr">
        <is>
          <t>Direct Bolt</t>
        </is>
      </c>
      <c r="S307" t="inlineStr">
        <is>
          <t>3.0000</t>
        </is>
      </c>
      <c r="T307" t="inlineStr">
        <is>
          <t>No</t>
        </is>
      </c>
      <c r="U307" t="inlineStr">
        <is>
          <t>1 Year/18,000 Mile</t>
        </is>
      </c>
      <c r="V307" t="inlineStr">
        <is>
          <t>Yes</t>
        </is>
      </c>
      <c r="W307" t="inlineStr">
        <is>
          <t>Available to Order</t>
        </is>
      </c>
      <c r="X307" t="inlineStr">
        <is>
          <t>Chrysler 300 2009-05; Dodge Charger 2009-06, Magnum 2008-05</t>
        </is>
      </c>
      <c r="Y307" t="inlineStr">
        <is>
          <t>00082617749558</t>
        </is>
      </c>
      <c r="Z307" t="inlineStr">
        <is>
          <t>40-3031::98384:115613:510</t>
        </is>
      </c>
      <c r="AA307" t="inlineStr">
        <is>
          <t>Yes</t>
        </is>
      </c>
      <c r="AB307" t="inlineStr"/>
      <c r="AC307" t="inlineStr"/>
    </row>
    <row r="308">
      <c r="A308" t="inlineStr">
        <is>
          <t>307</t>
        </is>
      </c>
      <c r="B308" t="inlineStr">
        <is>
          <t>Windshield Wiper Motor</t>
        </is>
      </c>
      <c r="C308" t="inlineStr">
        <is>
          <t>40-3032</t>
        </is>
      </c>
      <c r="D308" t="inlineStr">
        <is>
          <t>Windshield Wiper Motor - 40-3032</t>
        </is>
      </c>
      <c r="E308" t="inlineStr">
        <is>
          <t>CARDONE Reman</t>
        </is>
      </c>
      <c r="F308" t="inlineStr">
        <is>
          <t>5142422AA</t>
        </is>
      </c>
      <c r="G308" t="inlineStr">
        <is>
          <t>Chrysler PT Cruiser 2005</t>
        </is>
      </c>
      <c r="H308" t="inlineStr">
        <is>
          <t>Chrysler PT Cruiser 2005 2.4L L4 148cid</t>
        </is>
      </c>
      <c r="I308" t="inlineStr">
        <is>
          <t>{"0": {"productDeskExternalKey": "CPCX|40-3032"}, "1": {"Package Contents": "Wiper Motor; Instruction Sheet"}, "2": {"E-Waste": "Yes"}, "3": {"Product Condition": "Remanufactured"}, "4": {"Mounting Hole Quantity": "2"}, "5": {"Terminal Type": "Pin"}, "6": {"Mounting Type": "Direct Bolt"}, "7": {"Weight PG": "3.0000"}, "8": {"Washer Pump Included": "No"}, "9": {"Part Type": "Windshield Wiper Motor"}, "10": {"Warranty Info": "1 Year/18,000 Mile"}, "11": {"Sustainable Choice": "Yes"}, "12": {"Lifecycle Status": "Available to Order"}, "13": {"Application Summary": "Chrysler PT Cruiser 2005"}, "14": {"ItemLevelGTIN": "00082617755481"}, "15": {"_addonCardone": "40-3032::98384:115624:510"}, "16": {"Eligible for R&amp;R Service": "Yes"}}</t>
        </is>
      </c>
      <c r="J308" t="inlineStr">
        <is>
          <t>https://www.cardone.com/product/windshield-wiper-motor-40-3032</t>
        </is>
      </c>
      <c r="K308">
        <f>DISPIMG("ID_7555936012A4413686E9E6C499BC9619",1)</f>
        <v/>
      </c>
      <c r="L308" t="inlineStr">
        <is>
          <t>CPCX|40-3032</t>
        </is>
      </c>
      <c r="M308" t="inlineStr">
        <is>
          <t>Wiper Motor; Instruction Sheet</t>
        </is>
      </c>
      <c r="N308" t="inlineStr">
        <is>
          <t>Yes</t>
        </is>
      </c>
      <c r="O308" t="inlineStr">
        <is>
          <t>Remanufactured</t>
        </is>
      </c>
      <c r="P308" t="inlineStr">
        <is>
          <t>2</t>
        </is>
      </c>
      <c r="Q308" t="inlineStr">
        <is>
          <t>Pin</t>
        </is>
      </c>
      <c r="R308" t="inlineStr">
        <is>
          <t>Direct Bolt</t>
        </is>
      </c>
      <c r="S308" t="inlineStr">
        <is>
          <t>3.0000</t>
        </is>
      </c>
      <c r="T308" t="inlineStr">
        <is>
          <t>No</t>
        </is>
      </c>
      <c r="U308" t="inlineStr">
        <is>
          <t>1 Year/18,000 Mile</t>
        </is>
      </c>
      <c r="V308" t="inlineStr">
        <is>
          <t>Yes</t>
        </is>
      </c>
      <c r="W308" t="inlineStr">
        <is>
          <t>Available to Order</t>
        </is>
      </c>
      <c r="X308" t="inlineStr">
        <is>
          <t>Chrysler PT Cruiser 2005</t>
        </is>
      </c>
      <c r="Y308" t="inlineStr">
        <is>
          <t>00082617755481</t>
        </is>
      </c>
      <c r="Z308" t="inlineStr">
        <is>
          <t>40-3032::98384:115624:510</t>
        </is>
      </c>
      <c r="AA308" t="inlineStr">
        <is>
          <t>Yes</t>
        </is>
      </c>
      <c r="AB308" t="inlineStr"/>
      <c r="AC308" t="inlineStr"/>
    </row>
    <row r="309">
      <c r="A309" t="inlineStr">
        <is>
          <t>308</t>
        </is>
      </c>
      <c r="B309" t="inlineStr">
        <is>
          <t>Windshield Wiper Motor</t>
        </is>
      </c>
      <c r="C309" t="inlineStr">
        <is>
          <t>40-3033</t>
        </is>
      </c>
      <c r="D309" t="inlineStr">
        <is>
          <t>Windshield Wiper Motor - 40-3033</t>
        </is>
      </c>
      <c r="E309" t="inlineStr">
        <is>
          <t>CARDONE Reman</t>
        </is>
      </c>
      <c r="F309" t="inlineStr">
        <is>
          <t>5175910AA</t>
        </is>
      </c>
      <c r="G309" t="inlineStr">
        <is>
          <t>Chrysler PT Cruiser 2006-2010</t>
        </is>
      </c>
      <c r="H309" t="inlineStr">
        <is>
          <t>Chrysler PT Cruiser 2006-2010 2.4L L4 148cid</t>
        </is>
      </c>
      <c r="I309" t="inlineStr">
        <is>
          <t>{"0": {"productDeskExternalKey": "CPCX|40-3033"}, "1": {"Package Contents": "Wiper Motor; Instruction Sheet"}, "2": {"E-Waste": "Yes"}, "3": {"Product Condition": "Remanufactured"}, "4": {"Mounting Hole Quantity": "2"}, "5": {"Terminal Type": "Pin"}, "6": {"Mounting Type": "Direct Bolt"}, "7": {"Weight PG": "2.5000"}, "8": {"Washer Pump Included": "No"}, "9": {"Part Type": "Windshield Wiper Motor"}, "10": {"Warranty Info": "1 Year/18,000 Mile"}, "11": {"Sustainable Choice": "Yes"}, "12": {"Lifecycle Status": "Available to Order"}, "13": {"Application Summary": "Chrysler PT Cruiser 2010-06; Hummer H3 2010-06, H3T 2010-09"}, "14": {"ItemLevelGTIN": "00082617757836"}, "15": {"_addonCardone": "40-3033::98384:115635:510"}, "16": {"Eligible for R&amp;R Service": "Yes"}}</t>
        </is>
      </c>
      <c r="J309" t="inlineStr">
        <is>
          <t>https://www.cardone.com/product/windshield-wiper-motor-40-3033</t>
        </is>
      </c>
      <c r="K309">
        <f>DISPIMG("ID_FEFAC01DD2CD40DFBD3F308097BCD17D",1)</f>
        <v/>
      </c>
      <c r="L309" t="inlineStr">
        <is>
          <t>CPCX|40-3033</t>
        </is>
      </c>
      <c r="M309" t="inlineStr">
        <is>
          <t>Wiper Motor; Instruction Sheet</t>
        </is>
      </c>
      <c r="N309" t="inlineStr">
        <is>
          <t>Yes</t>
        </is>
      </c>
      <c r="O309" t="inlineStr">
        <is>
          <t>Remanufactured</t>
        </is>
      </c>
      <c r="P309" t="inlineStr">
        <is>
          <t>2</t>
        </is>
      </c>
      <c r="Q309" t="inlineStr">
        <is>
          <t>Pin</t>
        </is>
      </c>
      <c r="R309" t="inlineStr">
        <is>
          <t>Direct Bolt</t>
        </is>
      </c>
      <c r="S309" t="inlineStr">
        <is>
          <t>2.5000</t>
        </is>
      </c>
      <c r="T309" t="inlineStr">
        <is>
          <t>No</t>
        </is>
      </c>
      <c r="U309" t="inlineStr">
        <is>
          <t>1 Year/18,000 Mile</t>
        </is>
      </c>
      <c r="V309" t="inlineStr">
        <is>
          <t>Yes</t>
        </is>
      </c>
      <c r="W309" t="inlineStr">
        <is>
          <t>Available to Order</t>
        </is>
      </c>
      <c r="X309" t="inlineStr">
        <is>
          <t>Chrysler PT Cruiser 2010-06; Hummer H3 2010-06, H3T 2010-09</t>
        </is>
      </c>
      <c r="Y309" t="inlineStr">
        <is>
          <t>00082617757836</t>
        </is>
      </c>
      <c r="Z309" t="inlineStr">
        <is>
          <t>40-3033::98384:115635:510</t>
        </is>
      </c>
      <c r="AA309" t="inlineStr">
        <is>
          <t>Yes</t>
        </is>
      </c>
      <c r="AB309" t="inlineStr"/>
      <c r="AC309" t="inlineStr"/>
    </row>
    <row r="310">
      <c r="A310" t="inlineStr">
        <is>
          <t>309</t>
        </is>
      </c>
      <c r="B310" t="inlineStr">
        <is>
          <t>Windshield Wiper Motor</t>
        </is>
      </c>
      <c r="C310" t="inlineStr">
        <is>
          <t>40-3034</t>
        </is>
      </c>
      <c r="D310" t="inlineStr">
        <is>
          <t>Windshield Wiper Motor - 40-3034</t>
        </is>
      </c>
      <c r="E310" t="inlineStr">
        <is>
          <t>CARDONE Reman</t>
        </is>
      </c>
      <c r="F310" t="inlineStr">
        <is>
          <t>5102228AA</t>
        </is>
      </c>
      <c r="G310" t="inlineStr">
        <is>
          <t>Chrysler Pacifica 2004-2008</t>
        </is>
      </c>
      <c r="H310" t="inlineStr">
        <is>
          <t>Chrysler Pacifica 2004-2006 3.5L V6 215cid
Chrysler Pacifica 2005-2008 3.8L V6 231cid
Chrysler Pacifica 2007-2008 4L V6 241cid</t>
        </is>
      </c>
      <c r="I310" t="inlineStr">
        <is>
          <t>{"0": {"productDeskExternalKey": "CPCX|40-3034"},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"Chrysler Pacifica 2008-04"}, "14": {"ItemLevelGTIN": "00082617761628"}, "15": {"_addonCardone": "40-3034::98384:115648:510"}, "16": {"Eligible for R&amp;R Service": "Yes"}}</t>
        </is>
      </c>
      <c r="J310" t="inlineStr">
        <is>
          <t>https://www.cardone.com/product/windshield-wiper-motor-40-3034</t>
        </is>
      </c>
      <c r="K310">
        <f>DISPIMG("ID_CBA90E6445934365B6150FCC90228FE4",1)</f>
        <v/>
      </c>
      <c r="L310" t="inlineStr">
        <is>
          <t>CPCX|40-3034</t>
        </is>
      </c>
      <c r="M310" t="inlineStr">
        <is>
          <t>Wiper Motor; Instruction Sheet</t>
        </is>
      </c>
      <c r="N310" t="inlineStr">
        <is>
          <t>Yes</t>
        </is>
      </c>
      <c r="O310" t="inlineStr">
        <is>
          <t>Remanufactured</t>
        </is>
      </c>
      <c r="P310" t="inlineStr">
        <is>
          <t>3</t>
        </is>
      </c>
      <c r="Q310" t="inlineStr">
        <is>
          <t>Blade</t>
        </is>
      </c>
      <c r="R310" t="inlineStr">
        <is>
          <t>Direct Bolt</t>
        </is>
      </c>
      <c r="S310" t="inlineStr">
        <is>
          <t>3.0000</t>
        </is>
      </c>
      <c r="T310" t="inlineStr">
        <is>
          <t>No</t>
        </is>
      </c>
      <c r="U310" t="inlineStr">
        <is>
          <t>1 Year/18,000 Mile</t>
        </is>
      </c>
      <c r="V310" t="inlineStr">
        <is>
          <t>Yes</t>
        </is>
      </c>
      <c r="W310" t="inlineStr">
        <is>
          <t>Available to Order</t>
        </is>
      </c>
      <c r="X310" t="inlineStr">
        <is>
          <t>Chrysler Pacifica 2008-04</t>
        </is>
      </c>
      <c r="Y310" t="inlineStr">
        <is>
          <t>00082617761628</t>
        </is>
      </c>
      <c r="Z310" t="inlineStr">
        <is>
          <t>40-3034::98384:115648:510</t>
        </is>
      </c>
      <c r="AA310" t="inlineStr">
        <is>
          <t>Yes</t>
        </is>
      </c>
      <c r="AB310" t="inlineStr"/>
      <c r="AC310" t="inlineStr"/>
    </row>
    <row r="311">
      <c r="A311" t="inlineStr">
        <is>
          <t>310</t>
        </is>
      </c>
      <c r="B311" t="inlineStr">
        <is>
          <t>Windshield Wiper Motor</t>
        </is>
      </c>
      <c r="C311" t="inlineStr">
        <is>
          <t>40-3035</t>
        </is>
      </c>
      <c r="D311" t="inlineStr">
        <is>
          <t>Windshield Wiper Motor - 40-3035</t>
        </is>
      </c>
      <c r="E311" t="inlineStr">
        <is>
          <t>CARDONE Reman</t>
        </is>
      </c>
      <c r="F311" t="inlineStr">
        <is>
          <t>4894283AA;4894283AB</t>
        </is>
      </c>
      <c r="G311" t="inlineStr">
        <is>
          <t>Chrysler Pacifica 2004-2008</t>
        </is>
      </c>
      <c r="H311" t="inlineStr">
        <is>
          <t>Chrysler Pacifica 2004-2006 3.5L V6 215cid
Chrysler Pacifica 2005-2008 3.8L V6 231cid
Chrysler Pacifica 2007-2008 4L V6 241cid</t>
        </is>
      </c>
      <c r="I311" t="inlineStr">
        <is>
          <t>{"0": {"productDeskExternalKey": "CPCX|40-3035"}, "1": {"Package Contents": "Wiper Motor; Instruction Sheet"}, "2": {"E-Waste": "Yes"}, "3": {"Product Condition": "Remanufactured"}, "4": {"Mounting Hole Quantity": "3"}, "5": {"Terminal Type": "Blade"}, "6": {"Mounting Type": "Grommet"}, "7": {"Weight PG": "2.0500"}, "8": {"Washer Pump Included": "No"}, "9": {"Part Type": "Windshield Wiper Motor"}, "10": {"Warranty Info": "1 Year/18,000 Mile"}, "11": {"Sustainable Choice": "Yes"}, "12": {"Lifecycle Status": "Available to Order"}, "13": {"Application Summary": "Chrysler Pacifica 2008-04"}, "14": {"ItemLevelGTIN": "00082617764742"}, "15": {"_addonCardone": "40-3035::98384:115662:510"}, "16": {"Eligible for R&amp;R Service": "Yes"}}</t>
        </is>
      </c>
      <c r="J311" t="inlineStr">
        <is>
          <t>https://www.cardone.com/product/windshield-wiper-motor-40-3035</t>
        </is>
      </c>
      <c r="K311">
        <f>DISPIMG("ID_B897553060F341CD963C6ED5F1FBFEF0",1)</f>
        <v/>
      </c>
      <c r="L311" t="inlineStr">
        <is>
          <t>CPCX|40-3035</t>
        </is>
      </c>
      <c r="M311" t="inlineStr">
        <is>
          <t>Wiper Motor; Instruction Sheet</t>
        </is>
      </c>
      <c r="N311" t="inlineStr">
        <is>
          <t>Yes</t>
        </is>
      </c>
      <c r="O311" t="inlineStr">
        <is>
          <t>Remanufactured</t>
        </is>
      </c>
      <c r="P311" t="inlineStr">
        <is>
          <t>3</t>
        </is>
      </c>
      <c r="Q311" t="inlineStr">
        <is>
          <t>Blade</t>
        </is>
      </c>
      <c r="R311" t="inlineStr">
        <is>
          <t>Grommet</t>
        </is>
      </c>
      <c r="S311" t="inlineStr">
        <is>
          <t>2.0500</t>
        </is>
      </c>
      <c r="T311" t="inlineStr">
        <is>
          <t>No</t>
        </is>
      </c>
      <c r="U311" t="inlineStr">
        <is>
          <t>1 Year/18,000 Mile</t>
        </is>
      </c>
      <c r="V311" t="inlineStr">
        <is>
          <t>Yes</t>
        </is>
      </c>
      <c r="W311" t="inlineStr">
        <is>
          <t>Available to Order</t>
        </is>
      </c>
      <c r="X311" t="inlineStr">
        <is>
          <t>Chrysler Pacifica 2008-04</t>
        </is>
      </c>
      <c r="Y311" t="inlineStr">
        <is>
          <t>00082617764742</t>
        </is>
      </c>
      <c r="Z311" t="inlineStr">
        <is>
          <t>40-3035::98384:115662:510</t>
        </is>
      </c>
      <c r="AA311" t="inlineStr">
        <is>
          <t>Yes</t>
        </is>
      </c>
      <c r="AB311" t="inlineStr"/>
      <c r="AC311" t="inlineStr"/>
    </row>
    <row r="312">
      <c r="A312" t="inlineStr">
        <is>
          <t>311</t>
        </is>
      </c>
      <c r="B312" t="inlineStr">
        <is>
          <t>Windshield Wiper Motor</t>
        </is>
      </c>
      <c r="C312" t="inlineStr">
        <is>
          <t>40-3036</t>
        </is>
      </c>
      <c r="D312" t="inlineStr">
        <is>
          <t>Windshield Wiper Motor - 40-3036</t>
        </is>
      </c>
      <c r="E312" t="inlineStr">
        <is>
          <t>CARDONE Reman</t>
        </is>
      </c>
      <c r="F312" t="inlineStr">
        <is>
          <t>55077451AC;55077823AF;55077451AE;55077823AA;55077823AC;55157447AA;55077451AB;55077451AD</t>
        </is>
      </c>
      <c r="G312" t="inlineStr">
        <is>
          <t>Chrysler Aspen 2007-2009
Dodge Durango 2004-2009
Dodge Magnum 2005-2008
Dodge Nitro 2007-2011</t>
        </is>
      </c>
      <c r="H312" t="inlineStr">
        <is>
          <t>Chrysler Aspen 2007-2009 4.7L V8 287cid
Chrysler Aspen 2007-2009 5.7L V8 345cid
Dodge Durango 2004-2009 3.7L V6 226cid
Dodge Durango 2004-2009 4.7L V8 287cid
Dodge Durango 2004-2009 5.7L V8 345cid
Dodge Magnum 2005-2008 2.7L V6 167cid
Dodge Magnum 2005-2008 3.5L V6 215cid
Dodge Magnum 2005-2008 5.7L V8 345cid
Dodge Magnum 2006-2008 6.1L V8 370cid
Dodge Nitro 2007-2011 3.7L V6 226cid
Dodge Nitro 2007-2011 4L V6 241cid</t>
        </is>
      </c>
      <c r="I312" t="inlineStr">
        <is>
          <t>{"0": {"productDeskExternalKey": "CPCX|40-3036"}, "1": {"Package Contents": "Wiper Motor; Instruction Sheet"}, "2": {"E-Waste": "Yes"}, "3": {"Product Condition": "Remanufactured"}, "4": {"Mounting Hole Quantity": "3"}, "5": {"Terminal Type": "Blade"}, "6": {"Mounting Type": "Eyelet; Grommet"}, "7": {"Weight PG": "2.5000"}, "8": {"Washer Pump Included": "No"}, "9": {"Part Type": "Windshield Wiper Motor"}, "10": {"Warranty Info": "1 Year/18,000 Mile"}, "11": {"Sustainable Choice": "Yes"}, "12": {"Lifecycle Status": "Available to Order"}, "13": {"Application Summary": "Chrysler Aspen 2009-07; Dodge Durango 2009-04, Magnum 2008-05, Nitro 2011-07"}, "14": {"ItemLevelGTIN": "00082617775458"}, "15": {"_addonCardone": "40-3036::98384:115674:510"}, "16": {"Eligible for R&amp;R Service": "Yes"}}</t>
        </is>
      </c>
      <c r="J312" t="inlineStr">
        <is>
          <t>https://www.cardone.com/product/windshield-wiper-motor-40-3036</t>
        </is>
      </c>
      <c r="K312">
        <f>DISPIMG("ID_0A8C2FC2D85444DCB2763A4F27B18287",1)</f>
        <v/>
      </c>
      <c r="L312" t="inlineStr">
        <is>
          <t>CPCX|40-3036</t>
        </is>
      </c>
      <c r="M312" t="inlineStr">
        <is>
          <t>Wiper Motor; Instruction Sheet</t>
        </is>
      </c>
      <c r="N312" t="inlineStr">
        <is>
          <t>Yes</t>
        </is>
      </c>
      <c r="O312" t="inlineStr">
        <is>
          <t>Remanufactured</t>
        </is>
      </c>
      <c r="P312" t="inlineStr">
        <is>
          <t>3</t>
        </is>
      </c>
      <c r="Q312" t="inlineStr">
        <is>
          <t>Blade</t>
        </is>
      </c>
      <c r="R312" t="inlineStr">
        <is>
          <t>Eyelet; Grommet</t>
        </is>
      </c>
      <c r="S312" t="inlineStr">
        <is>
          <t>2.5000</t>
        </is>
      </c>
      <c r="T312" t="inlineStr">
        <is>
          <t>No</t>
        </is>
      </c>
      <c r="U312" t="inlineStr">
        <is>
          <t>1 Year/18,000 Mile</t>
        </is>
      </c>
      <c r="V312" t="inlineStr">
        <is>
          <t>Yes</t>
        </is>
      </c>
      <c r="W312" t="inlineStr">
        <is>
          <t>Available to Order</t>
        </is>
      </c>
      <c r="X312" t="inlineStr">
        <is>
          <t>Chrysler Aspen 2009-07; Dodge Durango 2009-04, Magnum 2008-05, Nitro 2011-07</t>
        </is>
      </c>
      <c r="Y312" t="inlineStr">
        <is>
          <t>00082617775458</t>
        </is>
      </c>
      <c r="Z312" t="inlineStr">
        <is>
          <t>40-3036::98384:115674:510</t>
        </is>
      </c>
      <c r="AA312" t="inlineStr">
        <is>
          <t>Yes</t>
        </is>
      </c>
      <c r="AB312" t="inlineStr"/>
      <c r="AC312" t="inlineStr"/>
    </row>
    <row r="313">
      <c r="A313" t="inlineStr">
        <is>
          <t>312</t>
        </is>
      </c>
      <c r="B313" t="inlineStr">
        <is>
          <t>Windshield Wiper Motor</t>
        </is>
      </c>
      <c r="C313" t="inlineStr">
        <is>
          <t>40-3037</t>
        </is>
      </c>
      <c r="D313" t="inlineStr">
        <is>
          <t>Windshield Wiper Motor - 40-3037</t>
        </is>
      </c>
      <c r="E313" t="inlineStr">
        <is>
          <t>CARDONE Reman</t>
        </is>
      </c>
      <c r="F313" t="inlineStr">
        <is>
          <t>4708171</t>
        </is>
      </c>
      <c r="G313" t="inlineStr">
        <is>
          <t>Dodge Viper 1992-2002</t>
        </is>
      </c>
      <c r="H313" t="inlineStr">
        <is>
          <t>Dodge Viper 1992-2002 8L V10 488cid</t>
        </is>
      </c>
      <c r="I313" t="inlineStr">
        <is>
          <t>{"0": {"productDeskExternalKey": "CPCX|40-3037"}, "1": {"Package Contents": "Wiper Motor; Instruction Sheet"}, "2": {"E-Waste": "Yes"}, "3": {"Product Condition": "Remanufactured"}, "4": {"Mounting Hole Quantity": "3"}, "5": {"Terminal Type": "Pin"}, "6": {"Mounting Type": "Grommet"}, "7": {"Weight PG": "3.6500"}, "8": {"Washer Pump Included": "No"}, "9": {"Part Type": "Windshield Wiper Motor"}, "10": {"Warranty Info": "1 Year/18,000 Mile"}, "11": {"Sustainable Choice": "Yes"}, "12": {"Lifecycle Status": "Available to Order"}, "13": {"Application Summary": "Dodge Viper 2002-92"}, "14": {"ItemLevelGTIN": "00082617791342"}, "15": {"_addonCardone": "40-3037::98384:115686:510"}, "16": {"Eligible for R&amp;R Service": "Yes"}}</t>
        </is>
      </c>
      <c r="J313" t="inlineStr">
        <is>
          <t>https://www.cardone.com/product/windshield-wiper-motor-40-3037</t>
        </is>
      </c>
      <c r="K313">
        <f>DISPIMG("ID_703DBFD33A9E404C9DC1A011BAEB9EF1",1)</f>
        <v/>
      </c>
      <c r="L313" t="inlineStr">
        <is>
          <t>CPCX|40-3037</t>
        </is>
      </c>
      <c r="M313" t="inlineStr">
        <is>
          <t>Wiper Motor; Instruction Sheet</t>
        </is>
      </c>
      <c r="N313" t="inlineStr">
        <is>
          <t>Yes</t>
        </is>
      </c>
      <c r="O313" t="inlineStr">
        <is>
          <t>Remanufactured</t>
        </is>
      </c>
      <c r="P313" t="inlineStr">
        <is>
          <t>3</t>
        </is>
      </c>
      <c r="Q313" t="inlineStr">
        <is>
          <t>Pin</t>
        </is>
      </c>
      <c r="R313" t="inlineStr">
        <is>
          <t>Grommet</t>
        </is>
      </c>
      <c r="S313" t="inlineStr">
        <is>
          <t>3.6500</t>
        </is>
      </c>
      <c r="T313" t="inlineStr">
        <is>
          <t>No</t>
        </is>
      </c>
      <c r="U313" t="inlineStr">
        <is>
          <t>1 Year/18,000 Mile</t>
        </is>
      </c>
      <c r="V313" t="inlineStr">
        <is>
          <t>Yes</t>
        </is>
      </c>
      <c r="W313" t="inlineStr">
        <is>
          <t>Available to Order</t>
        </is>
      </c>
      <c r="X313" t="inlineStr">
        <is>
          <t>Dodge Viper 2002-92</t>
        </is>
      </c>
      <c r="Y313" t="inlineStr">
        <is>
          <t>00082617791342</t>
        </is>
      </c>
      <c r="Z313" t="inlineStr">
        <is>
          <t>40-3037::98384:115686:510</t>
        </is>
      </c>
      <c r="AA313" t="inlineStr">
        <is>
          <t>Yes</t>
        </is>
      </c>
      <c r="AB313" t="inlineStr"/>
      <c r="AC313" t="inlineStr"/>
    </row>
    <row r="314">
      <c r="A314" t="inlineStr">
        <is>
          <t>313</t>
        </is>
      </c>
      <c r="B314" t="inlineStr">
        <is>
          <t>Windshield Wiper Motor</t>
        </is>
      </c>
      <c r="C314" t="inlineStr">
        <is>
          <t>40-3038</t>
        </is>
      </c>
      <c r="D314" t="inlineStr">
        <is>
          <t>Windshield Wiper Motor - 40-3038</t>
        </is>
      </c>
      <c r="E314" t="inlineStr">
        <is>
          <t>CARDONE Reman</t>
        </is>
      </c>
      <c r="F314" t="inlineStr">
        <is>
          <t>55079158AD;76505TZ5A01;5183273AA;5303827AD;4879432AG;68002320AA;5303780AE;68003729AA;68197132AA;22905713;5303827AE;5183273AB;55079158AF;68197132AD;5303827AC;5303780AB;68079854AA;68156259AA;KD5367340B;68190045AA;68301826AA;4879432AH;KD5367340</t>
        </is>
      </c>
      <c r="G314" t="inlineStr">
        <is>
          <t>Acura MDX 2014-2020
Cadillac ATS 2013-2019
Dodge Caliber 2007-2012
Dodge Dart 2013-2016
Dodge Durango 2011-2022
Jeep Cherokee 2014-2022
Jeep Compass 2007-2017
Jeep Grand Cherokee 2011-2022
Jeep Patriot 2007-2017
Mazda CX-5 2013-2015</t>
        </is>
      </c>
      <c r="H314" t="inlineStr">
        <is>
          <t>Acura MDX 2014-2020 3.5L V6 3471cc
Acura MDX 2017-2020 3L V6 2997cc
Cadillac ATS 2013-2017 2.5L L4 150cid
Cadillac ATS 2013-2019 2L L4 122cid
Cadillac ATS 2013-2019 3.6L V6 217cid
Cadillac ATS 2016-2019 3.6L V6 222cid
Dodge Caliber 2007-2009 1.8L L4 110cid
Dodge Caliber 2007-2012 2.4L L4 144cid
Dodge Caliber 2007-2012 2L L4 122cid
Dodge Dart 2013-2016 1.4L L4 83cid
Dodge Dart 2013-2016 2.4L L4 144cid
Dodge Dart 2013-2016 2L L4 122cid
Dodge Durango 2011-2022 3.6L V6 220cid
Dodge Durango 2011-2022 5.7L V8 345cid
Dodge Durango 2018-2022 6.4L V8 392cid
Dodge Durango 2021 6.2L V8 376cid
Jeep Cherokee 2014-2022 2.4L L4 144cid
Jeep Cherokee 2014-2022 3.2L V6 198cid
Jeep Cherokee 2019-2022 2L L4 122cid
Jeep Compass 2007-2017 2.4L L4 144cid
Jeep Compass 2007-2017 2L L4 122cid
Jeep Grand Cherokee 2011-2022 3.6L V6 220cid
Jeep Grand Cherokee 2011-2022 5.7L V8 345cid
Jeep Grand Cherokee 2012-2021 6.4L V8 392cid
Jeep Grand Cherokee 2014-2021 3L V6 182cid
Jeep Grand Cherokee 2018-2021 6.2L V8 376cid
Jeep Grand Cherokee 2022 2L L4 122cid
Jeep Patriot 2007-2017 2.4L L4 144cid
Jeep Patriot 2007-2017 2L L4 122cid
Mazda CX-5 2013-2015 2L L4 122cid
Mazda CX-5 2014-2015 2.5L L4 152cid</t>
        </is>
      </c>
      <c r="I314" t="inlineStr">
        <is>
          <t>{"0": {"productDeskExternalKey": "CPCX|40-3038"}, "1": {"Package Contents": "Wiper Motor; Instruction Sheet"}, "2": {"E-Waste": "Yes"}, "3": {"Product Condition": "Remanufactured"}, "4": {"Mounting Hole Quantity": "2"}, "5": {"Terminal Type": "Pin"}, "6": {"Mounting Type": "Direct Bolt"}, "7": {"Weight PG": "3.0000"}, "8": {"Washer Pump Included": "No"}, "9": {"Part Type": "Windshield Wiper Motor"}, "10": {"Warranty Info": "1 Year/18,000 Mile"}, "11": {"Sustainable Choice": "Yes"}, "12": {"Lifecycle Status": "Available to Order"}, "13": {"ItemLevelGTIN": "00082617801270"}, "14": {"_addonCardone": "40-3038::98384:115697:510"}, "15": {"Application Summary": "Acura MDX 2020-14; Cadillac ATS 2019-13; Dodge Caliber 2012-07, Dart 2016-13, Durango 2022-11; Jeep Cherokee 2022-14, Compass 2017-07, Grand Cherokee 2022-11, Patriot 2017-07; Mazda CX-5 2015-13"}, "16": {"Eligible for R&amp;R Service": "Yes"}}</t>
        </is>
      </c>
      <c r="J314" t="inlineStr">
        <is>
          <t>https://www.cardone.com/product/windshield-wiper-motor-40-3038</t>
        </is>
      </c>
      <c r="K314">
        <f>DISPIMG("ID_8FD42F88E8C548FEAD846445528E0E5E",1)</f>
        <v/>
      </c>
      <c r="L314" t="inlineStr">
        <is>
          <t>CPCX|40-3038</t>
        </is>
      </c>
      <c r="M314" t="inlineStr">
        <is>
          <t>Wiper Motor; Instruction Sheet</t>
        </is>
      </c>
      <c r="N314" t="inlineStr">
        <is>
          <t>Yes</t>
        </is>
      </c>
      <c r="O314" t="inlineStr">
        <is>
          <t>Remanufactured</t>
        </is>
      </c>
      <c r="P314" t="inlineStr">
        <is>
          <t>2</t>
        </is>
      </c>
      <c r="Q314" t="inlineStr">
        <is>
          <t>Pin</t>
        </is>
      </c>
      <c r="R314" t="inlineStr">
        <is>
          <t>Direct Bolt</t>
        </is>
      </c>
      <c r="S314" t="inlineStr">
        <is>
          <t>3.0000</t>
        </is>
      </c>
      <c r="T314" t="inlineStr">
        <is>
          <t>No</t>
        </is>
      </c>
      <c r="U314" t="inlineStr">
        <is>
          <t>1 Year/18,000 Mile</t>
        </is>
      </c>
      <c r="V314" t="inlineStr">
        <is>
          <t>Yes</t>
        </is>
      </c>
      <c r="W314" t="inlineStr">
        <is>
          <t>Available to Order</t>
        </is>
      </c>
      <c r="X314" t="inlineStr">
        <is>
          <t>Acura MDX 2020-14; Cadillac ATS 2019-13; Dodge Caliber 2012-07, Dart 2016-13, Durango 2022-11; Jeep Cherokee 2022-14, Compass 2017-07, Grand Cherokee 2022-11, Patriot 2017-07; Mazda CX-5 2015-13</t>
        </is>
      </c>
      <c r="Y314" t="inlineStr">
        <is>
          <t>00082617801270</t>
        </is>
      </c>
      <c r="Z314" t="inlineStr">
        <is>
          <t>40-3038::98384:115697:510</t>
        </is>
      </c>
      <c r="AA314" t="inlineStr">
        <is>
          <t>Yes</t>
        </is>
      </c>
      <c r="AB314" t="inlineStr"/>
      <c r="AC314" t="inlineStr"/>
    </row>
    <row r="315">
      <c r="A315" t="inlineStr">
        <is>
          <t>314</t>
        </is>
      </c>
      <c r="B315" t="inlineStr">
        <is>
          <t>Windshield Wiper Motor</t>
        </is>
      </c>
      <c r="C315" t="inlineStr">
        <is>
          <t>40-3041</t>
        </is>
      </c>
      <c r="D315" t="inlineStr">
        <is>
          <t>Windshield Wiper Motor - 40-3041</t>
        </is>
      </c>
      <c r="E315" t="inlineStr">
        <is>
          <t>CARDONE Reman</t>
        </is>
      </c>
      <c r="F315" t="inlineStr">
        <is>
          <t>68017435AA</t>
        </is>
      </c>
      <c r="G315" t="inlineStr">
        <is>
          <t>Dodge Sprinter 2500 2007-2009
Dodge Sprinter 3500 2007-2009
Freightliner Sprinter 2500 2007-2009
Freightliner Sprinter 3500 2007-2009</t>
        </is>
      </c>
      <c r="H315" t="inlineStr">
        <is>
          <t>Dodge Sprinter 2500 2007-2008 3.5L V6 3498cc
Dodge Sprinter 2500 2007-2009 3L V6 2987cc
Dodge Sprinter 3500 2007-2008 3.5L V6 3498cc
Dodge Sprinter 3500 2007-2009 3L V6 2987cc
Freightliner Sprinter 2500 2007-2008 3.5L V6 3498cc
Freightliner Sprinter 2500 2007-2009 3L V6 2987cc
Freightliner Sprinter 3500 2007-2008 3.5L V6 3498cc
Freightliner Sprinter 3500 2007-2009 3L V6 2987cc</t>
        </is>
      </c>
      <c r="I315" t="inlineStr">
        <is>
          <t>{"0": {"productDeskExternalKey": "CPCX|40-3041"}, "1": {"Package Contents": "Wiper Motor; Instruction Sheet"}, "2": {"E-Waste": "Yes"}, "3": {"Product Condition": "Remanufactured"}, "4": {"Mounting Hole Quantity": "4"}, "5": {"Terminal Type": "Blade"}, "6": {"Mounting Type": "Direct Bolt"}, "7": {"Weight PG": "3.5000"}, "8": {"Washer Pump Included": "No"}, "9": {"Part Type": "Windshield Wiper Motor"}, "10": {"Warranty Info": "1 Year/18,000 Mile"}, "11": {"Sustainable Choice": "Yes"}, "12": {"Lifecycle Status": "Available to Order"}, "13": {"Application Summary": "Dodge Sprinter 2500 2009-07, Sprinter 3500 2009-07; Freightliner Sprinter 2500 2009-07, Sprinter 3500 2009-07"}, "14": {"ItemLevelGTIN": "00082617812603"}, "15": {"_addonCardone": "40-3041::98384:115710:510"}, "16": {"Eligible for R&amp;R Service": "Yes"}}</t>
        </is>
      </c>
      <c r="J315" t="inlineStr">
        <is>
          <t>https://www.cardone.com/product/windshield-wiper-motor-40-3041</t>
        </is>
      </c>
      <c r="K315">
        <f>DISPIMG("ID_7FCB6868937D478E8C1937F591497278",1)</f>
        <v/>
      </c>
      <c r="L315" t="inlineStr">
        <is>
          <t>CPCX|40-3041</t>
        </is>
      </c>
      <c r="M315" t="inlineStr">
        <is>
          <t>Wiper Motor; Instruction Sheet</t>
        </is>
      </c>
      <c r="N315" t="inlineStr">
        <is>
          <t>Yes</t>
        </is>
      </c>
      <c r="O315" t="inlineStr">
        <is>
          <t>Remanufactured</t>
        </is>
      </c>
      <c r="P315" t="inlineStr">
        <is>
          <t>4</t>
        </is>
      </c>
      <c r="Q315" t="inlineStr">
        <is>
          <t>Blade</t>
        </is>
      </c>
      <c r="R315" t="inlineStr">
        <is>
          <t>Direct Bolt</t>
        </is>
      </c>
      <c r="S315" t="inlineStr">
        <is>
          <t>3.5000</t>
        </is>
      </c>
      <c r="T315" t="inlineStr">
        <is>
          <t>No</t>
        </is>
      </c>
      <c r="U315" t="inlineStr">
        <is>
          <t>1 Year/18,000 Mile</t>
        </is>
      </c>
      <c r="V315" t="inlineStr">
        <is>
          <t>Yes</t>
        </is>
      </c>
      <c r="W315" t="inlineStr">
        <is>
          <t>Available to Order</t>
        </is>
      </c>
      <c r="X315" t="inlineStr">
        <is>
          <t>Dodge Sprinter 2500 2009-07, Sprinter 3500 2009-07; Freightliner Sprinter 2500 2009-07, Sprinter 3500 2009-07</t>
        </is>
      </c>
      <c r="Y315" t="inlineStr">
        <is>
          <t>00082617812603</t>
        </is>
      </c>
      <c r="Z315" t="inlineStr">
        <is>
          <t>40-3041::98384:115710:510</t>
        </is>
      </c>
      <c r="AA315" t="inlineStr">
        <is>
          <t>Yes</t>
        </is>
      </c>
      <c r="AB315" t="inlineStr"/>
      <c r="AC315" t="inlineStr"/>
    </row>
    <row r="316">
      <c r="A316" t="inlineStr">
        <is>
          <t>315</t>
        </is>
      </c>
      <c r="B316" t="inlineStr">
        <is>
          <t>Windshield Wiper Motor</t>
        </is>
      </c>
      <c r="C316" t="inlineStr">
        <is>
          <t>40-3043</t>
        </is>
      </c>
      <c r="D316" t="inlineStr">
        <is>
          <t>Windshield Wiper Motor - 40-3043</t>
        </is>
      </c>
      <c r="E316" t="inlineStr">
        <is>
          <t>CARDONE Reman</t>
        </is>
      </c>
      <c r="F316" t="inlineStr">
        <is>
          <t>68020720AD;68020720AB;68020720AA</t>
        </is>
      </c>
      <c r="G316" t="inlineStr">
        <is>
          <t>Dodge Nitro 2007-2011
Jeep Liberty 2008-2012</t>
        </is>
      </c>
      <c r="H316" t="inlineStr">
        <is>
          <t>Dodge Nitro 2007-2011 3.7L V6 226cid
Dodge Nitro 2007-2011 4L V6 241cid
Jeep Liberty 2008-2012 3.7L V6 226cid</t>
        </is>
      </c>
      <c r="I316" t="inlineStr">
        <is>
          <t>{"0": {"productDeskExternalKey": "CPCX|40-3043"}, "1": {"Package Contents": "Wiper Motor; Instruction Sheet"}, "2": {"E-Waste": "Yes"}, "3": {"Product Condition": "Remanufactured"}, "4": {"Mounting Hole Quantity": "3"}, "5": {"Terminal Type": "Blade"}, "6": {"Mounting Type": "Direct Bolt; Grommet"}, "7": {"Weight PG": "2.5000"}, "8": {"Washer Pump Included": "No"}, "9": {"Part Type": "Windshield Wiper Motor"}, "10": {"Warranty Info": "1 Year/18,000 Mile"}, "11": {"Sustainable Choice": "Yes"}, "12": {"Lifecycle Status": "Available to Order"}, "13": {"Application Summary": "Dodge Nitro 2011-07; Jeep Liberty 2012-08"}, "14": {"ItemLevelGTIN": "00082617822305"}, "15": {"_addonCardone": "40-3043::98384:115720:510"}, "16": {"Eligible for R&amp;R Service": "Yes"}}</t>
        </is>
      </c>
      <c r="J316" t="inlineStr">
        <is>
          <t>https://www.cardone.com/product/windshield-wiper-motor-40-3043</t>
        </is>
      </c>
      <c r="K316">
        <f>DISPIMG("ID_6ABA850C091A4C1C8B39AA2AC684820E",1)</f>
        <v/>
      </c>
      <c r="L316" t="inlineStr">
        <is>
          <t>CPCX|40-3043</t>
        </is>
      </c>
      <c r="M316" t="inlineStr">
        <is>
          <t>Wiper Motor; Instruction Sheet</t>
        </is>
      </c>
      <c r="N316" t="inlineStr">
        <is>
          <t>Yes</t>
        </is>
      </c>
      <c r="O316" t="inlineStr">
        <is>
          <t>Remanufactured</t>
        </is>
      </c>
      <c r="P316" t="inlineStr">
        <is>
          <t>3</t>
        </is>
      </c>
      <c r="Q316" t="inlineStr">
        <is>
          <t>Blade</t>
        </is>
      </c>
      <c r="R316" t="inlineStr">
        <is>
          <t>Direct Bolt; Grommet</t>
        </is>
      </c>
      <c r="S316" t="inlineStr">
        <is>
          <t>2.5000</t>
        </is>
      </c>
      <c r="T316" t="inlineStr">
        <is>
          <t>No</t>
        </is>
      </c>
      <c r="U316" t="inlineStr">
        <is>
          <t>1 Year/18,000 Mile</t>
        </is>
      </c>
      <c r="V316" t="inlineStr">
        <is>
          <t>Yes</t>
        </is>
      </c>
      <c r="W316" t="inlineStr">
        <is>
          <t>Available to Order</t>
        </is>
      </c>
      <c r="X316" t="inlineStr">
        <is>
          <t>Dodge Nitro 2011-07; Jeep Liberty 2012-08</t>
        </is>
      </c>
      <c r="Y316" t="inlineStr">
        <is>
          <t>00082617822305</t>
        </is>
      </c>
      <c r="Z316" t="inlineStr">
        <is>
          <t>40-3043::98384:115720:510</t>
        </is>
      </c>
      <c r="AA316" t="inlineStr">
        <is>
          <t>Yes</t>
        </is>
      </c>
      <c r="AB316" t="inlineStr"/>
      <c r="AC316" t="inlineStr"/>
    </row>
    <row r="317">
      <c r="A317" t="inlineStr">
        <is>
          <t>316</t>
        </is>
      </c>
      <c r="B317" t="inlineStr">
        <is>
          <t>Windshield Wiper Motor</t>
        </is>
      </c>
      <c r="C317" t="inlineStr">
        <is>
          <t>40-3044</t>
        </is>
      </c>
      <c r="D317" t="inlineStr">
        <is>
          <t>Windshield Wiper Motor - 40-3044</t>
        </is>
      </c>
      <c r="E317" t="inlineStr">
        <is>
          <t>CARDONE Reman</t>
        </is>
      </c>
      <c r="F317" t="inlineStr">
        <is>
          <t>5103561AA;5103870AA;5103561AB</t>
        </is>
      </c>
      <c r="G317" t="inlineStr">
        <is>
          <t>Dodge Sprinter 2500 2003-2006
Dodge Sprinter 3500 2003-2006
Freightliner Sprinter 2500 2002-2006
Freightliner Sprinter 3500 2002-2006</t>
        </is>
      </c>
      <c r="H317" t="inlineStr">
        <is>
          <t>Dodge Sprinter 2500 2003-2006 2.7L L5 165cid
Dodge Sprinter 3500 2003-2006 2.7L L5 165cid
Freightliner Sprinter 2500 2002-2006 2.7L L5 165cid
Freightliner Sprinter 3500 2002-2006 2.7L L5 165cid</t>
        </is>
      </c>
      <c r="I317" t="inlineStr">
        <is>
          <t>{"0": {"productDeskExternalKey": "CPCX|40-3044"}, "1": {"Package Contents": "Wiper Motor; Instruction Sheet"}, "2": {"E-Waste": "Yes"}, "3": {"Product Condition": "Remanufactured"}, "4": {"Mounting Hole Quantity": "3"}, "5": {"Terminal Type": "Pin"}, "6": {"Mounting Type": "Direct Bolt"}, "7": {"Weight PG": "2.9000"}, "8": {"Washer Pump Included": "No"}, "9": {"Part Type": "Windshield Wiper Motor"}, "10": {"Warranty Info": "1 Year/18,000 Mile"}, "11": {"Sustainable Choice": "Yes"}, "12": {"Lifecycle Status": "Available to Order"}, "13": {"Application Summary": "Dodge Sprinter 2500 2006-03, Sprinter 3500 2006-03; Freightliner Sprinter 2500 2006-02, Sprinter 3500 2006-02"}, "14": {"ItemLevelGTIN": "00082617822732"}, "15": {"_addonCardone": "40-3044::98384:115733:510"}, "16": {"Eligible for R&amp;R Service": "Yes"}}</t>
        </is>
      </c>
      <c r="J317" t="inlineStr">
        <is>
          <t>https://www.cardone.com/product/windshield-wiper-motor-40-3044</t>
        </is>
      </c>
      <c r="K317">
        <f>DISPIMG("ID_C276C50B119647289A370A8E93BBF073",1)</f>
        <v/>
      </c>
      <c r="L317" t="inlineStr">
        <is>
          <t>CPCX|40-3044</t>
        </is>
      </c>
      <c r="M317" t="inlineStr">
        <is>
          <t>Wiper Motor; Instruction Sheet</t>
        </is>
      </c>
      <c r="N317" t="inlineStr">
        <is>
          <t>Yes</t>
        </is>
      </c>
      <c r="O317" t="inlineStr">
        <is>
          <t>Remanufactured</t>
        </is>
      </c>
      <c r="P317" t="inlineStr">
        <is>
          <t>3</t>
        </is>
      </c>
      <c r="Q317" t="inlineStr">
        <is>
          <t>Pin</t>
        </is>
      </c>
      <c r="R317" t="inlineStr">
        <is>
          <t>Direct Bolt</t>
        </is>
      </c>
      <c r="S317" t="inlineStr">
        <is>
          <t>2.9000</t>
        </is>
      </c>
      <c r="T317" t="inlineStr">
        <is>
          <t>No</t>
        </is>
      </c>
      <c r="U317" t="inlineStr">
        <is>
          <t>1 Year/18,000 Mile</t>
        </is>
      </c>
      <c r="V317" t="inlineStr">
        <is>
          <t>Yes</t>
        </is>
      </c>
      <c r="W317" t="inlineStr">
        <is>
          <t>Available to Order</t>
        </is>
      </c>
      <c r="X317" t="inlineStr">
        <is>
          <t>Dodge Sprinter 2500 2006-03, Sprinter 3500 2006-03; Freightliner Sprinter 2500 2006-02, Sprinter 3500 2006-02</t>
        </is>
      </c>
      <c r="Y317" t="inlineStr">
        <is>
          <t>00082617822732</t>
        </is>
      </c>
      <c r="Z317" t="inlineStr">
        <is>
          <t>40-3044::98384:115733:510</t>
        </is>
      </c>
      <c r="AA317" t="inlineStr">
        <is>
          <t>Yes</t>
        </is>
      </c>
      <c r="AB317" t="inlineStr"/>
      <c r="AC317" t="inlineStr"/>
    </row>
    <row r="318">
      <c r="A318" t="inlineStr">
        <is>
          <t>317</t>
        </is>
      </c>
      <c r="B318" t="inlineStr">
        <is>
          <t>Windshield Wiper Motor</t>
        </is>
      </c>
      <c r="C318" t="inlineStr">
        <is>
          <t>40-3045</t>
        </is>
      </c>
      <c r="D318" t="inlineStr">
        <is>
          <t>Windshield Wiper Motor - 40-3045</t>
        </is>
      </c>
      <c r="E318" t="inlineStr">
        <is>
          <t>CARDONE Reman</t>
        </is>
      </c>
      <c r="F318" t="inlineStr">
        <is>
          <t>5113411AB;5113411AC;5113411AA</t>
        </is>
      </c>
      <c r="G318" t="inlineStr">
        <is>
          <t>Chrysler Town &amp; Country 2008-2016
Dodge Grand Caravan 2008-2020
Ram C/V 2012-2015</t>
        </is>
      </c>
      <c r="H318" t="inlineStr">
        <is>
          <t>Chrysler Town &amp; Country 2008-2010 3.3L V6 201cid
Chrysler Town &amp; Country 2008-2010 3.8L V6 231cid
Chrysler Town &amp; Country 2008-2010 4L V6 241cid
Chrysler Town &amp; Country 2011-2016 3.6L V6 220cid
Dodge Grand Caravan 2008-2010 3.3L V6 201cid
Dodge Grand Caravan 2008-2010 3.8L V6 231cid
Dodge Grand Caravan 2008-2010 4L V6 241cid
Dodge Grand Caravan 2011-2020 3.6L V6 220cid
Ram C/V 2012-2015 3.6L V6 220cid</t>
        </is>
      </c>
      <c r="I318" t="inlineStr">
        <is>
          <t>{"0": {"productDeskExternalKey": "CPCX|40-3045"}, "1": {"Package Contents": "Wiper Motor; Instruction Sheet"}, "2": {"E-Waste": "Yes"}, "3": {"Product Condition": "Remanufactured"}, "4": {"Mounting Hole Quantity": "3"}, "5": {"Terminal Type": "Blade"}, "6": {"Mounting Type": "Eyelet; Grommet"}, "7": {"Weight PG": "1.8500"}, "8": {"Washer Pump Included": "No"}, "9": {"Part Type": "Windshield Wiper Motor"}, "10": {"Warranty Info": "1 Year/18,000 Mile"}, "11": {"Sustainable Choice": "Yes"}, "12": {"Lifecycle Status": "Available to Order"}, "13": {"Application Summary": "Chrysler Town &amp; Country 2016-08; Dodge Grand Caravan 2020-08; Ram C/V 2015-14 2012"}, "14": {"ItemLevelGTIN": "00082617828048"}, "15": {"_addonCardone": "40-3045::98384:115744:510"}, "16": {"Eligible for R&amp;R Service": "Yes"}}</t>
        </is>
      </c>
      <c r="J318" t="inlineStr">
        <is>
          <t>https://www.cardone.com/product/windshield-wiper-motor-40-3045</t>
        </is>
      </c>
      <c r="K318">
        <f>DISPIMG("ID_C1A62A9C853D467A98BBA80A97B8F6F7",1)</f>
        <v/>
      </c>
      <c r="L318" t="inlineStr">
        <is>
          <t>CPCX|40-3045</t>
        </is>
      </c>
      <c r="M318" t="inlineStr">
        <is>
          <t>Wiper Motor; Instruction Sheet</t>
        </is>
      </c>
      <c r="N318" t="inlineStr">
        <is>
          <t>Yes</t>
        </is>
      </c>
      <c r="O318" t="inlineStr">
        <is>
          <t>Remanufactured</t>
        </is>
      </c>
      <c r="P318" t="inlineStr">
        <is>
          <t>3</t>
        </is>
      </c>
      <c r="Q318" t="inlineStr">
        <is>
          <t>Blade</t>
        </is>
      </c>
      <c r="R318" t="inlineStr">
        <is>
          <t>Eyelet; Grommet</t>
        </is>
      </c>
      <c r="S318" t="inlineStr">
        <is>
          <t>1.8500</t>
        </is>
      </c>
      <c r="T318" t="inlineStr">
        <is>
          <t>No</t>
        </is>
      </c>
      <c r="U318" t="inlineStr">
        <is>
          <t>1 Year/18,000 Mile</t>
        </is>
      </c>
      <c r="V318" t="inlineStr">
        <is>
          <t>Yes</t>
        </is>
      </c>
      <c r="W318" t="inlineStr">
        <is>
          <t>Available to Order</t>
        </is>
      </c>
      <c r="X318" t="inlineStr">
        <is>
          <t>Chrysler Town &amp; Country 2016-08; Dodge Grand Caravan 2020-08; Ram C/V 2015-14 2012</t>
        </is>
      </c>
      <c r="Y318" t="inlineStr">
        <is>
          <t>00082617828048</t>
        </is>
      </c>
      <c r="Z318" t="inlineStr">
        <is>
          <t>40-3045::98384:115744:510</t>
        </is>
      </c>
      <c r="AA318" t="inlineStr">
        <is>
          <t>Yes</t>
        </is>
      </c>
      <c r="AB318" t="inlineStr"/>
      <c r="AC318" t="inlineStr"/>
    </row>
    <row r="319">
      <c r="A319" t="inlineStr">
        <is>
          <t>318</t>
        </is>
      </c>
      <c r="B319" t="inlineStr">
        <is>
          <t>Windshield Wiper Motor</t>
        </is>
      </c>
      <c r="C319" t="inlineStr">
        <is>
          <t>40-3048</t>
        </is>
      </c>
      <c r="D319" t="inlineStr">
        <is>
          <t>Windshield Wiper Motor - 40-3048</t>
        </is>
      </c>
      <c r="E319" t="inlineStr">
        <is>
          <t>CARDONE Reman</t>
        </is>
      </c>
      <c r="F319" t="inlineStr">
        <is>
          <t>5097935AA;1708200242</t>
        </is>
      </c>
      <c r="G319" t="inlineStr">
        <is>
          <t>Chrysler Crossfire 2004-2008</t>
        </is>
      </c>
      <c r="H319" t="inlineStr">
        <is>
          <t>Chrysler Crossfire 2004-2008 3.2L V6 195cid
Chrysler Crossfire 2005-2006 3.2L V6 3199cc</t>
        </is>
      </c>
      <c r="I319" t="inlineStr">
        <is>
          <t>{"0": {"productDeskExternalKey": "CPCX|40-3048"},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"Chrysler Crossfire 2008-04"}, "14": {"ItemLevelGTIN": "00082617837033"}, "15": {"_addonCardone": "40-3048::98384:115752:510"}, "16": {"Eligible for R&amp;R Service": "Yes"}}</t>
        </is>
      </c>
      <c r="J319" t="inlineStr">
        <is>
          <t>https://www.cardone.com/product/windshield-wiper-motor-40-3048</t>
        </is>
      </c>
      <c r="K319">
        <f>DISPIMG("ID_B7D4866EDC8B4060A2905213462237C9",1)</f>
        <v/>
      </c>
      <c r="L319" t="inlineStr">
        <is>
          <t>CPCX|40-3048</t>
        </is>
      </c>
      <c r="M319" t="inlineStr">
        <is>
          <t>Wiper Motor; Instruction Sheet</t>
        </is>
      </c>
      <c r="N319" t="inlineStr">
        <is>
          <t>Yes</t>
        </is>
      </c>
      <c r="O319" t="inlineStr">
        <is>
          <t>Remanufactured</t>
        </is>
      </c>
      <c r="P319" t="inlineStr">
        <is>
          <t>3</t>
        </is>
      </c>
      <c r="Q319" t="inlineStr">
        <is>
          <t>Blade</t>
        </is>
      </c>
      <c r="R319" t="inlineStr">
        <is>
          <t>Direct Bolt</t>
        </is>
      </c>
      <c r="S319" t="inlineStr">
        <is>
          <t>3.5000</t>
        </is>
      </c>
      <c r="T319" t="inlineStr">
        <is>
          <t>No</t>
        </is>
      </c>
      <c r="U319" t="inlineStr">
        <is>
          <t>1 Year/18,000 Mile</t>
        </is>
      </c>
      <c r="V319" t="inlineStr">
        <is>
          <t>Yes</t>
        </is>
      </c>
      <c r="W319" t="inlineStr">
        <is>
          <t>Available to Order</t>
        </is>
      </c>
      <c r="X319" t="inlineStr">
        <is>
          <t>Chrysler Crossfire 2008-04</t>
        </is>
      </c>
      <c r="Y319" t="inlineStr">
        <is>
          <t>00082617837033</t>
        </is>
      </c>
      <c r="Z319" t="inlineStr">
        <is>
          <t>40-3048::98384:115752:510</t>
        </is>
      </c>
      <c r="AA319" t="inlineStr">
        <is>
          <t>Yes</t>
        </is>
      </c>
      <c r="AB319" t="inlineStr"/>
      <c r="AC319" t="inlineStr"/>
    </row>
    <row r="320">
      <c r="A320" t="inlineStr">
        <is>
          <t>319</t>
        </is>
      </c>
      <c r="B320" t="inlineStr">
        <is>
          <t>Windshield Wiper Motor</t>
        </is>
      </c>
      <c r="C320" t="inlineStr">
        <is>
          <t>40-3049</t>
        </is>
      </c>
      <c r="D320" t="inlineStr">
        <is>
          <t>Windshield Wiper Motor - 40-3049</t>
        </is>
      </c>
      <c r="E320" t="inlineStr">
        <is>
          <t>CARDONE Reman</t>
        </is>
      </c>
      <c r="F320" t="inlineStr">
        <is>
          <t>7B0955119;68028446AB;68028446AA;5113043AA</t>
        </is>
      </c>
      <c r="G320" t="inlineStr">
        <is>
          <t>Chrysler Town &amp; Country 2008-2016
Dodge Grand Caravan 2008-2020
Ram C/V 2012-2015
Volkswagen Routan 2009-2014</t>
        </is>
      </c>
      <c r="H320" t="inlineStr">
        <is>
          <t>Chrysler Town &amp; Country 2008-2010 3.3L V6 201cid
Chrysler Town &amp; Country 2008-2010 3.8L V6 231cid
Chrysler Town &amp; Country 2008-2010 4L V6 241cid
Chrysler Town &amp; Country 2011-2016 3.6L V6 220cid
Dodge Grand Caravan 2008-2010 3.3L V6 201cid
Dodge Grand Caravan 2008-2010 3.8L V6 231cid
Dodge Grand Caravan 2008-2010 4L V6 241cid
Dodge Grand Caravan 2011-2020 3.6L V6 220cid
Ram C/V 2012-2015 3.6L V6 220cid
Volkswagen Routan 2009-2010 3.8L V6 231cid
Volkswagen Routan 2009-2010 4L V6 241cid
Volkswagen Routan 2011-2014 3.6L V6 220cid</t>
        </is>
      </c>
      <c r="I320" t="inlineStr">
        <is>
          <t>{"0": {"productDeskExternalKey": "CPCX|40-3049"}, "1": {"Package Contents": "Wiper Motor; Instruction Sheet"}, "2": {"E-Waste": "Yes"}, "3": {"Product Condition": "Remanufactured"}, "4": {"Mounting Hole Quantity": "3"}, "5": {"Terminal Type": "Pin"}, "6": {"Mounting Type": "Direct Bolt"}, "7": {"Weight PG": "3.5000"}, "8": {"Washer Pump Included": "No"}, "9": {"Part Type": "Windshield Wiper Motor"}, "10": {"Warranty Info": "1 Year/18,000 Mile"}, "11": {"Sustainable Choice": "Yes"}, "12": {"Lifecycle Status": "Available to Order"}, "13": {"Application Summary": "Chrysler Town &amp; Country 2016-08; Dodge Grand Caravan 2020-08; Ram C/V 2015-14 2012; Volkswagen Routan 2014-09"}, "14": {"ItemLevelGTIN": "00082617883719"}, "15": {"_addonCardone": "40-3049::98384:115766:510"}, "16": {"Eligible for R&amp;R Service": "Yes"}}</t>
        </is>
      </c>
      <c r="J320" t="inlineStr">
        <is>
          <t>https://www.cardone.com/product/windshield-wiper-motor-40-3049</t>
        </is>
      </c>
      <c r="K320">
        <f>DISPIMG("ID_C04349FD8C0148EFB891038727C12020",1)</f>
        <v/>
      </c>
      <c r="L320" t="inlineStr">
        <is>
          <t>CPCX|40-3049</t>
        </is>
      </c>
      <c r="M320" t="inlineStr">
        <is>
          <t>Wiper Motor; Instruction Sheet</t>
        </is>
      </c>
      <c r="N320" t="inlineStr">
        <is>
          <t>Yes</t>
        </is>
      </c>
      <c r="O320" t="inlineStr">
        <is>
          <t>Remanufactured</t>
        </is>
      </c>
      <c r="P320" t="inlineStr">
        <is>
          <t>3</t>
        </is>
      </c>
      <c r="Q320" t="inlineStr">
        <is>
          <t>Pin</t>
        </is>
      </c>
      <c r="R320" t="inlineStr">
        <is>
          <t>Direct Bolt</t>
        </is>
      </c>
      <c r="S320" t="inlineStr">
        <is>
          <t>3.5000</t>
        </is>
      </c>
      <c r="T320" t="inlineStr">
        <is>
          <t>No</t>
        </is>
      </c>
      <c r="U320" t="inlineStr">
        <is>
          <t>1 Year/18,000 Mile</t>
        </is>
      </c>
      <c r="V320" t="inlineStr">
        <is>
          <t>Yes</t>
        </is>
      </c>
      <c r="W320" t="inlineStr">
        <is>
          <t>Available to Order</t>
        </is>
      </c>
      <c r="X320" t="inlineStr">
        <is>
          <t>Chrysler Town &amp; Country 2016-08; Dodge Grand Caravan 2020-08; Ram C/V 2015-14 2012; Volkswagen Routan 2014-09</t>
        </is>
      </c>
      <c r="Y320" t="inlineStr">
        <is>
          <t>00082617883719</t>
        </is>
      </c>
      <c r="Z320" t="inlineStr">
        <is>
          <t>40-3049::98384:115766:510</t>
        </is>
      </c>
      <c r="AA320" t="inlineStr">
        <is>
          <t>Yes</t>
        </is>
      </c>
      <c r="AB320" t="inlineStr"/>
      <c r="AC320" t="inlineStr"/>
    </row>
    <row r="321">
      <c r="A321" t="inlineStr">
        <is>
          <t>320</t>
        </is>
      </c>
      <c r="B321" t="inlineStr">
        <is>
          <t>Windshield Wiper Motor</t>
        </is>
      </c>
      <c r="C321" t="inlineStr">
        <is>
          <t>40-3050</t>
        </is>
      </c>
      <c r="D321" t="inlineStr">
        <is>
          <t>Windshield Wiper Motor - 40-3050</t>
        </is>
      </c>
      <c r="E321" t="inlineStr">
        <is>
          <t>CARDONE Reman</t>
        </is>
      </c>
      <c r="F321" t="inlineStr">
        <is>
          <t>68050422AC;55372141AE;55372141AH;55372141AB;68050422AA</t>
        </is>
      </c>
      <c r="G321" t="inlineStr">
        <is>
          <t>Dodge Ram 1500 2009-2010
Ram 1500 2011-2018
Ram 1500 Classic 2019-2022
Ram 2500 2011-2021
Ram 3500 2011-2021
Ram 4500 2011-2021
Ram 5500 2011-2021</t>
        </is>
      </c>
      <c r="H321" t="inlineStr">
        <is>
          <t>Dodge Ram 1500 2009-2010 3.7L V6 226cid
Dodge Ram 1500 2009-2010 4.7L V8 287cid
Dodge Ram 1500 2009-2010 5.7L V8 345cid
Ram 1500 2011-2013 3.7L V6 226cid
Ram 1500 2011-2013 4.7L V8 287cid
Ram 1500 2011-2018 5.7L V8 345cid
Ram 1500 2013-2018 3.6L V6 220cid
Ram 1500 2014-2018 3L V6 182cid
Ram 1500 Classic 2019 3L V6 182cid
Ram 1500 Classic 2019-2022 3.6L V6 220cid
Ram 1500 Classic 2019-2022 5.7L V8 345cid
Ram 2500 2011-2013 4.7L V8 287cid
Ram 2500 2011-2019 5.7L V8 345cid
Ram 2500 2011-2021 6.7L L6 408cid
Ram 2500 2014-2021 6.4L V8 392cid
Ram 3500 2011-2018 5.7L V8 345cid
Ram 3500 2011-2021 6.7L L6 408cid
Ram 3500 2014-2021 6.4L V8 392cid
Ram 4500 2011-2021 6.7L L6 408cid
Ram 4500 2014-2021 6.4L V8 392cid
Ram 5500 2011-2021 6.7L L6 408cid
Ram 5500 2014-2021 6.4L V8 392cid</t>
        </is>
      </c>
      <c r="I321" t="inlineStr">
        <is>
          <t>{"0": {"productDeskExternalKey": "CPCX|40-3050"}, "1": {"Package Contents": "Wiper Motor; Instruction Sheet"}, "2": {"E-Waste": "Yes"}, "3": {"Product Condition": "Remanufactured"}, "4": {"Mounting Hole Quantity": "3"}, "5": {"Terminal Type": "Blade"}, "6": {"Mounting Type": "Direct Bolt"}, "7": {"Weight PG": "2.8000"}, "8": {"Washer Pump Included": "No"}, "9": {"Part Type": "Windshield Wiper Motor"}, "10": {"Warranty Info": "1 Year/18,000 Mile"}, "11": {"Sustainable Choice": "Yes"}, "12": {"Lifecycle Status": "Available to Order"}, "13": {"Application Summary": "Dodge Ram 1500 2010-09; Ram 1500 2018-11, 1500 Classic 2022-19, 2500 2021-11, 3500 2021-11, 4500 2021-11, 5500 2021-11"}, "14": {"ItemLevelGTIN": "00082617888592"}, "15": {"_addonCardone": "40-3050::98384:115779:510"}, "16": {"Eligible for R&amp;R Service": "Yes"}}</t>
        </is>
      </c>
      <c r="J321" t="inlineStr">
        <is>
          <t>https://www.cardone.com/product/windshield-wiper-motor-40-3050</t>
        </is>
      </c>
      <c r="K321">
        <f>DISPIMG("ID_8986E65B183F4907BB4126B64BCF5501",1)</f>
        <v/>
      </c>
      <c r="L321" t="inlineStr">
        <is>
          <t>CPCX|40-3050</t>
        </is>
      </c>
      <c r="M321" t="inlineStr">
        <is>
          <t>Wiper Motor; Instruction Sheet</t>
        </is>
      </c>
      <c r="N321" t="inlineStr">
        <is>
          <t>Yes</t>
        </is>
      </c>
      <c r="O321" t="inlineStr">
        <is>
          <t>Remanufactured</t>
        </is>
      </c>
      <c r="P321" t="inlineStr">
        <is>
          <t>3</t>
        </is>
      </c>
      <c r="Q321" t="inlineStr">
        <is>
          <t>Blade</t>
        </is>
      </c>
      <c r="R321" t="inlineStr">
        <is>
          <t>Direct Bolt</t>
        </is>
      </c>
      <c r="S321" t="inlineStr">
        <is>
          <t>2.8000</t>
        </is>
      </c>
      <c r="T321" t="inlineStr">
        <is>
          <t>No</t>
        </is>
      </c>
      <c r="U321" t="inlineStr">
        <is>
          <t>1 Year/18,000 Mile</t>
        </is>
      </c>
      <c r="V321" t="inlineStr">
        <is>
          <t>Yes</t>
        </is>
      </c>
      <c r="W321" t="inlineStr">
        <is>
          <t>Available to Order</t>
        </is>
      </c>
      <c r="X321" t="inlineStr">
        <is>
          <t>Dodge Ram 1500 2010-09; Ram 1500 2018-11, 1500 Classic 2022-19, 2500 2021-11, 3500 2021-11, 4500 2021-11, 5500 2021-11</t>
        </is>
      </c>
      <c r="Y321" t="inlineStr">
        <is>
          <t>00082617888592</t>
        </is>
      </c>
      <c r="Z321" t="inlineStr">
        <is>
          <t>40-3050::98384:115779:510</t>
        </is>
      </c>
      <c r="AA321" t="inlineStr">
        <is>
          <t>Yes</t>
        </is>
      </c>
      <c r="AB321" t="inlineStr"/>
      <c r="AC321" t="inlineStr"/>
    </row>
    <row r="322">
      <c r="A322" t="inlineStr">
        <is>
          <t>321</t>
        </is>
      </c>
      <c r="B322" t="inlineStr">
        <is>
          <t>Windshield Wiper Motor</t>
        </is>
      </c>
      <c r="C322" t="inlineStr">
        <is>
          <t>40-3051</t>
        </is>
      </c>
      <c r="D322" t="inlineStr">
        <is>
          <t>Windshield Wiper Motor - 40-3051</t>
        </is>
      </c>
      <c r="E322" t="inlineStr">
        <is>
          <t>CARDONE Reman</t>
        </is>
      </c>
      <c r="F322" t="inlineStr">
        <is>
          <t>68065563AA;68082552AA;68044164AA</t>
        </is>
      </c>
      <c r="G322" t="inlineStr">
        <is>
          <t>Chrysler 300 2010-2022
Dodge Challenger 2008-2022
Dodge Charger 2010-2022</t>
        </is>
      </c>
      <c r="H322" t="inlineStr">
        <is>
          <t>Chrysler 300 2010 2.7L V6 167cid
Chrysler 300 2010 3.5L V6 215cid
Chrysler 300 2010 6.1L V8 370cid
Chrysler 300 2010-2022 5.7L V8 345cid
Chrysler 300 2011-2022 3.6L V6 220cid
Chrysler 300 2012-2014 6.4L V8 392cid
Dodge Challenger 2008-2010 6.1L V8 370cid
Dodge Challenger 2009-2010 3.5L V6 215cid
Dodge Challenger 2009-2022 5.7L V8 345cid
Dodge Challenger 2011-2022 3.6L V6 220cid
Dodge Challenger 2011-2022 6.4L V8 392cid
Dodge Challenger 2015-2022 6.2L V8 376cid
Dodge Charger 2010 2.7L V6 167cid
Dodge Charger 2010 3.5L V6 215cid
Dodge Charger 2010 6.1L V8 370cid
Dodge Charger 2010-2022 5.7L V8 345cid
Dodge Charger 2011-2022 3.6L V6 220cid
Dodge Charger 2012-2022 6.4L V8 392cid
Dodge Charger 2015-2022 6.2L V8 376cid</t>
        </is>
      </c>
      <c r="I322" t="inlineStr">
        <is>
          <t>{"0": {"productDeskExternalKey": "CPCX|40-3051"}, "1": {"Package Contents": "Wiper Motor; Instruction Sheet"}, "2": {"E-Waste": "Yes"}, "3": {"Product Condition": "Remanufactured"}, "4": {"Mounting Hole Quantity": "2"}, "5": {"Terminal Type": "Pin"}, "6": {"Mounting Type": "Direct Bolt"}, "7": {"Weight PG": "2.7000"}, "8": {"Washer Pump Included": "No"}, "9": {"Part Type": "Windshield Wiper Motor"}, "10": {"Warranty Info": "1 Year/18,000 Mile"}, "11": {"Sustainable Choice": "Yes"}, "12": {"Lifecycle Status": "Available to Order"}, "13": {"Application Summary": "Chrysler 300 2022-18 2016-10; Dodge Challenger 2022-08, Charger 2022-10"}, "14": {"ItemLevelGTIN": "00082617900607"}, "15": {"_addonCardone": "40-3051::98384:115791:510"}, "16": {"Eligible for R&amp;R Service": "Yes"}}</t>
        </is>
      </c>
      <c r="J322" t="inlineStr">
        <is>
          <t>https://www.cardone.com/product/windshield-wiper-motor-40-3051</t>
        </is>
      </c>
      <c r="K322">
        <f>DISPIMG("ID_01AF584E0A0247F883207BCE7AC61A97",1)</f>
        <v/>
      </c>
      <c r="L322" t="inlineStr">
        <is>
          <t>CPCX|40-3051</t>
        </is>
      </c>
      <c r="M322" t="inlineStr">
        <is>
          <t>Wiper Motor; Instruction Sheet</t>
        </is>
      </c>
      <c r="N322" t="inlineStr">
        <is>
          <t>Yes</t>
        </is>
      </c>
      <c r="O322" t="inlineStr">
        <is>
          <t>Remanufactured</t>
        </is>
      </c>
      <c r="P322" t="inlineStr">
        <is>
          <t>2</t>
        </is>
      </c>
      <c r="Q322" t="inlineStr">
        <is>
          <t>Pin</t>
        </is>
      </c>
      <c r="R322" t="inlineStr">
        <is>
          <t>Direct Bolt</t>
        </is>
      </c>
      <c r="S322" t="inlineStr">
        <is>
          <t>2.7000</t>
        </is>
      </c>
      <c r="T322" t="inlineStr">
        <is>
          <t>No</t>
        </is>
      </c>
      <c r="U322" t="inlineStr">
        <is>
          <t>1 Year/18,000 Mile</t>
        </is>
      </c>
      <c r="V322" t="inlineStr">
        <is>
          <t>Yes</t>
        </is>
      </c>
      <c r="W322" t="inlineStr">
        <is>
          <t>Available to Order</t>
        </is>
      </c>
      <c r="X322" t="inlineStr">
        <is>
          <t>Chrysler 300 2022-18 2016-10; Dodge Challenger 2022-08, Charger 2022-10</t>
        </is>
      </c>
      <c r="Y322" t="inlineStr">
        <is>
          <t>00082617900607</t>
        </is>
      </c>
      <c r="Z322" t="inlineStr">
        <is>
          <t>40-3051::98384:115791:510</t>
        </is>
      </c>
      <c r="AA322" t="inlineStr">
        <is>
          <t>Yes</t>
        </is>
      </c>
      <c r="AB322" t="inlineStr"/>
      <c r="AC322" t="inlineStr"/>
    </row>
    <row r="323">
      <c r="A323" t="inlineStr">
        <is>
          <t>322</t>
        </is>
      </c>
      <c r="B323" t="inlineStr">
        <is>
          <t>Windshield Wiper Motor</t>
        </is>
      </c>
      <c r="C323" t="inlineStr">
        <is>
          <t>40-3053</t>
        </is>
      </c>
      <c r="D323" t="inlineStr">
        <is>
          <t>Windshield Wiper Motor - 40-3053</t>
        </is>
      </c>
      <c r="E323" t="inlineStr">
        <is>
          <t>CARDONE Reman</t>
        </is>
      </c>
      <c r="F323" t="inlineStr">
        <is>
          <t>5178201AC</t>
        </is>
      </c>
      <c r="G323" t="inlineStr">
        <is>
          <t>Dodge Journey 2009-2020</t>
        </is>
      </c>
      <c r="H323" t="inlineStr">
        <is>
          <t>Dodge Journey 2009-2010 3.5L V6 215cid
Dodge Journey 2009-2020 2.4L L4 144cid
Dodge Journey 2011-2019 3.6L V6 220cid</t>
        </is>
      </c>
      <c r="I323" t="inlineStr">
        <is>
          <t>{"0": {"productDeskExternalKey": "CPCX|40-3053"}, "1": {"Package Contents": "Wiper Motor; Instruction Sheet"}, "2": {"E-Waste": "Yes"}, "3": {"Product Condition": "Remanufactured"}, "4": {"Mounting Hole Quantity": "3"}, "5": {"Terminal Type": "Pin"}, "6": {"Mounting Type": "Grommet"}, "7": {"Weight PG": "1.4000"}, "8": {"Washer Pump Included": "No"}, "9": {"Part Type": "Windshield Wiper Motor"}, "10": {"Warranty Info": "1 Year/18,000 Mile"}, "11": {"Sustainable Choice": "Yes"}, "12": {"Lifecycle Status": "Available to Order"}, "13": {"Application Summary": "Dodge Journey 2020-09"}, "14": {"ItemLevelGTIN": "00082617901819"}, "15": {"_addonCardone": "40-3053::98384:115802:510"}, "16": {"Eligible for R&amp;R Service": "Yes"}}</t>
        </is>
      </c>
      <c r="J323" t="inlineStr">
        <is>
          <t>https://www.cardone.com/product/windshield-wiper-motor-40-3053</t>
        </is>
      </c>
      <c r="K323">
        <f>DISPIMG("ID_E79A5876AF9F4DD291E3B4FB8753E874",1)</f>
        <v/>
      </c>
      <c r="L323" t="inlineStr">
        <is>
          <t>CPCX|40-3053</t>
        </is>
      </c>
      <c r="M323" t="inlineStr">
        <is>
          <t>Wiper Motor; Instruction Sheet</t>
        </is>
      </c>
      <c r="N323" t="inlineStr">
        <is>
          <t>Yes</t>
        </is>
      </c>
      <c r="O323" t="inlineStr">
        <is>
          <t>Remanufactured</t>
        </is>
      </c>
      <c r="P323" t="inlineStr">
        <is>
          <t>3</t>
        </is>
      </c>
      <c r="Q323" t="inlineStr">
        <is>
          <t>Pin</t>
        </is>
      </c>
      <c r="R323" t="inlineStr">
        <is>
          <t>Grommet</t>
        </is>
      </c>
      <c r="S323" t="inlineStr">
        <is>
          <t>1.4000</t>
        </is>
      </c>
      <c r="T323" t="inlineStr">
        <is>
          <t>No</t>
        </is>
      </c>
      <c r="U323" t="inlineStr">
        <is>
          <t>1 Year/18,000 Mile</t>
        </is>
      </c>
      <c r="V323" t="inlineStr">
        <is>
          <t>Yes</t>
        </is>
      </c>
      <c r="W323" t="inlineStr">
        <is>
          <t>Available to Order</t>
        </is>
      </c>
      <c r="X323" t="inlineStr">
        <is>
          <t>Dodge Journey 2020-09</t>
        </is>
      </c>
      <c r="Y323" t="inlineStr">
        <is>
          <t>00082617901819</t>
        </is>
      </c>
      <c r="Z323" t="inlineStr">
        <is>
          <t>40-3053::98384:115802:510</t>
        </is>
      </c>
      <c r="AA323" t="inlineStr">
        <is>
          <t>Yes</t>
        </is>
      </c>
      <c r="AB323" t="inlineStr"/>
      <c r="AC323" t="inlineStr"/>
    </row>
    <row r="324">
      <c r="A324" t="inlineStr">
        <is>
          <t>323</t>
        </is>
      </c>
      <c r="B324" t="inlineStr">
        <is>
          <t>Windshield Wiper Motor</t>
        </is>
      </c>
      <c r="C324" t="inlineStr">
        <is>
          <t>40-3059</t>
        </is>
      </c>
      <c r="D324" t="inlineStr">
        <is>
          <t>Windshield Wiper Motor - 40-3059</t>
        </is>
      </c>
      <c r="E324" t="inlineStr">
        <is>
          <t>CARDONE Reman</t>
        </is>
      </c>
      <c r="F324" t="inlineStr">
        <is>
          <t>5071982AA;05071982AA</t>
        </is>
      </c>
      <c r="G324" t="inlineStr">
        <is>
          <t>Dodge Atos 2001-2006</t>
        </is>
      </c>
      <c r="H324" t="inlineStr">
        <is>
          <t>Dodge Atos 2001-2003 1L L4 61cid
Dodge Atos 2006 1.1L L4 66cid</t>
        </is>
      </c>
      <c r="I324" t="inlineStr">
        <is>
          <t>{"0": {"productDeskExternalKey": "CPCX|40-3059"}, "1": {"Package Contents": "Wiper Motor; Instruction Sheet"}, "2": {"E-Waste": "Yes"}, "3": {"Product Condition": "Remanufactured"}, "4": {"Mounting Hole Quantity": "3"}, "5": {"Terminal Type": "Blade"}, "6": {"Mounting Type": "Direct Bolt"}, "7": {"Weight PG": "2.3000"}, "8": {"Washer Pump Included": "No"}, "9": {"Part Type": "Windshield Wiper Motor"}, "10": {"Warranty Info": "1 Year/18,000 Mile"}, "11": {"Sustainable Choice": "Yes"}, "12": {"Lifecycle Status": "Available to Order"}, "13": {"Application Summary": "Dodge Atos 2006 2003-01"}, "14": {"ItemLevelGTIN": "00884548015210"}, "15": {"_addonCardone": "40-3059::98384:115814:510"}, "16": {"Eligible for R&amp;R Service": "Yes"}}</t>
        </is>
      </c>
      <c r="J324" t="inlineStr">
        <is>
          <t>https://www.cardone.com/product/windshield-wiper-motor-40-3059</t>
        </is>
      </c>
      <c r="K324">
        <f>DISPIMG("ID_2AABA9F26D824EE5A0A4FABCF2B6FFDB",1)</f>
        <v/>
      </c>
      <c r="L324" t="inlineStr">
        <is>
          <t>CPCX|40-3059</t>
        </is>
      </c>
      <c r="M324" t="inlineStr">
        <is>
          <t>Wiper Motor; Instruction Sheet</t>
        </is>
      </c>
      <c r="N324" t="inlineStr">
        <is>
          <t>Yes</t>
        </is>
      </c>
      <c r="O324" t="inlineStr">
        <is>
          <t>Remanufactured</t>
        </is>
      </c>
      <c r="P324" t="inlineStr">
        <is>
          <t>3</t>
        </is>
      </c>
      <c r="Q324" t="inlineStr">
        <is>
          <t>Blade</t>
        </is>
      </c>
      <c r="R324" t="inlineStr">
        <is>
          <t>Direct Bolt</t>
        </is>
      </c>
      <c r="S324" t="inlineStr">
        <is>
          <t>2.3000</t>
        </is>
      </c>
      <c r="T324" t="inlineStr">
        <is>
          <t>No</t>
        </is>
      </c>
      <c r="U324" t="inlineStr">
        <is>
          <t>1 Year/18,000 Mile</t>
        </is>
      </c>
      <c r="V324" t="inlineStr">
        <is>
          <t>Yes</t>
        </is>
      </c>
      <c r="W324" t="inlineStr">
        <is>
          <t>Available to Order</t>
        </is>
      </c>
      <c r="X324" t="inlineStr">
        <is>
          <t>Dodge Atos 2006 2003-01</t>
        </is>
      </c>
      <c r="Y324" t="inlineStr">
        <is>
          <t>00884548015210</t>
        </is>
      </c>
      <c r="Z324" t="inlineStr">
        <is>
          <t>40-3059::98384:115814:510</t>
        </is>
      </c>
      <c r="AA324" t="inlineStr">
        <is>
          <t>Yes</t>
        </is>
      </c>
      <c r="AB324" t="inlineStr"/>
      <c r="AC324" t="inlineStr"/>
    </row>
    <row r="325">
      <c r="A325" t="inlineStr">
        <is>
          <t>324</t>
        </is>
      </c>
      <c r="B325" t="inlineStr">
        <is>
          <t>Windshield Wiper Motor</t>
        </is>
      </c>
      <c r="C325" t="inlineStr">
        <is>
          <t>40-3060</t>
        </is>
      </c>
      <c r="D325" t="inlineStr">
        <is>
          <t>Windshield Wiper Motor - 40-3060</t>
        </is>
      </c>
      <c r="E325" t="inlineStr">
        <is>
          <t>CARDONE Reman</t>
        </is>
      </c>
      <c r="F325" t="inlineStr">
        <is>
          <t>68102192AB;55079212AA;68229937AA</t>
        </is>
      </c>
      <c r="G325" t="inlineStr">
        <is>
          <t>Dodge Durango 2011-2022
Jeep Cherokee 2014-2019
Jeep Grand Cherokee 2014-2021</t>
        </is>
      </c>
      <c r="H325" t="inlineStr">
        <is>
          <t>Dodge Durango 2011-2022 3.6L V6 220cid
Dodge Durango 2011-2022 5.7L V8 345cid
Dodge Durango 2018-2022 6.4L V8 392cid
Dodge Durango 2021 6.2L V8 376cid
Jeep Cherokee 2014-2019 2.4L L4 144cid
Jeep Cherokee 2014-2019 3.2L V6 198cid
Jeep Cherokee 2019 2L L4 122cid
Jeep Grand Cherokee 2014-2021 3.6L V6 220cid
Jeep Grand Cherokee 2014-2021 3L V6 182cid
Jeep Grand Cherokee 2014-2021 5.7L V8 345cid
Jeep Grand Cherokee 2014-2021 6.4L V8 392cid
Jeep Grand Cherokee 2018-2021 6.2L V8 376cid</t>
        </is>
      </c>
      <c r="I325" t="inlineStr">
        <is>
          <t>{"0": {"productDeskExternalKey": "CPCX|40-3060"}, "1": {"Package Contents": "Wiper Motor; Instruction Sheet"}, "2": {"E-Waste": "Yes"}, "3": {"Product Condition": "Remanufactured"}, "4": {"Mounting Hole Quantity": "3"}, "5": {"Terminal Type": "Blade"}, "6": {"Mounting Type": "Eyelet; Grommet"}, "7": {"Weight PG": "1.4000"}, "8": {"Washer Pump Included": "No"}, "9": {"Part Type": "Windshield Wiper Motor"}, "10": {"Warranty Info": "1 Year/18,000 Mile"}, "11": {"Sustainable Choice": "Yes"}, "12": {"Lifecycle Status": "Available to Order"}, "13": {"Application Summary": "Dodge Durango 2022-11; Jeep Cherokee 2019-14, Grand Cherokee 2021-14"}, "14": {"ItemLevelGTIN": "00884548028234"}, "15": {"_addonCardone": "40-3060::98384:115827:510"}, "16": {"Eligible for R&amp;R Service": "Yes"}}</t>
        </is>
      </c>
      <c r="J325" t="inlineStr">
        <is>
          <t>https://www.cardone.com/product/windshield-wiper-motor-40-3060</t>
        </is>
      </c>
      <c r="K325">
        <f>DISPIMG("ID_4854451DD17F4C529C375F635EE8F4E3",1)</f>
        <v/>
      </c>
      <c r="L325" t="inlineStr">
        <is>
          <t>CPCX|40-3060</t>
        </is>
      </c>
      <c r="M325" t="inlineStr">
        <is>
          <t>Wiper Motor; Instruction Sheet</t>
        </is>
      </c>
      <c r="N325" t="inlineStr">
        <is>
          <t>Yes</t>
        </is>
      </c>
      <c r="O325" t="inlineStr">
        <is>
          <t>Remanufactured</t>
        </is>
      </c>
      <c r="P325" t="inlineStr">
        <is>
          <t>3</t>
        </is>
      </c>
      <c r="Q325" t="inlineStr">
        <is>
          <t>Blade</t>
        </is>
      </c>
      <c r="R325" t="inlineStr">
        <is>
          <t>Eyelet; Grommet</t>
        </is>
      </c>
      <c r="S325" t="inlineStr">
        <is>
          <t>1.4000</t>
        </is>
      </c>
      <c r="T325" t="inlineStr">
        <is>
          <t>No</t>
        </is>
      </c>
      <c r="U325" t="inlineStr">
        <is>
          <t>1 Year/18,000 Mile</t>
        </is>
      </c>
      <c r="V325" t="inlineStr">
        <is>
          <t>Yes</t>
        </is>
      </c>
      <c r="W325" t="inlineStr">
        <is>
          <t>Available to Order</t>
        </is>
      </c>
      <c r="X325" t="inlineStr">
        <is>
          <t>Dodge Durango 2022-11; Jeep Cherokee 2019-14, Grand Cherokee 2021-14</t>
        </is>
      </c>
      <c r="Y325" t="inlineStr">
        <is>
          <t>00884548028234</t>
        </is>
      </c>
      <c r="Z325" t="inlineStr">
        <is>
          <t>40-3060::98384:115827:510</t>
        </is>
      </c>
      <c r="AA325" t="inlineStr">
        <is>
          <t>Yes</t>
        </is>
      </c>
      <c r="AB325" t="inlineStr"/>
      <c r="AC325" t="inlineStr"/>
    </row>
    <row r="326">
      <c r="A326" t="inlineStr">
        <is>
          <t>325</t>
        </is>
      </c>
      <c r="B326" t="inlineStr">
        <is>
          <t>Windshield Wiper Motor</t>
        </is>
      </c>
      <c r="C326" t="inlineStr">
        <is>
          <t>40-3061</t>
        </is>
      </c>
      <c r="D326" t="inlineStr">
        <is>
          <t>Windshield Wiper Motor - 40-3061</t>
        </is>
      </c>
      <c r="E326" t="inlineStr">
        <is>
          <t>CARDONE Reman</t>
        </is>
      </c>
      <c r="F326" t="inlineStr">
        <is>
          <t>5071287AA;05071287AA</t>
        </is>
      </c>
      <c r="G326" t="inlineStr">
        <is>
          <t>Dodge Atos 2001-2003</t>
        </is>
      </c>
      <c r="H326" t="inlineStr">
        <is>
          <t>Dodge Atos 2001-2003 1L L4 61cid</t>
        </is>
      </c>
      <c r="I326" t="inlineStr">
        <is>
          <t>{"0": {"productDeskExternalKey": "CPCX|40-3061"}, "1": {"E-Waste": "Yes"}, "2": {"Product Condition": "Remanufactured"}, "3": {"Weight PG": "1.5000"}, "4": {"Part Type": "Windshield Wiper Motor"}, "5": {"Warranty Info": "1 Year/18,000 Mile"}, "6": {"Sustainable Choice": "Yes"}, "7": {"Lifecycle Status": "Available to Order"}, "8": {"Application Summary": "Dodge Atos 2003-01"}, "9": {"ItemLevelGTIN": "00884548068674"}, "10": {"_addonCardone": "40-3061::98384:115837:510"}, "11": {"Eligible for R&amp;R Service": "Yes"}}</t>
        </is>
      </c>
      <c r="J326" t="inlineStr">
        <is>
          <t>https://www.cardone.com/product/windshield-wiper-motor-40-3061</t>
        </is>
      </c>
      <c r="K326">
        <f>DISPIMG("ID_E7899BC7BA73432780EDB6F017C72440",1)</f>
        <v/>
      </c>
      <c r="L326" t="inlineStr">
        <is>
          <t>CPCX|40-3061</t>
        </is>
      </c>
      <c r="M326" t="inlineStr"/>
      <c r="N326" t="inlineStr">
        <is>
          <t>Yes</t>
        </is>
      </c>
      <c r="O326" t="inlineStr">
        <is>
          <t>Remanufactured</t>
        </is>
      </c>
      <c r="P326" t="inlineStr"/>
      <c r="Q326" t="inlineStr"/>
      <c r="R326" t="inlineStr"/>
      <c r="S326" t="inlineStr">
        <is>
          <t>1.5000</t>
        </is>
      </c>
      <c r="T326" t="inlineStr"/>
      <c r="U326" t="inlineStr">
        <is>
          <t>1 Year/18,000 Mile</t>
        </is>
      </c>
      <c r="V326" t="inlineStr">
        <is>
          <t>Yes</t>
        </is>
      </c>
      <c r="W326" t="inlineStr">
        <is>
          <t>Available to Order</t>
        </is>
      </c>
      <c r="X326" t="inlineStr">
        <is>
          <t>Dodge Atos 2003-01</t>
        </is>
      </c>
      <c r="Y326" t="inlineStr">
        <is>
          <t>00884548068674</t>
        </is>
      </c>
      <c r="Z326" t="inlineStr">
        <is>
          <t>40-3061::98384:115837:510</t>
        </is>
      </c>
      <c r="AA326" t="inlineStr">
        <is>
          <t>Yes</t>
        </is>
      </c>
      <c r="AB326" t="inlineStr"/>
      <c r="AC326" t="inlineStr"/>
    </row>
    <row r="327">
      <c r="A327" t="inlineStr">
        <is>
          <t>326</t>
        </is>
      </c>
      <c r="B327" t="inlineStr">
        <is>
          <t>Windshield Wiper Motor</t>
        </is>
      </c>
      <c r="C327" t="inlineStr">
        <is>
          <t>40-350</t>
        </is>
      </c>
      <c r="D327" t="inlineStr">
        <is>
          <t>Windshield Wiper Motor - 40-350</t>
        </is>
      </c>
      <c r="E327" t="inlineStr">
        <is>
          <t>CARDONE Reman</t>
        </is>
      </c>
      <c r="F327" t="inlineStr">
        <is>
          <t>2822252;2770090</t>
        </is>
      </c>
      <c r="G327" t="inlineStr">
        <is>
          <t>Chrysler New Yorker 1968
Chrysler Newport 1968
Dodge A100 1969-1970
Dodge A100 Pickup 1969-1970
Dodge A100 Truck 1969-1970
Dodge A108 Van 1969-1970
Dodge B100 Van 1971
Dodge B200 Van 1971
Dodge B300 Van 1971
Dodge Charger 1968-1970
Dodge Coronet 1968-1970
Dodge D100 Pickup 1969-1971
Dodge D200 Pickup 1969-1971
Dodge D300 Pickup 1969-1971
Dodge Dart 1968-1971
Dodge Monaco 1968
Dodge Polara 1968
Dodge W100 Pickup 1969-1971
Dodge W200 Pickup 1969-1971
Dodge W300 Pickup 1969-1971
Plymouth Barracuda 1968-1969
Plymouth Belvedere 1968-1970
Plymouth Duster 1970-1971
Plymouth Fury 1968
Plymouth Road Runner 1968-1970
Plymouth Satellite 1968-1970
Plymouth Scamp 1971
Plymouth Valiant 1968-1971</t>
        </is>
      </c>
      <c r="H327" t="inlineStr">
        <is>
          <t>Chrysler New Yorker 1968 7.2L V8 440cid
Chrysler Newport 1968 6.3L V8 383cid
Chrysler Newport 1968 7.2L V8 440cid
Dodge A100 1969
Dodge A100 1970 5.2L V8 318cid
Dodge A100 Pickup 1969-1970
Dodge A100 Truck 1969 2.8L L6 170cid
Dodge A100 Truck 1969-1970 3.7L L6 225cid
Dodge A100 Truck 1969-1970 5.2L V8 318cid
Dodge A100 Truck 1970 3.2L L6 198cid
Dodge A108 Van 1969 2.8L L6 170cid
Dodge A108 Van 1969-1970 3.7L L6 225cid
Dodge A108 Van 1970 3.2L L6 198cid
Dodge B100 Van 1971 3.2L L6 198cid
Dodge B100 Van 1971 3.7L L6 225cid
Dodge B100 Van 1971 5.2L V8 318cid
Dodge B100 Van 1971 5.9L V8 360cid
Dodge B200 Van 1971 3.2L L6 198cid
Dodge B200 Van 1971 3.7L L6 225cid
Dodge B200 Van 1971 5.2L V8 318cid
Dodge B200 Van 1971 5.9L V8 360cid
Dodge B200 Van 1971 6.6L V8 400cid
Dodge B300 Van 1971 3.7L L6 225cid
Dodge B300 Van 1971 5.2L V8 318cid
Dodge B300 Van 1971 5.9L V8 360cid
Dodge B300 Van 1971 6.6L V8 400cid
Dodge Charger 1968-1970 3.7L L6 225cid
Dodge Charger 1968-1970 5.2L V8 318cid
Dodge Charger 1968-1970 6.3L V8 383cid
Dodge Charger 1968-1970 7.2L V8 440cid
Dodge Charger 1968-1970 7L V8 426cid
Dodge Charger 1970 5.6L V8 340cid
Dodge Coronet 1968 4.5L V8 273cid
Dodge Coronet 1968-1970 3.7L L6 225cid
Dodge Coronet 1968-1970 5.2L V8 318cid
Dodge Coronet 1968-1970 6.3L V8 383cid
Dodge Coronet 1968-1970 7.2L V8 440cid
Dodge Coronet 1968-1970 7L V8 426cid
Dodge Coronet 1970 5.6L V8 340cid
Dodge D100 Pickup 1969-1971 3.7L L6 225cid
Dodge D100 Pickup 1969-1971 5.2L V8 318cid
Dodge D100 Pickup 1969-1971 6.3L V8 383cid
Dodge D100 Pickup 1970-1971 3.2L L6 198cid
Dodge D100 Pickup 1971 5.9L V8 360cid
Dodge D100 Pickup 1971 6.6L V8 400cid
Dodge D200 Pickup 1969-1971 3.7L L6 225cid
Dodge D200 Pickup 1969-1971 5.2L V8 318cid
Dodge D200 Pickup 1969-1971 6.3L V8 383cid
Dodge D200 Pickup 1971 5.9L V8 360cid
Dodge D200 Pickup 1971 6.6L V8 400cid
Dodge D300 Pickup 1969-1971 3.7L L6 225cid
Dodge D300 Pickup 1969-1971 5.2L V8 318cid
Dodge D300 Pickup 1969-1971 6.3L V8 383cid
Dodge D300 Pickup 1971 5.9L V8 360cid
Dodge D300 Pickup 1971 6.6L V8 400cid
Dodge Dart 1968-1969 4.5L V8 273cid
Dodge Dart 1968-1969 6.3L V8 383cid
Dodge Dart 1968-1971 2.8L L6 170cid
Dodge Dart 1968-1971 3.7L L6 225cid
Dodge Dart 1968-1971 5.2L V8 318cid
Dodge Dart 1968-1971 5.6L V8 340cid
Dodge Dart 1970-1971 3.2L L6 198cid
Dodge Dart 1971 5.9L V8 360cid
Dodge Monaco 1968 5.2L V8 318cid
Dodge Monaco 1968 6.3L V8 383cid
Dodge Monaco 1968 7.2L V8 440cid
Dodge Polara 1968 3.7L L6 225cid
Dodge Polara 1968 5.2L V8 318cid
Dodge Polara 1968 6.3L V8 383cid
Dodge Polara 1968 7.2L V8 440cid
Dodge W100 Pickup 1969-1971 3.7L L6 225cid
Dodge W100 Pickup 1969-1971 5.2L V8 318cid
Dodge W100 Pickup 1969-1971 6.3L V8 383cid
Dodge W100 Pickup 1971 6.6L V8 400cid
Dodge W200 Pickup 1969-1971 3.7L L6 225cid
Dodge W200 Pickup 1969-1971 5.2L V8 318cid
Dodge W200 Pickup 1969-1971 6.3L V8 383cid
Dodge W200 Pickup 1971 5.9L V8 360cid
Dodge W200 Pickup 1971 6.6L V8 400cid
Dodge W300 Pickup 1969-1971 3.7L L6 225cid
Dodge W300 Pickup 1969-1971 5.2L V8 318cid
Dodge W300 Pickup 1969-1971 6.3L V8 383cid
Dodge W300 Pickup 1971 5.9L V8 360cid
Dodge W300 Pickup 1971 6.6L V8 400cid
Plymouth Barracuda 1968 4.5L V8 273cid
Plymouth Barracuda 1968-1969 3.7L L6 225cid
Plymouth Barracuda 1968-1969 5.2L V8 318cid
Plymouth Barracuda 1968-1969 5.6L V8 340cid
Plymouth Barracuda 1968-1969 6.3L V8 383cid
Plymouth Barracuda 1968-1969 7L V8 426cid
Plymouth Belvedere 1968 4.5L V8 273cid
Plymouth Belvedere 1968-1970 3.7L L6 225cid
Plymouth Belvedere 1968-1970 5.2L V8 318cid
Plymouth Belvedere 1968-1970 6.3L V8 383cid
Plymouth Belvedere 1969 7L V8 426cid
Plymouth Duster 1970-1971 3.2L L6 198cid
Plymouth Duster 1970-1971 3.7L L6 225cid
Plymouth Duster 1970-1971 5.2L V8 318cid
Plymouth Duster 1970-1971 5.6L V8 340cid
Plymouth Fury 1968 3.7L L6 225cid
Plymouth Fury 1968 5.2L V8 318cid
Plymouth Fury 1968 6.3L V8 383cid
Plymouth Fury 1968 7.2L V8 440cid
Plymouth Road Runner 1968 4.5L V8 273cid
Plymouth Road Runner 1968 5.2L V8 318cid
Plymouth Road Runner 1968 5.6L V8 340cid
Plymouth Road Runner 1968-1970 6.3L V8 383cid
Plymouth Road Runner 1968-1970 7L V8 426cid
Plymouth Road Runner 1969-1970 7.2L V8 440cid
Plymouth Satellite 1968 4.5L V8 273cid
Plymouth Satellite 1968-1970 3.7L L6 225cid
Plymouth Satellite 1968-1970 5.2L V8 318cid
Plymouth Satellite 1968-1970 5.6L V8 340cid
Plymouth Satellite 1968-1970 6.3L V8 383cid
Plymouth Scamp 1971 3.2L L6 198cid
Plymouth Scamp 1971 3.7L L6 225cid
Plymouth Scamp 1971 5.2L V8 318cid
Plymouth Valiant 1968-1969
Plymouth Valiant 1968-1969 4.5L V8 273cid
Plymouth Valiant 1968-1971 2.8L L6 170cid
Plymouth Valiant 1968-1971 3.7L L6 225cid
Plymouth Valiant 1968-1971 5.2L V8 318cid
Plymouth Valiant 1968-1971 5.6L V8 340cid
Plymouth Valiant 1970-1971 3.2L L6 198cid
Plymouth Valiant 1971 5.9L V8 360cid</t>
        </is>
      </c>
      <c r="I327" t="inlineStr">
        <is>
          <t>{"0": {"productDeskExternalKey": "CPCX|40-350"}, "1": {"Package Contents": "Wiper Motor; Instruction Sheet"}, "2": {"E-Waste": "Yes"}, "3": {"Product Condition": "Remanufactured"}, "4": {"Mounting Hole Quantity": "3"}, "5": {"Terminal Type": "Blade"}, "6": {"Mounting Type": "Eyelet"}, "7": {"Weight PG": "4.2000"}, "8": {"Washer Pump Included": "No"}, "9": {"Part Type": "Windshield Wiper Motor"}, "10": {"Warranty Info": "1 Year/18,000 Mile"}, "11": {"Sustainable Choice": "Yes"}, "12": {"Lifecycle Status": "Available to Order"}, "13": {"ItemLevelGTIN": "00082617040747"}, "14": {"_addonCardone": "40-350::98384:115852:510"}, "15": {"Eligible for R&amp;R Service": "Yes"}}</t>
        </is>
      </c>
      <c r="J327" t="inlineStr">
        <is>
          <t>https://www.cardone.com/product/windshield-wiper-motor-40-350</t>
        </is>
      </c>
      <c r="K327">
        <f>DISPIMG("ID_9AC3B46FD4554567BCE353912B7D6EE3",1)</f>
        <v/>
      </c>
      <c r="L327" t="inlineStr">
        <is>
          <t>CPCX|40-350</t>
        </is>
      </c>
      <c r="M327" t="inlineStr">
        <is>
          <t>Wiper Motor; Instruction Sheet</t>
        </is>
      </c>
      <c r="N327" t="inlineStr">
        <is>
          <t>Yes</t>
        </is>
      </c>
      <c r="O327" t="inlineStr">
        <is>
          <t>Remanufactured</t>
        </is>
      </c>
      <c r="P327" t="inlineStr">
        <is>
          <t>3</t>
        </is>
      </c>
      <c r="Q327" t="inlineStr">
        <is>
          <t>Blade</t>
        </is>
      </c>
      <c r="R327" t="inlineStr">
        <is>
          <t>Eyelet</t>
        </is>
      </c>
      <c r="S327" t="inlineStr">
        <is>
          <t>4.2000</t>
        </is>
      </c>
      <c r="T327" t="inlineStr">
        <is>
          <t>No</t>
        </is>
      </c>
      <c r="U327" t="inlineStr">
        <is>
          <t>1 Year/18,000 Mile</t>
        </is>
      </c>
      <c r="V327" t="inlineStr">
        <is>
          <t>Yes</t>
        </is>
      </c>
      <c r="W327" t="inlineStr">
        <is>
          <t>Available to Order</t>
        </is>
      </c>
      <c r="X327" t="inlineStr"/>
      <c r="Y327" t="inlineStr">
        <is>
          <t>00082617040747</t>
        </is>
      </c>
      <c r="Z327" t="inlineStr">
        <is>
          <t>40-350::98384:115852:510</t>
        </is>
      </c>
      <c r="AA327" t="inlineStr">
        <is>
          <t>Yes</t>
        </is>
      </c>
      <c r="AB327" t="inlineStr"/>
      <c r="AC327" t="inlineStr"/>
    </row>
    <row r="328">
      <c r="A328" t="inlineStr">
        <is>
          <t>327</t>
        </is>
      </c>
      <c r="B328" t="inlineStr">
        <is>
          <t>Windshield Wiper Motor</t>
        </is>
      </c>
      <c r="C328" t="inlineStr">
        <is>
          <t>40-370</t>
        </is>
      </c>
      <c r="D328" t="inlineStr">
        <is>
          <t>Windshield Wiper Motor - 40-370</t>
        </is>
      </c>
      <c r="E328" t="inlineStr">
        <is>
          <t>CARDONE Reman</t>
        </is>
      </c>
      <c r="F328" t="inlineStr">
        <is>
          <t>3431535;3431666</t>
        </is>
      </c>
      <c r="G328" t="inlineStr">
        <is>
          <t>Chrysler New Yorker 1972-1973
Chrysler Newport 1972-1973
Dodge Monaco 1972-1973
Dodge Polara 1972-1973
Plymouth Fury 1972-1973
Plymouth Fury I 1972-1973
Plymouth Fury II 1972-1973
Plymouth Fury III 1972-1973
Plymouth Gran Fury 1972-1973</t>
        </is>
      </c>
      <c r="H328" t="inlineStr">
        <is>
          <t>Chrysler New Yorker 1972 6.6L V8 400cid
Chrysler New Yorker 1972-1973 7.2L V8 440cid
Chrysler Newport 1972-1973 5.9L V8 360cid
Chrysler Newport 1972-1973 6.6L V8 400cid
Chrysler Newport 1972-1973 7.2L V8 440cid
Dodge Monaco 1972-1973 5.2L V8 318cid
Dodge Monaco 1972-1973 5.9L V8 360cid
Dodge Monaco 1972-1973 6.6L V8 400cid
Dodge Monaco 1972-1973 7.2L V8 440cid
Dodge Polara 1972-1973 3.7L L6 225cid
Dodge Polara 1972-1973 5.2L V8 318cid
Dodge Polara 1972-1973 5.6L V8 340cid
Dodge Polara 1972-1973 5.9L V8 360cid
Dodge Polara 1972-1973 6.6L V8 400cid
Dodge Polara 1972-1973 7.2L V8 440cid
Plymouth Fury 1972-1973 3.7L L6 225cid
Plymouth Fury 1972-1973 5.2L V8 318cid
Plymouth Fury 1972-1973 5.9L V8 360cid
Plymouth Fury 1972-1973 6.6L V8 400cid
Plymouth Fury 1972-1973 7.2L V8 440cid
Plymouth Fury I 1972-1973
Plymouth Fury I 1972-1973 3.7L L6 225cid
Plymouth Fury I 1972-1973 5.2L V8 318cid
Plymouth Fury I 1972-1973 5.9L V8 360cid
Plymouth Fury I 1972-1973 6.6L V8 400cid
Plymouth Fury I 1972-1973 7.2L V8 440cid
Plymouth Fury II 1972-1973
Plymouth Fury II 1972-1973 3.7L L6 225cid
Plymouth Fury II 1972-1973 5.2L V8 318cid
Plymouth Fury II 1972-1973 5.9L V8 360cid
Plymouth Fury II 1972-1973 6.6L V8 400cid
Plymouth Fury II 1972-1973 7.2L V8 440cid
Plymouth Fury III 1972-1973
Plymouth Fury III 1972-1973 3.7L L6 225cid
Plymouth Fury III 1972-1973 5.2L V8 318cid
Plymouth Fury III 1972-1973 5.9L V8 360cid
Plymouth Fury III 1972-1973 6.6L V8 400cid
Plymouth Fury III 1972-1973 7.2L V8 440cid
Plymouth Gran Fury 1972-1973
Plymouth Gran Fury 1972-1973 5.2L V8 318cid
Plymouth Gran Fury 1972-1973 5.9L V8 360cid
Plymouth Gran Fury 1972-1973 6.6L V8 400cid
Plymouth Gran Fury 1972-1973 7.2L V8 440cid</t>
        </is>
      </c>
      <c r="I328" t="inlineStr">
        <is>
          <t>{"0": {"productDeskExternalKey": "CPCX|40-370"}, "1": {"Package Contents": "Wiper Motor; Instruction Sheet"}, "2": {"E-Waste": "Yes"}, "3": {"Product Condition": "Remanufactured"}, "4": {"Mounting Hole Quantity": "3"}, "5": {"Terminal Type": "Blade"}, "6": {"Mounting Type": "Eyelet"}, "7": {"Weight PG": "7.6800"}, "8": {"Washer Pump Included": "No"}, "9": {"Part Type": "Windshield Wiper Motor"}, "10": {"Warranty Info": "1 Year/18,000 Mile"}, "11": {"Sustainable Choice": "Yes"}, "12": {"Lifecycle Status": "Available to Order"}, "13": {"Application Summary": "Chrysler New Yorker 1973-72, Newport 1973-72; Dodge Monaco 1973-72, Polara 1973-72; Plymouth Fury 1973-72, Fury I 1973-72, Fury II 1973-72, Fury III 1973-72, Gran Fury 1973-72"}, "14": {"ItemLevelGTIN": "00082617040815"}, "15": {"_addonCardone": "40-370::98384:115867:510"}, "16": {"Eligible for R&amp;R Service": "Yes"}}</t>
        </is>
      </c>
      <c r="J328" t="inlineStr">
        <is>
          <t>https://www.cardone.com/product/windshield-wiper-motor-40-370</t>
        </is>
      </c>
      <c r="K328">
        <f>DISPIMG("ID_01053F5EBBF946178FE029898416C788",1)</f>
        <v/>
      </c>
      <c r="L328" t="inlineStr">
        <is>
          <t>CPCX|40-370</t>
        </is>
      </c>
      <c r="M328" t="inlineStr">
        <is>
          <t>Wiper Motor; Instruction Sheet</t>
        </is>
      </c>
      <c r="N328" t="inlineStr">
        <is>
          <t>Yes</t>
        </is>
      </c>
      <c r="O328" t="inlineStr">
        <is>
          <t>Remanufactured</t>
        </is>
      </c>
      <c r="P328" t="inlineStr">
        <is>
          <t>3</t>
        </is>
      </c>
      <c r="Q328" t="inlineStr">
        <is>
          <t>Blade</t>
        </is>
      </c>
      <c r="R328" t="inlineStr">
        <is>
          <t>Eyelet</t>
        </is>
      </c>
      <c r="S328" t="inlineStr">
        <is>
          <t>7.6800</t>
        </is>
      </c>
      <c r="T328" t="inlineStr">
        <is>
          <t>No</t>
        </is>
      </c>
      <c r="U328" t="inlineStr">
        <is>
          <t>1 Year/18,000 Mile</t>
        </is>
      </c>
      <c r="V328" t="inlineStr">
        <is>
          <t>Yes</t>
        </is>
      </c>
      <c r="W328" t="inlineStr">
        <is>
          <t>Available to Order</t>
        </is>
      </c>
      <c r="X328" t="inlineStr">
        <is>
          <t>Chrysler New Yorker 1973-72, Newport 1973-72; Dodge Monaco 1973-72, Polara 1973-72; Plymouth Fury 1973-72, Fury I 1973-72, Fury II 1973-72, Fury III 1973-72, Gran Fury 1973-72</t>
        </is>
      </c>
      <c r="Y328" t="inlineStr">
        <is>
          <t>00082617040815</t>
        </is>
      </c>
      <c r="Z328" t="inlineStr">
        <is>
          <t>40-370::98384:115867:510</t>
        </is>
      </c>
      <c r="AA328" t="inlineStr">
        <is>
          <t>Yes</t>
        </is>
      </c>
      <c r="AB328" t="inlineStr"/>
      <c r="AC328" t="inlineStr"/>
    </row>
    <row r="329">
      <c r="A329" t="inlineStr">
        <is>
          <t>328</t>
        </is>
      </c>
      <c r="B329" t="inlineStr">
        <is>
          <t>Windshield Wiper Motor</t>
        </is>
      </c>
      <c r="C329" t="inlineStr">
        <is>
          <t>40-372</t>
        </is>
      </c>
      <c r="D329" t="inlineStr">
        <is>
          <t>Windshield Wiper Motor - 40-372</t>
        </is>
      </c>
      <c r="E329" t="inlineStr">
        <is>
          <t>CARDONE Reman</t>
        </is>
      </c>
      <c r="F329" t="inlineStr">
        <is>
          <t>3431780</t>
        </is>
      </c>
      <c r="G329" t="inlineStr">
        <is>
          <t>Chrysler Imperial 1974-1975
Chrysler New Yorker 1974-1977
Chrysler Newport 1974-1977
Dodge Monaco 1974-1976
Dodge Royal Monaco 1975-1977
Plymouth Fury 1974
Plymouth Fury I 1974
Plymouth Fury II 1974
Plymouth Fury III 1974
Plymouth Gran Fury 1974-1977</t>
        </is>
      </c>
      <c r="H329" t="inlineStr">
        <is>
          <t>Chrysler Imperial 1974-1975 7.2L V8 440cid
Chrysler New Yorker 1974-1977 7.2L V8 440cid
Chrysler New Yorker 1975-1977 6.6L V8 400cid
Chrysler New Yorker 1977 5.9L V8 360cid
Chrysler Newport 1974-1977 5.9L V8 360cid
Chrysler Newport 1974-1977 6.6L V8 400cid
Chrysler Newport 1974-1977 7.2L V8 440cid
Dodge Monaco 1974-1976 5.2L V8 318cid
Dodge Monaco 1974-1976 5.9L V8 360cid
Dodge Monaco 1974-1976 6.6L V8 400cid
Dodge Monaco 1974-1976 7.2L V8 440cid
Dodge Royal Monaco 1975-1977 5.2L V8 318cid
Dodge Royal Monaco 1975-1977 5.9L V8 360cid
Dodge Royal Monaco 1975-1977 6.6L V8 400cid
Dodge Royal Monaco 1975-1977 7.2L V8 440cid
Plymouth Fury 1974 3.7L L6 225cid
Plymouth Fury 1974 5.2L V8 318cid
Plymouth Fury 1974 5.9L V8 360cid
Plymouth Fury 1974 6.6L V8 400cid
Plymouth Fury 1974 7.2L V8 440cid
Plymouth Fury I 1974
Plymouth Fury I 1974 3.7L L6 225cid
Plymouth Fury I 1974 5.2L V8 318cid
Plymouth Fury I 1974 5.9L V8 360cid
Plymouth Fury I 1974 6.6L V8 400cid
Plymouth Fury I 1974 7.2L V8 440cid
Plymouth Fury II 1974
Plymouth Fury II 1974 3.7L L6 225cid
Plymouth Fury II 1974 5.2L V8 318cid
Plymouth Fury II 1974 5.9L V8 360cid
Plymouth Fury II 1974 6.6L V8 400cid
Plymouth Fury II 1974 7.2L V8 440cid
Plymouth Fury III 1974
Plymouth Fury III 1974 5.2L V8 318cid
Plymouth Fury III 1974 5.9L V8 360cid
Plymouth Fury III 1974 6.6L V8 400cid
Plymouth Fury III 1974 7.2L V8 440cid
Plymouth Gran Fury 1974
Plymouth Gran Fury 1974-1977 5.2L V8 318cid
Plymouth Gran Fury 1974-1977 5.9L V8 360cid
Plymouth Gran Fury 1974-1977 6.6L V8 400cid
Plymouth Gran Fury 1974-1977 7.2L V8 440cid</t>
        </is>
      </c>
      <c r="I329" t="inlineStr">
        <is>
          <t>{"0": {"productDeskExternalKey": "CPCX|40-372"}, "1": {"Package Contents": "Wiper Motor; Instruction Sheet"}, "2": {"E-Waste": "Yes"}, "3": {"Product Condition": "Remanufactured"}, "4": {"Mounting Hole Quantity": "3"}, "5": {"Terminal Type": "Blade"}, "6": {"Mounting Type": "Eyelet"}, "7": {"Weight PG": "7.7900"}, "8": {"Washer Pump Included": "No"}, "9": {"Part Type": "Windshield Wiper Motor"}, "10": {"Warranty Info": "1 Year/18,000 Mile"}, "11": {"Sustainable Choice": "Yes"}, "12": {"Lifecycle Status": "Available to Order"}, "13": {"Application Summary": "Chrysler Imperial 1975-74, New Yorker 1977-74, Newport 1977-74; Dodge Monaco 1976-74, Royal Monaco 1977-75; Plymouth Fury 1974, Fury I 1974, Fury II 1974, Fury III 1974, Gran Fury 1977-74"}, "14": {"ItemLevelGTIN": "00082617040822"}, "15": {"_addonCardone": "40-372::98384:115878:510"}, "16": {"Eligible for R&amp;R Service": "Yes"}}</t>
        </is>
      </c>
      <c r="J329" t="inlineStr">
        <is>
          <t>https://www.cardone.com/product/windshield-wiper-motor-40-372</t>
        </is>
      </c>
      <c r="K329">
        <f>DISPIMG("ID_49F5DC6045044486BAE1FAE79E514AF5",1)</f>
        <v/>
      </c>
      <c r="L329" t="inlineStr">
        <is>
          <t>CPCX|40-372</t>
        </is>
      </c>
      <c r="M329" t="inlineStr">
        <is>
          <t>Wiper Motor; Instruction Sheet</t>
        </is>
      </c>
      <c r="N329" t="inlineStr">
        <is>
          <t>Yes</t>
        </is>
      </c>
      <c r="O329" t="inlineStr">
        <is>
          <t>Remanufactured</t>
        </is>
      </c>
      <c r="P329" t="inlineStr">
        <is>
          <t>3</t>
        </is>
      </c>
      <c r="Q329" t="inlineStr">
        <is>
          <t>Blade</t>
        </is>
      </c>
      <c r="R329" t="inlineStr">
        <is>
          <t>Eyelet</t>
        </is>
      </c>
      <c r="S329" t="inlineStr">
        <is>
          <t>7.7900</t>
        </is>
      </c>
      <c r="T329" t="inlineStr">
        <is>
          <t>No</t>
        </is>
      </c>
      <c r="U329" t="inlineStr">
        <is>
          <t>1 Year/18,000 Mile</t>
        </is>
      </c>
      <c r="V329" t="inlineStr">
        <is>
          <t>Yes</t>
        </is>
      </c>
      <c r="W329" t="inlineStr">
        <is>
          <t>Available to Order</t>
        </is>
      </c>
      <c r="X329" t="inlineStr">
        <is>
          <t>Chrysler Imperial 1975-74, New Yorker 1977-74, Newport 1977-74; Dodge Monaco 1976-74, Royal Monaco 1977-75; Plymouth Fury 1974, Fury I 1974, Fury II 1974, Fury III 1974, Gran Fury 1977-74</t>
        </is>
      </c>
      <c r="Y329" t="inlineStr">
        <is>
          <t>00082617040822</t>
        </is>
      </c>
      <c r="Z329" t="inlineStr">
        <is>
          <t>40-372::98384:115878:510</t>
        </is>
      </c>
      <c r="AA329" t="inlineStr">
        <is>
          <t>Yes</t>
        </is>
      </c>
      <c r="AB329" t="inlineStr"/>
      <c r="AC329" t="inlineStr"/>
    </row>
    <row r="330">
      <c r="A330" t="inlineStr">
        <is>
          <t>329</t>
        </is>
      </c>
      <c r="B330" t="inlineStr">
        <is>
          <t>Windshield Wiper Motor</t>
        </is>
      </c>
      <c r="C330" t="inlineStr">
        <is>
          <t>40-373</t>
        </is>
      </c>
      <c r="D330" t="inlineStr">
        <is>
          <t>Windshield Wiper Motor - 40-373</t>
        </is>
      </c>
      <c r="E330" t="inlineStr">
        <is>
          <t>CARDONE Reman</t>
        </is>
      </c>
      <c r="F330" t="inlineStr">
        <is>
          <t>3977120</t>
        </is>
      </c>
      <c r="G330" t="inlineStr">
        <is>
          <t>Dodge Aspen 1976-1977
Plymouth Volare 1976-1977</t>
        </is>
      </c>
      <c r="H330" t="inlineStr">
        <is>
          <t>Dodge Aspen 1976-1977 3.7L L6 225cid
Dodge Aspen 1976-1977 5.2L V8 318cid
Dodge Aspen 1976-1977 5.9L V8 360cid
Plymouth Volare 1976-1977 3.7L L6 225cid
Plymouth Volare 1976-1977 5.2L V8 318cid
Plymouth Volare 1976-1977 5.9L V8 360cid</t>
        </is>
      </c>
      <c r="I330" t="inlineStr">
        <is>
          <t>{"0": {"productDeskExternalKey": "CPCX|40-373"}, "1": {"Package Contents": "Wiper Motor; Instruction Sheet"}, "2": {"E-Waste": "Yes"}, "3": {"Product Condition": "Remanufactured"}, "4": {"Mounting Hole Quantity": "3"}, "5": {"Terminal Type": "Blade"}, "6": {"Mounting Type": "Eyelet"}, "7": {"Weight PG": "7.7800"}, "8": {"Washer Pump Included": "No"}, "9": {"Part Type": "Windshield Wiper Motor"}, "10": {"Warranty Info": "1 Year/18,000 Mile"}, "11": {"Sustainable Choice": "Yes"}, "12": {"Lifecycle Status": "Available to Order"}, "13": {"Application Summary": "Dodge Aspen 1977-76; Plymouth Volare 1977-76"}, "14": {"ItemLevelGTIN": "00082617040839"}, "15": {"_addonCardone": "40-373::98384:115890:510"}, "16": {"Eligible for R&amp;R Service": "Yes"}}</t>
        </is>
      </c>
      <c r="J330" t="inlineStr">
        <is>
          <t>https://www.cardone.com/product/windshield-wiper-motor-40-373</t>
        </is>
      </c>
      <c r="K330">
        <f>DISPIMG("ID_58D54AE96A9D4BE8AD272A966A6BBB50",1)</f>
        <v/>
      </c>
      <c r="L330" t="inlineStr">
        <is>
          <t>CPCX|40-373</t>
        </is>
      </c>
      <c r="M330" t="inlineStr">
        <is>
          <t>Wiper Motor; Instruction Sheet</t>
        </is>
      </c>
      <c r="N330" t="inlineStr">
        <is>
          <t>Yes</t>
        </is>
      </c>
      <c r="O330" t="inlineStr">
        <is>
          <t>Remanufactured</t>
        </is>
      </c>
      <c r="P330" t="inlineStr">
        <is>
          <t>3</t>
        </is>
      </c>
      <c r="Q330" t="inlineStr">
        <is>
          <t>Blade</t>
        </is>
      </c>
      <c r="R330" t="inlineStr">
        <is>
          <t>Eyelet</t>
        </is>
      </c>
      <c r="S330" t="inlineStr">
        <is>
          <t>7.7800</t>
        </is>
      </c>
      <c r="T330" t="inlineStr">
        <is>
          <t>No</t>
        </is>
      </c>
      <c r="U330" t="inlineStr">
        <is>
          <t>1 Year/18,000 Mile</t>
        </is>
      </c>
      <c r="V330" t="inlineStr">
        <is>
          <t>Yes</t>
        </is>
      </c>
      <c r="W330" t="inlineStr">
        <is>
          <t>Available to Order</t>
        </is>
      </c>
      <c r="X330" t="inlineStr">
        <is>
          <t>Dodge Aspen 1977-76; Plymouth Volare 1977-76</t>
        </is>
      </c>
      <c r="Y330" t="inlineStr">
        <is>
          <t>00082617040839</t>
        </is>
      </c>
      <c r="Z330" t="inlineStr">
        <is>
          <t>40-373::98384:115890:510</t>
        </is>
      </c>
      <c r="AA330" t="inlineStr">
        <is>
          <t>Yes</t>
        </is>
      </c>
      <c r="AB330" t="inlineStr"/>
      <c r="AC330" t="inlineStr"/>
    </row>
    <row r="331">
      <c r="A331" t="inlineStr">
        <is>
          <t>330</t>
        </is>
      </c>
      <c r="B331" t="inlineStr">
        <is>
          <t>Windshield Wiper Motor</t>
        </is>
      </c>
      <c r="C331" t="inlineStr">
        <is>
          <t>40-378</t>
        </is>
      </c>
      <c r="D331" t="inlineStr">
        <is>
          <t>Windshield Wiper Motor - 40-378</t>
        </is>
      </c>
      <c r="E331" t="inlineStr">
        <is>
          <t>CARDONE Reman</t>
        </is>
      </c>
      <c r="F331" t="inlineStr">
        <is>
          <t>56002909</t>
        </is>
      </c>
      <c r="G331" t="inlineStr">
        <is>
          <t>Jeep Grand Wagoneer 1987-1991
Jeep J10 1987-1988
Jeep J20 1987-1988</t>
        </is>
      </c>
      <c r="H331" t="inlineStr">
        <is>
          <t>Jeep Grand Wagoneer 1987-1991 5.9L V8 360cid
Jeep J10 1987 4.2L L6 258cid
Jeep J10 1987 4.6L L6 282cid
Jeep J10 1987-1988 5.9L V8 360cid
Jeep J20 1987-1988 5.9L V8 360cid</t>
        </is>
      </c>
      <c r="I331" t="inlineStr">
        <is>
          <t>{"0": {"productDeskExternalKey": "CPCX|40-378"}, "1": {"Package Contents": "Wiper Motor; Instruction Sheet"}, "2": {"E-Waste": "Yes"}, "3": {"Product Condition": "Remanufactured"}, "4": {"Mounting Hole Quantity": "3"}, "5": {"Terminal Type": "Pin"}, "6": {"Mounting Type": "Direct Bolt"}, "7": {"Weight PG": "3.9300"}, "8": {"Washer Pump Included": "No"}, "9": {"Part Type": "Windshield Wiper Motor"}, "10": {"Warranty Info": "1 Year/18,000 Mile"}, "11": {"Sustainable Choice": "Yes"}, "12": {"Lifecycle Status": "Available to Order"}, "13": {"Application Summary": "Jeep Grand Wagoneer 1991-87, J10 1988-87, J20 1988-87"}, "14": {"ItemLevelGTIN": "00082617153188"}, "15": {"_addonCardone": "40-378::98384:115904:510"}, "16": {"Eligible for R&amp;R Service": "Yes"}}</t>
        </is>
      </c>
      <c r="J331" t="inlineStr">
        <is>
          <t>https://www.cardone.com/product/windshield-wiper-motor-40-378</t>
        </is>
      </c>
      <c r="K331">
        <f>DISPIMG("ID_68E671C75EE2441A82628B113E70483F",1)</f>
        <v/>
      </c>
      <c r="L331" t="inlineStr">
        <is>
          <t>CPCX|40-378</t>
        </is>
      </c>
      <c r="M331" t="inlineStr">
        <is>
          <t>Wiper Motor; Instruction Sheet</t>
        </is>
      </c>
      <c r="N331" t="inlineStr">
        <is>
          <t>Yes</t>
        </is>
      </c>
      <c r="O331" t="inlineStr">
        <is>
          <t>Remanufactured</t>
        </is>
      </c>
      <c r="P331" t="inlineStr">
        <is>
          <t>3</t>
        </is>
      </c>
      <c r="Q331" t="inlineStr">
        <is>
          <t>Pin</t>
        </is>
      </c>
      <c r="R331" t="inlineStr">
        <is>
          <t>Direct Bolt</t>
        </is>
      </c>
      <c r="S331" t="inlineStr">
        <is>
          <t>3.9300</t>
        </is>
      </c>
      <c r="T331" t="inlineStr">
        <is>
          <t>No</t>
        </is>
      </c>
      <c r="U331" t="inlineStr">
        <is>
          <t>1 Year/18,000 Mile</t>
        </is>
      </c>
      <c r="V331" t="inlineStr">
        <is>
          <t>Yes</t>
        </is>
      </c>
      <c r="W331" t="inlineStr">
        <is>
          <t>Available to Order</t>
        </is>
      </c>
      <c r="X331" t="inlineStr">
        <is>
          <t>Jeep Grand Wagoneer 1991-87, J10 1988-87, J20 1988-87</t>
        </is>
      </c>
      <c r="Y331" t="inlineStr">
        <is>
          <t>00082617153188</t>
        </is>
      </c>
      <c r="Z331" t="inlineStr">
        <is>
          <t>40-378::98384:115904:510</t>
        </is>
      </c>
      <c r="AA331" t="inlineStr">
        <is>
          <t>Yes</t>
        </is>
      </c>
      <c r="AB331" t="inlineStr"/>
      <c r="AC331" t="inlineStr"/>
    </row>
    <row r="332">
      <c r="A332" t="inlineStr">
        <is>
          <t>331</t>
        </is>
      </c>
      <c r="B332" t="inlineStr">
        <is>
          <t>Windshield Wiper Motor</t>
        </is>
      </c>
      <c r="C332" t="inlineStr">
        <is>
          <t>40-380</t>
        </is>
      </c>
      <c r="D332" t="inlineStr">
        <is>
          <t>Windshield Wiper Motor - 40-380</t>
        </is>
      </c>
      <c r="E332" t="inlineStr">
        <is>
          <t>CARDONE Reman</t>
        </is>
      </c>
      <c r="F332" t="inlineStr">
        <is>
          <t>4205951;4270452;4205958;4205998</t>
        </is>
      </c>
      <c r="G332" t="inlineStr">
        <is>
          <t>Chrysler Daytona 1984
Chrysler E Class 1983-1984
Chrysler Executive Sedan 1984
Chrysler Fifth Avenue 1983-1984
Chrysler Laser 1984
Chrysler LeBaron 1979-1984
Chrysler New Yorker 1982-1984
Chrysler Town &amp; Country 1979-1984
Dodge 400 1982-1983
Dodge 600 1983-1984
Dodge Aries 1981-1984
Dodge Aspen 1976-1980
Dodge B100 1975-1980
Dodge B100 Van 1972-1974
Dodge B150 1981-1984
Dodge B200 1975-1980
Dodge B200 Van 1972-1974
Dodge B250 1981-1984
Dodge B300 1975-1980
Dodge B300 Van 1972-1974
Dodge B350 1981-1984
Dodge Caravan 1984
Dodge Charger 1983-1984
Dodge D100 1975-1979
Dodge D100 Pickup 1972-1974
Dodge D150 1977-1984
Dodge D200 1975-1980
Dodge D200 Pickup 1972-1974
Dodge D250 1981-1984
Dodge D300 1975-1980
Dodge D300 Pickup 1972-1974
Dodge D350 1981-1984
Dodge D400 1978-1981
Dodge D450 1978-1981
Dodge Dart 1972-1976
Dodge Daytona 1984
Dodge Diplomat 1979-1984
Dodge Mini Ram 1984
Dodge Omni 1978-1984
Dodge Ramcharger 1981-1984
Dodge Rampage 1982-1984
Dodge W100 1975-1984
Dodge W100 Pickup 1972-1974
Dodge W150 1977-1984
Dodge W200 1975-1980
Dodge W200 Pickup 1972-1974
Dodge W250 1981-1984
Dodge W300 1975-1980
Dodge W300 Pickup 1972-1974
Dodge W350 1981-1984
Plymouth Caravelle 1982-1984
Plymouth Duster 1972-1976
Plymouth Gran Fury 1982-1984
Plymouth Horizon 1978-1984
Plymouth Reliant 1981-1984
Plymouth Scamp 1972-1983
Plymouth TC3 1980-1982
Plymouth Trailduster 1974-1981
Plymouth Turismo 1983-1984
Plymouth Turismo 2.2 1983-1984
Plymouth Valiant 1972-1976
Plymouth Volare 1976-1980
Plymouth Voyager 1984</t>
        </is>
      </c>
      <c r="H332" t="inlineStr">
        <is>
          <t>Chrysler Daytona 1984 2.2L L4 135cid
Chrysler E Class 1983-1984 2.2L L4 135cid
Chrysler E Class 1983-1984 2.6L L4 156cid
Chrysler Executive Sedan 1984 2.6L L4 156cid
Chrysler Fifth Avenue 1983 3.7L L6 225cid
Chrysler Fifth Avenue 1983-1984 5.2L V8 318cid
Chrysler Laser 1984 2.2L L4 135cid
Chrysler LeBaron 1979-1981 3.7L L6 225cid
Chrysler LeBaron 1979-1981 5.2L V8 318cid
Chrysler LeBaron 1979-1982 5.9L V8 360cid
Chrysler LeBaron 1982-1984 2.2L L4 135cid
Chrysler LeBaron 1982-1984 2.6L L4 156cid
Chrysler New Yorker 1982 3.7L L6 225cid
Chrysler New Yorker 1982 5.2L V8 318cid
Chrysler New Yorker 1983-1984 2.2L L4 135cid
Chrysler New Yorker 1983-1984 2.6L L4 156cid
Chrysler Town &amp; Country 1979 5.9L V8 360cid
Chrysler Town &amp; Country 1979-1981 3.7L L6 225cid
Chrysler Town &amp; Country 1979-1981 5.2L V8 318cid
Chrysler Town &amp; Country 1982-1984 2.2L L4 135cid
Chrysler Town &amp; Country 1982-1984 2.6L L4 156cid
Dodge 400 1982-1983 2.2L L4 135cid
Dodge 400 1982-1983 2.6L L4 156cid
Dodge 600 1983-1984 2.2L L4 135cid
Dodge 600 1983-1984 2.6L L4 156cid
Dodge Aries 1981-1984 2.2L L4 135cid
Dodge Aries 1981-1984 2.6L L4 156cid
Dodge Aspen 1976-1980 3.7L L6 225cid
Dodge Aspen 1976-1980 5.2L V8 318cid
Dodge Aspen 1976-1980 5.9L V8 360cid
Dodge B100 1975-1980 3.7L L6 225cid
Dodge B100 1975-1980 5.2L V8 318cid
Dodge B100 1976-1978 5.9L V8 360cid
Dodge B100 Van 1972-1973 3.2L L6 198cid
Dodge B100 Van 1972-1974 3.7L L6 225cid
Dodge B100 Van 1972-1974 5.2L V8 318cid
Dodge B100 Van 1972-1974 5.9L V8 360cid
Dodge B100 Van 1974 7.2L V8 440cid
Dodge B150 1981-1984 3.7L L6 225cid
Dodge B150 1981-1984 5.2L V8 318cid
Dodge B200 1975-1978 7.2L V8 440cid
Dodge B200 1975-1980 3.7L L6 225cid
Dodge B200 1975-1980 5.2L V8 318cid
Dodge B200 1975-1980 5.9L V8 360cid
Dodge B200 1976-1978 6.6L V8 400cid
Dodge B200 Van 1972-1973 3.2L L6 198cid
Dodge B200 Van 1972-1974 3.7L L6 225cid
Dodge B200 Van 1972-1974 5.2L V8 318cid
Dodge B200 Van 1972-1974 5.9L V8 360cid
Dodge B200 Van 1972-1974 6.6L V8 400cid
Dodge B200 Van 1974 7.2L V8 440cid
Dodge B250 1981-1984 3.7L L6 225cid
Dodge B250 1981-1984 5.2L V8 318cid
Dodge B250 1981-1984 5.9L V8 360cid
Dodge B300 1975-1978 7.2L V8 440cid
Dodge B300 1975-1980 3.7L L6 225cid
Dodge B300 1975-1980 5.2L V8 318cid
Dodge B300 1975-1980 5.9L V8 360cid
Dodge B300 1976-1978 6.6L V8 400cid
Dodge B300 Van 1972-1974 3.7L L6 225cid
Dodge B300 Van 1972-1974 5.2L V8 318cid
Dodge B300 Van 1972-1974 5.9L V8 360cid
Dodge B300 Van 1972-1974 6.6L V8 400cid
Dodge B300 Van 1974 7.2L V8 440cid
Dodge B350 1981-1984 5.2L V8 318cid
Dodge B350 1981-1984 5.9L V8 360cid
Dodge Caravan 1984 2.2L L4 135cid
Dodge Caravan 1984 2.6L L4 156cid
Dodge Charger 1983 1.7L L4 105cid
Dodge Charger 1983-1984 1.6L L4 97cid
Dodge Charger 1983-1984 2.2L L4 135cid
Dodge D100 1975-1978 7.2L V8 440cid
Dodge D100 1975-1979 3.7L L6 225cid
Dodge D100 1975-1979 5.2L V8 318cid
Dodge D100 1975-1979 5.9L V8 360cid
Dodge D100 1976-1978 6.6L V8 400cid
Dodge D100 1978-1979 4L L6 243cid
Dodge D100 Pickup 1972-1974 3.7L L6 225cid
Dodge D100 Pickup 1972-1974 5.2L V8 318cid
Dodge D100 Pickup 1972-1974 5.9L V8 360cid
Dodge D100 Pickup 1972-1974 6.6L V8 400cid
Dodge D100 Pickup 1973 3.2L L6 198cid
Dodge D100 Pickup 1973-1974 7.2L V8 440cid
Dodge D150 1977-1978 6.6L V8 400cid
Dodge D150 1977-1984 3.7L L6 225cid
Dodge D150 1977-1984 5.2L V8 318cid
Dodge D150 1977-1984 5.9L V8 360cid
Dodge D150 1978 7.2L V8 440cid
Dodge D150 1978-1980 4L L6 243cid
Dodge D200 1975-1978 6.6L V8 400cid
Dodge D200 1975-1978 7.2L V8 440cid
Dodge D200 1975-1980 3.7L L6 225cid
Dodge D200 1975-1980 5.2L V8 318cid
Dodge D200 1975-1980 5.9L V8 360cid
Dodge D200 1978-1980 4L L6 243cid
Dodge D200 Pickup 1972-1974 3.7L L6 225cid
Dodge D200 Pickup 1972-1974 5.2L V8 318cid
Dodge D200 Pickup 1972-1974 5.9L V8 360cid
Dodge D200 Pickup 1972-1974 6.6L V8 400cid
Dodge D200 Pickup 1973-1974 7.2L V8 440cid
Dodge D250 1981-1984 3.7L L6 225cid
Dodge D250 1981-1984 5.2L V8 318cid
Dodge D250 1981-1984 5.9L V8 360cid
Dodge D300 1975-1978 7.2L V8 440cid
Dodge D300 1975-1980 3.7L L6 225cid
Dodge D300 1975-1980 5.2L V8 318cid
Dodge D300 1975-1980 5.9L V8 360cid
Dodge D300 1976-1978 6.6L V8 400cid
Dodge D300 Pickup 1972-1974 3.7L L6 225cid
Dodge D300 Pickup 1972-1974 5.2L V8 318cid
Dodge D300 Pickup 1972-1974 5.9L V8 360cid
Dodge D300 Pickup 1972-1974 6.6L V8 400cid
Dodge D300 Pickup 1972-1974 7.2L V8 440cid
Dodge D350 1981-1983 5.2L V8 318cid
Dodge D350 1981-1984 3.7L L6 225cid
Dodge D350 1981-1984 5.9L V8 360cid
Dodge D400 1978 7.2L V8 440cid
Dodge D400 1978-1981 5.9L V8 360cid
Dodge D450 1978 7.2L V8 440cid
Dodge D450 1978-1981 5.9L V8 360cid
Dodge Dart 1972-1973 5.6L V8 340cid
Dodge Dart 1972-1974 3.2L L6 198cid
Dodge Dart 1972-1976 3.7L L6 225cid
Dodge Dart 1972-1976 5.2L V8 318cid
Dodge Dart 1972-1976 5.9L V8 360cid
Dodge Daytona 1984 2.2L L4 135cid
Dodge Diplomat 1979 5.9L V8 360cid
Dodge Diplomat 1979-1983 3.7L L6 225cid
Dodge Diplomat 1979-1984 5.2L V8 318cid
Dodge Mini Ram 1984 2.2L L4 135cid
Dodge Mini Ram 1984 2.6L L4 156cid
Dodge Omni 1978-1983 1.7L L4 105cid
Dodge Omni 1981-1984 2.2L L4 135cid
Dodge Omni 1983-1984 1.6L L4 97cid
Dodge Ramcharger 1981-1984 5.2L V8 318cid
Dodge Ramcharger 1981-1984 5.9L V8 360cid
Dodge Rampage 1982-1984 2.2L L4 135cid
Dodge W100 1975-1977 6.6L V8 400cid
Dodge W100 1975-1977 7.2L V8 440cid
Dodge W100 1975-1984 3.7L L6 225cid
Dodge W100 1975-1984 5.2L V8 318cid
Dodge W100 1975-1984 5.9L V8 360cid
Dodge W100 Pickup 1972-1974 3.7L L6 225cid
Dodge W100 Pickup 1972-1974 5.2L V8 318cid
Dodge W100 Pickup 1972-1974 5.9L V8 360cid
Dodge W100 Pickup 1972-1974 6.6L V8 400cid
Dodge W100 Pickup 1973-1974 7.2L V8 440cid
Dodge W150 1977-1978 6.6L V8 400cid
Dodge W150 1977-1984 5.2L V8 318cid
Dodge W150 1977-1984 5.9L V8 360cid
Dodge W150 1978 7.2L V8 440cid
Dodge W150 1978-1979 4L L6 243cid
Dodge W150 1978-1984 3.7L L6 225cid
Dodge W200 1975-1978 7.2L V8 440cid
Dodge W200 1975-1980 3.7L L6 225cid
Dodge W200 1975-1980 5.2L V8 318cid
Dodge W200 1975-1980 5.9L V8 360cid
Dodge W200 1976-1978 6.6L V8 400cid
Dodge W200 1978-1979 4L L6 243cid
Dodge W200 Pickup 1972-1974 3.7L L6 225cid
Dodge W200 Pickup 1972-1974 5.2L V8 318cid
Dodge W200 Pickup 1972-1974 5.9L V8 360cid
Dodge W200 Pickup 1972-1974 6.6L V8 400cid
Dodge W200 Pickup 1973-1974 7.2L V8 440cid
Dodge W250 1981-1984 5.2L V8 318cid
Dodge W250 1981-1984 5.9L V8 360cid
Dodge W300 1975-1978 3.7L L6 225cid
Dodge W300 1975-1978 7.2L V8 440cid
Dodge W300 1975-1980 5.2L V8 318cid
Dodge W300 1975-1980 5.9L V8 360cid
Dodge W300 1976-1978 6.6L V8 400cid
Dodge W300 Pickup 1972-1974 3.7L L6 225cid
Dodge W300 Pickup 1972-1974 5.2L V8 318cid
Dodge W300 Pickup 1972-1974 5.9L V8 360cid
Dodge W300 Pickup 1972-1974 6.6L V8 400cid
Dodge W300 Pickup 1972-1974 7.2L V8 440cid
Dodge W350 1981-1984 5.9L V8 360cid
Dodge W350 1982-1983 5.2L V8 318cid
Plymouth Caravelle 1982-1983 3.7L L6 225cid
Plymouth Caravelle 1982-1984 5.2L V8 318cid
Plymouth Caravelle 1983-1984 2.2L L4 135cid
Plymouth Caravelle 1983-1984 2.6L L4 156cid
Plymouth Duster 1972-1973 5.6L V8 340cid
Plymouth Duster 1972-1974 3.2L L6 198cid
Plymouth Duster 1972-1976 3.7L L6 225cid
Plymouth Duster 1972-1976 5.2L V8 318cid
Plymouth Duster 1974-1976 5.9L V8 360cid
Plymouth Gran Fury 1982-1983 3.7L L6 225cid
Plymouth Gran Fury 1982-1984 5.2L V8 318cid
Plymouth Horizon 1978-1983 1.7L L4 105cid
Plymouth Horizon 1981-1984 2.2L L4 135cid
Plymouth Horizon 1983 1.6L L4 98cid
Plymouth Horizon 1983-1984 1.6L L4 97cid
Plymouth Reliant 1981-1984 2.2L L4 135cid
Plymouth Reliant 1981-1984 2.6L L4 156cid
Plymouth Scamp 1972-1974 3.2L L6 198cid
Plymouth Scamp 1972-1976 3.7L L6 225cid
Plymouth Scamp 1972-1976 5.2L V8 318cid
Plymouth Scamp 1983 2.2L L4 135cid
Plymouth TC3 1980-1982 1.7L L4 105cid
Plymouth TC3 1981-1982 2.2L L4 135cid
Plymouth Trailduster 1974-1978 7.2L V8 440cid
Plymouth Trailduster 1974-1980 3.7L L6 225cid
Plymouth Trailduster 1974-1981 5.2L V8 318cid
Plymouth Trailduster 1974-1981 5.9L V8 360cid
Plymouth Trailduster 1977-1978 6.6L V8 400cid
Plymouth Turismo 1983 1.6L L4 98cid
Plymouth Turismo 1983 1.7L L4 105cid
Plymouth Turismo 1983-1984 1.6L L4 97cid
Plymouth Turismo 1983-1984 2.2L L4 135cid
Plymouth Turismo 2.2 1983-1984 2.2L L4 135cid
Plymouth Valiant 1972-1973 5.6L V8 340cid
Plymouth Valiant 1972-1974 3.2L L6 198cid
Plymouth Valiant 1972-1976 3.7L L6 225cid
Plymouth Valiant 1972-1976 5.2L V8 318cid
Plymouth Valiant 1972-1976 5.9L V8 360cid
Plymouth Volare 1976-1980 3.7L L6 225cid
Plymouth Volare 1976-1980 5.2L V8 318cid
Plymouth Volare 1976-1980 5.9L V8 360cid
Plymouth Voyager 1984 2.2L L4 135cid
Plymouth Voyager 1984 2.6L L4 156cid</t>
        </is>
      </c>
      <c r="I332" t="inlineStr">
        <is>
          <t>{"0": {"productDeskExternalKey": "CPCX|40-380"}, "1": {"Package Contents": "Wiper Motor; Instruction Sheet"}, "2": {"E-Waste": "Yes"}, "3": {"Product Condition": "Remanufactured"}, "4": {"Mounting Hole Quantity": "3"}, "5": {"Terminal Type": "Blade"}, "6": {"Mounting Type": "Eyelet; Grommet"}, "7": {"Weight PG": "4.2500"}, "8": {"Washer Pump Included": "No"}, "9": {"Part Type": "Windshield Wiper Motor"}, "10": {"Warranty Info": "1 Year/18,000 Mile"}, "11": {"Sustainable Choice": "Yes"}, "12": {"Lifecycle Status": "Available to Order"}, "13": {"ItemLevelGTIN": "00082617040846"}, "14": {"_addonCardone": "40-380::98384:115913:510"}, "15": {"Eligible for R&amp;R Service": "Yes"}}</t>
        </is>
      </c>
      <c r="J332" t="inlineStr">
        <is>
          <t>https://www.cardone.com/product/windshield-wiper-motor-40-380</t>
        </is>
      </c>
      <c r="K332">
        <f>DISPIMG("ID_DC86C491D6A34B3999621568C4F4F3FC",1)</f>
        <v/>
      </c>
      <c r="L332" t="inlineStr">
        <is>
          <t>CPCX|40-380</t>
        </is>
      </c>
      <c r="M332" t="inlineStr">
        <is>
          <t>Wiper Motor; Instruction Sheet</t>
        </is>
      </c>
      <c r="N332" t="inlineStr">
        <is>
          <t>Yes</t>
        </is>
      </c>
      <c r="O332" t="inlineStr">
        <is>
          <t>Remanufactured</t>
        </is>
      </c>
      <c r="P332" t="inlineStr">
        <is>
          <t>3</t>
        </is>
      </c>
      <c r="Q332" t="inlineStr">
        <is>
          <t>Blade</t>
        </is>
      </c>
      <c r="R332" t="inlineStr">
        <is>
          <t>Eyelet; Grommet</t>
        </is>
      </c>
      <c r="S332" t="inlineStr">
        <is>
          <t>4.2500</t>
        </is>
      </c>
      <c r="T332" t="inlineStr">
        <is>
          <t>No</t>
        </is>
      </c>
      <c r="U332" t="inlineStr">
        <is>
          <t>1 Year/18,000 Mile</t>
        </is>
      </c>
      <c r="V332" t="inlineStr">
        <is>
          <t>Yes</t>
        </is>
      </c>
      <c r="W332" t="inlineStr">
        <is>
          <t>Available to Order</t>
        </is>
      </c>
      <c r="X332" t="inlineStr"/>
      <c r="Y332" t="inlineStr">
        <is>
          <t>00082617040846</t>
        </is>
      </c>
      <c r="Z332" t="inlineStr">
        <is>
          <t>40-380::98384:115913:510</t>
        </is>
      </c>
      <c r="AA332" t="inlineStr">
        <is>
          <t>Yes</t>
        </is>
      </c>
      <c r="AB332" t="inlineStr"/>
      <c r="AC332" t="inlineStr"/>
    </row>
    <row r="333">
      <c r="A333" t="inlineStr">
        <is>
          <t>332</t>
        </is>
      </c>
      <c r="B333" t="inlineStr">
        <is>
          <t>Windshield Wiper Motor</t>
        </is>
      </c>
      <c r="C333" t="inlineStr">
        <is>
          <t>40-382</t>
        </is>
      </c>
      <c r="D333" t="inlineStr">
        <is>
          <t>Windshield Wiper Motor - 40-382</t>
        </is>
      </c>
      <c r="E333" t="inlineStr">
        <is>
          <t>CARDONE Reman</t>
        </is>
      </c>
      <c r="F333" t="inlineStr">
        <is>
          <t>3431606;3431608;3431533;3431790;3431718</t>
        </is>
      </c>
      <c r="G333" t="inlineStr">
        <is>
          <t>Chrysler Cordoba 1975-1979
Chrysler LeBaron 1977-1978
Chrysler New Yorker 1972-1979
Chrysler Newport 1972-1979
Chrysler Town &amp; Country 1977-1978
Dodge Challenger 1972-1974
Dodge Charger 1972-1978
Dodge Coronet 1972-1976
Dodge Diplomat 1977-1978
Dodge Magnum 1978-1979
Dodge Monaco 1972-1978
Dodge Polara 1972-1973
Dodge Royal Monaco 1975-1977
Dodge St. Regis 1979
Plymouth Barracuda 1972-1974
Plymouth Caravelle 1978
Plymouth Cuda 1972-1974
Plymouth Fury 1972-1978
Plymouth Fury I 1972-1974
Plymouth Fury II 1972-1974
Plymouth Fury III 1972-1974
Plymouth Gran Fury 1972-1977
Plymouth Road Runner 1972-1975
Plymouth Satellite 1972-1974</t>
        </is>
      </c>
      <c r="H333" t="inlineStr">
        <is>
          <t>Chrysler Cordoba 1975-1978 6.6L V8 400cid
Chrysler Cordoba 1975-1979 5.2L V8 318cid
Chrysler Cordoba 1975-1979 5.9L V8 360cid
Chrysler LeBaron 1977-1978 5.2L V8 318cid
Chrysler LeBaron 1978 3.7L L6 225cid
Chrysler LeBaron 1978 5.9L V8 360cid
Chrysler New Yorker 1972-1978 6.6L V8 400cid
Chrysler New Yorker 1972-1978 7.2L V8 440cid
Chrysler New Yorker 1977-1979 5.9L V8 360cid
Chrysler New Yorker 1979 5.2L V8 318cid
Chrysler Newport 1972-1978 6.6L V8 400cid
Chrysler Newport 1972-1978 7.2L V8 440cid
Chrysler Newport 1972-1979 5.9L V8 360cid
Chrysler Newport 1979 3.7L L6 225cid
Chrysler Newport 1979 5.2L V8 318cid
Chrysler Town &amp; Country 1977 6.6L V8 400cid
Chrysler Town &amp; Country 1977 7.2L V8 440cid
Chrysler Town &amp; Country 1978 3.7L L6 225cid
Chrysler Town &amp; Country 1978 5.2L V8 318cid
Chrysler Town &amp; Country 1978 5.9L V8 360cid
Dodge Challenger 1972 3.7L L6 225cid
Dodge Challenger 1972 7.2L V8 440cid
Dodge Challenger 1972-1973 5.6L V8 340cid
Dodge Challenger 1972-1974 5.2L V8 318cid
Dodge Challenger 1972-1974 5.9L V8 360cid
Dodge Challenger 1972-1974 6.6L V8 400cid
Dodge Charger 1972-1973 5.6L V8 340cid
Dodge Charger 1972-1974 7.2L V8 440cid
Dodge Charger 1972-1976 3.7L L6 225cid
Dodge Charger 1972-1978 5.2L V8 318cid
Dodge Charger 1972-1978 5.9L V8 360cid
Dodge Charger 1972-1978 6.6L V8 400cid
Dodge Coronet 1972-1973 5.6L V8 340cid
Dodge Coronet 1972-1976 3.7L L6 225cid
Dodge Coronet 1972-1976 5.2L V8 318cid
Dodge Coronet 1972-1976 5.9L V8 360cid
Dodge Coronet 1972-1976 6.6L V8 400cid
Dodge Coronet 1972-1976 7.2L V8 440cid
Dodge Diplomat 1977-1978 5.2L V8 318cid
Dodge Diplomat 1978 3.7L L6 225cid
Dodge Diplomat 1978 5.9L V8 360cid
Dodge Magnum 1978 6.6L V8 400cid
Dodge Magnum 1978-1979 5.2L V8 318cid
Dodge Magnum 1978-1979 5.9L V8 360cid
Dodge Monaco 1972-1978 5.2L V8 318cid
Dodge Monaco 1972-1978 5.9L V8 360cid
Dodge Monaco 1972-1978 6.6L V8 400cid
Dodge Monaco 1972-1978 7.2L V8 440cid
Dodge Monaco 1977-1978 3.7L L6 225cid
Dodge Polara 1972-1973 3.7L L6 225cid
Dodge Polara 1972-1973 5.2L V8 318cid
Dodge Polara 1972-1973 5.6L V8 340cid
Dodge Polara 1972-1973 5.9L V8 360cid
Dodge Polara 1972-1973 6.6L V8 400cid
Dodge Polara 1972-1973 7.2L V8 440cid
Dodge Royal Monaco 1975-1977 5.2L V8 318cid
Dodge Royal Monaco 1975-1977 5.9L V8 360cid
Dodge Royal Monaco 1975-1977 6.6L V8 400cid
Dodge Royal Monaco 1975-1977 7.2L V8 440cid
Dodge St. Regis 1979 3.7L L6 225cid
Dodge St. Regis 1979 5.2L V8 318cid
Dodge St. Regis 1979 5.9L V8 360cid
Plymouth Barracuda 1972 3.7L L6 225cid
Plymouth Barracuda 1972 7.2L V8 440cid
Plymouth Barracuda 1972-1973 5.6L V8 340cid
Plymouth Barracuda 1972-1974 5.2L V8 318cid
Plymouth Barracuda 1972-1974 5.9L V8 360cid
Plymouth Caravelle 1978 3.7L L6 225cid
Plymouth Caravelle 1978 5.2L V8 318cid
Plymouth Caravelle 1978 5.9L V8 360cid
Plymouth Cuda 1972 7.2L V8 440cid
Plymouth Cuda 1972-1973 5.6L V8 340cid
Plymouth Cuda 1972-1974 5.9L V8 360cid
Plymouth Cuda 1973-1974 5.2L V8 318cid
Plymouth Fury 1972-1978 3.7L L6 225cid
Plymouth Fury 1972-1978 5.2L V8 318cid
Plymouth Fury 1972-1978 5.9L V8 360cid
Plymouth Fury 1972-1978 6.6L V8 400cid
Plymouth Fury 1972-1978 7.2L V8 440cid
Plymouth Fury I 1972-1974
Plymouth Fury I 1972-1974 3.7L L6 225cid
Plymouth Fury I 1972-1974 5.2L V8 318cid
Plymouth Fury I 1972-1974 5.9L V8 360cid
Plymouth Fury I 1972-1974 6.6L V8 400cid
Plymouth Fury I 1972-1974 7.2L V8 440cid
Plymouth Fury II 1972-1974
Plymouth Fury II 1972-1974 3.7L L6 225cid
Plymouth Fury II 1972-1974 5.2L V8 318cid
Plymouth Fury II 1972-1974 5.9L V8 360cid
Plymouth Fury II 1972-1974 6.6L V8 400cid
Plymouth Fury II 1972-1974 7.2L V8 440cid
Plymouth Fury III 1972-1973 3.7L L6 225cid
Plymouth Fury III 1972-1974
Plymouth Fury III 1972-1974 5.2L V8 318cid
Plymouth Fury III 1972-1974 5.9L V8 360cid
Plymouth Fury III 1972-1974 6.6L V8 400cid
Plymouth Fury III 1972-1974 7.2L V8 440cid
Plymouth Gran Fury 1972-1974
Plymouth Gran Fury 1972-1977 5.2L V8 318cid
Plymouth Gran Fury 1972-1977 5.9L V8 360cid
Plymouth Gran Fury 1972-1977 6.6L V8 400cid
Plymouth Gran Fury 1972-1977 7.2L V8 440cid
Plymouth Road Runner 1972-1973 5.6L V8 340cid
Plymouth Road Runner 1972-1974 7.2L V8 440cid
Plymouth Road Runner 1972-1975 5.2L V8 318cid
Plymouth Road Runner 1972-1975 6.6L V8 400cid
Plymouth Road Runner 1974-1975 5.9L V8 360cid
Plymouth Satellite 1972-1973 5.6L V8 340cid
Plymouth Satellite 1972-1974 3.7L L6 225cid
Plymouth Satellite 1972-1974 5.2L V8 318cid
Plymouth Satellite 1972-1974 5.9L V8 360cid
Plymouth Satellite 1972-1974 6.6L V8 400cid
Plymouth Satellite 1973-1974 7.2L V8 440cid</t>
        </is>
      </c>
      <c r="I333" t="inlineStr">
        <is>
          <t>{"0": {"productDeskExternalKey": "CPCX|40-382"}, "1": {"Package Contents": "Wiper Motor; Instruction Sheet"}, "2": {"E-Waste": "Yes"}, "3": {"Product Condition": "Remanufactured"}, "4": {"Mounting Hole Quantity": "3"}, "5": {"Terminal Type": "Blade"}, "6": {"Mounting Type": "Eyelet; Grommet"}, "7": {"Weight PG": "4.2800"}, "8": {"Washer Pump Included": "No"}, "9": {"Part Type": "Windshield Wiper Motor"}, "10": {"Warranty Info": "1 Year/18,000 Mile"}, "11": {"Sustainable Choice": "Yes"}, "12": {"Lifecycle Status": "Available to Order"}, "13": {"ItemLevelGTIN": "00082617040853"}, "14": {"_addonCardone": "40-382::98384:115927:510"}, "15": {"Eligible for R&amp;R Service": "Yes"}}</t>
        </is>
      </c>
      <c r="J333" t="inlineStr">
        <is>
          <t>https://www.cardone.com/product/windshield-wiper-motor-40-382</t>
        </is>
      </c>
      <c r="K333">
        <f>DISPIMG("ID_BA74E24FB3454851BE683D57D003AF25",1)</f>
        <v/>
      </c>
      <c r="L333" t="inlineStr">
        <is>
          <t>CPCX|40-382</t>
        </is>
      </c>
      <c r="M333" t="inlineStr">
        <is>
          <t>Wiper Motor; Instruction Sheet</t>
        </is>
      </c>
      <c r="N333" t="inlineStr">
        <is>
          <t>Yes</t>
        </is>
      </c>
      <c r="O333" t="inlineStr">
        <is>
          <t>Remanufactured</t>
        </is>
      </c>
      <c r="P333" t="inlineStr">
        <is>
          <t>3</t>
        </is>
      </c>
      <c r="Q333" t="inlineStr">
        <is>
          <t>Blade</t>
        </is>
      </c>
      <c r="R333" t="inlineStr">
        <is>
          <t>Eyelet; Grommet</t>
        </is>
      </c>
      <c r="S333" t="inlineStr">
        <is>
          <t>4.2800</t>
        </is>
      </c>
      <c r="T333" t="inlineStr">
        <is>
          <t>No</t>
        </is>
      </c>
      <c r="U333" t="inlineStr">
        <is>
          <t>1 Year/18,000 Mile</t>
        </is>
      </c>
      <c r="V333" t="inlineStr">
        <is>
          <t>Yes</t>
        </is>
      </c>
      <c r="W333" t="inlineStr">
        <is>
          <t>Available to Order</t>
        </is>
      </c>
      <c r="X333" t="inlineStr"/>
      <c r="Y333" t="inlineStr">
        <is>
          <t>00082617040853</t>
        </is>
      </c>
      <c r="Z333" t="inlineStr">
        <is>
          <t>40-382::98384:115927:510</t>
        </is>
      </c>
      <c r="AA333" t="inlineStr">
        <is>
          <t>Yes</t>
        </is>
      </c>
      <c r="AB333" t="inlineStr"/>
      <c r="AC333" t="inlineStr"/>
    </row>
    <row r="334">
      <c r="A334" t="inlineStr">
        <is>
          <t>333</t>
        </is>
      </c>
      <c r="B334" t="inlineStr">
        <is>
          <t>Windshield Wiper Motor</t>
        </is>
      </c>
      <c r="C334" t="inlineStr">
        <is>
          <t>40-383</t>
        </is>
      </c>
      <c r="D334" t="inlineStr">
        <is>
          <t>Windshield Wiper Motor - 40-383</t>
        </is>
      </c>
      <c r="E334" t="inlineStr">
        <is>
          <t>CARDONE Reman</t>
        </is>
      </c>
      <c r="F334" t="inlineStr">
        <is>
          <t>4334104;4339449</t>
        </is>
      </c>
      <c r="G334" t="inlineStr">
        <is>
          <t>Chrysler Daytona 1985-1987
Chrysler Executive Limousine 1985
Chrysler Fifth Avenue 1984-1987
Chrysler Laser 1985-1986
Chrysler LeBaron 1985-1987
Chrysler New Yorker 1985-1987
Chrysler Phantom 1987
Chrysler Town &amp; Country 1985-1987
Dodge 600 1985-1987
Dodge Aries 1985-1987
Dodge B150 1985-1987
Dodge B250 1985-1987
Dodge B350 1985-1987
Dodge Caravan 1985-1987
Dodge Charger 1985-1987
Dodge D100 1986-1987
Dodge D150 1985-1987
Dodge D250 1985-1987
Dodge D350 1985-1987
Dodge Daytona 1985-1987
Dodge Diplomat 1985-1987
Dodge Mini Ram 1985-1987
Dodge Omni 1985-1987
Dodge Ramcharger 1985-1987
Dodge W100 1985-1987
Dodge W150 1985-1987
Dodge W250 1985-1987
Dodge W350 1985-1987
Plymouth Caravelle 1985-1987
Plymouth Gran Fury 1985-1987
Plymouth Horizon 1985-1987
Plymouth Reliant 1985-1987
Plymouth Turismo 1985-1987
Plymouth Turismo 2.2 1985-1986
Plymouth Voyager 1985-1987</t>
        </is>
      </c>
      <c r="H334" t="inlineStr">
        <is>
          <t>Chrysler Daytona 1985-1987 2.2L L4 135cid
Chrysler Daytona 1987 2.5L L4 153cid
Chrysler Executive Limousine 1985 2.6L L4 156cid
Chrysler Fifth Avenue 1984-1987 5.2L V8 318cid
Chrysler Laser 1985-1986 2.2L L4 135cid
Chrysler Laser 1986 2.5L L4 153cid
Chrysler LeBaron 1985 2.6L L4 156cid
Chrysler LeBaron 1985-1987 2.2L L4 135cid
Chrysler LeBaron 1986-1987 2.5L L4 153cid
Chrysler New Yorker 1985 2.6L L4 156cid
Chrysler New Yorker 1985-1987 2.2L L4 135cid
Chrysler New Yorker 1986-1987 2.5L L4 153cid
Chrysler Phantom 1987 2.2L L4 135cid
Chrysler Town &amp; Country 1985 2.6L L4 156cid
Chrysler Town &amp; Country 1985-1987 2.2L L4 135cid
Chrysler Town &amp; Country 1986-1987 2.5L L4 153cid
Dodge 600 1985 2.6L L4 156cid
Dodge 600 1985-1987 2.2L L4 135cid
Dodge 600 1986-1987 2.5L L4 153cid
Dodge Aries 1985 2.6L L4 156cid
Dodge Aries 1985-1987 2.2L L4 135cid
Dodge Aries 1986-1987 2.5L L4 153cid
Dodge B150 1985-1987 3.7L L6 225cid
Dodge B150 1985-1987 5.2L V8 318cid
Dodge B250 1985-1987 3.7L L6 225cid
Dodge B250 1985-1987 5.2L V8 318cid
Dodge B250 1985-1987 5.9L V8 360cid
Dodge B350 1985-1987 5.2L V8 318cid
Dodge B350 1985-1987 5.9L V8 360cid
Dodge Caravan 1985-1987 2.2L L4 135cid
Dodge Caravan 1985-1987 2.6L L4 156cid
Dodge Caravan 1987 3L V6 181cid
Dodge Charger 1985-1986 1.6L L4 97cid
Dodge Charger 1985-1987 2.2L L4 135cid
Dodge D100 1986-1987 3.7L L6 225cid
Dodge D100 1986-1987 5.2L V8 318cid
Dodge D100 1986-1987 5.9L V8 360cid
Dodge D150 1985-1987 3.7L L6 225cid
Dodge D150 1985-1987 5.2L V8 318cid
Dodge D150 1985-1987 5.9L V8 360cid
Dodge D250 1985-1987 3.7L L6 225cid
Dodge D250 1985-1987 5.2L V8 318cid
Dodge D250 1985-1987 5.9L V8 360cid
Dodge D350 1985-1987 3.7L L6 225cid
Dodge D350 1985-1987 5.9L V8 360cid
Dodge Daytona 1985-1987 2.2L L4 135cid
Dodge Daytona 1986-1987 2.5L L4 153cid
Dodge Diplomat 1985-1987 5.2L V8 318cid
Dodge Mini Ram 1985-1987 2.2L L4 135cid
Dodge Mini Ram 1985-1987 2.6L L4 156cid
Dodge Mini Ram 1987 2.5L L4 153cid
Dodge Mini Ram 1987 3L V6 181cid
Dodge Omni 1985-1986 1.6L L4 97cid
Dodge Omni 1985-1987 2.2L L4 135cid
Dodge Ramcharger 1985-1987 5.2L V8 318cid
Dodge Ramcharger 1985-1987 5.9L V8 360cid
Dodge Ramcharger 1986 3.7L L6 225cid
Dodge W100 1985-1987 3.7L L6 225cid
Dodge W100 1985-1987 5.2L V8 318cid
Dodge W100 1985-1987 5.9L V8 360cid
Dodge W150 1985-1987 3.7L L6 225cid
Dodge W150 1985-1987 5.2L V8 318cid
Dodge W150 1985-1987 5.9L V8 360cid
Dodge W250 1985-1987 5.2L V8 318cid
Dodge W250 1985-1987 5.9L V8 360cid
Dodge W250 1986-1987 3.7L L6 225cid
Dodge W350 1985-1987 5.9L V8 360cid
Plymouth Caravelle 1985 2.6L L4 156cid
Plymouth Caravelle 1985-1987 2.2L L4 135cid
Plymouth Caravelle 1985-1987 5.2L V8 318cid
Plymouth Caravelle 1986-1987 2.5L L4 153cid
Plymouth Gran Fury 1985-1987 5.2L V8 318cid
Plymouth Horizon 1985-1986 1.6L L4 97cid
Plymouth Horizon 1985-1987 2.2L L4 135cid
Plymouth Reliant 1985 2.6L L4 156cid
Plymouth Reliant 1985-1987 2.2L L4 135cid
Plymouth Reliant 1986-1987 2.5L L4 153cid
Plymouth Turismo 1985-1986 1.6L L4 97cid
Plymouth Turismo 1985-1987 2.2L L4 135cid
Plymouth Turismo 2.2 1985-1986 2.2L L4 135cid
Plymouth Voyager 1985-1987 2.2L L4 135cid
Plymouth Voyager 1985-1987 2.6L L4 156cid
Plymouth Voyager 1987 2.5L L4 153cid
Plymouth Voyager 1987 3L V6 181cid</t>
        </is>
      </c>
      <c r="I334" t="inlineStr">
        <is>
          <t>{"0": {"productDeskExternalKey": "CPCX|40-383"}, "1": {"Package Contents": "Wiper Motor; Instruction Sheet"}, "2": {"E-Waste": "Yes"}, "3": {"Product Condition": "Remanufactured"}, "4": {"Mounting Hole Quantity": "3"}, "5": {"Terminal Type": "Blade"}, "6": {"Mounting Type": "Direct Bolt"}, "7": {"Weight PG": "3.5600"}, "8": {"Washer Pump Included": "No"}, "9": {"Part Type": "Windshield Wiper Motor"}, "10": {"Warranty Info": "1 Year/18,000 Mile"}, "11": {"Sustainable Choice": "Yes"}, "12": {"Lifecycle Status": "Available to Order"}, "13": {"ItemLevelGTIN": "00082617040860"}, "14": {"_addonCardone": "40-383::98384:115940:510"}, "15": {"Eligible for R&amp;R Service": "Yes"}}</t>
        </is>
      </c>
      <c r="J334" t="inlineStr">
        <is>
          <t>https://www.cardone.com/product/windshield-wiper-motor-40-383</t>
        </is>
      </c>
      <c r="K334">
        <f>DISPIMG("ID_763D5CC71B684B9EB1384269510F0BCE",1)</f>
        <v/>
      </c>
      <c r="L334" t="inlineStr">
        <is>
          <t>CPCX|40-383</t>
        </is>
      </c>
      <c r="M334" t="inlineStr">
        <is>
          <t>Wiper Motor; Instruction Sheet</t>
        </is>
      </c>
      <c r="N334" t="inlineStr">
        <is>
          <t>Yes</t>
        </is>
      </c>
      <c r="O334" t="inlineStr">
        <is>
          <t>Remanufactured</t>
        </is>
      </c>
      <c r="P334" t="inlineStr">
        <is>
          <t>3</t>
        </is>
      </c>
      <c r="Q334" t="inlineStr">
        <is>
          <t>Blade</t>
        </is>
      </c>
      <c r="R334" t="inlineStr">
        <is>
          <t>Direct Bolt</t>
        </is>
      </c>
      <c r="S334" t="inlineStr">
        <is>
          <t>3.5600</t>
        </is>
      </c>
      <c r="T334" t="inlineStr">
        <is>
          <t>No</t>
        </is>
      </c>
      <c r="U334" t="inlineStr">
        <is>
          <t>1 Year/18,000 Mile</t>
        </is>
      </c>
      <c r="V334" t="inlineStr">
        <is>
          <t>Yes</t>
        </is>
      </c>
      <c r="W334" t="inlineStr">
        <is>
          <t>Available to Order</t>
        </is>
      </c>
      <c r="X334" t="inlineStr"/>
      <c r="Y334" t="inlineStr">
        <is>
          <t>00082617040860</t>
        </is>
      </c>
      <c r="Z334" t="inlineStr">
        <is>
          <t>40-383::98384:115940:510</t>
        </is>
      </c>
      <c r="AA334" t="inlineStr">
        <is>
          <t>Yes</t>
        </is>
      </c>
      <c r="AB334" t="inlineStr"/>
      <c r="AC334" t="inlineStr"/>
    </row>
    <row r="335">
      <c r="A335" t="inlineStr">
        <is>
          <t>334</t>
        </is>
      </c>
      <c r="B335" t="inlineStr">
        <is>
          <t>Windshield Wiper Motor</t>
        </is>
      </c>
      <c r="C335" t="inlineStr">
        <is>
          <t>40-384</t>
        </is>
      </c>
      <c r="D335" t="inlineStr">
        <is>
          <t>Windshield Wiper Motor - 40-384</t>
        </is>
      </c>
      <c r="E335" t="inlineStr">
        <is>
          <t>CARDONE Reman</t>
        </is>
      </c>
      <c r="F335" t="inlineStr">
        <is>
          <t>4339450</t>
        </is>
      </c>
      <c r="G335" t="inlineStr">
        <is>
          <t>Chrysler LeBaron 1985-1987
Dodge Dakota 1987
Dodge Lancer 1985-1987
Dodge Shadow 1987
Plymouth Sundance 1987</t>
        </is>
      </c>
      <c r="H335" t="inlineStr">
        <is>
          <t>Chrysler LeBaron 1985-1987 2.2L L4 135cid
Chrysler LeBaron 1986-1987 2.5L L4 153cid
Dodge Dakota 1987 2.2L L4 135cid
Dodge Dakota 1987 3.9L V6 239cid
Dodge Lancer 1985-1987 2.2L L4 135cid
Dodge Lancer 1986-1987 2.5L L4 153cid
Dodge Shadow 1987 2.2L L4 135cid
Plymouth Sundance 1987 2.2L L4 135cid</t>
        </is>
      </c>
      <c r="I335" t="inlineStr">
        <is>
          <t>{"0": {"productDeskExternalKey": "CPCX|40-384"}, "1": {"Package Contents": "Wiper Motor; Instruction Sheet"}, "2": {"E-Waste": "Yes"}, "3": {"Product Condition": "Remanufactured"}, "4": {"Mounting Hole Quantity": "3"}, "5": {"Terminal Type": "Blade"}, "6": {"Mounting Type": "Direct Bolt"}, "7": {"Weight PG": "3.4900"}, "8": {"Washer Pump Included": "No"}, "9": {"Part Type": "Windshield Wiper Motor"}, "10": {"Warranty Info": "1 Year/18,000 Mile"}, "11": {"Sustainable Choice": "Yes"}, "12": {"Lifecycle Status": "Available to Order"}, "13": {"Application Summary": "Chrysler LeBaron 1987-85; Dodge Dakota 1987, Lancer 1987-85, Shadow 1987; Plymouth Sundance 1987"}, "14": {"ItemLevelGTIN": "00082617040877"}, "15": {"_addonCardone": "40-384::98384:116211:510"}, "16": {"Eligible for R&amp;R Service": "Yes"}}</t>
        </is>
      </c>
      <c r="J335" t="inlineStr">
        <is>
          <t>https://www.cardone.com/product/windshield-wiper-motor-40-384</t>
        </is>
      </c>
      <c r="K335">
        <f>DISPIMG("ID_00077BAD83F54C1D84A4574315ED82D2",1)</f>
        <v/>
      </c>
      <c r="L335" t="inlineStr">
        <is>
          <t>CPCX|40-384</t>
        </is>
      </c>
      <c r="M335" t="inlineStr">
        <is>
          <t>Wiper Motor; Instruction Sheet</t>
        </is>
      </c>
      <c r="N335" t="inlineStr">
        <is>
          <t>Yes</t>
        </is>
      </c>
      <c r="O335" t="inlineStr">
        <is>
          <t>Remanufactured</t>
        </is>
      </c>
      <c r="P335" t="inlineStr">
        <is>
          <t>3</t>
        </is>
      </c>
      <c r="Q335" t="inlineStr">
        <is>
          <t>Blade</t>
        </is>
      </c>
      <c r="R335" t="inlineStr">
        <is>
          <t>Direct Bolt</t>
        </is>
      </c>
      <c r="S335" t="inlineStr">
        <is>
          <t>3.4900</t>
        </is>
      </c>
      <c r="T335" t="inlineStr">
        <is>
          <t>No</t>
        </is>
      </c>
      <c r="U335" t="inlineStr">
        <is>
          <t>1 Year/18,000 Mile</t>
        </is>
      </c>
      <c r="V335" t="inlineStr">
        <is>
          <t>Yes</t>
        </is>
      </c>
      <c r="W335" t="inlineStr">
        <is>
          <t>Available to Order</t>
        </is>
      </c>
      <c r="X335" t="inlineStr">
        <is>
          <t>Chrysler LeBaron 1987-85; Dodge Dakota 1987, Lancer 1987-85, Shadow 1987; Plymouth Sundance 1987</t>
        </is>
      </c>
      <c r="Y335" t="inlineStr">
        <is>
          <t>00082617040877</t>
        </is>
      </c>
      <c r="Z335" t="inlineStr">
        <is>
          <t>40-384::98384:116211:510</t>
        </is>
      </c>
      <c r="AA335" t="inlineStr">
        <is>
          <t>Yes</t>
        </is>
      </c>
      <c r="AB335" t="inlineStr"/>
      <c r="AC335" t="inlineStr"/>
    </row>
    <row r="336">
      <c r="A336" t="inlineStr">
        <is>
          <t>335</t>
        </is>
      </c>
      <c r="B336" t="inlineStr">
        <is>
          <t>Windshield Wiper Motor</t>
        </is>
      </c>
      <c r="C336" t="inlineStr">
        <is>
          <t>40-385</t>
        </is>
      </c>
      <c r="D336" t="inlineStr">
        <is>
          <t>Windshield Wiper Motor - 40-385</t>
        </is>
      </c>
      <c r="E336" t="inlineStr">
        <is>
          <t>CARDONE Reman</t>
        </is>
      </c>
      <c r="F336" t="inlineStr">
        <is>
          <t>4467258;4334104</t>
        </is>
      </c>
      <c r="G336" t="inlineStr">
        <is>
          <t>Chrysler Daytona 1988-1989
Chrysler Fifth Avenue 1988-1989
Chrysler LeBaron 1988-1989
Chrysler New Yorker 1988
Chrysler TC Maserati 1989
Chrysler Town &amp; Country 1988
Dodge 600 1988
Dodge Aries 1988-1989
Dodge B150 1988-1989
Dodge B250 1988-1989
Dodge B350 1988-1989
Dodge Caravan 1988-1989
Dodge D100 1988-1989
Dodge D150 1988-1989
Dodge D250 1988-1989
Dodge D350 1988-1989
Dodge Daytona 1988-1989
Dodge Diplomat 1984-1989
Dodge Grand Caravan 1988-1989
Dodge Mini Ram 1988
Dodge Omni 1988-1989
Dodge Ramcharger 1988-1989
Dodge W100 1988-1989
Dodge W150 1988-1989
Dodge W250 1988-1989
Dodge W350 1988-1989
Plymouth Caravelle 1988-1989
Plymouth Gran Fury 1984-1989
Plymouth Grand Voyager 1988-1989
Plymouth Horizon 1988-1989
Plymouth Reliant 1988-1989
Plymouth Voyager 1988-1989</t>
        </is>
      </c>
      <c r="H336" t="inlineStr">
        <is>
          <t>Chrysler Daytona 1988-1989 2.2L L4 135cid
Chrysler Daytona 1988-1989 2.5L L4 153cid
Chrysler Fifth Avenue 1988-1989 5.2L V8 318cid
Chrysler LeBaron 1988-1989 2.2L L4 135cid
Chrysler LeBaron 1988-1989 2.5L L4 153cid
Chrysler New Yorker 1988 2.2L L4 135cid
Chrysler TC Maserati 1989 2.2L L4 135cid
Chrysler Town &amp; Country 1988 2.2L L4 135cid
Chrysler Town &amp; Country 1988 2.5L L4 153cid
Dodge 600 1988 2.2L L4 135cid
Dodge 600 1988 2.5L L4 153cid
Dodge Aries 1988-1989 2.2L L4 135cid
Dodge Aries 1988-1989 2.5L L4 153cid
Dodge B150 1988-1989 3.9L V6 239cid
Dodge B150 1988-1989 5.2L V8 318cid
Dodge B250 1988-1989 3.9L V6 239cid
Dodge B250 1988-1989 5.2L V8 318cid
Dodge B250 1988-1989 5.9L V8 360cid
Dodge B350 1988-1989 5.2L V8 318cid
Dodge B350 1988-1989 5.9L V8 360cid
Dodge Caravan 1988-1989 2.5L L4 153cid
Dodge Caravan 1988-1989 3L V6 181cid
Dodge D100 1988 5.9L V8 360cid
Dodge D100 1988-1989 3.9L V6 239cid
Dodge D100 1988-1989 5.2L V8 318cid
Dodge D150 1988-1989 3.7L L6 225cid
Dodge D150 1988-1989 3.9L V6 239cid
Dodge D150 1988-1989 5.2L V8 318cid
Dodge D150 1988-1989 5.9L V8 360cid
Dodge D250 1988-1989 3.9L V6 239cid
Dodge D250 1988-1989 5.2L V8 318cid
Dodge D250 1988-1989 5.9L V8 360cid
Dodge D250 1989 5.9L L6 359cid
Dodge D350 1988-1989 5.9L V8 360cid
Dodge D350 1989 5.9L L6 359cid
Dodge Daytona 1988-1989 2.2L L4 135cid
Dodge Daytona 1988-1989 2.5L L4 153cid
Dodge Diplomat 1984-1989 5.2L V8 318cid
Dodge Grand Caravan 1988-1989 2.5L L4 153cid
Dodge Grand Caravan 1988-1989 3L V6 181cid
Dodge Mini Ram 1988 2.2L L4 135cid
Dodge Mini Ram 1988 2.5L L4 153cid
Dodge Mini Ram 1988 2.6L L4 156cid
Dodge Mini Ram 1988 3L V6 181cid
Dodge Omni 1988-1989 2.2L L4 135cid
Dodge Ramcharger 1988-1989 5.2L V8 318cid
Dodge Ramcharger 1988-1989 5.9L V8 360cid
Dodge W100 1988 5.9L V8 360cid
Dodge W100 1988-1989 5.2L V8 318cid
Dodge W100 1989 3.9L V6 239cid
Dodge W150 1988-1989 5.2L V8 318cid
Dodge W150 1988-1989 5.9L V8 360cid
Dodge W150 1989 3.9L V6 239cid
Dodge W250 1988-1989 5.2L V8 318cid
Dodge W250 1988-1989 5.9L V8 360cid
Dodge W250 1989 5.9L L6 359cid
Dodge W350 1988-1989 5.9L V8 360cid
Dodge W350 1989 5.9L L6 359cid
Plymouth Caravelle 1988 2.2L L4 135cid
Plymouth Caravelle 1988 2.5L L4 153cid
Plymouth Caravelle 1988-1989 5.2L V8 318cid
Plymouth Gran Fury 1984-1989 5.2L V8 318cid
Plymouth Grand Voyager 1988 2.5L L4 153cid
Plymouth Grand Voyager 1988-1989 3L V6 181cid
Plymouth Horizon 1988-1989 2.2L L4 135cid
Plymouth Reliant 1988-1989 2.2L L4 135cid
Plymouth Reliant 1988-1989 2.5L L4 153cid
Plymouth Voyager 1988-1989 2.5L L4 153cid
Plymouth Voyager 1988-1989 3L V6 181cid</t>
        </is>
      </c>
      <c r="I336" t="inlineStr">
        <is>
          <t>{"0": {"productDeskExternalKey": "CPCX|40-385"}, "1": {"Package Contents": "Wiper Motor; Instruction Sheet"}, "2": {"E-Waste": "Yes"}, "3": {"Product Condition": "Remanufactured"}, "4": {"Mounting Hole Quantity": "3"}, "5": {"Terminal Type": "Blade"}, "6": {"Mounting Type": "Direct Bolt"}, "7": {"Weight PG": "3.5600"}, "8": {"Washer Pump Included": "No"}, "9": {"Part Type": "Windshield Wiper Motor"}, "10": {"Warranty Info": "1 Year/18,000 Mile"}, "11": {"Sustainable Choice": "Yes"}, "12": {"Lifecycle Status": "Available to Order"}, "13": {"ItemLevelGTIN": "00082617125932"}, "14": {"_addonCardone": "40-385::98384:116223:510"}, "15": {"Eligible for R&amp;R Service": "Yes"}}</t>
        </is>
      </c>
      <c r="J336" t="inlineStr">
        <is>
          <t>https://www.cardone.com/product/windshield-wiper-motor-40-385</t>
        </is>
      </c>
      <c r="K336">
        <f>DISPIMG("ID_44024D1785D742499BCF9FB0E1D66A1A",1)</f>
        <v/>
      </c>
      <c r="L336" t="inlineStr">
        <is>
          <t>CPCX|40-385</t>
        </is>
      </c>
      <c r="M336" t="inlineStr">
        <is>
          <t>Wiper Motor; Instruction Sheet</t>
        </is>
      </c>
      <c r="N336" t="inlineStr">
        <is>
          <t>Yes</t>
        </is>
      </c>
      <c r="O336" t="inlineStr">
        <is>
          <t>Remanufactured</t>
        </is>
      </c>
      <c r="P336" t="inlineStr">
        <is>
          <t>3</t>
        </is>
      </c>
      <c r="Q336" t="inlineStr">
        <is>
          <t>Blade</t>
        </is>
      </c>
      <c r="R336" t="inlineStr">
        <is>
          <t>Direct Bolt</t>
        </is>
      </c>
      <c r="S336" t="inlineStr">
        <is>
          <t>3.5600</t>
        </is>
      </c>
      <c r="T336" t="inlineStr">
        <is>
          <t>No</t>
        </is>
      </c>
      <c r="U336" t="inlineStr">
        <is>
          <t>1 Year/18,000 Mile</t>
        </is>
      </c>
      <c r="V336" t="inlineStr">
        <is>
          <t>Yes</t>
        </is>
      </c>
      <c r="W336" t="inlineStr">
        <is>
          <t>Available to Order</t>
        </is>
      </c>
      <c r="X336" t="inlineStr"/>
      <c r="Y336" t="inlineStr">
        <is>
          <t>00082617125932</t>
        </is>
      </c>
      <c r="Z336" t="inlineStr">
        <is>
          <t>40-385::98384:116223:510</t>
        </is>
      </c>
      <c r="AA336" t="inlineStr">
        <is>
          <t>Yes</t>
        </is>
      </c>
      <c r="AB336" t="inlineStr"/>
      <c r="AC336" t="inlineStr"/>
    </row>
    <row r="337">
      <c r="A337" t="inlineStr">
        <is>
          <t>336</t>
        </is>
      </c>
      <c r="B337" t="inlineStr">
        <is>
          <t>Windshield Wiper Motor</t>
        </is>
      </c>
      <c r="C337" t="inlineStr">
        <is>
          <t>40-386</t>
        </is>
      </c>
      <c r="D337" t="inlineStr">
        <is>
          <t>Windshield Wiper Motor - 40-386</t>
        </is>
      </c>
      <c r="E337" t="inlineStr">
        <is>
          <t>CARDONE Reman</t>
        </is>
      </c>
      <c r="F337" t="inlineStr">
        <is>
          <t>4467259</t>
        </is>
      </c>
      <c r="G337" t="inlineStr">
        <is>
          <t>Chrysler Dynasty 1988-1989
Chrysler LeBaron 1988-1989
Chrysler New Yorker 1988-1989
Chrysler Shadow 1989
Dodge Dakota 1988-1989
Dodge Dynasty 1988-1989
Dodge Lancer 1988-1989
Dodge Shadow 1988-1989
Plymouth Sundance 1988-1989</t>
        </is>
      </c>
      <c r="H337" t="inlineStr">
        <is>
          <t>Chrysler Dynasty 1988-1989 2.5L L4 153cid
Chrysler Dynasty 1988-1989 3L V6 181cid
Chrysler LeBaron 1988-1989 2.2L L4 135cid
Chrysler LeBaron 1988-1989 2.5L L4 153cid
Chrysler New Yorker 1988-1989 3L V6 181cid
Chrysler Shadow 1989 2.2L L4 135cid
Chrysler Shadow 1989 2.5L L4 153cid
Dodge Dakota 1988 2.2L L4 135cid
Dodge Dakota 1988-1989 3.9L V6 239cid
Dodge Dakota 1989 2.5L L4 153cid
Dodge Dakota 1989 5.2L V8 318cid
Dodge Dynasty 1988-1989 2.5L L4 153cid
Dodge Dynasty 1988-1989 3L V6 181cid
Dodge Lancer 1988-1989 2.2L L4 135cid
Dodge Lancer 1988-1989 2.5L L4 153cid
Dodge Shadow 1988-1989 2.2L L4 135cid
Dodge Shadow 1988-1989 2.5L L4 153cid
Plymouth Sundance 1988-1989 2.2L L4 135cid
Plymouth Sundance 1988-1989 2.5L L4 153cid</t>
        </is>
      </c>
      <c r="I337" t="inlineStr">
        <is>
          <t>{"0": {"productDeskExternalKey": "CPCX|40-386"}, "1": {"Package Contents": "Wiper Motor; Instruction Sheet"}, "2": {"E-Waste": "Yes"}, "3": {"Product Condition": "Remanufactured"}, "4": {"Mounting Hole Quantity": "3"}, "5": {"Terminal Type": "Blade"}, "6": {"Mounting Type": "Direct Bolt"}, "7": {"Weight PG": "3.5200"}, "8": {"Washer Pump Included": "No"}, "9": {"Part Type": "Windshield Wiper Motor"}, "10": {"Warranty Info": "1 Year/18,000 Mile"}, "11": {"Sustainable Choice": "Yes"}, "12": {"Lifecycle Status": "Available to Order"}, "13": {"Application Summary": "Chrysler Dynasty 1989-88, LeBaron 1989-88, New Yorker 1989-88, Shadow 1989; Dodge Dakota 1989-88, Dynasty 1989-88, Lancer 1989-88, Shadow 1989-88; Plymouth Sundance 1989-88"}, "14": {"ItemLevelGTIN": "00082617125949"}, "15": {"_addonCardone": "40-386::98384:116236:510"}, "16": {"Eligible for R&amp;R Service": "Yes"}}</t>
        </is>
      </c>
      <c r="J337" t="inlineStr">
        <is>
          <t>https://www.cardone.com/product/windshield-wiper-motor-40-386</t>
        </is>
      </c>
      <c r="K337">
        <f>DISPIMG("ID_406BDAB33EB542BF8B695096DC16099D",1)</f>
        <v/>
      </c>
      <c r="L337" t="inlineStr">
        <is>
          <t>CPCX|40-386</t>
        </is>
      </c>
      <c r="M337" t="inlineStr">
        <is>
          <t>Wiper Motor; Instruction Sheet</t>
        </is>
      </c>
      <c r="N337" t="inlineStr">
        <is>
          <t>Yes</t>
        </is>
      </c>
      <c r="O337" t="inlineStr">
        <is>
          <t>Remanufactured</t>
        </is>
      </c>
      <c r="P337" t="inlineStr">
        <is>
          <t>3</t>
        </is>
      </c>
      <c r="Q337" t="inlineStr">
        <is>
          <t>Blade</t>
        </is>
      </c>
      <c r="R337" t="inlineStr">
        <is>
          <t>Direct Bolt</t>
        </is>
      </c>
      <c r="S337" t="inlineStr">
        <is>
          <t>3.5200</t>
        </is>
      </c>
      <c r="T337" t="inlineStr">
        <is>
          <t>No</t>
        </is>
      </c>
      <c r="U337" t="inlineStr">
        <is>
          <t>1 Year/18,000 Mile</t>
        </is>
      </c>
      <c r="V337" t="inlineStr">
        <is>
          <t>Yes</t>
        </is>
      </c>
      <c r="W337" t="inlineStr">
        <is>
          <t>Available to Order</t>
        </is>
      </c>
      <c r="X337" t="inlineStr">
        <is>
          <t>Chrysler Dynasty 1989-88, LeBaron 1989-88, New Yorker 1989-88, Shadow 1989; Dodge Dakota 1989-88, Dynasty 1989-88, Lancer 1989-88, Shadow 1989-88; Plymouth Sundance 1989-88</t>
        </is>
      </c>
      <c r="Y337" t="inlineStr">
        <is>
          <t>00082617125949</t>
        </is>
      </c>
      <c r="Z337" t="inlineStr">
        <is>
          <t>40-386::98384:116236:510</t>
        </is>
      </c>
      <c r="AA337" t="inlineStr">
        <is>
          <t>Yes</t>
        </is>
      </c>
      <c r="AB337" t="inlineStr"/>
      <c r="AC337" t="inlineStr"/>
    </row>
    <row r="338">
      <c r="A338" t="inlineStr">
        <is>
          <t>337</t>
        </is>
      </c>
      <c r="B338" t="inlineStr">
        <is>
          <t>Windshield Wiper Motor</t>
        </is>
      </c>
      <c r="C338" t="inlineStr">
        <is>
          <t>40-387</t>
        </is>
      </c>
      <c r="D338" t="inlineStr">
        <is>
          <t>Windshield Wiper Motor - 40-387</t>
        </is>
      </c>
      <c r="E338" t="inlineStr">
        <is>
          <t>CARDONE Reman</t>
        </is>
      </c>
      <c r="F338" t="inlineStr">
        <is>
          <t>55155043;4584260;4389131</t>
        </is>
      </c>
      <c r="G338" t="inlineStr">
        <is>
          <t>Chrysler Dynasty 1989-1993
Chrysler Imperial 1990-1993
Chrysler LeBaron 1989-1994
Chrysler New Yorker 1989-1993
Chrysler Shadow 1989-1994
Chrysler Spirit 1990-1995
Dodge Dakota 1989-1996
Dodge Dynasty 1989-1993
Dodge Lancer 1989
Dodge Monaco 1991-1992
Dodge Ram 1500 1994-1996
Dodge Ram 2500 1994-1996
Dodge Ram 3500 1994-1996
Dodge Shadow 1989-1994
Dodge Spirit 1989-1995
Eagle Premier 1991-1992
Plymouth Acclaim 1989-1995
Plymouth Sundance 1989-1994</t>
        </is>
      </c>
      <c r="H338" t="inlineStr">
        <is>
          <t>Chrysler Dynasty 1989-1990 3L V6 181cid
Chrysler Dynasty 1989-1993 2.5L L4 153cid
Chrysler Dynasty 1990-1993 3.3L V6 201cid
Chrysler Imperial 1990-1991 3.3L V6 201cid
Chrysler Imperial 1991-1993 3.8L V6 231cid
Chrysler LeBaron 1989 2.2L L4 135cid
Chrysler LeBaron 1989-1994 2.5L L4 153cid
Chrysler LeBaron 1990-1994 3L V6 181cid
Chrysler New Yorker 1989-1993 3L V6 181cid
Chrysler New Yorker 1990-1993 2.5L L4 153cid
Chrysler New Yorker 1990-1993 3.3L V6 201cid
Chrysler New Yorker 1991-1993 3.8L V6 231cid
Chrysler Shadow 1989-1990 2.2L L4 135cid
Chrysler Shadow 1989-1994 2.5L L4 153cid
Chrysler Spirit 1990-1995 2.5L L4 153cid
Dodge Dakota 1989-1996 2.5L L4 153cid
Dodge Dakota 1989-1996 3.9L V6 239cid
Dodge Dakota 1989-1996 5.2L V8 318cid
Dodge Dynasty 1989-1993 2.5L L4 153cid
Dodge Dynasty 1989-1993 3L V6 181cid
Dodge Dynasty 1990-1993 3.3L V6 201cid
Dodge Lancer 1989 2.2L L4 135cid
Dodge Lancer 1989 2.5L L4 153cid
Dodge Monaco 1991-1992 3L V6 182cid
Dodge Ram 1500 1994-1996 3.9L V6 239cid
Dodge Ram 1500 1994-1996 5.2L V8 318cid
Dodge Ram 1500 1994-1996 5.9L V8 360cid
Dodge Ram 2500 1994-1996 5.2L V8 318cid
Dodge Ram 2500 1994-1996 5.9L L6 359cid
Dodge Ram 2500 1994-1996 5.9L V8 360cid
Dodge Ram 2500 1994-1996 8L V10 488cid
Dodge Ram 3500 1994-1996 5.9L L6 359cid
Dodge Ram 3500 1994-1996 5.9L V8 360cid
Dodge Ram 3500 1994-1996 8L V10 488cid
Dodge Shadow 1989-1994 2.2L L4 135cid
Dodge Shadow 1989-1994 2.5L L4 153cid
Dodge Shadow 1992-1994 3L V6 181cid
Dodge Spirit 1989-1995 2.5L L4 153cid
Dodge Spirit 1989-1995 3L V6 181cid
Dodge Spirit 1991-1992 2.2L L4 135cid
Eagle Premier 1991-1992 3L V6 182cid
Plymouth Acclaim 1989-1995 2.5L L4 153cid
Plymouth Acclaim 1989-1995 3L V6 181cid
Plymouth Sundance 1989-1994 2.2L L4 135cid
Plymouth Sundance 1989-1994 2.5L L4 153cid
Plymouth Sundance 1992-1994 3L V6 181cid</t>
        </is>
      </c>
      <c r="I338" t="inlineStr">
        <is>
          <t>{"0": {"productDeskExternalKey": "CPCX|40-387"}, "1": {"Package Contents": "Wiper Motor; Instruction Sheet"}, "2": {"E-Waste": "Yes"}, "3": {"Product Condition": "Remanufactured"}, "4": {"Mounting Hole Quantity": "3"}, "5": {"Terminal Type": "Blade"}, "6": {"Mounting Type": "Direct Bolt"}, "7": {"Weight PG": "2.9800"}, "8": {"Washer Pump Included": "No"}, "9": {"Part Type": "Windshield Wiper Motor"}, "10": {"Warranty Info": "1 Year/18,000 Mile"}, "11": {"Sustainable Choice": "Yes"}, "12": {"Lifecycle Status": "Available to Order"}, "13": {"ItemLevelGTIN": "00082617152099"}, "14": {"_addonCardone": "40-387::98384:116247:510"}, "15": {"Eligible for R&amp;R Service": "Yes"}}</t>
        </is>
      </c>
      <c r="J338" t="inlineStr">
        <is>
          <t>https://www.cardone.com/product/windshield-wiper-motor-40-387</t>
        </is>
      </c>
      <c r="K338">
        <f>DISPIMG("ID_5A94FFB6F10A4A5C99EA014E77815CA5",1)</f>
        <v/>
      </c>
      <c r="L338" t="inlineStr">
        <is>
          <t>CPCX|40-387</t>
        </is>
      </c>
      <c r="M338" t="inlineStr">
        <is>
          <t>Wiper Motor; Instruction Sheet</t>
        </is>
      </c>
      <c r="N338" t="inlineStr">
        <is>
          <t>Yes</t>
        </is>
      </c>
      <c r="O338" t="inlineStr">
        <is>
          <t>Remanufactured</t>
        </is>
      </c>
      <c r="P338" t="inlineStr">
        <is>
          <t>3</t>
        </is>
      </c>
      <c r="Q338" t="inlineStr">
        <is>
          <t>Blade</t>
        </is>
      </c>
      <c r="R338" t="inlineStr">
        <is>
          <t>Direct Bolt</t>
        </is>
      </c>
      <c r="S338" t="inlineStr">
        <is>
          <t>2.9800</t>
        </is>
      </c>
      <c r="T338" t="inlineStr">
        <is>
          <t>No</t>
        </is>
      </c>
      <c r="U338" t="inlineStr">
        <is>
          <t>1 Year/18,000 Mile</t>
        </is>
      </c>
      <c r="V338" t="inlineStr">
        <is>
          <t>Yes</t>
        </is>
      </c>
      <c r="W338" t="inlineStr">
        <is>
          <t>Available to Order</t>
        </is>
      </c>
      <c r="X338" t="inlineStr"/>
      <c r="Y338" t="inlineStr">
        <is>
          <t>00082617152099</t>
        </is>
      </c>
      <c r="Z338" t="inlineStr">
        <is>
          <t>40-387::98384:116247:510</t>
        </is>
      </c>
      <c r="AA338" t="inlineStr">
        <is>
          <t>Yes</t>
        </is>
      </c>
      <c r="AB338" t="inlineStr"/>
      <c r="AC338" t="inlineStr"/>
    </row>
    <row r="339">
      <c r="A339" t="inlineStr">
        <is>
          <t>338</t>
        </is>
      </c>
      <c r="B339" t="inlineStr">
        <is>
          <t>Windshield Wiper Motor</t>
        </is>
      </c>
      <c r="C339" t="inlineStr">
        <is>
          <t>40-388</t>
        </is>
      </c>
      <c r="D339" t="inlineStr">
        <is>
          <t>Windshield Wiper Motor - 40-388</t>
        </is>
      </c>
      <c r="E339" t="inlineStr">
        <is>
          <t>CARDONE Reman</t>
        </is>
      </c>
      <c r="F339" t="inlineStr">
        <is>
          <t>4389132</t>
        </is>
      </c>
      <c r="G339" t="inlineStr">
        <is>
          <t>Chrysler Daytona 1989-1993
Chrysler Fifth Avenue 1989
Chrysler LeBaron 1989-1995
Chrysler TC Maserati 1989-1991
Chrysler Town &amp; Country 1990-1995
Chrysler Voyager 1994-1995
Dodge Aries 1989
Dodge B150 1989-1994
Dodge B1500 1995-1997
Dodge B250 1989-1994
Dodge B2500 1995-1997
Dodge B350 1989-1994
Dodge B3500 1995-1997
Dodge Caravan 1989-1995
Dodge D100 1989
Dodge D150 1989-1993
Dodge D250 1989-1993
Dodge D350 1989-1993
Dodge Daytona 1989-1993
Dodge Diplomat 1989
Dodge Grand Caravan 1989-1995
Dodge Omni 1989-1990
Dodge Ram 1500 Van 1995-1997
Dodge Ram 2500 Van 1996-1997
Dodge Ram 3500 Van 1996-1997
Dodge Ramcharger 1989-1993
Dodge W100 1989
Dodge W150 1989-1993
Dodge W250 1989-1993
Dodge W350 1989-1993
Plymouth Caravelle 1989
Plymouth Gran Fury 1989
Plymouth Grand Voyager 1989-1995
Plymouth Horizon 1989-1990
Plymouth Reliant 1989
Plymouth Voyager 1989-1995</t>
        </is>
      </c>
      <c r="H339" t="inlineStr">
        <is>
          <t>Chrysler Daytona 1989-1993 2.2L L4 135cid
Chrysler Daytona 1989-1993 2.5L L4 153cid
Chrysler Daytona 1990-1993 3L V6 181cid
Chrysler Fifth Avenue 1989 5.2L V8 318cid
Chrysler LeBaron 1989-1990 2.2L L4 135cid
Chrysler LeBaron 1989-1993 2.5L L4 153cid
Chrysler LeBaron 1990-1995 3L V6 181cid
Chrysler TC Maserati 1989-1990 2.2L L4 135cid
Chrysler TC Maserati 1990-1991 3L V6 181cid
Chrysler Town &amp; Country 1990 3L V6 181cid
Chrysler Town &amp; Country 1990-1993 3.3L V6 201cid
Chrysler Town &amp; Country 1994-1995 3.8L V6 231cid
Chrysler Voyager 1994-1995 3.3L V6 201cid
Dodge Aries 1989 2.2L L4 135cid
Dodge Aries 1989 2.5L L4 153cid
Dodge B150 1989-1994 3.9L V6 239cid
Dodge B150 1989-1994 5.2L V8 318cid
Dodge B1500 1995-1997 3.9L V6 239cid
Dodge B1500 1995-1997 5.2L V8 318cid
Dodge B250 1989-1994 3.9L V6 239cid
Dodge B250 1989-1994 5.2L V8 318cid
Dodge B250 1989-1994 5.9L V8 360cid
Dodge B2500 1995-1997 3.9L V6 239cid
Dodge B2500 1995-1997 5.2L V8 318cid
Dodge B2500 1995-1997 5.9L V8 360cid
Dodge B350 1989-1994 5.2L V8 318cid
Dodge B350 1989-1994 5.9L V8 360cid
Dodge B3500 1995-1997 5.2L V8 318cid
Dodge B3500 1995-1997 5.9L V8 360cid
Dodge Caravan 1989-1995 2.5L L4 153cid
Dodge Caravan 1989-1995 3L V6 181cid
Dodge Caravan 1990-1995 3.3L V6 201cid
Dodge Caravan 1993-1995
Dodge D100 1989 3.9L V6 239cid
Dodge D100 1989 5.2L V8 318cid
Dodge D150 1989-1990 3.7L L6 225cid
Dodge D150 1989-1993 3.9L V6 239cid
Dodge D150 1989-1993 5.2L V8 318cid
Dodge D150 1989-1993 5.9L V8 360cid
Dodge D250 1989-1993 3.9L V6 239cid
Dodge D250 1989-1993 5.2L V8 318cid
Dodge D250 1989-1993 5.9L L6 359cid
Dodge D250 1989-1993 5.9L V8 360cid
Dodge D350 1989-1993 5.9L L6 359cid
Dodge D350 1989-1993 5.9L V8 360cid
Dodge Daytona 1989-1993 2.2L L4 135cid
Dodge Daytona 1989-1993 2.5L L4 153cid
Dodge Daytona 1990-1993 3L V6 181cid
Dodge Diplomat 1989 5.2L V8 318cid
Dodge Grand Caravan 1989 2.5L L4 153cid
Dodge Grand Caravan 1989-1995 3L V6 181cid
Dodge Grand Caravan 1990-1995 3.3L V6 201cid
Dodge Grand Caravan 1994-1995 3.8L V6 231cid
Dodge Omni 1989-1990 2.2L L4 135cid
Dodge Ram 1500 Van 1995-1996 5.2L V8 318cid
Dodge Ram 1500 Van 1997 3.9L V6 239cid
Dodge Ram 2500 Van 1996-1997 5.2L V8 318cid
Dodge Ram 3500 Van 1996 5.2L V8 318cid
Dodge Ram 3500 Van 1997 5.9L V8 360cid
Dodge Ramcharger 1989-1993 5.2L V8 318cid
Dodge Ramcharger 1989-1993 5.9L V8 360cid
Dodge W100 1989 3.9L V6 239cid
Dodge W100 1989 5.2L V8 318cid
Dodge W150 1989-1993 3.9L V6 239cid
Dodge W150 1989-1993 5.2L V8 318cid
Dodge W150 1989-1993 5.9L V8 360cid
Dodge W250 1989-1993 5.2L V8 318cid
Dodge W250 1989-1993 5.9L L6 359cid
Dodge W250 1989-1993 5.9L V8 360cid
Dodge W350 1989-1993 5.9L L6 359cid
Dodge W350 1989-1993 5.9L V8 360cid
Plymouth Caravelle 1989 5.2L V8 318cid
Plymouth Gran Fury 1989 5.2L V8 318cid
Plymouth Grand Voyager 1989-1995 3L V6 181cid
Plymouth Grand Voyager 1990-1995 3.3L V6 201cid
Plymouth Grand Voyager 1994-1995 3.8L V6 231cid
Plymouth Horizon 1989-1990 2.2L L4 135cid
Plymouth Reliant 1989 2.2L L4 135cid
Plymouth Reliant 1989 2.5L L4 153cid
Plymouth Voyager 1989-1995 2.5L L4 153cid
Plymouth Voyager 1989-1995 3L V6 181cid
Plymouth Voyager 1991-1995 3.3L V6 201cid
Plymouth Voyager 1994-1995</t>
        </is>
      </c>
      <c r="I339" t="inlineStr">
        <is>
          <t>{"0": {"productDeskExternalKey": "CPCX|40-388"}, "1": {"Package Contents": "Wiper Motor; Instruction Sheet"}, "2": {"E-Waste": "Yes"}, "3": {"Product Condition": "Remanufactured"}, "4": {"Mounting Hole Quantity": "3"}, "5": {"Terminal Type": "Blade"}, "6": {"Mounting Type": "Direct Bolt"}, "7": {"Weight PG": "3.0800"}, "8": {"Washer Pump Included": "No"}, "9": {"Part Type": "Windshield Wiper Motor"}, "10": {"Warranty Info": "1 Year/18,000 Mile"}, "11": {"Sustainable Choice": "Yes"}, "12": {"Lifecycle Status": "Available to Order"}, "13": {"ItemLevelGTIN": "00082617152105"}, "14": {"_addonCardone": "40-388::98384:116261:510"}, "15": {"Eligible for R&amp;R Service": "Yes"}}</t>
        </is>
      </c>
      <c r="J339" t="inlineStr">
        <is>
          <t>https://www.cardone.com/product/windshield-wiper-motor-40-388</t>
        </is>
      </c>
      <c r="K339">
        <f>DISPIMG("ID_97E35A7DCA2B422883693254E4FED334",1)</f>
        <v/>
      </c>
      <c r="L339" t="inlineStr">
        <is>
          <t>CPCX|40-388</t>
        </is>
      </c>
      <c r="M339" t="inlineStr">
        <is>
          <t>Wiper Motor; Instruction Sheet</t>
        </is>
      </c>
      <c r="N339" t="inlineStr">
        <is>
          <t>Yes</t>
        </is>
      </c>
      <c r="O339" t="inlineStr">
        <is>
          <t>Remanufactured</t>
        </is>
      </c>
      <c r="P339" t="inlineStr">
        <is>
          <t>3</t>
        </is>
      </c>
      <c r="Q339" t="inlineStr">
        <is>
          <t>Blade</t>
        </is>
      </c>
      <c r="R339" t="inlineStr">
        <is>
          <t>Direct Bolt</t>
        </is>
      </c>
      <c r="S339" t="inlineStr">
        <is>
          <t>3.0800</t>
        </is>
      </c>
      <c r="T339" t="inlineStr">
        <is>
          <t>No</t>
        </is>
      </c>
      <c r="U339" t="inlineStr">
        <is>
          <t>1 Year/18,000 Mile</t>
        </is>
      </c>
      <c r="V339" t="inlineStr">
        <is>
          <t>Yes</t>
        </is>
      </c>
      <c r="W339" t="inlineStr">
        <is>
          <t>Available to Order</t>
        </is>
      </c>
      <c r="X339" t="inlineStr"/>
      <c r="Y339" t="inlineStr">
        <is>
          <t>00082617152105</t>
        </is>
      </c>
      <c r="Z339" t="inlineStr">
        <is>
          <t>40-388::98384:116261:510</t>
        </is>
      </c>
      <c r="AA339" t="inlineStr">
        <is>
          <t>Yes</t>
        </is>
      </c>
      <c r="AB339" t="inlineStr"/>
      <c r="AC339" t="inlineStr"/>
    </row>
    <row r="340">
      <c r="A340" t="inlineStr">
        <is>
          <t>339</t>
        </is>
      </c>
      <c r="B340" t="inlineStr">
        <is>
          <t>Windshield Wiper Motor</t>
        </is>
      </c>
      <c r="C340" t="inlineStr">
        <is>
          <t>40-389</t>
        </is>
      </c>
      <c r="D340" t="inlineStr">
        <is>
          <t>Windshield Wiper Motor - 40-389</t>
        </is>
      </c>
      <c r="E340" t="inlineStr">
        <is>
          <t>CARDONE Reman</t>
        </is>
      </c>
      <c r="F340" t="inlineStr">
        <is>
          <t>4636138;4389451</t>
        </is>
      </c>
      <c r="G340" t="inlineStr">
        <is>
          <t>Chrysler Town &amp; Country 1991-1995
Chrysler Voyager 1994-1995
Dodge Caravan 1991-1995
Dodge Grand Caravan 1991-1995
Plymouth Grand Voyager 1991-1995
Plymouth Voyager 1991-1995</t>
        </is>
      </c>
      <c r="H340" t="inlineStr">
        <is>
          <t>Chrysler Town &amp; Country 1991-1993 3.3L V6 201cid
Chrysler Town &amp; Country 1994-1995 3.8L V6 231cid
Chrysler Voyager 1994-1995 3.3L V6 201cid
Dodge Caravan 1991-1995 2.5L L4 153cid
Dodge Caravan 1991-1995 3.3L V6 201cid
Dodge Caravan 1991-1995 3L V6 181cid
Dodge Caravan 1993-1995
Dodge Grand Caravan 1991-1995 3.3L V6 201cid
Dodge Grand Caravan 1992-1995 3L V6 181cid
Dodge Grand Caravan 1994-1995 3.8L V6 231cid
Plymouth Grand Voyager 1991-1995 3.3L V6 201cid
Plymouth Grand Voyager 1992-1995 3L V6 181cid
Plymouth Grand Voyager 1994-1995 3.8L V6 231cid
Plymouth Voyager 1991-1995 2.5L L4 153cid
Plymouth Voyager 1991-1995 3.3L V6 201cid
Plymouth Voyager 1991-1995 3L V6 181cid
Plymouth Voyager 1994-1995</t>
        </is>
      </c>
      <c r="I340" t="inlineStr">
        <is>
          <t>{"0": {"productDeskExternalKey": "CPCX|40-389"}, "1": {"Package Contents": "Wiper Motor; Instruction Sheet"}, "2": {"E-Waste": "Yes"}, "3": {"Product Condition": "Remanufactured"}, "4": {"Mounting Hole Quantity": "3"}, "5": {"Terminal Type": "Blade"}, "6": {"Mounting Type": "Direct Bolt"}, "7": {"Weight PG": "3.7400"}, "8": {"Washer Pump Included": "No"}, "9": {"Part Type": "Windshield Wiper Motor"}, "10": {"Warranty Info": "1 Year/18,000 Mile"}, "11": {"Sustainable Choice": "Yes"}, "12": {"Lifecycle Status": "Available to Order"}, "13": {"Application Summary": "Chrysler Town &amp; Country 1995-91, Voyager 1995-94; Dodge Caravan 1995-91, Grand Caravan 1995-91; Plymouth Grand Voyager 1995-91, Voyager 1995-91"}, "14": {"ItemLevelGTIN": "00082617176446"}, "15": {"_addonCardone": "40-389::98384:116272:510"}, "16": {"Eligible for R&amp;R Service": "Yes"}}</t>
        </is>
      </c>
      <c r="J340" t="inlineStr">
        <is>
          <t>https://www.cardone.com/product/windshield-wiper-motor-40-389</t>
        </is>
      </c>
      <c r="K340">
        <f>DISPIMG("ID_EE368BD80C814ADBBA177BE22695B621",1)</f>
        <v/>
      </c>
      <c r="L340" t="inlineStr">
        <is>
          <t>CPCX|40-389</t>
        </is>
      </c>
      <c r="M340" t="inlineStr">
        <is>
          <t>Wiper Motor; Instruction Sheet</t>
        </is>
      </c>
      <c r="N340" t="inlineStr">
        <is>
          <t>Yes</t>
        </is>
      </c>
      <c r="O340" t="inlineStr">
        <is>
          <t>Remanufactured</t>
        </is>
      </c>
      <c r="P340" t="inlineStr">
        <is>
          <t>3</t>
        </is>
      </c>
      <c r="Q340" t="inlineStr">
        <is>
          <t>Blade</t>
        </is>
      </c>
      <c r="R340" t="inlineStr">
        <is>
          <t>Direct Bolt</t>
        </is>
      </c>
      <c r="S340" t="inlineStr">
        <is>
          <t>3.7400</t>
        </is>
      </c>
      <c r="T340" t="inlineStr">
        <is>
          <t>No</t>
        </is>
      </c>
      <c r="U340" t="inlineStr">
        <is>
          <t>1 Year/18,000 Mile</t>
        </is>
      </c>
      <c r="V340" t="inlineStr">
        <is>
          <t>Yes</t>
        </is>
      </c>
      <c r="W340" t="inlineStr">
        <is>
          <t>Available to Order</t>
        </is>
      </c>
      <c r="X340" t="inlineStr">
        <is>
          <t>Chrysler Town &amp; Country 1995-91, Voyager 1995-94; Dodge Caravan 1995-91, Grand Caravan 1995-91; Plymouth Grand Voyager 1995-91, Voyager 1995-91</t>
        </is>
      </c>
      <c r="Y340" t="inlineStr">
        <is>
          <t>00082617176446</t>
        </is>
      </c>
      <c r="Z340" t="inlineStr">
        <is>
          <t>40-389::98384:116272:510</t>
        </is>
      </c>
      <c r="AA340" t="inlineStr">
        <is>
          <t>Yes</t>
        </is>
      </c>
      <c r="AB340" t="inlineStr"/>
      <c r="AC340" t="inlineStr"/>
    </row>
    <row r="341">
      <c r="A341" t="inlineStr">
        <is>
          <t>340</t>
        </is>
      </c>
      <c r="B341" t="inlineStr">
        <is>
          <t>Windshield Wiper Motor</t>
        </is>
      </c>
      <c r="C341" t="inlineStr">
        <is>
          <t>40-394</t>
        </is>
      </c>
      <c r="D341" t="inlineStr">
        <is>
          <t>Windshield Wiper Motor - 40-394</t>
        </is>
      </c>
      <c r="E341" t="inlineStr">
        <is>
          <t>CARDONE Reman</t>
        </is>
      </c>
      <c r="F341" t="inlineStr">
        <is>
          <t>4205956</t>
        </is>
      </c>
      <c r="G341" t="inlineStr">
        <is>
          <t>Chrysler Cordoba 1979-1983
Chrysler Imperial 1981-1983
Chrysler LeBaron 1979
Chrysler New Yorker 1979-1981
Chrysler Newport 1979-1981
Chrysler Town &amp; Country 1979
Dodge Aspen 1979
Dodge B100 1979-1980
Dodge B150 1981-1984
Dodge B200 1979-1980
Dodge B250 1981-1984
Dodge B300 1979-1980
Dodge B350 1981-1984
Dodge D100 1979
Dodge D150 1979-1984
Dodge D200 1979-1980
Dodge D250 1981-1984
Dodge D300 1979-1980
Dodge D350 1981-1984
Dodge D400 1979-1981
Dodge D450 1979-1981
Dodge Diplomat 1979
Dodge Magnum 1979
Dodge Mirada 1980-1983
Dodge Ramcharger 1981-1984
Dodge St. Regis 1979-1981
Dodge W100 1984
Dodge W150 1979-1984
Dodge W200 1979-1980
Dodge W250 1981-1984
Dodge W300 1979-1980
Dodge W350 1981-1984
Plymouth Caravelle 1980-1981
Plymouth Gran Fury 1980-1981
Plymouth Trailduster 1979-1981
Plymouth Volare 1979</t>
        </is>
      </c>
      <c r="H341" t="inlineStr">
        <is>
          <t>Chrysler Cordoba 1979-1982 5.9L V8 360cid
Chrysler Cordoba 1979-1983 5.2L V8 318cid
Chrysler Cordoba 1980-1983 3.7L L6 225cid
Chrysler Imperial 1981-1983 5.2L V8 318cid
Chrysler LeBaron 1979 3.7L L6 225cid
Chrysler LeBaron 1979 5.2L V8 318cid
Chrysler LeBaron 1979 5.9L V8 360cid
Chrysler New Yorker 1979-1980 5.9L V8 360cid
Chrysler New Yorker 1979-1981 5.2L V8 318cid
Chrysler Newport 1979-1980 5.9L V8 360cid
Chrysler Newport 1979-1981 3.7L L6 225cid
Chrysler Newport 1979-1981 5.2L V8 318cid
Chrysler Town &amp; Country 1979 3.7L L6 225cid
Chrysler Town &amp; Country 1979 5.2L V8 318cid
Chrysler Town &amp; Country 1979 5.9L V8 360cid
Dodge Aspen 1979 3.7L L6 225cid
Dodge Aspen 1979 5.2L V8 318cid
Dodge Aspen 1979 5.9L V8 360cid
Dodge B100 1979-1980 3.7L L6 225cid
Dodge B100 1979-1980 5.2L V8 318cid
Dodge B150 1981-1984 3.7L L6 225cid
Dodge B150 1981-1984 5.2L V8 318cid
Dodge B200 1979-1980 3.7L L6 225cid
Dodge B200 1979-1980 5.2L V8 318cid
Dodge B200 1979-1980 5.9L V8 360cid
Dodge B250 1981-1984 3.7L L6 225cid
Dodge B250 1981-1984 5.2L V8 318cid
Dodge B250 1981-1984 5.9L V8 360cid
Dodge B300 1979-1980 3.7L L6 225cid
Dodge B300 1979-1980 5.2L V8 318cid
Dodge B300 1979-1980 5.9L V8 360cid
Dodge B350 1981-1984 5.2L V8 318cid
Dodge B350 1981-1984 5.9L V8 360cid
Dodge D100 1979 3.7L L6 225cid
Dodge D100 1979 4L L6 243cid
Dodge D100 1979 5.2L V8 318cid
Dodge D100 1979 5.9L V8 360cid
Dodge D150 1979-1980 4L L6 243cid
Dodge D150 1979-1984 3.7L L6 225cid
Dodge D150 1979-1984 5.2L V8 318cid
Dodge D150 1979-1984 5.9L V8 360cid
Dodge D200 1979-1980 3.7L L6 225cid
Dodge D200 1979-1980 5.2L V8 318cid
Dodge D200 1979-1980 5.9L V8 360cid
Dodge D200 1980 4L L6 243cid
Dodge D250 1981-1984 3.7L L6 225cid
Dodge D250 1981-1984 5.2L V8 318cid
Dodge D250 1981-1984 5.9L V8 360cid
Dodge D300 1979-1980 3.7L L6 225cid
Dodge D300 1979-1980 5.2L V8 318cid
Dodge D300 1979-1980 5.9L V8 360cid
Dodge D350 1981-1983 5.2L V8 318cid
Dodge D350 1981-1984 3.7L L6 225cid
Dodge D350 1981-1984 5.9L V8 360cid
Dodge D400 1979-1981 5.9L V8 360cid
Dodge D450 1979-1981 5.9L V8 360cid
Dodge Diplomat 1979 3.7L L6 225cid
Dodge Diplomat 1979 5.2L V8 318cid
Dodge Diplomat 1979 5.9L V8 360cid
Dodge Magnum 1979 5.2L V8 318cid
Dodge Magnum 1979 5.9L V8 360cid
Dodge Mirada 1980 5.9L V8 360cid
Dodge Mirada 1980-1983 3.7L L6 225cid
Dodge Mirada 1980-1983 5.2L V8 318cid
Dodge Ramcharger 1981-1984 5.2L V8 318cid
Dodge Ramcharger 1981-1984 5.9L V8 360cid
Dodge St. Regis 1979-1980 5.9L V8 360cid
Dodge St. Regis 1979-1981 3.7L L6 225cid
Dodge St. Regis 1979-1981 5.2L V8 318cid
Dodge W100 1984 3.7L L6 225cid
Dodge W100 1984 5.2L V8 318cid
Dodge W100 1984 5.9L V8 360cid
Dodge W150 1979 4L L6 243cid
Dodge W150 1979-1984 3.7L L6 225cid
Dodge W150 1979-1984 5.2L V8 318cid
Dodge W150 1979-1984 5.9L V8 360cid
Dodge W200 1979 4L L6 243cid
Dodge W200 1979-1980 3.7L L6 225cid
Dodge W200 1979-1980 5.2L V8 318cid
Dodge W200 1979-1980 5.9L V8 360cid
Dodge W250 1981-1984 5.2L V8 318cid
Dodge W250 1981-1984 5.9L V8 360cid
Dodge W300 1979-1980 5.9L V8 360cid
Dodge W300 1980 5.2L V8 318cid
Dodge W350 1981-1984 5.9L V8 360cid
Dodge W350 1982-1983 5.2L V8 318cid
Plymouth Caravelle 1980-1981 3.7L L6 225cid
Plymouth Caravelle 1980-1981 5.2L V8 318cid
Plymouth Gran Fury 1980 5.9L V8 360cid
Plymouth Gran Fury 1980-1981 3.7L L6 225cid
Plymouth Gran Fury 1980-1981 5.2L V8 318cid
Plymouth Trailduster 1979-1980 3.7L L6 225cid
Plymouth Trailduster 1979-1981 5.2L V8 318cid
Plymouth Trailduster 1979-1981 5.9L V8 360cid
Plymouth Volare 1979 3.7L L6 225cid
Plymouth Volare 1979 5.2L V8 318cid
Plymouth Volare 1979 5.9L V8 360cid</t>
        </is>
      </c>
      <c r="I341" t="inlineStr">
        <is>
          <t>{"0": {"productDeskExternalKey": "CPCX|40-394"}, "1": {"Package Contents": "Wiper Motor; Instruction Sheet"}, "2": {"E-Waste": "Yes"}, "3": {"Product Condition": "Remanufactured"}, "4": {"Mounting Hole Quantity": "3"}, "5": {"Terminal Type": "Blade"}, "6": {"Mounting Type": "Eyelet; Grommet"}, "7": {"Weight PG": "4.2900"}, "8": {"Washer Pump Included": "No"}, "9": {"Part Type": "Windshield Wiper Motor"}, "10": {"Warranty Info": "1 Year/18,000 Mile"}, "11": {"Sustainable Choice": "Yes"}, "12": {"Lifecycle Status": "Available to Order"}, "13": {"ItemLevelGTIN": "00082617040907"}, "14": {"_addonCardone": "40-394::98384:116284:510"}, "15": {"Eligible for R&amp;R Service": "Yes"}}</t>
        </is>
      </c>
      <c r="J341" t="inlineStr">
        <is>
          <t>https://www.cardone.com/product/windshield-wiper-motor-40-394</t>
        </is>
      </c>
      <c r="K341">
        <f>DISPIMG("ID_D72A739F961E4563993BDDC1AA812610",1)</f>
        <v/>
      </c>
      <c r="L341" t="inlineStr">
        <is>
          <t>CPCX|40-394</t>
        </is>
      </c>
      <c r="M341" t="inlineStr">
        <is>
          <t>Wiper Motor; Instruction Sheet</t>
        </is>
      </c>
      <c r="N341" t="inlineStr">
        <is>
          <t>Yes</t>
        </is>
      </c>
      <c r="O341" t="inlineStr">
        <is>
          <t>Remanufactured</t>
        </is>
      </c>
      <c r="P341" t="inlineStr">
        <is>
          <t>3</t>
        </is>
      </c>
      <c r="Q341" t="inlineStr">
        <is>
          <t>Blade</t>
        </is>
      </c>
      <c r="R341" t="inlineStr">
        <is>
          <t>Eyelet; Grommet</t>
        </is>
      </c>
      <c r="S341" t="inlineStr">
        <is>
          <t>4.2900</t>
        </is>
      </c>
      <c r="T341" t="inlineStr">
        <is>
          <t>No</t>
        </is>
      </c>
      <c r="U341" t="inlineStr">
        <is>
          <t>1 Year/18,000 Mile</t>
        </is>
      </c>
      <c r="V341" t="inlineStr">
        <is>
          <t>Yes</t>
        </is>
      </c>
      <c r="W341" t="inlineStr">
        <is>
          <t>Available to Order</t>
        </is>
      </c>
      <c r="X341" t="inlineStr"/>
      <c r="Y341" t="inlineStr">
        <is>
          <t>00082617040907</t>
        </is>
      </c>
      <c r="Z341" t="inlineStr">
        <is>
          <t>40-394::98384:116284:510</t>
        </is>
      </c>
      <c r="AA341" t="inlineStr">
        <is>
          <t>Yes</t>
        </is>
      </c>
      <c r="AB341" t="inlineStr"/>
      <c r="AC341" t="inlineStr"/>
    </row>
    <row r="342">
      <c r="A342" t="inlineStr">
        <is>
          <t>341</t>
        </is>
      </c>
      <c r="B342" t="inlineStr">
        <is>
          <t>Windshield Wiper Motor</t>
        </is>
      </c>
      <c r="C342" t="inlineStr">
        <is>
          <t>40-395</t>
        </is>
      </c>
      <c r="D342" t="inlineStr">
        <is>
          <t>Windshield Wiper Motor - 40-395</t>
        </is>
      </c>
      <c r="E342" t="inlineStr">
        <is>
          <t>CARDONE Reman</t>
        </is>
      </c>
      <c r="F342" t="inlineStr">
        <is>
          <t>4240492</t>
        </is>
      </c>
      <c r="G342" t="inlineStr">
        <is>
          <t>Dodge Charger 1983-1987
Dodge Omni 1978-1990
Dodge Rampage 1982-1984
Plymouth Horizon 1978-1990
Plymouth TC3 1980-1982
Plymouth Turismo 1983-1987
Plymouth Turismo 2.2 1983-1986</t>
        </is>
      </c>
      <c r="H342" t="inlineStr">
        <is>
          <t>Dodge Charger 1983 1.7L L4 105cid
Dodge Charger 1983-1986 1.6L L4 97cid
Dodge Charger 1983-1987 2.2L L4 135cid
Dodge Omni 1978-1983 1.7L L4 105cid
Dodge Omni 1981-1990 2.2L L4 135cid
Dodge Omni 1983-1986 1.6L L4 97cid
Dodge Rampage 1982-1984 2.2L L4 135cid
Plymouth Horizon 1978-1983 1.7L L4 105cid
Plymouth Horizon 1981-1990 2.2L L4 135cid
Plymouth Horizon 1983 1.6L L4 98cid
Plymouth Horizon 1983-1986 1.6L L4 97cid
Plymouth TC3 1980-1982 1.7L L4 105cid
Plymouth TC3 1981-1982 2.2L L4 135cid
Plymouth Turismo 1983 1.6L L4 98cid
Plymouth Turismo 1983 1.7L L4 105cid
Plymouth Turismo 1983-1986 1.6L L4 97cid
Plymouth Turismo 1983-1987 2.2L L4 135cid
Plymouth Turismo 2.2 1983-1986 2.2L L4 135cid</t>
        </is>
      </c>
      <c r="I342" t="inlineStr">
        <is>
          <t>{"0": {"productDeskExternalKey": "CPCX|40-395"}, "1": {"Package Contents": "Wiper Motor; Instruction Sheet"}, "2": {"E-Waste": "Yes"}, "3": {"Product Condition": "Remanufactured"}, "4": {"Mounting Hole Quantity": "2"}, "5": {"Terminal Type": "Blade"}, "6": {"Mounting Type": "Direct Bolt"}, "7": {"Weight PG": "3.5000"}, "8": {"Washer Pump Included": "No"}, "9": {"Part Type": "Windshield Wiper Motor"}, "10": {"Warranty Info": "1 Year/18,000 Mile"}, "11": {"Sustainable Choice": "Yes"}, "12": {"Lifecycle Status": "Available to Order"}, "13": {"Application Summary": "Dodge Charger 1987-83, Omni 1990-78, Rampage 1984-82; Plymouth Horizon 1990-78, TC3 1982-80, Turismo 1987-83, Turismo 2.2 1986-83"}, "14": {"ItemLevelGTIN": "00082617057233"}, "15": {"_addonCardone": "40-395::98384:116295:510"}, "16": {"Eligible for R&amp;R Service": "Yes"}}</t>
        </is>
      </c>
      <c r="J342" t="inlineStr">
        <is>
          <t>https://www.cardone.com/product/windshield-wiper-motor-40-395</t>
        </is>
      </c>
      <c r="K342">
        <f>DISPIMG("ID_5310BF76AA1C40C597BBED525BAB17FC",1)</f>
        <v/>
      </c>
      <c r="L342" t="inlineStr">
        <is>
          <t>CPCX|40-395</t>
        </is>
      </c>
      <c r="M342" t="inlineStr">
        <is>
          <t>Wiper Motor; Instruction Sheet</t>
        </is>
      </c>
      <c r="N342" t="inlineStr">
        <is>
          <t>Yes</t>
        </is>
      </c>
      <c r="O342" t="inlineStr">
        <is>
          <t>Remanufactured</t>
        </is>
      </c>
      <c r="P342" t="inlineStr">
        <is>
          <t>2</t>
        </is>
      </c>
      <c r="Q342" t="inlineStr">
        <is>
          <t>Blade</t>
        </is>
      </c>
      <c r="R342" t="inlineStr">
        <is>
          <t>Direct Bolt</t>
        </is>
      </c>
      <c r="S342" t="inlineStr">
        <is>
          <t>3.5000</t>
        </is>
      </c>
      <c r="T342" t="inlineStr">
        <is>
          <t>No</t>
        </is>
      </c>
      <c r="U342" t="inlineStr">
        <is>
          <t>1 Year/18,000 Mile</t>
        </is>
      </c>
      <c r="V342" t="inlineStr">
        <is>
          <t>Yes</t>
        </is>
      </c>
      <c r="W342" t="inlineStr">
        <is>
          <t>Available to Order</t>
        </is>
      </c>
      <c r="X342" t="inlineStr">
        <is>
          <t>Dodge Charger 1987-83, Omni 1990-78, Rampage 1984-82; Plymouth Horizon 1990-78, TC3 1982-80, Turismo 1987-83, Turismo 2.2 1986-83</t>
        </is>
      </c>
      <c r="Y342" t="inlineStr">
        <is>
          <t>00082617057233</t>
        </is>
      </c>
      <c r="Z342" t="inlineStr">
        <is>
          <t>40-395::98384:116295:510</t>
        </is>
      </c>
      <c r="AA342" t="inlineStr">
        <is>
          <t>Yes</t>
        </is>
      </c>
      <c r="AB342" t="inlineStr"/>
      <c r="AC342" t="inlineStr"/>
    </row>
    <row r="343">
      <c r="A343" t="inlineStr">
        <is>
          <t>342</t>
        </is>
      </c>
      <c r="B343" t="inlineStr">
        <is>
          <t>Windshield Wiper Motor</t>
        </is>
      </c>
      <c r="C343" t="inlineStr">
        <is>
          <t>40-396</t>
        </is>
      </c>
      <c r="D343" t="inlineStr">
        <is>
          <t>Windshield Wiper Motor - 40-396</t>
        </is>
      </c>
      <c r="E343" t="inlineStr">
        <is>
          <t>CARDONE Reman</t>
        </is>
      </c>
      <c r="F343" t="inlineStr">
        <is>
          <t>4270773</t>
        </is>
      </c>
      <c r="G343" t="inlineStr">
        <is>
          <t>Chrysler LeBaron 1985-1989
Dodge Lancer 1985-1989</t>
        </is>
      </c>
      <c r="H343" t="inlineStr">
        <is>
          <t>Chrysler LeBaron 1985-1989 2.2L L4 135cid
Chrysler LeBaron 1986-1989 2.5L L4 153cid
Dodge Lancer 1985-1989 2.2L L4 135cid
Dodge Lancer 1986-1989 2.5L L4 153cid</t>
        </is>
      </c>
      <c r="I343" t="inlineStr">
        <is>
          <t>{"0": {"productDeskExternalKey": "CPCX|40-396"}, "1": {"Package Contents": "Wiper Motor; Instruction Sheet"}, "2": {"E-Waste": "Yes"}, "3": {"Product Condition": "Remanufactured"}, "4": {"Mounting Hole Quantity": "2"}, "5": {"Terminal Type": "Blade"}, "6": {"Mounting Type": "Direct Bolt"}, "7": {"Weight PG": "2.3500"}, "8": {"Washer Pump Included": "No"}, "9": {"Part Type": "Windshield Wiper Motor"}, "10": {"Warranty Info": "1 Year/18,000 Mile"}, "11": {"Sustainable Choice": "Yes"}, "12": {"Lifecycle Status": "Available to Order"}, "13": {"Application Summary": "Chrysler LeBaron 1989-85; Dodge Lancer 1989-85"}, "14": {"ItemLevelGTIN": "00082617076296"}, "15": {"_addonCardone": "40-396::98384:116310:510"}, "16": {"Eligible for R&amp;R Service": "Yes"}}</t>
        </is>
      </c>
      <c r="J343" t="inlineStr">
        <is>
          <t>https://www.cardone.com/product/windshield-wiper-motor-40-396</t>
        </is>
      </c>
      <c r="K343">
        <f>DISPIMG("ID_4A0E71AFEB91455991EADD739BED30CB",1)</f>
        <v/>
      </c>
      <c r="L343" t="inlineStr">
        <is>
          <t>CPCX|40-396</t>
        </is>
      </c>
      <c r="M343" t="inlineStr">
        <is>
          <t>Wiper Motor; Instruction Sheet</t>
        </is>
      </c>
      <c r="N343" t="inlineStr">
        <is>
          <t>Yes</t>
        </is>
      </c>
      <c r="O343" t="inlineStr">
        <is>
          <t>Remanufactured</t>
        </is>
      </c>
      <c r="P343" t="inlineStr">
        <is>
          <t>2</t>
        </is>
      </c>
      <c r="Q343" t="inlineStr">
        <is>
          <t>Blade</t>
        </is>
      </c>
      <c r="R343" t="inlineStr">
        <is>
          <t>Direct Bolt</t>
        </is>
      </c>
      <c r="S343" t="inlineStr">
        <is>
          <t>2.3500</t>
        </is>
      </c>
      <c r="T343" t="inlineStr">
        <is>
          <t>No</t>
        </is>
      </c>
      <c r="U343" t="inlineStr">
        <is>
          <t>1 Year/18,000 Mile</t>
        </is>
      </c>
      <c r="V343" t="inlineStr">
        <is>
          <t>Yes</t>
        </is>
      </c>
      <c r="W343" t="inlineStr">
        <is>
          <t>Available to Order</t>
        </is>
      </c>
      <c r="X343" t="inlineStr">
        <is>
          <t>Chrysler LeBaron 1989-85; Dodge Lancer 1989-85</t>
        </is>
      </c>
      <c r="Y343" t="inlineStr">
        <is>
          <t>00082617076296</t>
        </is>
      </c>
      <c r="Z343" t="inlineStr">
        <is>
          <t>40-396::98384:116310:510</t>
        </is>
      </c>
      <c r="AA343" t="inlineStr">
        <is>
          <t>Yes</t>
        </is>
      </c>
      <c r="AB343" t="inlineStr"/>
      <c r="AC343" t="inlineStr"/>
    </row>
    <row r="344">
      <c r="A344" t="inlineStr">
        <is>
          <t>343</t>
        </is>
      </c>
      <c r="B344" t="inlineStr">
        <is>
          <t>Windshield Wiper Motor</t>
        </is>
      </c>
      <c r="C344" t="inlineStr">
        <is>
          <t>40-397</t>
        </is>
      </c>
      <c r="D344" t="inlineStr">
        <is>
          <t>Windshield Wiper Motor - 40-397</t>
        </is>
      </c>
      <c r="E344" t="inlineStr">
        <is>
          <t>CARDONE Reman</t>
        </is>
      </c>
      <c r="F344" t="inlineStr">
        <is>
          <t>4270437;3799837</t>
        </is>
      </c>
      <c r="G344" t="inlineStr">
        <is>
          <t>Chrysler Daytona 1984-1993
Chrysler Laser 1984-1986
Chrysler Town &amp; Country 1990
Dodge Caravan 1984-1990
Dodge Daytona 1984-1993
Dodge Grand Caravan 1988-1990
Dodge Mini Ram 1984-1988
Plymouth Grand Voyager 1988-1990
Plymouth Voyager 1984-1990</t>
        </is>
      </c>
      <c r="H344" t="inlineStr">
        <is>
          <t>Chrysler Daytona 1984-1993 2.2L L4 135cid
Chrysler Daytona 1987-1993 2.5L L4 153cid
Chrysler Daytona 1990-1993 3L V6 181cid
Chrysler Laser 1984-1986 2.2L L4 135cid
Chrysler Laser 1986 2.5L L4 153cid
Chrysler Town &amp; Country 1990 3.3L V6 201cid
Chrysler Town &amp; Country 1990 3L V6 181cid
Dodge Caravan 1984-1987 2.2L L4 135cid
Dodge Caravan 1984-1987 2.6L L4 156cid
Dodge Caravan 1987-1990 3L V6 181cid
Dodge Caravan 1988-1990 2.5L L4 153cid
Dodge Caravan 1990 3.3L V6 201cid
Dodge Daytona 1984-1993 2.2L L4 135cid
Dodge Daytona 1986-1993 2.5L L4 153cid
Dodge Daytona 1990-1993 3L V6 181cid
Dodge Grand Caravan 1988-1989 2.5L L4 153cid
Dodge Grand Caravan 1988-1989 3L V6 181cid
Dodge Grand Caravan 1990 3.3L V6 201cid
Dodge Mini Ram 1984-1988 2.2L L4 135cid
Dodge Mini Ram 1984-1988 2.6L L4 156cid
Dodge Mini Ram 1987-1988 2.5L L4 153cid
Dodge Mini Ram 1987-1988 3L V6 181cid
Plymouth Grand Voyager 1988 2.5L L4 153cid
Plymouth Grand Voyager 1988-1989 3L V6 181cid
Plymouth Grand Voyager 1990 3.3L V6 201cid
Plymouth Voyager 1984-1987 2.2L L4 135cid
Plymouth Voyager 1984-1987 2.6L L4 156cid
Plymouth Voyager 1987-1990 2.5L L4 153cid
Plymouth Voyager 1987-1990 3L V6 181cid</t>
        </is>
      </c>
      <c r="I344" t="inlineStr">
        <is>
          <t>{"0": {"productDeskExternalKey": "CPCX|40-397"}, "1": {"Package Contents": "Wiper Motor; Instruction Sheet"}, "2": {"E-Waste": "Yes"}, "3": {"Product Condition": "Remanufactured"}, "4": {"Mounting Hole Quantity": "3"}, "5": {"Terminal Type": "Blade"}, "6": {"Mounting Type": "Direct Bolt"}, "7": {"Weight PG": "2.7800"}, "8": {"Washer Pump Included": "No"}, "9": {"Part Type": "Windshield Wiper Motor"}, "10": {"Warranty Info": "1 Year/18,000 Mile"}, "11": {"Sustainable Choice": "Yes"}, "12": {"Lifecycle Status": "Available to Order"}, "13": {"Application Summary": "Chrysler Daytona 1993-84, Laser 1986-84, Town &amp; Country 1990; Dodge Caravan 1990-84, Daytona 1993-84, Grand Caravan 1990-88, Mini Ram 1988-84; Plymouth Grand Voyager 1990-88, Voyager 1990-84"}, "14": {"ItemLevelGTIN": "00082617076302"}, "15": {"_addonCardone": "40-397::98384:116320:510"}, "16": {"Eligible for R&amp;R Service": "Yes"}}</t>
        </is>
      </c>
      <c r="J344" t="inlineStr">
        <is>
          <t>https://www.cardone.com/product/windshield-wiper-motor-40-397</t>
        </is>
      </c>
      <c r="K344">
        <f>DISPIMG("ID_725CEF2DFDE34DBB88FA90823765DB7D",1)</f>
        <v/>
      </c>
      <c r="L344" t="inlineStr">
        <is>
          <t>CPCX|40-397</t>
        </is>
      </c>
      <c r="M344" t="inlineStr">
        <is>
          <t>Wiper Motor; Instruction Sheet</t>
        </is>
      </c>
      <c r="N344" t="inlineStr">
        <is>
          <t>Yes</t>
        </is>
      </c>
      <c r="O344" t="inlineStr">
        <is>
          <t>Remanufactured</t>
        </is>
      </c>
      <c r="P344" t="inlineStr">
        <is>
          <t>3</t>
        </is>
      </c>
      <c r="Q344" t="inlineStr">
        <is>
          <t>Blade</t>
        </is>
      </c>
      <c r="R344" t="inlineStr">
        <is>
          <t>Direct Bolt</t>
        </is>
      </c>
      <c r="S344" t="inlineStr">
        <is>
          <t>2.7800</t>
        </is>
      </c>
      <c r="T344" t="inlineStr">
        <is>
          <t>No</t>
        </is>
      </c>
      <c r="U344" t="inlineStr">
        <is>
          <t>1 Year/18,000 Mile</t>
        </is>
      </c>
      <c r="V344" t="inlineStr">
        <is>
          <t>Yes</t>
        </is>
      </c>
      <c r="W344" t="inlineStr">
        <is>
          <t>Available to Order</t>
        </is>
      </c>
      <c r="X344" t="inlineStr">
        <is>
          <t>Chrysler Daytona 1993-84, Laser 1986-84, Town &amp; Country 1990; Dodge Caravan 1990-84, Daytona 1993-84, Grand Caravan 1990-88, Mini Ram 1988-84; Plymouth Grand Voyager 1990-88, Voyager 1990-84</t>
        </is>
      </c>
      <c r="Y344" t="inlineStr">
        <is>
          <t>00082617076302</t>
        </is>
      </c>
      <c r="Z344" t="inlineStr">
        <is>
          <t>40-397::98384:116320:510</t>
        </is>
      </c>
      <c r="AA344" t="inlineStr">
        <is>
          <t>Yes</t>
        </is>
      </c>
      <c r="AB344" t="inlineStr"/>
      <c r="AC344" t="inlineStr"/>
    </row>
    <row r="345">
      <c r="A345" t="inlineStr">
        <is>
          <t>344</t>
        </is>
      </c>
      <c r="B345" t="inlineStr">
        <is>
          <t>Windshield Wiper Motor</t>
        </is>
      </c>
      <c r="C345" t="inlineStr">
        <is>
          <t>40-398</t>
        </is>
      </c>
      <c r="D345" t="inlineStr">
        <is>
          <t>Windshield Wiper Motor - 40-398</t>
        </is>
      </c>
      <c r="E345" t="inlineStr">
        <is>
          <t>CARDONE Reman</t>
        </is>
      </c>
      <c r="F345" t="inlineStr">
        <is>
          <t>4240484</t>
        </is>
      </c>
      <c r="G345" t="inlineStr">
        <is>
          <t>Chrysler LeBaron 1983-1988
Chrysler Phantom 1987
Chrysler Town &amp; Country 1983-1988
Dodge 400 1983
Dodge 600 1983-1988
Dodge Aries 1983-1988
Plymouth Reliant 1983-1988</t>
        </is>
      </c>
      <c r="H345" t="inlineStr">
        <is>
          <t>Chrysler LeBaron 1983-1985 2.6L L4 156cid
Chrysler LeBaron 1983-1988 2.2L L4 135cid
Chrysler LeBaron 1986-1988 2.5L L4 153cid
Chrysler Phantom 1987 2.2L L4 135cid
Chrysler Town &amp; Country 1983-1985 2.6L L4 156cid
Chrysler Town &amp; Country 1983-1988 2.2L L4 135cid
Chrysler Town &amp; Country 1986-1988 2.5L L4 153cid
Dodge 400 1983 2.2L L4 135cid
Dodge 400 1983 2.6L L4 156cid
Dodge 600 1983-1985 2.6L L4 156cid
Dodge 600 1983-1988 2.2L L4 135cid
Dodge 600 1986-1988 2.5L L4 153cid
Dodge Aries 1983-1985 2.6L L4 156cid
Dodge Aries 1983-1988 2.2L L4 135cid
Dodge Aries 1986-1988 2.5L L4 153cid
Plymouth Reliant 1983-1985 2.6L L4 156cid
Plymouth Reliant 1983-1988 2.2L L4 135cid
Plymouth Reliant 1986-1988 2.5L L4 153cid</t>
        </is>
      </c>
      <c r="I345" t="inlineStr">
        <is>
          <t>{"0": {"productDeskExternalKey": "CPCX|40-398"}, "1": {"Package Contents": "Wiper Motor; Instruction Sheet"}, "2": {"E-Waste": "Yes"}, "3": {"Product Condition": "Remanufactured"}, "4": {"Mounting Hole Quantity": "4"}, "5": {"Terminal Type": "Blade"}, "6": {"Mounting Type": "Eyelet"}, "7": {"Weight PG": "3.2100"}, "8": {"Washer Pump Included": "No"}, "9": {"Part Type": "Windshield Wiper Motor"}, "10": {"Warranty Info": "1 Year/18,000 Mile"}, "11": {"Sustainable Choice": "Yes"}, "12": {"Lifecycle Status": "Available to Order"}, "13": {"Application Summary": "Chrysler LeBaron 1988-83, Phantom 1987, Town &amp; Country 1988-83; Dodge 400 1983, 600 1988-83, Aries 1988-83; Plymouth Reliant 1988-83"}, "14": {"ItemLevelGTIN": "00082617076319"}, "15": {"_addonCardone": "40-398::98384:116332:510"}, "16": {"Eligible for R&amp;R Service": "Yes"}}</t>
        </is>
      </c>
      <c r="J345" t="inlineStr">
        <is>
          <t>https://www.cardone.com/product/windshield-wiper-motor-40-398</t>
        </is>
      </c>
      <c r="K345">
        <f>DISPIMG("ID_5D2746502FFC498380FBF6586B37727F",1)</f>
        <v/>
      </c>
      <c r="L345" t="inlineStr">
        <is>
          <t>CPCX|40-398</t>
        </is>
      </c>
      <c r="M345" t="inlineStr">
        <is>
          <t>Wiper Motor; Instruction Sheet</t>
        </is>
      </c>
      <c r="N345" t="inlineStr">
        <is>
          <t>Yes</t>
        </is>
      </c>
      <c r="O345" t="inlineStr">
        <is>
          <t>Remanufactured</t>
        </is>
      </c>
      <c r="P345" t="inlineStr">
        <is>
          <t>4</t>
        </is>
      </c>
      <c r="Q345" t="inlineStr">
        <is>
          <t>Blade</t>
        </is>
      </c>
      <c r="R345" t="inlineStr">
        <is>
          <t>Eyelet</t>
        </is>
      </c>
      <c r="S345" t="inlineStr">
        <is>
          <t>3.2100</t>
        </is>
      </c>
      <c r="T345" t="inlineStr">
        <is>
          <t>No</t>
        </is>
      </c>
      <c r="U345" t="inlineStr">
        <is>
          <t>1 Year/18,000 Mile</t>
        </is>
      </c>
      <c r="V345" t="inlineStr">
        <is>
          <t>Yes</t>
        </is>
      </c>
      <c r="W345" t="inlineStr">
        <is>
          <t>Available to Order</t>
        </is>
      </c>
      <c r="X345" t="inlineStr">
        <is>
          <t>Chrysler LeBaron 1988-83, Phantom 1987, Town &amp; Country 1988-83; Dodge 400 1983, 600 1988-83, Aries 1988-83; Plymouth Reliant 1988-83</t>
        </is>
      </c>
      <c r="Y345" t="inlineStr">
        <is>
          <t>00082617076319</t>
        </is>
      </c>
      <c r="Z345" t="inlineStr">
        <is>
          <t>40-398::98384:116332:510</t>
        </is>
      </c>
      <c r="AA345" t="inlineStr">
        <is>
          <t>Yes</t>
        </is>
      </c>
      <c r="AB345" t="inlineStr"/>
      <c r="AC345" t="inlineStr"/>
    </row>
    <row r="346">
      <c r="A346" t="inlineStr">
        <is>
          <t>345</t>
        </is>
      </c>
      <c r="B346" t="inlineStr">
        <is>
          <t>Windshield Wiper Motor</t>
        </is>
      </c>
      <c r="C346" t="inlineStr">
        <is>
          <t>40-4000</t>
        </is>
      </c>
      <c r="D346" t="inlineStr">
        <is>
          <t>Windshield Wiper Motor - 40-4000</t>
        </is>
      </c>
      <c r="E346" t="inlineStr">
        <is>
          <t>CARDONE Reman</t>
        </is>
      </c>
      <c r="F346" t="inlineStr">
        <is>
          <t>55079213AB</t>
        </is>
      </c>
      <c r="G346" t="inlineStr">
        <is>
          <t>Jeep Grand Cherokee 2011-2013</t>
        </is>
      </c>
      <c r="H346" t="inlineStr">
        <is>
          <t>Jeep Grand Cherokee 2011-2013 3.6L V6 220cid
Jeep Grand Cherokee 2011-2013 5.7L V8 345cid
Jeep Grand Cherokee 2012-2013 6.4L V8 392cid</t>
        </is>
      </c>
      <c r="I346" t="inlineStr">
        <is>
          <t>{"0": {"productDeskExternalKey": "CPCX|40-4000"}, "1": {"Package Contents": "Wiper Motor; Instruction Sheet"}, "2": {"E-Waste": "Yes"}, "3": {"Product Condition": "Remanufactured"}, "4": {"Mounting Hole Quantity": "2"}, "5": {"Terminal Type": "Blade"}, "6": {"Mounting Type": "Eyelet; Grommet"}, "7": {"Weight PG": "1.3500"}, "8": {"Washer Pump Included": "No"}, "9": {"Part Type": "Windshield Wiper Motor"}, "10": {"Warranty Info": "1 Year/18,000 Mile"}, "11": {"Sustainable Choice": "Yes"}, "12": {"Lifecycle Status": "Available to Order"}, "13": {"Application Summary": "Jeep Grand Cherokee 2013-11"}, "14": {"ItemLevelGTIN": "00884548028241"}, "15": {"_addonCardone": "40-4000::98384:116344:510"}, "16": {"Eligible for R&amp;R Service": "Yes"}}</t>
        </is>
      </c>
      <c r="J346" t="inlineStr">
        <is>
          <t>https://www.cardone.com/product/windshield-wiper-motor-40-4000</t>
        </is>
      </c>
      <c r="K346">
        <f>DISPIMG("ID_3C9C2518F5BF40FF82A4EE8CF9797BF2",1)</f>
        <v/>
      </c>
      <c r="L346" t="inlineStr">
        <is>
          <t>CPCX|40-4000</t>
        </is>
      </c>
      <c r="M346" t="inlineStr">
        <is>
          <t>Wiper Motor; Instruction Sheet</t>
        </is>
      </c>
      <c r="N346" t="inlineStr">
        <is>
          <t>Yes</t>
        </is>
      </c>
      <c r="O346" t="inlineStr">
        <is>
          <t>Remanufactured</t>
        </is>
      </c>
      <c r="P346" t="inlineStr">
        <is>
          <t>2</t>
        </is>
      </c>
      <c r="Q346" t="inlineStr">
        <is>
          <t>Blade</t>
        </is>
      </c>
      <c r="R346" t="inlineStr">
        <is>
          <t>Eyelet; Grommet</t>
        </is>
      </c>
      <c r="S346" t="inlineStr">
        <is>
          <t>1.3500</t>
        </is>
      </c>
      <c r="T346" t="inlineStr">
        <is>
          <t>No</t>
        </is>
      </c>
      <c r="U346" t="inlineStr">
        <is>
          <t>1 Year/18,000 Mile</t>
        </is>
      </c>
      <c r="V346" t="inlineStr">
        <is>
          <t>Yes</t>
        </is>
      </c>
      <c r="W346" t="inlineStr">
        <is>
          <t>Available to Order</t>
        </is>
      </c>
      <c r="X346" t="inlineStr">
        <is>
          <t>Jeep Grand Cherokee 2013-11</t>
        </is>
      </c>
      <c r="Y346" t="inlineStr">
        <is>
          <t>00884548028241</t>
        </is>
      </c>
      <c r="Z346" t="inlineStr">
        <is>
          <t>40-4000::98384:116344:510</t>
        </is>
      </c>
      <c r="AA346" t="inlineStr">
        <is>
          <t>Yes</t>
        </is>
      </c>
      <c r="AB346" t="inlineStr"/>
      <c r="AC346" t="inlineStr"/>
    </row>
    <row r="347">
      <c r="A347" t="inlineStr">
        <is>
          <t>346</t>
        </is>
      </c>
      <c r="B347" t="inlineStr">
        <is>
          <t>Windshield Wiper Motor</t>
        </is>
      </c>
      <c r="C347" t="inlineStr">
        <is>
          <t>40-431</t>
        </is>
      </c>
      <c r="D347" t="inlineStr">
        <is>
          <t>Windshield Wiper Motor - 40-431</t>
        </is>
      </c>
      <c r="E347" t="inlineStr">
        <is>
          <t>CARDONE Reman</t>
        </is>
      </c>
      <c r="F347" t="inlineStr">
        <is>
          <t>56001402;56000899</t>
        </is>
      </c>
      <c r="G347" t="inlineStr">
        <is>
          <t>Jeep Cherokee 1984-1990
Jeep Wagoneer 1984-1990</t>
        </is>
      </c>
      <c r="H347" t="inlineStr">
        <is>
          <t>Jeep Cherokee 1984-1986 2.8L V6 173cid
Jeep Cherokee 1984-1990 2.5L L4 150cid
Jeep Cherokee 1985-1987 2.1L L4 126cid
Jeep Cherokee 1987-1990 4L L6 242cid
Jeep Wagoneer 1984-1986 2.8L V6 173cid
Jeep Wagoneer 1984-1987 2.5L L4 150cid
Jeep Wagoneer 1984-1987 4.6L L6 282cid
Jeep Wagoneer 1985 2.1L L4 126cid
Jeep Wagoneer 1987-1990 4L L6 242cid</t>
        </is>
      </c>
      <c r="I347" t="inlineStr">
        <is>
          <t>{"0": {"productDeskExternalKey": "CPCX|40-431"}, "1": {"Package Contents": "Wiper Motor; Instruction Sheet"}, "2": {"E-Waste": "Yes"}, "3": {"Product Condition": "Remanufactured"}, "4": {"Mounting Hole Quantity": "3"}, "5": {"Terminal Type": "Pin"}, "6": {"Mounting Type": "Direct Bolt"}, "7": {"Weight PG": "2.8000"}, "8": {"Washer Pump Included": "No"}, "9": {"Part Type": "Windshield Wiper Motor"}, "10": {"Warranty Info": "1 Year/18,000 Mile"}, "11": {"Sustainable Choice": "Yes"}, "12": {"Lifecycle Status": "Available to Order"}, "13": {"Application Summary": "Jeep Cherokee 1990-84, Comanche 1990-86, Wagoneer 1990-84"}, "14": {"ItemLevelGTIN": "00082617076333"}, "15": {"_addonCardone": "40-431::98384:116355:510"}, "16": {"Eligible for R&amp;R Service": "Yes"}}</t>
        </is>
      </c>
      <c r="J347" t="inlineStr">
        <is>
          <t>https://www.cardone.com/product/windshield-wiper-motor-40-431</t>
        </is>
      </c>
      <c r="K347">
        <f>DISPIMG("ID_16F68D9526064E2C9A2F4518097B8AC6",1)</f>
        <v/>
      </c>
      <c r="L347" t="inlineStr">
        <is>
          <t>CPCX|40-431</t>
        </is>
      </c>
      <c r="M347" t="inlineStr">
        <is>
          <t>Wiper Motor; Instruction Sheet</t>
        </is>
      </c>
      <c r="N347" t="inlineStr">
        <is>
          <t>Yes</t>
        </is>
      </c>
      <c r="O347" t="inlineStr">
        <is>
          <t>Remanufactured</t>
        </is>
      </c>
      <c r="P347" t="inlineStr">
        <is>
          <t>3</t>
        </is>
      </c>
      <c r="Q347" t="inlineStr">
        <is>
          <t>Pin</t>
        </is>
      </c>
      <c r="R347" t="inlineStr">
        <is>
          <t>Direct Bolt</t>
        </is>
      </c>
      <c r="S347" t="inlineStr">
        <is>
          <t>2.8000</t>
        </is>
      </c>
      <c r="T347" t="inlineStr">
        <is>
          <t>No</t>
        </is>
      </c>
      <c r="U347" t="inlineStr">
        <is>
          <t>1 Year/18,000 Mile</t>
        </is>
      </c>
      <c r="V347" t="inlineStr">
        <is>
          <t>Yes</t>
        </is>
      </c>
      <c r="W347" t="inlineStr">
        <is>
          <t>Available to Order</t>
        </is>
      </c>
      <c r="X347" t="inlineStr">
        <is>
          <t>Jeep Cherokee 1990-84, Comanche 1990-86, Wagoneer 1990-84</t>
        </is>
      </c>
      <c r="Y347" t="inlineStr">
        <is>
          <t>00082617076333</t>
        </is>
      </c>
      <c r="Z347" t="inlineStr">
        <is>
          <t>40-431::98384:116355:510</t>
        </is>
      </c>
      <c r="AA347" t="inlineStr">
        <is>
          <t>Yes</t>
        </is>
      </c>
      <c r="AB347" t="inlineStr"/>
      <c r="AC347" t="inlineStr"/>
    </row>
    <row r="348">
      <c r="A348" t="inlineStr">
        <is>
          <t>347</t>
        </is>
      </c>
      <c r="B348" t="inlineStr">
        <is>
          <t>Windshield Wiper Motor</t>
        </is>
      </c>
      <c r="C348" t="inlineStr">
        <is>
          <t>40-432</t>
        </is>
      </c>
      <c r="D348" t="inlineStr">
        <is>
          <t>Windshield Wiper Motor - 40-432</t>
        </is>
      </c>
      <c r="E348" t="inlineStr">
        <is>
          <t>CARDONE Reman</t>
        </is>
      </c>
      <c r="F348" t="inlineStr">
        <is>
          <t>56030005</t>
        </is>
      </c>
      <c r="G348" t="inlineStr">
        <is>
          <t>Jeep Wrangler 1987-1995</t>
        </is>
      </c>
      <c r="H348" t="inlineStr">
        <is>
          <t>Jeep Wrangler 1987-1990 4.2L L6 258cid
Jeep Wrangler 1987-1995 2.5L L4 150cid
Jeep Wrangler 1991-1995 4L L6 242cid</t>
        </is>
      </c>
      <c r="I348" t="inlineStr">
        <is>
          <t>{"0": {"productDeskExternalKey": "CPCX|40-432"}, "1": {"Package Contents": "Wiper Motor; Instruction Sheet"}, "2": {"E-Waste": "Yes"}, "3": {"Product Condition": "Remanufactured"}, "4": {"Mounting Hole Quantity": "2"}, "5": {"Terminal Type": "Pin"}, "6": {"Mounting Type": "Direct Bolt"}, "7": {"Weight PG": "2.4300"}, "8": {"Washer Pump Included": "No"}, "9": {"Part Type": "Windshield Wiper Motor"}, "10": {"Warranty Info": "1 Year/18,000 Mile"}, "11": {"Sustainable Choice": "Yes"}, "12": {"Lifecycle Status": "Available to Order"}, "13": {"Application Summary": "Jeep Wrangler 1995-87"}, "14": {"ItemLevelGTIN": "00082617076340"}, "15": {"_addonCardone": "40-432::98384:116372:510"}, "16": {"Eligible for R&amp;R Service": "Yes"}}</t>
        </is>
      </c>
      <c r="J348" t="inlineStr">
        <is>
          <t>https://www.cardone.com/product/windshield-wiper-motor-40-432</t>
        </is>
      </c>
      <c r="K348">
        <f>DISPIMG("ID_C7F076F67EDF452997C20C4E8C0A73C4",1)</f>
        <v/>
      </c>
      <c r="L348" t="inlineStr">
        <is>
          <t>CPCX|40-432</t>
        </is>
      </c>
      <c r="M348" t="inlineStr">
        <is>
          <t>Wiper Motor; Instruction Sheet</t>
        </is>
      </c>
      <c r="N348" t="inlineStr">
        <is>
          <t>Yes</t>
        </is>
      </c>
      <c r="O348" t="inlineStr">
        <is>
          <t>Remanufactured</t>
        </is>
      </c>
      <c r="P348" t="inlineStr">
        <is>
          <t>2</t>
        </is>
      </c>
      <c r="Q348" t="inlineStr">
        <is>
          <t>Pin</t>
        </is>
      </c>
      <c r="R348" t="inlineStr">
        <is>
          <t>Direct Bolt</t>
        </is>
      </c>
      <c r="S348" t="inlineStr">
        <is>
          <t>2.4300</t>
        </is>
      </c>
      <c r="T348" t="inlineStr">
        <is>
          <t>No</t>
        </is>
      </c>
      <c r="U348" t="inlineStr">
        <is>
          <t>1 Year/18,000 Mile</t>
        </is>
      </c>
      <c r="V348" t="inlineStr">
        <is>
          <t>Yes</t>
        </is>
      </c>
      <c r="W348" t="inlineStr">
        <is>
          <t>Available to Order</t>
        </is>
      </c>
      <c r="X348" t="inlineStr">
        <is>
          <t>Jeep Wrangler 1995-87</t>
        </is>
      </c>
      <c r="Y348" t="inlineStr">
        <is>
          <t>00082617076340</t>
        </is>
      </c>
      <c r="Z348" t="inlineStr">
        <is>
          <t>40-432::98384:116372:510</t>
        </is>
      </c>
      <c r="AA348" t="inlineStr">
        <is>
          <t>Yes</t>
        </is>
      </c>
      <c r="AB348" t="inlineStr"/>
      <c r="AC348" t="inlineStr"/>
    </row>
    <row r="349">
      <c r="A349" t="inlineStr">
        <is>
          <t>348</t>
        </is>
      </c>
      <c r="B349" t="inlineStr">
        <is>
          <t>Windshield Wiper Motor</t>
        </is>
      </c>
      <c r="C349" t="inlineStr">
        <is>
          <t>40-433</t>
        </is>
      </c>
      <c r="D349" t="inlineStr">
        <is>
          <t>Windshield Wiper Motor - 40-433</t>
        </is>
      </c>
      <c r="E349" t="inlineStr">
        <is>
          <t>CARDONE Reman</t>
        </is>
      </c>
      <c r="F349" t="inlineStr">
        <is>
          <t>5763696</t>
        </is>
      </c>
      <c r="G349" t="inlineStr">
        <is>
          <t>Jeep CJ5 1983
Jeep CJ7 1983-1986</t>
        </is>
      </c>
      <c r="H349" t="inlineStr">
        <is>
          <t>Jeep CJ5 1983 2.5L L4 151cid
Jeep CJ5 1983 4.2L L6 258cid
Jeep CJ7 1983 2.5L L4 151cid
Jeep CJ7 1983-1986 2.5L L4 150cid
Jeep CJ7 1983-1986 4.2L L6 258cid
Jeep CJ7 1983-1986 4.6L L6 282cid</t>
        </is>
      </c>
      <c r="I349" t="inlineStr">
        <is>
          <t>{"0": {"productDeskExternalKey": "CPCX|40-433"}, "1": {"Package Contents": "Wiper Motor; Instruction Sheet"}, "2": {"E-Waste": "Yes"}, "3": {"Product Condition": "Remanufactured"}, "4": {"Mounting Hole Quantity": "2"}, "5": {"Terminal Type": "Blade"}, "6": {"Mounting Type": "Direct Bolt"}, "7": {"Weight PG": "1.3500"}, "8": {"Washer Pump Included": "No"}, "9": {"Part Type": "Windshield Wiper Motor"}, "10": {"Warranty Info": "1 Year/18,000 Mile"}, "11": {"Sustainable Choice": "Yes"}, "12": {"Lifecycle Status": "Available to Order"}, "13": {"Application Summary": "Jeep CJ5 1983, CJ7 1986-83"}, "14": {"ItemLevelGTIN": "00082617076357"}, "15": {"_addonCardone": "40-433::98384:116380:510"}, "16": {"Eligible for R&amp;R Service": "Yes"}}</t>
        </is>
      </c>
      <c r="J349" t="inlineStr">
        <is>
          <t>https://www.cardone.com/product/windshield-wiper-motor-40-433</t>
        </is>
      </c>
      <c r="K349">
        <f>DISPIMG("ID_18967114BE9C4D1BA28FA85EE233D2F7",1)</f>
        <v/>
      </c>
      <c r="L349" t="inlineStr">
        <is>
          <t>CPCX|40-433</t>
        </is>
      </c>
      <c r="M349" t="inlineStr">
        <is>
          <t>Wiper Motor; Instruction Sheet</t>
        </is>
      </c>
      <c r="N349" t="inlineStr">
        <is>
          <t>Yes</t>
        </is>
      </c>
      <c r="O349" t="inlineStr">
        <is>
          <t>Remanufactured</t>
        </is>
      </c>
      <c r="P349" t="inlineStr">
        <is>
          <t>2</t>
        </is>
      </c>
      <c r="Q349" t="inlineStr">
        <is>
          <t>Blade</t>
        </is>
      </c>
      <c r="R349" t="inlineStr">
        <is>
          <t>Direct Bolt</t>
        </is>
      </c>
      <c r="S349" t="inlineStr">
        <is>
          <t>1.3500</t>
        </is>
      </c>
      <c r="T349" t="inlineStr">
        <is>
          <t>No</t>
        </is>
      </c>
      <c r="U349" t="inlineStr">
        <is>
          <t>1 Year/18,000 Mile</t>
        </is>
      </c>
      <c r="V349" t="inlineStr">
        <is>
          <t>Yes</t>
        </is>
      </c>
      <c r="W349" t="inlineStr">
        <is>
          <t>Available to Order</t>
        </is>
      </c>
      <c r="X349" t="inlineStr">
        <is>
          <t>Jeep CJ5 1983, CJ7 1986-83</t>
        </is>
      </c>
      <c r="Y349" t="inlineStr">
        <is>
          <t>00082617076357</t>
        </is>
      </c>
      <c r="Z349" t="inlineStr">
        <is>
          <t>40-433::98384:116380:510</t>
        </is>
      </c>
      <c r="AA349" t="inlineStr">
        <is>
          <t>Yes</t>
        </is>
      </c>
      <c r="AB349" t="inlineStr"/>
      <c r="AC349" t="inlineStr"/>
    </row>
    <row r="350">
      <c r="A350" t="inlineStr">
        <is>
          <t>349</t>
        </is>
      </c>
      <c r="B350" t="inlineStr">
        <is>
          <t>Windshield Wiper Motor</t>
        </is>
      </c>
      <c r="C350" t="inlineStr">
        <is>
          <t>40-435</t>
        </is>
      </c>
      <c r="D350" t="inlineStr">
        <is>
          <t>Windshield Wiper Motor - 40-435</t>
        </is>
      </c>
      <c r="E350" t="inlineStr">
        <is>
          <t>CARDONE Reman</t>
        </is>
      </c>
      <c r="F350" t="inlineStr">
        <is>
          <t>36001562</t>
        </is>
      </c>
      <c r="G350" t="inlineStr">
        <is>
          <t>Dodge Monaco 1990
Eagle Premier 1988-1990</t>
        </is>
      </c>
      <c r="H350" t="inlineStr">
        <is>
          <t>Dodge Monaco 1990 3L V6 182cid
Eagle Premier 1988-1989 2.5L L4 150cid
Eagle Premier 1988-1990 3L V6 182cid</t>
        </is>
      </c>
      <c r="I350" t="inlineStr">
        <is>
          <t>{"0": {"productDeskExternalKey": "CPCX|40-435"}, "1": {"Package Contents": "Wiper Motor; Instruction Sheet"}, "2": {"E-Waste": "Yes"}, "3": {"Product Condition": "Remanufactured"}, "4": {"Mounting Hole Quantity": "3"}, "5": {"Terminal Type": "Pin"}, "6": {"Mounting Type": "Direct Bolt"}, "7": {"Weight PG": "2.8600"}, "8": {"Washer Pump Included": "No"}, "9": {"Part Type": "Windshield Wiper Motor"}, "10": {"Warranty Info": "1 Year/18,000 Mile"}, "11": {"Sustainable Choice": "Yes"}, "12": {"Lifecycle Status": "Available to Order"}, "13": {"Application Summary": "Dodge Monaco 1990; Eagle Premier 1990-88"}, "14": {"ItemLevelGTIN": "00082617132633"}, "15": {"_addonCardone": "40-435::98384:116397:510"}, "16": {"Eligible for R&amp;R Service": "Yes"}}</t>
        </is>
      </c>
      <c r="J350" t="inlineStr">
        <is>
          <t>https://www.cardone.com/product/windshield-wiper-motor-40-435</t>
        </is>
      </c>
      <c r="K350">
        <f>DISPIMG("ID_D2F6E6D3985F4A3B8A41D00CAB963608",1)</f>
        <v/>
      </c>
      <c r="L350" t="inlineStr">
        <is>
          <t>CPCX|40-435</t>
        </is>
      </c>
      <c r="M350" t="inlineStr">
        <is>
          <t>Wiper Motor; Instruction Sheet</t>
        </is>
      </c>
      <c r="N350" t="inlineStr">
        <is>
          <t>Yes</t>
        </is>
      </c>
      <c r="O350" t="inlineStr">
        <is>
          <t>Remanufactured</t>
        </is>
      </c>
      <c r="P350" t="inlineStr">
        <is>
          <t>3</t>
        </is>
      </c>
      <c r="Q350" t="inlineStr">
        <is>
          <t>Pin</t>
        </is>
      </c>
      <c r="R350" t="inlineStr">
        <is>
          <t>Direct Bolt</t>
        </is>
      </c>
      <c r="S350" t="inlineStr">
        <is>
          <t>2.8600</t>
        </is>
      </c>
      <c r="T350" t="inlineStr">
        <is>
          <t>No</t>
        </is>
      </c>
      <c r="U350" t="inlineStr">
        <is>
          <t>1 Year/18,000 Mile</t>
        </is>
      </c>
      <c r="V350" t="inlineStr">
        <is>
          <t>Yes</t>
        </is>
      </c>
      <c r="W350" t="inlineStr">
        <is>
          <t>Available to Order</t>
        </is>
      </c>
      <c r="X350" t="inlineStr">
        <is>
          <t>Dodge Monaco 1990; Eagle Premier 1990-88</t>
        </is>
      </c>
      <c r="Y350" t="inlineStr">
        <is>
          <t>00082617132633</t>
        </is>
      </c>
      <c r="Z350" t="inlineStr">
        <is>
          <t>40-435::98384:116397:510</t>
        </is>
      </c>
      <c r="AA350" t="inlineStr">
        <is>
          <t>Yes</t>
        </is>
      </c>
      <c r="AB350" t="inlineStr"/>
      <c r="AC350" t="inlineStr"/>
    </row>
    <row r="351">
      <c r="A351" t="inlineStr">
        <is>
          <t>350</t>
        </is>
      </c>
      <c r="B351" t="inlineStr">
        <is>
          <t>Windshield Wiper Motor</t>
        </is>
      </c>
      <c r="C351" t="inlineStr">
        <is>
          <t>40-436</t>
        </is>
      </c>
      <c r="D351" t="inlineStr">
        <is>
          <t>Windshield Wiper Motor - 40-436</t>
        </is>
      </c>
      <c r="E351" t="inlineStr">
        <is>
          <t>CARDONE Reman</t>
        </is>
      </c>
      <c r="F351" t="inlineStr">
        <is>
          <t>55155317;56006336</t>
        </is>
      </c>
      <c r="G351" t="inlineStr">
        <is>
          <t>Jeep Cherokee 1991-1996</t>
        </is>
      </c>
      <c r="H351" t="inlineStr">
        <is>
          <t>Jeep Cherokee 1991-1996 2.5L L4 150cid
Jeep Cherokee 1991-1996 4L L6 242cid</t>
        </is>
      </c>
      <c r="I351" t="inlineStr">
        <is>
          <t>{"0": {"productDeskExternalKey": "CPCX|40-436"}, "1": {"Package Contents": "Wiper Motor; Instruction Sheet"}, "2": {"E-Waste": "Yes"}, "3": {"Product Condition": "Remanufactured"}, "4": {"Mounting Hole Quantity": "4"}, "5": {"Terminal Type": "Blade"}, "6": {"Mounting Type": "Direct Bolt"}, "7": {"Weight PG": "2.8000"}, "8": {"Washer Pump Included": "No"}, "9": {"Part Type": "Windshield Wiper Motor"}, "10": {"Warranty Info": "1 Year/18,000 Mile"}, "11": {"Sustainable Choice": "Yes"}, "12": {"Lifecycle Status": "Available to Order"}, "13": {"Application Summary": "Jeep Cherokee 1996-91"}, "14": {"ItemLevelGTIN": "00082617176484"}, "15": {"_addonCardone": "40-436::98384:116413:510"}, "16": {"Eligible for R&amp;R Service": "Yes"}}</t>
        </is>
      </c>
      <c r="J351" t="inlineStr">
        <is>
          <t>https://www.cardone.com/product/windshield-wiper-motor-40-436</t>
        </is>
      </c>
      <c r="K351">
        <f>DISPIMG("ID_9754AD5F4E044572BE79A13168D539F7",1)</f>
        <v/>
      </c>
      <c r="L351" t="inlineStr">
        <is>
          <t>CPCX|40-436</t>
        </is>
      </c>
      <c r="M351" t="inlineStr">
        <is>
          <t>Wiper Motor; Instruction Sheet</t>
        </is>
      </c>
      <c r="N351" t="inlineStr">
        <is>
          <t>Yes</t>
        </is>
      </c>
      <c r="O351" t="inlineStr">
        <is>
          <t>Remanufactured</t>
        </is>
      </c>
      <c r="P351" t="inlineStr">
        <is>
          <t>4</t>
        </is>
      </c>
      <c r="Q351" t="inlineStr">
        <is>
          <t>Blade</t>
        </is>
      </c>
      <c r="R351" t="inlineStr">
        <is>
          <t>Direct Bolt</t>
        </is>
      </c>
      <c r="S351" t="inlineStr">
        <is>
          <t>2.8000</t>
        </is>
      </c>
      <c r="T351" t="inlineStr">
        <is>
          <t>No</t>
        </is>
      </c>
      <c r="U351" t="inlineStr">
        <is>
          <t>1 Year/18,000 Mile</t>
        </is>
      </c>
      <c r="V351" t="inlineStr">
        <is>
          <t>Yes</t>
        </is>
      </c>
      <c r="W351" t="inlineStr">
        <is>
          <t>Available to Order</t>
        </is>
      </c>
      <c r="X351" t="inlineStr">
        <is>
          <t>Jeep Cherokee 1996-91</t>
        </is>
      </c>
      <c r="Y351" t="inlineStr">
        <is>
          <t>00082617176484</t>
        </is>
      </c>
      <c r="Z351" t="inlineStr">
        <is>
          <t>40-436::98384:116413:510</t>
        </is>
      </c>
      <c r="AA351" t="inlineStr">
        <is>
          <t>Yes</t>
        </is>
      </c>
      <c r="AB351" t="inlineStr"/>
      <c r="AC351" t="inlineStr"/>
    </row>
    <row r="352">
      <c r="A352" t="inlineStr">
        <is>
          <t>351</t>
        </is>
      </c>
      <c r="B352" t="inlineStr">
        <is>
          <t>Windshield Wiper Motor</t>
        </is>
      </c>
      <c r="C352" t="inlineStr">
        <is>
          <t>40-437</t>
        </is>
      </c>
      <c r="D352" t="inlineStr">
        <is>
          <t>Windshield Wiper Motor - 40-437</t>
        </is>
      </c>
      <c r="E352" t="inlineStr">
        <is>
          <t>CARDONE Reman</t>
        </is>
      </c>
      <c r="F352" t="inlineStr">
        <is>
          <t>5453956;5763696</t>
        </is>
      </c>
      <c r="G352" t="inlineStr">
        <is>
          <t>Jeep CJ5 1981-1982
Jeep CJ7 1981-1982</t>
        </is>
      </c>
      <c r="H352" t="inlineStr">
        <is>
          <t>Jeep CJ5 1981 5L V8 304cid
Jeep CJ5 1981-1982 2.5L L4 151cid
Jeep CJ5 1981-1982 4.2L L6 258cid
Jeep CJ7 1981 5L V8 304cid
Jeep CJ7 1981-1982 2.5L L4 151cid
Jeep CJ7 1981-1982 4.2L L6 258cid
Jeep CJ7 1981-1982 4.6L L6 282cid</t>
        </is>
      </c>
      <c r="I352" t="inlineStr">
        <is>
          <t>{"0": {"productDeskExternalKey": "CPCX|40-437"}, "1": {"Package Contents": "Wiper Motor; Instruction Sheet"}, "2": {"E-Waste": "Yes"}, "3": {"Product Condition": "Remanufactured"}, "4": {"Mounting Hole Quantity": "2"}, "5": {"Terminal Type": "Blade"}, "6": {"Mounting Type": "Eyelet"}, "7": {"Weight PG": "2.4700"}, "8": {"Washer Pump Included": "No"}, "9": {"Part Type": "Windshield Wiper Motor"}, "10": {"Warranty Info": "1 Year/18,000 Mile"}, "11": {"Sustainable Choice": "Yes"}, "12": {"Lifecycle Status": "Available to Order"}, "13": {"Application Summary": "Jeep CJ5 1982-81, CJ7 1982-81"}, "14": {"ItemLevelGTIN": "00082617176453"}, "15": {"_addonCardone": "40-437::98384:116428:510"}, "16": {"Eligible for R&amp;R Service": "Yes"}}</t>
        </is>
      </c>
      <c r="J352" t="inlineStr">
        <is>
          <t>https://www.cardone.com/product/windshield-wiper-motor-40-437</t>
        </is>
      </c>
      <c r="K352">
        <f>DISPIMG("ID_B5DA0B42CCB94F52895867D851235FC7",1)</f>
        <v/>
      </c>
      <c r="L352" t="inlineStr">
        <is>
          <t>CPCX|40-437</t>
        </is>
      </c>
      <c r="M352" t="inlineStr">
        <is>
          <t>Wiper Motor; Instruction Sheet</t>
        </is>
      </c>
      <c r="N352" t="inlineStr">
        <is>
          <t>Yes</t>
        </is>
      </c>
      <c r="O352" t="inlineStr">
        <is>
          <t>Remanufactured</t>
        </is>
      </c>
      <c r="P352" t="inlineStr">
        <is>
          <t>2</t>
        </is>
      </c>
      <c r="Q352" t="inlineStr">
        <is>
          <t>Blade</t>
        </is>
      </c>
      <c r="R352" t="inlineStr">
        <is>
          <t>Eyelet</t>
        </is>
      </c>
      <c r="S352" t="inlineStr">
        <is>
          <t>2.4700</t>
        </is>
      </c>
      <c r="T352" t="inlineStr">
        <is>
          <t>No</t>
        </is>
      </c>
      <c r="U352" t="inlineStr">
        <is>
          <t>1 Year/18,000 Mile</t>
        </is>
      </c>
      <c r="V352" t="inlineStr">
        <is>
          <t>Yes</t>
        </is>
      </c>
      <c r="W352" t="inlineStr">
        <is>
          <t>Available to Order</t>
        </is>
      </c>
      <c r="X352" t="inlineStr">
        <is>
          <t>Jeep CJ5 1982-81, CJ7 1982-81</t>
        </is>
      </c>
      <c r="Y352" t="inlineStr">
        <is>
          <t>00082617176453</t>
        </is>
      </c>
      <c r="Z352" t="inlineStr">
        <is>
          <t>40-437::98384:116428:510</t>
        </is>
      </c>
      <c r="AA352" t="inlineStr">
        <is>
          <t>Yes</t>
        </is>
      </c>
      <c r="AB352" t="inlineStr"/>
      <c r="AC352" t="inlineStr"/>
    </row>
    <row r="353">
      <c r="A353" t="inlineStr">
        <is>
          <t>352</t>
        </is>
      </c>
      <c r="B353" t="inlineStr">
        <is>
          <t>Windshield Wiper Motor</t>
        </is>
      </c>
      <c r="C353" t="inlineStr">
        <is>
          <t>40-438</t>
        </is>
      </c>
      <c r="D353" t="inlineStr">
        <is>
          <t>Windshield Wiper Motor - 40-438</t>
        </is>
      </c>
      <c r="E353" t="inlineStr">
        <is>
          <t>CARDONE Reman</t>
        </is>
      </c>
      <c r="F353" t="inlineStr">
        <is>
          <t>4723460;4856478;55155297;55154611</t>
        </is>
      </c>
      <c r="G353" t="inlineStr">
        <is>
          <t>Jeep Cherokee 1991-1999</t>
        </is>
      </c>
      <c r="H353" t="inlineStr">
        <is>
          <t>Jeep Cherokee 1991-1999 2.5L L4 150cid
Jeep Cherokee 1991-1999 4L L6 242cid</t>
        </is>
      </c>
      <c r="I353" t="inlineStr">
        <is>
          <t>{"0": {"productDeskExternalKey": "CPCX|40-438"}, "1": {"Package Contents": "Wiper Motor; Instruction Sheet"}, "2": {"E-Waste": "Yes"}, "3": {"Product Condition": "Remanufactured"}, "4": {"Mounting Hole Quantity": "3"}, "5": {"Terminal Type": "Bullet"}, "6": {"Mounting Type": "Direct Bolt"}, "7": {"Weight PG": "2.7400"}, "8": {"Washer Pump Included": "No"}, "9": {"Part Type": "Windshield Wiper Motor"}, "10": {"Warranty Info": "1 Year/18,000 Mile"}, "11": {"Sustainable Choice": "Yes"}, "12": {"Lifecycle Status": "Available to Order"}, "13": {"Application Summary": "Jeep Cherokee 1999-91, Comanche 1992-91"}, "14": {"ItemLevelGTIN": "00082617338233"}, "15": {"_addonCardone": "40-438::98384:116445:510"}, "16": {"Eligible for R&amp;R Service": "Yes"}}</t>
        </is>
      </c>
      <c r="J353" t="inlineStr">
        <is>
          <t>https://www.cardone.com/product/windshield-wiper-motor-40-438</t>
        </is>
      </c>
      <c r="K353">
        <f>DISPIMG("ID_1CDD0AC4A47B4AF4A42C3E892916324F",1)</f>
        <v/>
      </c>
      <c r="L353" t="inlineStr">
        <is>
          <t>CPCX|40-438</t>
        </is>
      </c>
      <c r="M353" t="inlineStr">
        <is>
          <t>Wiper Motor; Instruction Sheet</t>
        </is>
      </c>
      <c r="N353" t="inlineStr">
        <is>
          <t>Yes</t>
        </is>
      </c>
      <c r="O353" t="inlineStr">
        <is>
          <t>Remanufactured</t>
        </is>
      </c>
      <c r="P353" t="inlineStr">
        <is>
          <t>3</t>
        </is>
      </c>
      <c r="Q353" t="inlineStr">
        <is>
          <t>Bullet</t>
        </is>
      </c>
      <c r="R353" t="inlineStr">
        <is>
          <t>Direct Bolt</t>
        </is>
      </c>
      <c r="S353" t="inlineStr">
        <is>
          <t>2.7400</t>
        </is>
      </c>
      <c r="T353" t="inlineStr">
        <is>
          <t>No</t>
        </is>
      </c>
      <c r="U353" t="inlineStr">
        <is>
          <t>1 Year/18,000 Mile</t>
        </is>
      </c>
      <c r="V353" t="inlineStr">
        <is>
          <t>Yes</t>
        </is>
      </c>
      <c r="W353" t="inlineStr">
        <is>
          <t>Available to Order</t>
        </is>
      </c>
      <c r="X353" t="inlineStr">
        <is>
          <t>Jeep Cherokee 1999-91, Comanche 1992-91</t>
        </is>
      </c>
      <c r="Y353" t="inlineStr">
        <is>
          <t>00082617338233</t>
        </is>
      </c>
      <c r="Z353" t="inlineStr">
        <is>
          <t>40-438::98384:116445:510</t>
        </is>
      </c>
      <c r="AA353" t="inlineStr">
        <is>
          <t>Yes</t>
        </is>
      </c>
      <c r="AB353" t="inlineStr"/>
      <c r="AC353" t="inlineStr"/>
    </row>
    <row r="354">
      <c r="A354" t="inlineStr">
        <is>
          <t>353</t>
        </is>
      </c>
      <c r="B354" t="inlineStr">
        <is>
          <t>Windshield Wiper Motor</t>
        </is>
      </c>
      <c r="C354" t="inlineStr">
        <is>
          <t>40-439</t>
        </is>
      </c>
      <c r="D354" t="inlineStr">
        <is>
          <t>Windshield Wiper Motor - 40-439</t>
        </is>
      </c>
      <c r="E354" t="inlineStr">
        <is>
          <t>CARDONE Reman</t>
        </is>
      </c>
      <c r="F354" t="inlineStr">
        <is>
          <t>56005181</t>
        </is>
      </c>
      <c r="G354" t="inlineStr">
        <is>
          <t>Jeep Grand Cherokee 1993-1996
Jeep Grand Wagoneer 1993</t>
        </is>
      </c>
      <c r="H354" t="inlineStr">
        <is>
          <t>Jeep Grand Cherokee 1993-1996 4L L6 242cid
Jeep Grand Cherokee 1993-1996 5.2L V8 318cid
Jeep Grand Wagoneer 1993 5.2L V8 318cid</t>
        </is>
      </c>
      <c r="I354" t="inlineStr">
        <is>
          <t>{"0": {"productDeskExternalKey": "CPCX|40-439"}, "1": {"Package Contents": "Wiper Motor; Instruction Sheet"}, "2": {"E-Waste": "Yes"}, "3": {"Product Condition": "Remanufactured"}, "4": {"Mounting Hole Quantity": "3"}, "5": {"Terminal Type": "Blade"}, "6": {"Mounting Type": "Direct Bolt"}, "7": {"Weight PG": "2.8200"}, "8": {"Washer Pump Included": "No"}, "9": {"Part Type": "Windshield Wiper Motor"}, "10": {"Warranty Info": "1 Year/18,000 Mile"}, "11": {"Sustainable Choice": "Yes"}, "12": {"Lifecycle Status": "Available to Order"}, "13": {"Application Summary": "Jeep Grand Cherokee 1996-93, Grand Wagoneer 1993"}, "14": {"ItemLevelGTIN": "00082617338240"}, "15": {"_addonCardone": "40-439::98384:116462:510"}, "16": {"Eligible for R&amp;R Service": "Yes"}}</t>
        </is>
      </c>
      <c r="J354" t="inlineStr">
        <is>
          <t>https://www.cardone.com/product/windshield-wiper-motor-40-439</t>
        </is>
      </c>
      <c r="K354">
        <f>DISPIMG("ID_FF2CCE5621EC41DDA432FCA68E8F0104",1)</f>
        <v/>
      </c>
      <c r="L354" t="inlineStr">
        <is>
          <t>CPCX|40-439</t>
        </is>
      </c>
      <c r="M354" t="inlineStr">
        <is>
          <t>Wiper Motor; Instruction Sheet</t>
        </is>
      </c>
      <c r="N354" t="inlineStr">
        <is>
          <t>Yes</t>
        </is>
      </c>
      <c r="O354" t="inlineStr">
        <is>
          <t>Remanufactured</t>
        </is>
      </c>
      <c r="P354" t="inlineStr">
        <is>
          <t>3</t>
        </is>
      </c>
      <c r="Q354" t="inlineStr">
        <is>
          <t>Blade</t>
        </is>
      </c>
      <c r="R354" t="inlineStr">
        <is>
          <t>Direct Bolt</t>
        </is>
      </c>
      <c r="S354" t="inlineStr">
        <is>
          <t>2.8200</t>
        </is>
      </c>
      <c r="T354" t="inlineStr">
        <is>
          <t>No</t>
        </is>
      </c>
      <c r="U354" t="inlineStr">
        <is>
          <t>1 Year/18,000 Mile</t>
        </is>
      </c>
      <c r="V354" t="inlineStr">
        <is>
          <t>Yes</t>
        </is>
      </c>
      <c r="W354" t="inlineStr">
        <is>
          <t>Available to Order</t>
        </is>
      </c>
      <c r="X354" t="inlineStr">
        <is>
          <t>Jeep Grand Cherokee 1996-93, Grand Wagoneer 1993</t>
        </is>
      </c>
      <c r="Y354" t="inlineStr">
        <is>
          <t>00082617338240</t>
        </is>
      </c>
      <c r="Z354" t="inlineStr">
        <is>
          <t>40-439::98384:116462:510</t>
        </is>
      </c>
      <c r="AA354" t="inlineStr">
        <is>
          <t>Yes</t>
        </is>
      </c>
      <c r="AB354" t="inlineStr"/>
      <c r="AC354" t="inlineStr"/>
    </row>
    <row r="355">
      <c r="A355" t="inlineStr">
        <is>
          <t>354</t>
        </is>
      </c>
      <c r="B355" t="inlineStr">
        <is>
          <t>Windshield Wiper Motor</t>
        </is>
      </c>
      <c r="C355" t="inlineStr">
        <is>
          <t>40-440</t>
        </is>
      </c>
      <c r="D355" t="inlineStr">
        <is>
          <t>Windshield Wiper Motor - 40-440</t>
        </is>
      </c>
      <c r="E355" t="inlineStr">
        <is>
          <t>CARDONE Reman</t>
        </is>
      </c>
      <c r="F355" t="inlineStr">
        <is>
          <t>4723419;4756018;4769121</t>
        </is>
      </c>
      <c r="G355" t="inlineStr">
        <is>
          <t>Chrysler Concorde 1993-1997
Chrysler Intrepid 1993-1997
Chrysler LHS 1994-1997
Chrysler New Yorker 1994-1996
Dodge Intrepid 1993-1997
Eagle Vision 1993-1997</t>
        </is>
      </c>
      <c r="H355" t="inlineStr">
        <is>
          <t>Chrysler Concorde 1993-1996 3.3L V6 201cid
Chrysler Concorde 1993-1997 3.5L V6 215cid
Chrysler Intrepid 1993-1997 3.3L V6 201cid
Chrysler Intrepid 1993-1997 3.5L V6 215cid
Chrysler LHS 1994-1997 3.5L V6 215cid
Chrysler New Yorker 1994 3L V6 181cid
Chrysler New Yorker 1994-1996 3.5L V6 215cid
Dodge Intrepid 1993-1997 3.3L V6 201cid
Dodge Intrepid 1993-1997 3.5L V6 215cid
Eagle Vision 1993-1997 3.3L V6 201cid
Eagle Vision 1993-1997 3.5L V6 215cid</t>
        </is>
      </c>
      <c r="I355" t="inlineStr">
        <is>
          <t>{"0": {"productDeskExternalKey": "CPCX|40-440"}, "1": {"Package Contents": "Wiper Motor; Instruction Sheet"}, "2": {"E-Waste": "Yes"}, "3": {"Product Condition": "Remanufactured"}, "4": {"Mounting Hole Quantity": "3"}, "5": {"Terminal Type": "Bullet"}, "6": {"Mounting Type": "Direct Bolt"}, "7": {"Weight PG": "3.4800"}, "8": {"Washer Pump Included": "No"}, "9": {"Part Type": "Windshield Wiper Motor"}, "10": {"Warranty Info": "1 Year/18,000 Mile"}, "11": {"Sustainable Choice": "Yes"}, "12": {"Lifecycle Status": "Available to Order"}, "13": {"Application Summary": "Chrysler Concorde 1997-93, Intrepid 1997-93, LHS 1997-94, New Yorker 1996-94; Dodge Intrepid 1997-93; Eagle Vision 1997-93"}, "14": {"ItemLevelGTIN": "00082617338257"}, "15": {"_addonCardone": "40-440::98384:116478:510"}, "16": {"Eligible for R&amp;R Service": "Yes"}}</t>
        </is>
      </c>
      <c r="J355" t="inlineStr">
        <is>
          <t>https://www.cardone.com/product/windshield-wiper-motor-40-440</t>
        </is>
      </c>
      <c r="K355">
        <f>DISPIMG("ID_E5E70AD17EC74FF69295352C657C8C1F",1)</f>
        <v/>
      </c>
      <c r="L355" t="inlineStr">
        <is>
          <t>CPCX|40-440</t>
        </is>
      </c>
      <c r="M355" t="inlineStr">
        <is>
          <t>Wiper Motor; Instruction Sheet</t>
        </is>
      </c>
      <c r="N355" t="inlineStr">
        <is>
          <t>Yes</t>
        </is>
      </c>
      <c r="O355" t="inlineStr">
        <is>
          <t>Remanufactured</t>
        </is>
      </c>
      <c r="P355" t="inlineStr">
        <is>
          <t>3</t>
        </is>
      </c>
      <c r="Q355" t="inlineStr">
        <is>
          <t>Bullet</t>
        </is>
      </c>
      <c r="R355" t="inlineStr">
        <is>
          <t>Direct Bolt</t>
        </is>
      </c>
      <c r="S355" t="inlineStr">
        <is>
          <t>3.4800</t>
        </is>
      </c>
      <c r="T355" t="inlineStr">
        <is>
          <t>No</t>
        </is>
      </c>
      <c r="U355" t="inlineStr">
        <is>
          <t>1 Year/18,000 Mile</t>
        </is>
      </c>
      <c r="V355" t="inlineStr">
        <is>
          <t>Yes</t>
        </is>
      </c>
      <c r="W355" t="inlineStr">
        <is>
          <t>Available to Order</t>
        </is>
      </c>
      <c r="X355" t="inlineStr">
        <is>
          <t>Chrysler Concorde 1997-93, Intrepid 1997-93, LHS 1997-94, New Yorker 1996-94; Dodge Intrepid 1997-93; Eagle Vision 1997-93</t>
        </is>
      </c>
      <c r="Y355" t="inlineStr">
        <is>
          <t>00082617338257</t>
        </is>
      </c>
      <c r="Z355" t="inlineStr">
        <is>
          <t>40-440::98384:116478:510</t>
        </is>
      </c>
      <c r="AA355" t="inlineStr">
        <is>
          <t>Yes</t>
        </is>
      </c>
      <c r="AB355" t="inlineStr"/>
      <c r="AC355" t="inlineStr"/>
    </row>
    <row r="356">
      <c r="A356" t="inlineStr">
        <is>
          <t>355</t>
        </is>
      </c>
      <c r="B356" t="inlineStr">
        <is>
          <t>Windshield Wiper Motor</t>
        </is>
      </c>
      <c r="C356" t="inlineStr">
        <is>
          <t>40-441</t>
        </is>
      </c>
      <c r="D356" t="inlineStr">
        <is>
          <t>Windshield Wiper Motor - 40-441</t>
        </is>
      </c>
      <c r="E356" t="inlineStr">
        <is>
          <t>CARDONE Reman</t>
        </is>
      </c>
      <c r="F356" t="inlineStr">
        <is>
          <t>4874839</t>
        </is>
      </c>
      <c r="G356" t="inlineStr">
        <is>
          <t>Jeep Grand Cherokee 1997-1998</t>
        </is>
      </c>
      <c r="H356" t="inlineStr">
        <is>
          <t>Jeep Grand Cherokee 1997-1998 4L L6 242cid
Jeep Grand Cherokee 1997-1998 5.2L V8 318cid
Jeep Grand Cherokee 1998 5.9L V8 360cid</t>
        </is>
      </c>
      <c r="I356" t="inlineStr">
        <is>
          <t>{"0": {"productDeskExternalKey": "CPCX|40-441"}, "1": {"Package Contents": "Wiper Motor; Instruction Sheet"}, "2": {"E-Waste": "Yes"}, "3": {"Product Condition": "Remanufactured"}, "4": {"Mounting Hole Quantity": "3"}, "5": {"Terminal Type": "Blade"}, "6": {"Mounting Type": "Direct Bolt"}, "7": {"Weight PG": "3.1500"}, "8": {"Washer Pump Included": "No"}, "9": {"Part Type": "Windshield Wiper Motor"}, "10": {"Warranty Info": "1 Year/18,000 Mile"}, "11": {"Sustainable Choice": "Yes"}, "12": {"Lifecycle Status": "Available to Order"}, "13": {"Application Summary": "Jeep Grand Cherokee 1998-97"}, "14": {"ItemLevelGTIN": "00082617455336"}, "15": {"_addonCardone": "40-441::98384:116495:510"}, "16": {"Eligible for R&amp;R Service": "Yes"}}</t>
        </is>
      </c>
      <c r="J356" t="inlineStr">
        <is>
          <t>https://www.cardone.com/product/windshield-wiper-motor-40-441</t>
        </is>
      </c>
      <c r="K356">
        <f>DISPIMG("ID_58D2F43E7CB14C95B3969C1DB51E59EE",1)</f>
        <v/>
      </c>
      <c r="L356" t="inlineStr">
        <is>
          <t>CPCX|40-441</t>
        </is>
      </c>
      <c r="M356" t="inlineStr">
        <is>
          <t>Wiper Motor; Instruction Sheet</t>
        </is>
      </c>
      <c r="N356" t="inlineStr">
        <is>
          <t>Yes</t>
        </is>
      </c>
      <c r="O356" t="inlineStr">
        <is>
          <t>Remanufactured</t>
        </is>
      </c>
      <c r="P356" t="inlineStr">
        <is>
          <t>3</t>
        </is>
      </c>
      <c r="Q356" t="inlineStr">
        <is>
          <t>Blade</t>
        </is>
      </c>
      <c r="R356" t="inlineStr">
        <is>
          <t>Direct Bolt</t>
        </is>
      </c>
      <c r="S356" t="inlineStr">
        <is>
          <t>3.1500</t>
        </is>
      </c>
      <c r="T356" t="inlineStr">
        <is>
          <t>No</t>
        </is>
      </c>
      <c r="U356" t="inlineStr">
        <is>
          <t>1 Year/18,000 Mile</t>
        </is>
      </c>
      <c r="V356" t="inlineStr">
        <is>
          <t>Yes</t>
        </is>
      </c>
      <c r="W356" t="inlineStr">
        <is>
          <t>Available to Order</t>
        </is>
      </c>
      <c r="X356" t="inlineStr">
        <is>
          <t>Jeep Grand Cherokee 1998-97</t>
        </is>
      </c>
      <c r="Y356" t="inlineStr">
        <is>
          <t>00082617455336</t>
        </is>
      </c>
      <c r="Z356" t="inlineStr">
        <is>
          <t>40-441::98384:116495:510</t>
        </is>
      </c>
      <c r="AA356" t="inlineStr">
        <is>
          <t>Yes</t>
        </is>
      </c>
      <c r="AB356" t="inlineStr"/>
      <c r="AC356" t="inlineStr"/>
    </row>
    <row r="357">
      <c r="A357" t="inlineStr">
        <is>
          <t>356</t>
        </is>
      </c>
      <c r="B357" t="inlineStr">
        <is>
          <t>Windshield Wiper Motor</t>
        </is>
      </c>
      <c r="C357" t="inlineStr">
        <is>
          <t>40-442</t>
        </is>
      </c>
      <c r="D357" t="inlineStr">
        <is>
          <t>Windshield Wiper Motor - 40-442</t>
        </is>
      </c>
      <c r="E357" t="inlineStr">
        <is>
          <t>CARDONE Reman</t>
        </is>
      </c>
      <c r="F357" t="inlineStr">
        <is>
          <t>4864892</t>
        </is>
      </c>
      <c r="G357" t="inlineStr">
        <is>
          <t>Jeep TJ 1997-2002
Jeep Wrangler 1997-2002</t>
        </is>
      </c>
      <c r="H357" t="inlineStr">
        <is>
          <t>Jeep TJ 1997-2002 2.5L L4 150cid
Jeep TJ 1997-2002 4L L6 242cid
Jeep Wrangler 1997-2002 2.5L L4 150cid
Jeep Wrangler 1997-2002 4L L6 242cid</t>
        </is>
      </c>
      <c r="I357" t="inlineStr">
        <is>
          <t>{"0": {"productDeskExternalKey": "CPCX|40-442"}, "1": {"Package Contents": "Wiper Motor; Instruction Sheet"}, "2": {"E-Waste": "Yes"}, "3": {"Product Condition": "Remanufactured"}, "4": {"Mounting Hole Quantity": "3"}, "5": {"Terminal Type": "Blade"}, "6": {"Mounting Type": "Direct Bolt"}, "7": {"Weight PG": "3.0500"}, "8": {"Washer Pump Included": "No"}, "9": {"Part Type": "Windshield Wiper Motor"}, "10": {"Warranty Info": "1 Year/18,000 Mile"}, "11": {"Sustainable Choice": "Yes"}, "12": {"Lifecycle Status": "Available to Order"}, "13": {"Application Summary": "Jeep TJ 2002-97, Wrangler 2002-97"}, "14": {"ItemLevelGTIN": "00082617455329"}, "15": {"_addonCardone": "40-442::98384:116508:510"}, "16": {"Eligible for R&amp;R Service": "Yes"}}</t>
        </is>
      </c>
      <c r="J357" t="inlineStr">
        <is>
          <t>https://www.cardone.com/product/windshield-wiper-motor-40-442</t>
        </is>
      </c>
      <c r="K357">
        <f>DISPIMG("ID_CEFA44C560DB4D99AF1BDAFA4D5B4A9F",1)</f>
        <v/>
      </c>
      <c r="L357" t="inlineStr">
        <is>
          <t>CPCX|40-442</t>
        </is>
      </c>
      <c r="M357" t="inlineStr">
        <is>
          <t>Wiper Motor; Instruction Sheet</t>
        </is>
      </c>
      <c r="N357" t="inlineStr">
        <is>
          <t>Yes</t>
        </is>
      </c>
      <c r="O357" t="inlineStr">
        <is>
          <t>Remanufactured</t>
        </is>
      </c>
      <c r="P357" t="inlineStr">
        <is>
          <t>3</t>
        </is>
      </c>
      <c r="Q357" t="inlineStr">
        <is>
          <t>Blade</t>
        </is>
      </c>
      <c r="R357" t="inlineStr">
        <is>
          <t>Direct Bolt</t>
        </is>
      </c>
      <c r="S357" t="inlineStr">
        <is>
          <t>3.0500</t>
        </is>
      </c>
      <c r="T357" t="inlineStr">
        <is>
          <t>No</t>
        </is>
      </c>
      <c r="U357" t="inlineStr">
        <is>
          <t>1 Year/18,000 Mile</t>
        </is>
      </c>
      <c r="V357" t="inlineStr">
        <is>
          <t>Yes</t>
        </is>
      </c>
      <c r="W357" t="inlineStr">
        <is>
          <t>Available to Order</t>
        </is>
      </c>
      <c r="X357" t="inlineStr">
        <is>
          <t>Jeep TJ 2002-97, Wrangler 2002-97</t>
        </is>
      </c>
      <c r="Y357" t="inlineStr">
        <is>
          <t>00082617455329</t>
        </is>
      </c>
      <c r="Z357" t="inlineStr">
        <is>
          <t>40-442::98384:116508:510</t>
        </is>
      </c>
      <c r="AA357" t="inlineStr">
        <is>
          <t>Yes</t>
        </is>
      </c>
      <c r="AB357" t="inlineStr"/>
      <c r="AC357" t="inlineStr"/>
    </row>
    <row r="358">
      <c r="A358" t="inlineStr">
        <is>
          <t>357</t>
        </is>
      </c>
      <c r="B358" t="inlineStr">
        <is>
          <t>Windshield Wiper Motor</t>
        </is>
      </c>
      <c r="C358" t="inlineStr">
        <is>
          <t>40-443</t>
        </is>
      </c>
      <c r="D358" t="inlineStr">
        <is>
          <t>Windshield Wiper Motor - 40-443</t>
        </is>
      </c>
      <c r="E358" t="inlineStr">
        <is>
          <t>CARDONE Reman</t>
        </is>
      </c>
      <c r="F358" t="inlineStr">
        <is>
          <t>55154863AI;55154863AG;55155895AA;55154863AH;55155895AE;5515895AD;55154863;55155895AD;55155895AB;55155092AE;55155092AD;55154863AC;5056028AG;55154863AB;55154863AE;55155092</t>
        </is>
      </c>
      <c r="G358" t="inlineStr">
        <is>
          <t>Dodge Dakota 1997-2011
Dodge Durango 1998-2003
Jeep Grand Cherokee 1999-2004
Jeep Liberty 2002-2007
Mitsubishi Raider 2006-2009
Ram Dakota 2011</t>
        </is>
      </c>
      <c r="H358" t="inlineStr">
        <is>
          <t>Dodge Dakota 1997-1999 5.2L V8 318cid
Dodge Dakota 1997-2002 2.5L L4 153cid
Dodge Dakota 1997-2003 3.9L V6 239cid
Dodge Dakota 1998-2003 5.9L V8 360cid
Dodge Dakota 2000-2010 4.7L V8 287cid
Dodge Dakota 2004-2011 3.7L V6 226cid
Dodge Durango 1998-1999 3.9L V6 239cid
Dodge Durango 1998-2000 5.2L V8 318cid
Dodge Durango 1998-2003 5.9L V8 360cid
Dodge Durango 2000-2003 4.7L V8 287cid
Jeep Grand Cherokee 1999-2004 4.7L V8 287cid
Jeep Grand Cherokee 1999-2004 4L L6 242cid
Jeep Liberty 2002-2005 2.4L L4 148cid
Jeep Liberty 2002-2007 3.7L V6 226cid
Jeep Liberty 2005-2006 2.8L L4 171cid
Mitsubishi Raider 2006-2007 4.7L V8 287cid
Mitsubishi Raider 2006-2009 3.7L V6 226cid
Ram Dakota 2011 3.7L V6 226cid
Ram Dakota 2011 4.7L V8 287cid</t>
        </is>
      </c>
      <c r="I358" t="inlineStr">
        <is>
          <t>{"0": {"productDeskExternalKey": "CPCX|40-443"},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"Dodge Dakota 2011-97, Durango 2003-98; Jeep Grand Cherokee 2004-99, Liberty 2007-02; Mitsubishi Raider 2009-06; Ram Dakota 2011"}, "14": {"ItemLevelGTIN": "00082617455350"}, "15": {"_addonCardone": "40-443::98384:116522:510"}, "16": {"Eligible for R&amp;R Service": "Yes"}}</t>
        </is>
      </c>
      <c r="J358" t="inlineStr">
        <is>
          <t>https://www.cardone.com/product/windshield-wiper-motor-40-443</t>
        </is>
      </c>
      <c r="K358">
        <f>DISPIMG("ID_E181F7661A00473C8DB815C03BA8CE25",1)</f>
        <v/>
      </c>
      <c r="L358" t="inlineStr">
        <is>
          <t>CPCX|40-443</t>
        </is>
      </c>
      <c r="M358" t="inlineStr">
        <is>
          <t>Wiper Motor; Instruction Sheet</t>
        </is>
      </c>
      <c r="N358" t="inlineStr">
        <is>
          <t>Yes</t>
        </is>
      </c>
      <c r="O358" t="inlineStr">
        <is>
          <t>Remanufactured</t>
        </is>
      </c>
      <c r="P358" t="inlineStr">
        <is>
          <t>3</t>
        </is>
      </c>
      <c r="Q358" t="inlineStr">
        <is>
          <t>Blade</t>
        </is>
      </c>
      <c r="R358" t="inlineStr">
        <is>
          <t>Direct Bolt</t>
        </is>
      </c>
      <c r="S358" t="inlineStr">
        <is>
          <t>2.7500</t>
        </is>
      </c>
      <c r="T358" t="inlineStr">
        <is>
          <t>No</t>
        </is>
      </c>
      <c r="U358" t="inlineStr">
        <is>
          <t>1 Year/18,000 Mile</t>
        </is>
      </c>
      <c r="V358" t="inlineStr">
        <is>
          <t>Yes</t>
        </is>
      </c>
      <c r="W358" t="inlineStr">
        <is>
          <t>Available to Order</t>
        </is>
      </c>
      <c r="X358" t="inlineStr">
        <is>
          <t>Dodge Dakota 2011-97, Durango 2003-98; Jeep Grand Cherokee 2004-99, Liberty 2007-02; Mitsubishi Raider 2009-06; Ram Dakota 2011</t>
        </is>
      </c>
      <c r="Y358" t="inlineStr">
        <is>
          <t>00082617455350</t>
        </is>
      </c>
      <c r="Z358" t="inlineStr">
        <is>
          <t>40-443::98384:116522:510</t>
        </is>
      </c>
      <c r="AA358" t="inlineStr">
        <is>
          <t>Yes</t>
        </is>
      </c>
      <c r="AB358" t="inlineStr"/>
      <c r="AC358" t="inlineStr"/>
    </row>
    <row r="359">
      <c r="A359" t="inlineStr">
        <is>
          <t>358</t>
        </is>
      </c>
      <c r="B359" t="inlineStr">
        <is>
          <t>Windshield Wiper Motor</t>
        </is>
      </c>
      <c r="C359" t="inlineStr">
        <is>
          <t>40-444</t>
        </is>
      </c>
      <c r="D359" t="inlineStr">
        <is>
          <t>Windshield Wiper Motor - 40-444</t>
        </is>
      </c>
      <c r="E359" t="inlineStr">
        <is>
          <t>CARDONE Reman</t>
        </is>
      </c>
      <c r="F359" t="inlineStr">
        <is>
          <t>55154944AB;55154944</t>
        </is>
      </c>
      <c r="G359" t="inlineStr">
        <is>
          <t>Jeep Cherokee 1997-2001</t>
        </is>
      </c>
      <c r="H359" t="inlineStr">
        <is>
          <t>Jeep Cherokee 1997-2000 2.5L L4 150cid
Jeep Cherokee 1997-2001 4L L6 242cid</t>
        </is>
      </c>
      <c r="I359" t="inlineStr">
        <is>
          <t>{"0": {"productDeskExternalKey": "CPCX|40-444"}, "1": {"Package Contents": "Wiper Motor; Instruction Sheet"}, "2": {"E-Waste": "Yes"}, "3": {"Product Condition": "Remanufactured"}, "4": {"Mounting Hole Quantity": "2"}, "5": {"Terminal Type": "Blade"}, "6": {"Mounting Type": "Grommet"}, "7": {"Weight PG": "3.0000"}, "8": {"Washer Pump Included": "No"}, "9": {"Part Type": "Windshield Wiper Motor"}, "10": {"Warranty Info": "1 Year/18,000 Mile"}, "11": {"Sustainable Choice": "Yes"}, "12": {"Lifecycle Status": "Available to Order"}, "13": {"Application Summary": "Jeep Cherokee 2001-97"}, "14": {"ItemLevelGTIN": "00082617455367"}, "15": {"_addonCardone": "40-444::98384:116534:510"}, "16": {"Eligible for R&amp;R Service": "Yes"}}</t>
        </is>
      </c>
      <c r="J359" t="inlineStr">
        <is>
          <t>https://www.cardone.com/product/windshield-wiper-motor-40-444</t>
        </is>
      </c>
      <c r="K359">
        <f>DISPIMG("ID_941DB8E4F02B456384F0F823EA1197FE",1)</f>
        <v/>
      </c>
      <c r="L359" t="inlineStr">
        <is>
          <t>CPCX|40-444</t>
        </is>
      </c>
      <c r="M359" t="inlineStr">
        <is>
          <t>Wiper Motor; Instruction Sheet</t>
        </is>
      </c>
      <c r="N359" t="inlineStr">
        <is>
          <t>Yes</t>
        </is>
      </c>
      <c r="O359" t="inlineStr">
        <is>
          <t>Remanufactured</t>
        </is>
      </c>
      <c r="P359" t="inlineStr">
        <is>
          <t>2</t>
        </is>
      </c>
      <c r="Q359" t="inlineStr">
        <is>
          <t>Blade</t>
        </is>
      </c>
      <c r="R359" t="inlineStr">
        <is>
          <t>Grommet</t>
        </is>
      </c>
      <c r="S359" t="inlineStr">
        <is>
          <t>3.0000</t>
        </is>
      </c>
      <c r="T359" t="inlineStr">
        <is>
          <t>No</t>
        </is>
      </c>
      <c r="U359" t="inlineStr">
        <is>
          <t>1 Year/18,000 Mile</t>
        </is>
      </c>
      <c r="V359" t="inlineStr">
        <is>
          <t>Yes</t>
        </is>
      </c>
      <c r="W359" t="inlineStr">
        <is>
          <t>Available to Order</t>
        </is>
      </c>
      <c r="X359" t="inlineStr">
        <is>
          <t>Jeep Cherokee 2001-97</t>
        </is>
      </c>
      <c r="Y359" t="inlineStr">
        <is>
          <t>00082617455367</t>
        </is>
      </c>
      <c r="Z359" t="inlineStr">
        <is>
          <t>40-444::98384:116534:510</t>
        </is>
      </c>
      <c r="AA359" t="inlineStr">
        <is>
          <t>Yes</t>
        </is>
      </c>
      <c r="AB359" t="inlineStr"/>
      <c r="AC359" t="inlineStr"/>
    </row>
    <row r="360">
      <c r="A360" t="inlineStr">
        <is>
          <t>359</t>
        </is>
      </c>
      <c r="B360" t="inlineStr">
        <is>
          <t>Windshield Wiper Motor</t>
        </is>
      </c>
      <c r="C360" t="inlineStr">
        <is>
          <t>40-446</t>
        </is>
      </c>
      <c r="D360" t="inlineStr">
        <is>
          <t>Windshield Wiper Motor - 40-446</t>
        </is>
      </c>
      <c r="E360" t="inlineStr">
        <is>
          <t>CARDONE Reman</t>
        </is>
      </c>
      <c r="F360" t="inlineStr">
        <is>
          <t>55155040;55155040AB;55154787;56005194</t>
        </is>
      </c>
      <c r="G360" t="inlineStr">
        <is>
          <t>Jeep Grand Cherokee 1993-1998
Jeep Grand Wagoneer 1993</t>
        </is>
      </c>
      <c r="H360" t="inlineStr">
        <is>
          <t>Jeep Grand Cherokee 1993-1998 4L L6 242cid
Jeep Grand Cherokee 1993-1998 5.2L V8 318cid
Jeep Grand Cherokee 1998 5.9L V8 360cid
Jeep Grand Wagoneer 1993 5.2L V8 318cid</t>
        </is>
      </c>
      <c r="I360" t="inlineStr">
        <is>
          <t>{"0": {"productDeskExternalKey": "CPCX|40-446"}, "1": {"Package Contents": "Wiper Motor; Instruction Sheet"}, "2": {"E-Waste": "Yes"}, "3": {"Product Condition": "Remanufactured"}, "4": {"Mounting Hole Quantity": "2"}, "5": {"Terminal Type": "Blade"}, "6": {"Mounting Type": "Eyelet"}, "7": {"Weight PG": "2.6600"}, "8": {"Washer Pump Included": "No"}, "9": {"Part Type": "Windshield Wiper Motor"}, "10": {"Warranty Info": "1 Year/18,000 Mile"}, "11": {"Sustainable Choice": "Yes"}, "12": {"Lifecycle Status": "Available to Order"}, "13": {"Application Summary": "Jeep Grand Cherokee 1998-93, Grand Wagoneer 1993"}, "14": {"ItemLevelGTIN": "00082617455343"}, "15": {"_addonCardone": "40-446::98384:116548:510"}, "16": {"Eligible for R&amp;R Service": "Yes"}}</t>
        </is>
      </c>
      <c r="J360" t="inlineStr">
        <is>
          <t>https://www.cardone.com/product/windshield-wiper-motor-40-446</t>
        </is>
      </c>
      <c r="K360">
        <f>DISPIMG("ID_FAE73209AAB149FD9734ED88928B64E8",1)</f>
        <v/>
      </c>
      <c r="L360" t="inlineStr">
        <is>
          <t>CPCX|40-446</t>
        </is>
      </c>
      <c r="M360" t="inlineStr">
        <is>
          <t>Wiper Motor; Instruction Sheet</t>
        </is>
      </c>
      <c r="N360" t="inlineStr">
        <is>
          <t>Yes</t>
        </is>
      </c>
      <c r="O360" t="inlineStr">
        <is>
          <t>Remanufactured</t>
        </is>
      </c>
      <c r="P360" t="inlineStr">
        <is>
          <t>2</t>
        </is>
      </c>
      <c r="Q360" t="inlineStr">
        <is>
          <t>Blade</t>
        </is>
      </c>
      <c r="R360" t="inlineStr">
        <is>
          <t>Eyelet</t>
        </is>
      </c>
      <c r="S360" t="inlineStr">
        <is>
          <t>2.6600</t>
        </is>
      </c>
      <c r="T360" t="inlineStr">
        <is>
          <t>No</t>
        </is>
      </c>
      <c r="U360" t="inlineStr">
        <is>
          <t>1 Year/18,000 Mile</t>
        </is>
      </c>
      <c r="V360" t="inlineStr">
        <is>
          <t>Yes</t>
        </is>
      </c>
      <c r="W360" t="inlineStr">
        <is>
          <t>Available to Order</t>
        </is>
      </c>
      <c r="X360" t="inlineStr">
        <is>
          <t>Jeep Grand Cherokee 1998-93, Grand Wagoneer 1993</t>
        </is>
      </c>
      <c r="Y360" t="inlineStr">
        <is>
          <t>00082617455343</t>
        </is>
      </c>
      <c r="Z360" t="inlineStr">
        <is>
          <t>40-446::98384:116548:510</t>
        </is>
      </c>
      <c r="AA360" t="inlineStr">
        <is>
          <t>Yes</t>
        </is>
      </c>
      <c r="AB360" t="inlineStr"/>
      <c r="AC360" t="inlineStr"/>
    </row>
    <row r="361">
      <c r="A361" t="inlineStr">
        <is>
          <t>360</t>
        </is>
      </c>
      <c r="B361" t="inlineStr">
        <is>
          <t>Windshield Wiper Motor</t>
        </is>
      </c>
      <c r="C361" t="inlineStr">
        <is>
          <t>40-447</t>
        </is>
      </c>
      <c r="D361" t="inlineStr">
        <is>
          <t>Windshield Wiper Motor - 40-447</t>
        </is>
      </c>
      <c r="E361" t="inlineStr">
        <is>
          <t>CARDONE Reman</t>
        </is>
      </c>
      <c r="F361" t="inlineStr">
        <is>
          <t>55155300AB;55155297AB</t>
        </is>
      </c>
      <c r="G361" t="inlineStr">
        <is>
          <t>Jeep Cherokee 2000-2001</t>
        </is>
      </c>
      <c r="H361" t="inlineStr">
        <is>
          <t>Jeep Cherokee 2000 2.5L L4 150cid
Jeep Cherokee 2000-2001 4L L6 242cid</t>
        </is>
      </c>
      <c r="I361" t="inlineStr">
        <is>
          <t>{"0": {"productDeskExternalKey": "CPCX|40-447"},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"Jeep Cherokee 2001-00"}, "14": {"ItemLevelGTIN": "00082617587563"}, "15": {"_addonCardone": "40-447::98384:116560:510"}, "16": {"Eligible for R&amp;R Service": "Yes"}}</t>
        </is>
      </c>
      <c r="J361" t="inlineStr">
        <is>
          <t>https://www.cardone.com/product/windshield-wiper-motor-40-447</t>
        </is>
      </c>
      <c r="K361">
        <f>DISPIMG("ID_00DA6E50F7404490A150ADB24E1B193A",1)</f>
        <v/>
      </c>
      <c r="L361" t="inlineStr">
        <is>
          <t>CPCX|40-447</t>
        </is>
      </c>
      <c r="M361" t="inlineStr">
        <is>
          <t>Wiper Motor; Instruction Sheet</t>
        </is>
      </c>
      <c r="N361" t="inlineStr">
        <is>
          <t>Yes</t>
        </is>
      </c>
      <c r="O361" t="inlineStr">
        <is>
          <t>Remanufactured</t>
        </is>
      </c>
      <c r="P361" t="inlineStr">
        <is>
          <t>3</t>
        </is>
      </c>
      <c r="Q361" t="inlineStr">
        <is>
          <t>Blade</t>
        </is>
      </c>
      <c r="R361" t="inlineStr">
        <is>
          <t>Direct Bolt</t>
        </is>
      </c>
      <c r="S361" t="inlineStr">
        <is>
          <t>2.7500</t>
        </is>
      </c>
      <c r="T361" t="inlineStr">
        <is>
          <t>No</t>
        </is>
      </c>
      <c r="U361" t="inlineStr">
        <is>
          <t>1 Year/18,000 Mile</t>
        </is>
      </c>
      <c r="V361" t="inlineStr">
        <is>
          <t>Yes</t>
        </is>
      </c>
      <c r="W361" t="inlineStr">
        <is>
          <t>Available to Order</t>
        </is>
      </c>
      <c r="X361" t="inlineStr">
        <is>
          <t>Jeep Cherokee 2001-00</t>
        </is>
      </c>
      <c r="Y361" t="inlineStr">
        <is>
          <t>00082617587563</t>
        </is>
      </c>
      <c r="Z361" t="inlineStr">
        <is>
          <t>40-447::98384:116560:510</t>
        </is>
      </c>
      <c r="AA361" t="inlineStr">
        <is>
          <t>Yes</t>
        </is>
      </c>
      <c r="AB361" t="inlineStr"/>
      <c r="AC361" t="inlineStr"/>
    </row>
    <row r="362">
      <c r="A362" t="inlineStr">
        <is>
          <t>361</t>
        </is>
      </c>
      <c r="B362" t="inlineStr">
        <is>
          <t>Windshield Wiper Motor</t>
        </is>
      </c>
      <c r="C362" t="inlineStr">
        <is>
          <t>40-449</t>
        </is>
      </c>
      <c r="D362" t="inlineStr">
        <is>
          <t>Windshield Wiper Motor - 40-449</t>
        </is>
      </c>
      <c r="E362" t="inlineStr">
        <is>
          <t>CARDONE Reman</t>
        </is>
      </c>
      <c r="F362" t="inlineStr">
        <is>
          <t>55155322;55155322AC</t>
        </is>
      </c>
      <c r="G362" t="inlineStr">
        <is>
          <t>Jeep TJ 1997-2002
Jeep Wrangler 1997-2002</t>
        </is>
      </c>
      <c r="H362" t="inlineStr">
        <is>
          <t>Jeep TJ 1997-2002 2.5L L4 150cid
Jeep TJ 1997-2002 4L L6 242cid
Jeep Wrangler 1997-2002 2.5L L4 150cid
Jeep Wrangler 1997-2002 4L L6 242cid</t>
        </is>
      </c>
      <c r="I362" t="inlineStr">
        <is>
          <t>{"0": {"productDeskExternalKey": "CPCX|40-449"}, "1": {"Package Contents": "Wiper Motor; Instruction Sheet"}, "2": {"E-Waste": "Yes"}, "3": {"Product Condition": "Remanufactured"}, "4": {"Mounting Hole Quantity": "3"}, "5": {"Terminal Type": "Blade"}, "6": {"Mounting Type": "Direct Bolt"}, "7": {"Weight PG": "1.8000"}, "8": {"Washer Pump Included": "No"}, "9": {"Part Type": "Windshield Wiper Motor"}, "10": {"Warranty Info": "1 Year/18,000 Mile"}, "11": {"Sustainable Choice": "Yes"}, "12": {"Lifecycle Status": "Available to Order"}, "13": {"Application Summary": "Jeep TJ 2002-97, Wrangler 2002-97"}, "14": {"ItemLevelGTIN": "00082617587631"}, "15": {"_addonCardone": "40-449::98384:116574:510"}, "16": {"Eligible for R&amp;R Service": "Yes"}}</t>
        </is>
      </c>
      <c r="J362" t="inlineStr">
        <is>
          <t>https://www.cardone.com/product/windshield-wiper-motor-40-449</t>
        </is>
      </c>
      <c r="K362">
        <f>DISPIMG("ID_334C2D2AAE6841639660D5E8FCAEEC96",1)</f>
        <v/>
      </c>
      <c r="L362" t="inlineStr">
        <is>
          <t>CPCX|40-449</t>
        </is>
      </c>
      <c r="M362" t="inlineStr">
        <is>
          <t>Wiper Motor; Instruction Sheet</t>
        </is>
      </c>
      <c r="N362" t="inlineStr">
        <is>
          <t>Yes</t>
        </is>
      </c>
      <c r="O362" t="inlineStr">
        <is>
          <t>Remanufactured</t>
        </is>
      </c>
      <c r="P362" t="inlineStr">
        <is>
          <t>3</t>
        </is>
      </c>
      <c r="Q362" t="inlineStr">
        <is>
          <t>Blade</t>
        </is>
      </c>
      <c r="R362" t="inlineStr">
        <is>
          <t>Direct Bolt</t>
        </is>
      </c>
      <c r="S362" t="inlineStr">
        <is>
          <t>1.8000</t>
        </is>
      </c>
      <c r="T362" t="inlineStr">
        <is>
          <t>No</t>
        </is>
      </c>
      <c r="U362" t="inlineStr">
        <is>
          <t>1 Year/18,000 Mile</t>
        </is>
      </c>
      <c r="V362" t="inlineStr">
        <is>
          <t>Yes</t>
        </is>
      </c>
      <c r="W362" t="inlineStr">
        <is>
          <t>Available to Order</t>
        </is>
      </c>
      <c r="X362" t="inlineStr">
        <is>
          <t>Jeep TJ 2002-97, Wrangler 2002-97</t>
        </is>
      </c>
      <c r="Y362" t="inlineStr">
        <is>
          <t>00082617587631</t>
        </is>
      </c>
      <c r="Z362" t="inlineStr">
        <is>
          <t>40-449::98384:116574:510</t>
        </is>
      </c>
      <c r="AA362" t="inlineStr">
        <is>
          <t>Yes</t>
        </is>
      </c>
      <c r="AB362" t="inlineStr"/>
      <c r="AC362" t="inlineStr"/>
    </row>
    <row r="363">
      <c r="A363" t="inlineStr">
        <is>
          <t>362</t>
        </is>
      </c>
      <c r="B363" t="inlineStr">
        <is>
          <t>Windshield Wiper Motor</t>
        </is>
      </c>
      <c r="C363" t="inlineStr">
        <is>
          <t>40-450</t>
        </is>
      </c>
      <c r="D363" t="inlineStr">
        <is>
          <t>Windshield Wiper Motor - 40-450</t>
        </is>
      </c>
      <c r="E363" t="inlineStr">
        <is>
          <t>CARDONE Reman</t>
        </is>
      </c>
      <c r="F363" t="inlineStr">
        <is>
          <t>55155884AC;55155884AA;55155122AD;55155122AG;55155122AF;55155122AC;55155884AB</t>
        </is>
      </c>
      <c r="G363" t="inlineStr">
        <is>
          <t>Jeep Grand Cherokee 1999-2004
Jeep Liberty 2002-2007</t>
        </is>
      </c>
      <c r="H363" t="inlineStr">
        <is>
          <t>Jeep Grand Cherokee 1999-2004 4.7L V8 287cid
Jeep Grand Cherokee 1999-2004 4L L6 242cid
Jeep Liberty 2002-2005 2.4L L4 148cid
Jeep Liberty 2002-2007 3.7L V6 226cid
Jeep Liberty 2005-2006 2.8L L4 171cid</t>
        </is>
      </c>
      <c r="I363" t="inlineStr">
        <is>
          <t>{"0": {"productDeskExternalKey": "CPCX|40-450"}, "1": {"Package Contents": "Wiper Motor; Instruction Sheet"}, "2": {"E-Waste": "Yes"}, "3": {"Product Condition": "Remanufactured"}, "4": {"Mounting Hole Quantity": "2"}, "5": {"Terminal Type": "Blade"}, "6": {"Mounting Type": "Grommet"}, "7": {"Weight PG": "2.0000"}, "8": {"Washer Pump Included": "No"}, "9": {"Part Type": "Windshield Wiper Motor"}, "10": {"Warranty Info": "1 Year/18,000 Mile"}, "11": {"Sustainable Choice": "Yes"}, "12": {"Lifecycle Status": "Available to Order"}, "13": {"Application Summary": "Jeep Grand Cherokee 2004-99, Liberty 2007-02"}, "14": {"ItemLevelGTIN": "00082617617291"}, "15": {"_addonCardone": "40-450::98384:116589:510"}, "16": {"Eligible for R&amp;R Service": "Yes"}}</t>
        </is>
      </c>
      <c r="J363" t="inlineStr">
        <is>
          <t>https://www.cardone.com/product/windshield-wiper-motor-40-450</t>
        </is>
      </c>
      <c r="K363">
        <f>DISPIMG("ID_9C30386AAB844B53B6753A744672A76B",1)</f>
        <v/>
      </c>
      <c r="L363" t="inlineStr">
        <is>
          <t>CPCX|40-450</t>
        </is>
      </c>
      <c r="M363" t="inlineStr">
        <is>
          <t>Wiper Motor; Instruction Sheet</t>
        </is>
      </c>
      <c r="N363" t="inlineStr">
        <is>
          <t>Yes</t>
        </is>
      </c>
      <c r="O363" t="inlineStr">
        <is>
          <t>Remanufactured</t>
        </is>
      </c>
      <c r="P363" t="inlineStr">
        <is>
          <t>2</t>
        </is>
      </c>
      <c r="Q363" t="inlineStr">
        <is>
          <t>Blade</t>
        </is>
      </c>
      <c r="R363" t="inlineStr">
        <is>
          <t>Grommet</t>
        </is>
      </c>
      <c r="S363" t="inlineStr">
        <is>
          <t>2.0000</t>
        </is>
      </c>
      <c r="T363" t="inlineStr">
        <is>
          <t>No</t>
        </is>
      </c>
      <c r="U363" t="inlineStr">
        <is>
          <t>1 Year/18,000 Mile</t>
        </is>
      </c>
      <c r="V363" t="inlineStr">
        <is>
          <t>Yes</t>
        </is>
      </c>
      <c r="W363" t="inlineStr">
        <is>
          <t>Available to Order</t>
        </is>
      </c>
      <c r="X363" t="inlineStr">
        <is>
          <t>Jeep Grand Cherokee 2004-99, Liberty 2007-02</t>
        </is>
      </c>
      <c r="Y363" t="inlineStr">
        <is>
          <t>00082617617291</t>
        </is>
      </c>
      <c r="Z363" t="inlineStr">
        <is>
          <t>40-450::98384:116589:510</t>
        </is>
      </c>
      <c r="AA363" t="inlineStr">
        <is>
          <t>Yes</t>
        </is>
      </c>
      <c r="AB363" t="inlineStr"/>
      <c r="AC363" t="inlineStr"/>
    </row>
    <row r="364">
      <c r="A364" t="inlineStr">
        <is>
          <t>363</t>
        </is>
      </c>
      <c r="B364" t="inlineStr">
        <is>
          <t>Windshield Wiper Motor</t>
        </is>
      </c>
      <c r="C364" t="inlineStr">
        <is>
          <t>40-453</t>
        </is>
      </c>
      <c r="D364" t="inlineStr">
        <is>
          <t>Windshield Wiper Motor - 40-453</t>
        </is>
      </c>
      <c r="E364" t="inlineStr">
        <is>
          <t>CARDONE Reman</t>
        </is>
      </c>
      <c r="F364" t="inlineStr">
        <is>
          <t>55156374AC</t>
        </is>
      </c>
      <c r="G364" t="inlineStr">
        <is>
          <t>Jeep TJ 2003-2006
Jeep Wrangler 2003-2006</t>
        </is>
      </c>
      <c r="H364" t="inlineStr">
        <is>
          <t>Jeep TJ 2003-2006 2.4L L4 148cid
Jeep TJ 2003-2006 4L L6 242cid
Jeep Wrangler 2003-2006 2.4L L4 148cid
Jeep Wrangler 2003-2006 4L L6 242cid</t>
        </is>
      </c>
      <c r="I364" t="inlineStr">
        <is>
          <t>{"0": {"productDeskExternalKey": "CPCX|40-453"},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"Jeep TJ 2006-03, Wrangler 2006-03"}, "14": {"ItemLevelGTIN": "00082617676069"}, "15": {"_addonCardone": "40-453::98384:116604:510"}, "16": {"Eligible for R&amp;R Service": "Yes"}}</t>
        </is>
      </c>
      <c r="J364" t="inlineStr">
        <is>
          <t>https://www.cardone.com/product/windshield-wiper-motor-40-453</t>
        </is>
      </c>
      <c r="K364">
        <f>DISPIMG("ID_BC5B4585146B4213931BD3CEAE3E12B7",1)</f>
        <v/>
      </c>
      <c r="L364" t="inlineStr">
        <is>
          <t>CPCX|40-453</t>
        </is>
      </c>
      <c r="M364" t="inlineStr">
        <is>
          <t>Wiper Motor; Instruction Sheet</t>
        </is>
      </c>
      <c r="N364" t="inlineStr">
        <is>
          <t>Yes</t>
        </is>
      </c>
      <c r="O364" t="inlineStr">
        <is>
          <t>Remanufactured</t>
        </is>
      </c>
      <c r="P364" t="inlineStr">
        <is>
          <t>3</t>
        </is>
      </c>
      <c r="Q364" t="inlineStr">
        <is>
          <t>Blade</t>
        </is>
      </c>
      <c r="R364" t="inlineStr">
        <is>
          <t>Direct Bolt</t>
        </is>
      </c>
      <c r="S364" t="inlineStr">
        <is>
          <t>3.0000</t>
        </is>
      </c>
      <c r="T364" t="inlineStr">
        <is>
          <t>No</t>
        </is>
      </c>
      <c r="U364" t="inlineStr">
        <is>
          <t>1 Year/18,000 Mile</t>
        </is>
      </c>
      <c r="V364" t="inlineStr">
        <is>
          <t>Yes</t>
        </is>
      </c>
      <c r="W364" t="inlineStr">
        <is>
          <t>Available to Order</t>
        </is>
      </c>
      <c r="X364" t="inlineStr">
        <is>
          <t>Jeep TJ 2006-03, Wrangler 2006-03</t>
        </is>
      </c>
      <c r="Y364" t="inlineStr">
        <is>
          <t>00082617676069</t>
        </is>
      </c>
      <c r="Z364" t="inlineStr">
        <is>
          <t>40-453::98384:116604:510</t>
        </is>
      </c>
      <c r="AA364" t="inlineStr">
        <is>
          <t>Yes</t>
        </is>
      </c>
      <c r="AB364" t="inlineStr"/>
      <c r="AC364" t="inlineStr"/>
    </row>
    <row r="365">
      <c r="A365" t="inlineStr">
        <is>
          <t>364</t>
        </is>
      </c>
      <c r="B365" t="inlineStr">
        <is>
          <t>Windshield Wiper Motor</t>
        </is>
      </c>
      <c r="C365" t="inlineStr">
        <is>
          <t>40-454</t>
        </is>
      </c>
      <c r="D365" t="inlineStr">
        <is>
          <t>Windshield Wiper Motor - 40-454</t>
        </is>
      </c>
      <c r="E365" t="inlineStr">
        <is>
          <t>CARDONE Reman</t>
        </is>
      </c>
      <c r="F365" t="inlineStr">
        <is>
          <t>55156278AA</t>
        </is>
      </c>
      <c r="G365" t="inlineStr">
        <is>
          <t>Jeep TJ 2003-2006
Jeep Wrangler 2003-2006</t>
        </is>
      </c>
      <c r="H365" t="inlineStr">
        <is>
          <t>Jeep TJ 2003-2006 2.4L L4 148cid
Jeep TJ 2003-2006 4L L6 242cid
Jeep Wrangler 2003-2006 2.4L L4 148cid
Jeep Wrangler 2003-2006 4L L6 242cid</t>
        </is>
      </c>
      <c r="I365" t="inlineStr">
        <is>
          <t>{"0": {"productDeskExternalKey": "CPCX|40-454"}, "1": {"Package Contents": "Wiper Motor; Instruction Sheet"}, "2": {"E-Waste": "Yes"}, "3": {"Product Condition": "Remanufactured"}, "4": {"Mounting Hole Quantity": "1"}, "5": {"Terminal Type": "Blade"}, "6": {"Mounting Type": "Eyelet; Grommet"}, "7": {"Washer Pump Included": "No"}, "8": {"Part Type": "Windshield Wiper Motor"}, "9": {"Warranty Info": "1 Year/18,000 Mile"}, "10": {"Sustainable Choice": "Yes"}, "11": {"Lifecycle Status": "Available to Order"}, "12": {"Application Summary": "Jeep TJ 2006-03, Wrangler 2006-03"}, "13": {"Weight PG": "2.5000"}, "14": {"ItemLevelGTIN": "00082617715997"}, "15": {"_addonCardone": "40-454::98384:116618:510"}, "16": {"Eligible for R&amp;R Service": "Yes"}}</t>
        </is>
      </c>
      <c r="J365" t="inlineStr">
        <is>
          <t>https://www.cardone.com/product/windshield-wiper-motor-40-454</t>
        </is>
      </c>
      <c r="K365">
        <f>DISPIMG("ID_027AD9B1AAA140678CCB4E3DA01AFF4E",1)</f>
        <v/>
      </c>
      <c r="L365" t="inlineStr">
        <is>
          <t>CPCX|40-454</t>
        </is>
      </c>
      <c r="M365" t="inlineStr">
        <is>
          <t>Wiper Motor; Instruction Sheet</t>
        </is>
      </c>
      <c r="N365" t="inlineStr">
        <is>
          <t>Yes</t>
        </is>
      </c>
      <c r="O365" t="inlineStr">
        <is>
          <t>Remanufactured</t>
        </is>
      </c>
      <c r="P365" t="inlineStr">
        <is>
          <t>1</t>
        </is>
      </c>
      <c r="Q365" t="inlineStr">
        <is>
          <t>Blade</t>
        </is>
      </c>
      <c r="R365" t="inlineStr">
        <is>
          <t>Eyelet; Grommet</t>
        </is>
      </c>
      <c r="S365" t="inlineStr">
        <is>
          <t>2.5000</t>
        </is>
      </c>
      <c r="T365" t="inlineStr">
        <is>
          <t>No</t>
        </is>
      </c>
      <c r="U365" t="inlineStr">
        <is>
          <t>1 Year/18,000 Mile</t>
        </is>
      </c>
      <c r="V365" t="inlineStr">
        <is>
          <t>Yes</t>
        </is>
      </c>
      <c r="W365" t="inlineStr">
        <is>
          <t>Available to Order</t>
        </is>
      </c>
      <c r="X365" t="inlineStr">
        <is>
          <t>Jeep TJ 2006-03, Wrangler 2006-03</t>
        </is>
      </c>
      <c r="Y365" t="inlineStr">
        <is>
          <t>00082617715997</t>
        </is>
      </c>
      <c r="Z365" t="inlineStr">
        <is>
          <t>40-454::98384:116618:510</t>
        </is>
      </c>
      <c r="AA365" t="inlineStr">
        <is>
          <t>Yes</t>
        </is>
      </c>
      <c r="AB365" t="inlineStr"/>
      <c r="AC365" t="inlineStr"/>
    </row>
    <row r="366">
      <c r="A366" t="inlineStr">
        <is>
          <t>365</t>
        </is>
      </c>
      <c r="B366" t="inlineStr">
        <is>
          <t>Windshield Wiper Motor</t>
        </is>
      </c>
      <c r="C366" t="inlineStr">
        <is>
          <t>40-455</t>
        </is>
      </c>
      <c r="D366" t="inlineStr">
        <is>
          <t>Windshield Wiper Motor - 40-455</t>
        </is>
      </c>
      <c r="E366" t="inlineStr">
        <is>
          <t>CARDONE Reman</t>
        </is>
      </c>
      <c r="F366" t="inlineStr">
        <is>
          <t>55156325AB;55156325AC;55156325AD</t>
        </is>
      </c>
      <c r="G366" t="inlineStr">
        <is>
          <t>Jeep Commander 2006-2010
Jeep Grand Cherokee 2005-2010</t>
        </is>
      </c>
      <c r="H366" t="inlineStr">
        <is>
          <t>Jeep Commander 2006-2010 3.7L V6 226cid
Jeep Commander 2006-2010 4.7L V8 287cid
Jeep Commander 2006-2010 5.7L V8 345cid
Jeep Grand Cherokee 2005-2010 3.7L V6 226cid
Jeep Grand Cherokee 2005-2010 4.7L V8 287cid
Jeep Grand Cherokee 2005-2010 5.7L V8 345cid
Jeep Grand Cherokee 2006-2010 6.1L V8 370cid
Jeep Grand Cherokee 2007-2010 3L V6 182cid</t>
        </is>
      </c>
      <c r="I366" t="inlineStr">
        <is>
          <t>{"0": {"productDeskExternalKey": "CPCX|40-455"}, "1": {"Package Contents": "Wiper Motor; Instruction Sheet"}, "2": {"E-Waste": "Yes"}, "3": {"Product Condition": "Remanufactured"}, "4": {"Mounting Hole Quantity": "2"}, "5": {"Terminal Type": "Blade"}, "6": {"Mounting Type": "Eyelet; Grommet"}, "7": {"Weight PG": "3.0000"}, "8": {"Washer Pump Included": "No"}, "9": {"Part Type": "Windshield Wiper Motor"}, "10": {"Warranty Info": "1 Year/18,000 Mile"}, "11": {"Sustainable Choice": "Yes"}, "12": {"Lifecycle Status": "Available to Order"}, "13": {"Application Summary": "Jeep Commander 2010-06, Grand Cherokee 2010-05"}, "14": {"ItemLevelGTIN": "00082617751179"}, "15": {"_addonCardone": "40-455::98384:116634:510"}, "16": {"Eligible for R&amp;R Service": "Yes"}}</t>
        </is>
      </c>
      <c r="J366" t="inlineStr">
        <is>
          <t>https://www.cardone.com/product/windshield-wiper-motor-40-455</t>
        </is>
      </c>
      <c r="K366">
        <f>DISPIMG("ID_5B19602AE3154C5D9A58BC0E9AD292E0",1)</f>
        <v/>
      </c>
      <c r="L366" t="inlineStr">
        <is>
          <t>CPCX|40-455</t>
        </is>
      </c>
      <c r="M366" t="inlineStr">
        <is>
          <t>Wiper Motor; Instruction Sheet</t>
        </is>
      </c>
      <c r="N366" t="inlineStr">
        <is>
          <t>Yes</t>
        </is>
      </c>
      <c r="O366" t="inlineStr">
        <is>
          <t>Remanufactured</t>
        </is>
      </c>
      <c r="P366" t="inlineStr">
        <is>
          <t>2</t>
        </is>
      </c>
      <c r="Q366" t="inlineStr">
        <is>
          <t>Blade</t>
        </is>
      </c>
      <c r="R366" t="inlineStr">
        <is>
          <t>Eyelet; Grommet</t>
        </is>
      </c>
      <c r="S366" t="inlineStr">
        <is>
          <t>3.0000</t>
        </is>
      </c>
      <c r="T366" t="inlineStr">
        <is>
          <t>No</t>
        </is>
      </c>
      <c r="U366" t="inlineStr">
        <is>
          <t>1 Year/18,000 Mile</t>
        </is>
      </c>
      <c r="V366" t="inlineStr">
        <is>
          <t>Yes</t>
        </is>
      </c>
      <c r="W366" t="inlineStr">
        <is>
          <t>Available to Order</t>
        </is>
      </c>
      <c r="X366" t="inlineStr">
        <is>
          <t>Jeep Commander 2010-06, Grand Cherokee 2010-05</t>
        </is>
      </c>
      <c r="Y366" t="inlineStr">
        <is>
          <t>00082617751179</t>
        </is>
      </c>
      <c r="Z366" t="inlineStr">
        <is>
          <t>40-455::98384:116634:510</t>
        </is>
      </c>
      <c r="AA366" t="inlineStr">
        <is>
          <t>Yes</t>
        </is>
      </c>
      <c r="AB366" t="inlineStr"/>
      <c r="AC366" t="inlineStr"/>
    </row>
    <row r="367">
      <c r="A367" t="inlineStr">
        <is>
          <t>366</t>
        </is>
      </c>
      <c r="B367" t="inlineStr">
        <is>
          <t>Windshield Wiper Motor</t>
        </is>
      </c>
      <c r="C367" t="inlineStr">
        <is>
          <t>40-456</t>
        </is>
      </c>
      <c r="D367" t="inlineStr">
        <is>
          <t>Windshield Wiper Motor - 40-456</t>
        </is>
      </c>
      <c r="E367" t="inlineStr">
        <is>
          <t>CARDONE Reman</t>
        </is>
      </c>
      <c r="F367" t="inlineStr">
        <is>
          <t>5116146AE;5116146AA;5116146AC</t>
        </is>
      </c>
      <c r="G367" t="inlineStr">
        <is>
          <t>Dodge Caliber 2007-2012
Jeep Compass 2007-2017
Jeep Patriot 2007-2017</t>
        </is>
      </c>
      <c r="H367" t="inlineStr">
        <is>
          <t>Dodge Caliber 2007-2009 1.8L L4 110cid
Dodge Caliber 2007-2012 2.4L L4 144cid
Dodge Caliber 2007-2012 2L L4 122cid
Jeep Compass 2007-2017 2.4L L4 144cid
Jeep Compass 2007-2017 2L L4 122cid
Jeep Patriot 2007-2017 2.4L L4 144cid
Jeep Patriot 2007-2017 2L L4 122cid</t>
        </is>
      </c>
      <c r="I367" t="inlineStr">
        <is>
          <t>{"0": {"productDeskExternalKey": "CPCX|40-456"}, "1": {"Package Contents": "Wiper Motor; Instruction Sheet"}, "2": {"E-Waste": "Yes"}, "3": {"Product Condition": "Remanufactured"}, "4": {"Mounting Hole Quantity": "3"}, "5": {"Terminal Type": "Blade"}, "6": {"Mounting Type": "Grommet"}, "7": {"Weight PG": "1.9500"}, "8": {"Washer Pump Included": "No"}, "9": {"Part Type": "Windshield Wiper Motor"}, "10": {"Warranty Info": "1 Year/18,000 Mile"}, "11": {"Sustainable Choice": "Yes"}, "12": {"Lifecycle Status": "Available to Order"}, "13": {"Application Summary": "Dodge Caliber 2012-07; Jeep Compass 2017-07, Patriot 2017-07"}, "14": {"ItemLevelGTIN": "00082617776844"}, "15": {"_addonCardone": "40-456::98384:116649:510"}, "16": {"Eligible for R&amp;R Service": "Yes"}}</t>
        </is>
      </c>
      <c r="J367" t="inlineStr">
        <is>
          <t>https://www.cardone.com/product/windshield-wiper-motor-40-456</t>
        </is>
      </c>
      <c r="K367">
        <f>DISPIMG("ID_77947D805A2246328558B45D45D27260",1)</f>
        <v/>
      </c>
      <c r="L367" t="inlineStr">
        <is>
          <t>CPCX|40-456</t>
        </is>
      </c>
      <c r="M367" t="inlineStr">
        <is>
          <t>Wiper Motor; Instruction Sheet</t>
        </is>
      </c>
      <c r="N367" t="inlineStr">
        <is>
          <t>Yes</t>
        </is>
      </c>
      <c r="O367" t="inlineStr">
        <is>
          <t>Remanufactured</t>
        </is>
      </c>
      <c r="P367" t="inlineStr">
        <is>
          <t>3</t>
        </is>
      </c>
      <c r="Q367" t="inlineStr">
        <is>
          <t>Blade</t>
        </is>
      </c>
      <c r="R367" t="inlineStr">
        <is>
          <t>Grommet</t>
        </is>
      </c>
      <c r="S367" t="inlineStr">
        <is>
          <t>1.9500</t>
        </is>
      </c>
      <c r="T367" t="inlineStr">
        <is>
          <t>No</t>
        </is>
      </c>
      <c r="U367" t="inlineStr">
        <is>
          <t>1 Year/18,000 Mile</t>
        </is>
      </c>
      <c r="V367" t="inlineStr">
        <is>
          <t>Yes</t>
        </is>
      </c>
      <c r="W367" t="inlineStr">
        <is>
          <t>Available to Order</t>
        </is>
      </c>
      <c r="X367" t="inlineStr">
        <is>
          <t>Dodge Caliber 2012-07; Jeep Compass 2017-07, Patriot 2017-07</t>
        </is>
      </c>
      <c r="Y367" t="inlineStr">
        <is>
          <t>00082617776844</t>
        </is>
      </c>
      <c r="Z367" t="inlineStr">
        <is>
          <t>40-456::98384:116649:510</t>
        </is>
      </c>
      <c r="AA367" t="inlineStr">
        <is>
          <t>Yes</t>
        </is>
      </c>
      <c r="AB367" t="inlineStr"/>
      <c r="AC367" t="inlineStr"/>
    </row>
    <row r="368">
      <c r="A368" t="inlineStr">
        <is>
          <t>367</t>
        </is>
      </c>
      <c r="B368" t="inlineStr">
        <is>
          <t>Windshield Wiper Motor</t>
        </is>
      </c>
      <c r="C368" t="inlineStr">
        <is>
          <t>40-457</t>
        </is>
      </c>
      <c r="D368" t="inlineStr">
        <is>
          <t>Windshield Wiper Motor - 40-457</t>
        </is>
      </c>
      <c r="E368" t="inlineStr">
        <is>
          <t>CARDONE Reman</t>
        </is>
      </c>
      <c r="F368" t="inlineStr">
        <is>
          <t>55156851AE;55156851AB;55156313AB;5183007AA;55156851AC</t>
        </is>
      </c>
      <c r="G368" t="inlineStr">
        <is>
          <t>Jeep Commander 2006-2007
Jeep Grand Cherokee 2005-2007</t>
        </is>
      </c>
      <c r="H368" t="inlineStr">
        <is>
          <t>Jeep Commander 2006-2007 3.7L V6 226cid
Jeep Commander 2006-2007 4.7L V8 287cid
Jeep Commander 2006-2007 5.7L V8 345cid
Jeep Grand Cherokee 2005-2007 3.7L V6 226cid
Jeep Grand Cherokee 2005-2007 4.7L V8 287cid
Jeep Grand Cherokee 2005-2007 5.7L V8 345cid
Jeep Grand Cherokee 2006-2007 6.1L V8 370cid
Jeep Grand Cherokee 2007 3L V6 182cid</t>
        </is>
      </c>
      <c r="I368" t="inlineStr">
        <is>
          <t>{"0": {"productDeskExternalKey": "CPCX|40-457"},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"Jeep Commander 2007-06, Grand Cherokee 2007-05"}, "14": {"ItemLevelGTIN": "00082617788052"}, "15": {"_addonCardone": "40-457::98384:116667:510"}, "16": {"Eligible for R&amp;R Service": "Yes"}}</t>
        </is>
      </c>
      <c r="J368" t="inlineStr">
        <is>
          <t>https://www.cardone.com/product/windshield-wiper-motor-40-457</t>
        </is>
      </c>
      <c r="K368">
        <f>DISPIMG("ID_8BA1F6BA0DC44BB3A52051419FA5C221",1)</f>
        <v/>
      </c>
      <c r="L368" t="inlineStr">
        <is>
          <t>CPCX|40-457</t>
        </is>
      </c>
      <c r="M368" t="inlineStr">
        <is>
          <t>Wiper Motor; Instruction Sheet</t>
        </is>
      </c>
      <c r="N368" t="inlineStr">
        <is>
          <t>Yes</t>
        </is>
      </c>
      <c r="O368" t="inlineStr">
        <is>
          <t>Remanufactured</t>
        </is>
      </c>
      <c r="P368" t="inlineStr">
        <is>
          <t>3</t>
        </is>
      </c>
      <c r="Q368" t="inlineStr">
        <is>
          <t>Blade</t>
        </is>
      </c>
      <c r="R368" t="inlineStr">
        <is>
          <t>Direct Bolt</t>
        </is>
      </c>
      <c r="S368" t="inlineStr">
        <is>
          <t>3.0000</t>
        </is>
      </c>
      <c r="T368" t="inlineStr">
        <is>
          <t>No</t>
        </is>
      </c>
      <c r="U368" t="inlineStr">
        <is>
          <t>1 Year/18,000 Mile</t>
        </is>
      </c>
      <c r="V368" t="inlineStr">
        <is>
          <t>Yes</t>
        </is>
      </c>
      <c r="W368" t="inlineStr">
        <is>
          <t>Available to Order</t>
        </is>
      </c>
      <c r="X368" t="inlineStr">
        <is>
          <t>Jeep Commander 2007-06, Grand Cherokee 2007-05</t>
        </is>
      </c>
      <c r="Y368" t="inlineStr">
        <is>
          <t>00082617788052</t>
        </is>
      </c>
      <c r="Z368" t="inlineStr">
        <is>
          <t>40-457::98384:116667:510</t>
        </is>
      </c>
      <c r="AA368" t="inlineStr">
        <is>
          <t>Yes</t>
        </is>
      </c>
      <c r="AB368" t="inlineStr"/>
      <c r="AC368" t="inlineStr"/>
    </row>
    <row r="369">
      <c r="A369" t="inlineStr">
        <is>
          <t>368</t>
        </is>
      </c>
      <c r="B369" t="inlineStr">
        <is>
          <t>Windshield Wiper Motor</t>
        </is>
      </c>
      <c r="C369" t="inlineStr">
        <is>
          <t>40-458</t>
        </is>
      </c>
      <c r="D369" t="inlineStr">
        <is>
          <t>Windshield Wiper Motor - 40-458</t>
        </is>
      </c>
      <c r="E369" t="inlineStr">
        <is>
          <t>CARDONE Reman</t>
        </is>
      </c>
      <c r="F369" t="inlineStr">
        <is>
          <t>55077859AC;55077859AD;68002388AA;55077859AB</t>
        </is>
      </c>
      <c r="G369" t="inlineStr">
        <is>
          <t>Jeep Wrangler 2007-2017
Jeep Wrangler JK 2018</t>
        </is>
      </c>
      <c r="H369" t="inlineStr">
        <is>
          <t>Jeep Wrangler 2007-2011 3.8L V6 231cid
Jeep Wrangler 2012-2017 3.6L V6 220cid
Jeep Wrangler JK 2018 3.6L V6 220cid</t>
        </is>
      </c>
      <c r="I369" t="inlineStr">
        <is>
          <t>{"0": {"productDeskExternalKey": "CPCX|40-458"}, "1": {"Package Contents": "Wiper Motor; Instruction Sheet"}, "2": {"E-Waste": "Yes"}, "3": {"Product Condition": "Remanufactured"}, "4": {"Mounting Hole Quantity": "3"}, "5": {"Terminal Type": "Blade"}, "6": {"Mounting Type": "Direct Bolt"}, "7": {"Weight PG": "2.6500"}, "8": {"Washer Pump Included": "No"}, "9": {"Part Type": "Windshield Wiper Motor"}, "10": {"Warranty Info": "1 Year/18,000 Mile"}, "11": {"Sustainable Choice": "Yes"}, "12": {"Lifecycle Status": "Available to Order"}, "13": {"Application Summary": "Jeep Wrangler 2017-07, Wrangler JK 2018"}, "14": {"ItemLevelGTIN": "00082617822329"}, "15": {"_addonCardone": "40-458::98384:116682:510"}, "16": {"Eligible for R&amp;R Service": "Yes"}}</t>
        </is>
      </c>
      <c r="J369" t="inlineStr">
        <is>
          <t>https://www.cardone.com/product/windshield-wiper-motor-40-458</t>
        </is>
      </c>
      <c r="K369">
        <f>DISPIMG("ID_1C3C4F57D5AF4F18AC1E7CE5E670137D",1)</f>
        <v/>
      </c>
      <c r="L369" t="inlineStr">
        <is>
          <t>CPCX|40-458</t>
        </is>
      </c>
      <c r="M369" t="inlineStr">
        <is>
          <t>Wiper Motor; Instruction Sheet</t>
        </is>
      </c>
      <c r="N369" t="inlineStr">
        <is>
          <t>Yes</t>
        </is>
      </c>
      <c r="O369" t="inlineStr">
        <is>
          <t>Remanufactured</t>
        </is>
      </c>
      <c r="P369" t="inlineStr">
        <is>
          <t>3</t>
        </is>
      </c>
      <c r="Q369" t="inlineStr">
        <is>
          <t>Blade</t>
        </is>
      </c>
      <c r="R369" t="inlineStr">
        <is>
          <t>Direct Bolt</t>
        </is>
      </c>
      <c r="S369" t="inlineStr">
        <is>
          <t>2.6500</t>
        </is>
      </c>
      <c r="T369" t="inlineStr">
        <is>
          <t>No</t>
        </is>
      </c>
      <c r="U369" t="inlineStr">
        <is>
          <t>1 Year/18,000 Mile</t>
        </is>
      </c>
      <c r="V369" t="inlineStr">
        <is>
          <t>Yes</t>
        </is>
      </c>
      <c r="W369" t="inlineStr">
        <is>
          <t>Available to Order</t>
        </is>
      </c>
      <c r="X369" t="inlineStr">
        <is>
          <t>Jeep Wrangler 2017-07, Wrangler JK 2018</t>
        </is>
      </c>
      <c r="Y369" t="inlineStr">
        <is>
          <t>00082617822329</t>
        </is>
      </c>
      <c r="Z369" t="inlineStr">
        <is>
          <t>40-458::98384:116682:510</t>
        </is>
      </c>
      <c r="AA369" t="inlineStr">
        <is>
          <t>Yes</t>
        </is>
      </c>
      <c r="AB369" t="inlineStr"/>
      <c r="AC369" t="inlineStr"/>
    </row>
    <row r="370">
      <c r="A370" t="inlineStr">
        <is>
          <t>369</t>
        </is>
      </c>
      <c r="B370" t="inlineStr">
        <is>
          <t>Windshield Wiper Motor</t>
        </is>
      </c>
      <c r="C370" t="inlineStr">
        <is>
          <t>40-460</t>
        </is>
      </c>
      <c r="D370" t="inlineStr">
        <is>
          <t>Windshield Wiper Motor - 40-460</t>
        </is>
      </c>
      <c r="E370" t="inlineStr">
        <is>
          <t>CARDONE Reman</t>
        </is>
      </c>
      <c r="F370" t="inlineStr">
        <is>
          <t>68002489AA</t>
        </is>
      </c>
      <c r="G370" t="inlineStr">
        <is>
          <t>Jeep Wrangler 2007-2017
Jeep Wrangler JK 2018</t>
        </is>
      </c>
      <c r="H370" t="inlineStr">
        <is>
          <t>Jeep Wrangler 2007-2011 3.8L V6 231cid
Jeep Wrangler 2012-2017 3.6L V6 220cid
Jeep Wrangler JK 2018 3.6L V6 220cid</t>
        </is>
      </c>
      <c r="I370" t="inlineStr">
        <is>
          <t>{"0": {"productDeskExternalKey": "CPCX|40-460"}, "1": {"Package Contents": "Wiper Motor; Instruction Sheet"}, "2": {"E-Waste": "Yes"}, "3": {"Product Condition": "Remanufactured"}, "4": {"Mounting Hole Quantity": "2"}, "5": {"Terminal Type": "Blade"}, "6": {"Mounting Type": "Eyelet; Grommet"}, "7": {"Weight PG": "2.5000"}, "8": {"Washer Pump Included": "No"}, "9": {"Part Type": "Windshield Wiper Motor"}, "10": {"Warranty Info": "1 Year/18,000 Mile"}, "11": {"Sustainable Choice": "Yes"}, "12": {"Lifecycle Status": "Available to Order"}, "13": {"Application Summary": "Jeep Wrangler 2017-07, Wrangler JK 2018"}, "14": {"ItemLevelGTIN": "00082617836616"}, "15": {"_addonCardone": "40-460::98384:116698:510"}, "16": {"Eligible for R&amp;R Service": "Yes"}}</t>
        </is>
      </c>
      <c r="J370" t="inlineStr">
        <is>
          <t>https://www.cardone.com/product/windshield-wiper-motor-40-460</t>
        </is>
      </c>
      <c r="K370">
        <f>DISPIMG("ID_8049067DF68A447EB5690FB174CDCC28",1)</f>
        <v/>
      </c>
      <c r="L370" t="inlineStr">
        <is>
          <t>CPCX|40-460</t>
        </is>
      </c>
      <c r="M370" t="inlineStr">
        <is>
          <t>Wiper Motor; Instruction Sheet</t>
        </is>
      </c>
      <c r="N370" t="inlineStr">
        <is>
          <t>Yes</t>
        </is>
      </c>
      <c r="O370" t="inlineStr">
        <is>
          <t>Remanufactured</t>
        </is>
      </c>
      <c r="P370" t="inlineStr">
        <is>
          <t>2</t>
        </is>
      </c>
      <c r="Q370" t="inlineStr">
        <is>
          <t>Blade</t>
        </is>
      </c>
      <c r="R370" t="inlineStr">
        <is>
          <t>Eyelet; Grommet</t>
        </is>
      </c>
      <c r="S370" t="inlineStr">
        <is>
          <t>2.5000</t>
        </is>
      </c>
      <c r="T370" t="inlineStr">
        <is>
          <t>No</t>
        </is>
      </c>
      <c r="U370" t="inlineStr">
        <is>
          <t>1 Year/18,000 Mile</t>
        </is>
      </c>
      <c r="V370" t="inlineStr">
        <is>
          <t>Yes</t>
        </is>
      </c>
      <c r="W370" t="inlineStr">
        <is>
          <t>Available to Order</t>
        </is>
      </c>
      <c r="X370" t="inlineStr">
        <is>
          <t>Jeep Wrangler 2017-07, Wrangler JK 2018</t>
        </is>
      </c>
      <c r="Y370" t="inlineStr">
        <is>
          <t>00082617836616</t>
        </is>
      </c>
      <c r="Z370" t="inlineStr">
        <is>
          <t>40-460::98384:116698:510</t>
        </is>
      </c>
      <c r="AA370" t="inlineStr">
        <is>
          <t>Yes</t>
        </is>
      </c>
      <c r="AB370" t="inlineStr"/>
      <c r="AC370" t="inlineStr"/>
    </row>
    <row r="371">
      <c r="A371" t="inlineStr">
        <is>
          <t>370</t>
        </is>
      </c>
      <c r="B371" t="inlineStr">
        <is>
          <t>Windshield Wiper Motor</t>
        </is>
      </c>
      <c r="C371" t="inlineStr">
        <is>
          <t>40-463</t>
        </is>
      </c>
      <c r="D371" t="inlineStr">
        <is>
          <t>Windshield Wiper Motor - 40-463</t>
        </is>
      </c>
      <c r="E371" t="inlineStr">
        <is>
          <t>CARDONE Reman</t>
        </is>
      </c>
      <c r="F371" t="inlineStr">
        <is>
          <t>57010090AB;57010090AC</t>
        </is>
      </c>
      <c r="G371" t="inlineStr">
        <is>
          <t>Jeep Liberty 2008-2012</t>
        </is>
      </c>
      <c r="H371" t="inlineStr">
        <is>
          <t>Jeep Liberty 2008-2012 3.7L V6 226cid</t>
        </is>
      </c>
      <c r="I371" t="inlineStr">
        <is>
          <t>{"0": {"productDeskExternalKey": "CPCX|40-463"}, "1": {"Package Contents": "Wiper Motor; Instruction Sheet"}, "2": {"E-Waste": "Yes"}, "3": {"Product Condition": "Remanufactured"}, "4": {"Mounting Hole Quantity": "3"}, "5": {"Terminal Type": "Blade"}, "6": {"Mounting Type": "Grommet"}, "7": {"Weight PG": "2.8500"}, "8": {"Washer Pump Included": "No"}, "9": {"Part Type": "Windshield Wiper Motor"}, "10": {"Warranty Info": "1 Year/18,000 Mile"}, "11": {"Sustainable Choice": "Yes"}, "12": {"Lifecycle Status": "Available to Order"}, "13": {"Application Summary": "Jeep Liberty 2012-08"}, "14": {"ItemLevelGTIN": "00082617845816"}, "15": {"_addonCardone": "40-463::98384:116712:510"}, "16": {"Eligible for R&amp;R Service": "Yes"}}</t>
        </is>
      </c>
      <c r="J371" t="inlineStr">
        <is>
          <t>https://www.cardone.com/product/windshield-wiper-motor-40-463</t>
        </is>
      </c>
      <c r="K371">
        <f>DISPIMG("ID_CF8FF64EA77B4E57A844F9D52F5FD2CA",1)</f>
        <v/>
      </c>
      <c r="L371" t="inlineStr">
        <is>
          <t>CPCX|40-463</t>
        </is>
      </c>
      <c r="M371" t="inlineStr">
        <is>
          <t>Wiper Motor; Instruction Sheet</t>
        </is>
      </c>
      <c r="N371" t="inlineStr">
        <is>
          <t>Yes</t>
        </is>
      </c>
      <c r="O371" t="inlineStr">
        <is>
          <t>Remanufactured</t>
        </is>
      </c>
      <c r="P371" t="inlineStr">
        <is>
          <t>3</t>
        </is>
      </c>
      <c r="Q371" t="inlineStr">
        <is>
          <t>Blade</t>
        </is>
      </c>
      <c r="R371" t="inlineStr">
        <is>
          <t>Grommet</t>
        </is>
      </c>
      <c r="S371" t="inlineStr">
        <is>
          <t>2.8500</t>
        </is>
      </c>
      <c r="T371" t="inlineStr">
        <is>
          <t>No</t>
        </is>
      </c>
      <c r="U371" t="inlineStr">
        <is>
          <t>1 Year/18,000 Mile</t>
        </is>
      </c>
      <c r="V371" t="inlineStr">
        <is>
          <t>Yes</t>
        </is>
      </c>
      <c r="W371" t="inlineStr">
        <is>
          <t>Available to Order</t>
        </is>
      </c>
      <c r="X371" t="inlineStr">
        <is>
          <t>Jeep Liberty 2012-08</t>
        </is>
      </c>
      <c r="Y371" t="inlineStr">
        <is>
          <t>00082617845816</t>
        </is>
      </c>
      <c r="Z371" t="inlineStr">
        <is>
          <t>40-463::98384:116712:510</t>
        </is>
      </c>
      <c r="AA371" t="inlineStr">
        <is>
          <t>Yes</t>
        </is>
      </c>
      <c r="AB371" t="inlineStr"/>
      <c r="AC371" t="inlineStr"/>
    </row>
    <row r="372">
      <c r="A372" t="inlineStr">
        <is>
          <t>371</t>
        </is>
      </c>
      <c r="B372" t="inlineStr">
        <is>
          <t>Windshield Wiper Motor</t>
        </is>
      </c>
      <c r="C372" t="inlineStr">
        <is>
          <t>40-464</t>
        </is>
      </c>
      <c r="D372" t="inlineStr">
        <is>
          <t>Windshield Wiper Motor - 40-464</t>
        </is>
      </c>
      <c r="E372" t="inlineStr">
        <is>
          <t>CARDONE Reman</t>
        </is>
      </c>
      <c r="F372" t="inlineStr">
        <is>
          <t>68040578AA</t>
        </is>
      </c>
      <c r="G372" t="inlineStr">
        <is>
          <t>Jeep Commander 2008-2010</t>
        </is>
      </c>
      <c r="H372" t="inlineStr">
        <is>
          <t>Jeep Commander 2008-2010 3.7L V6 226cid
Jeep Commander 2008-2010 4.7L V8 287cid
Jeep Commander 2008-2010 5.7L V8 345cid</t>
        </is>
      </c>
      <c r="I372" t="inlineStr">
        <is>
          <t>{"0": {"productDeskExternalKey": "CPCX|40-464"}, "1": {"Package Contents": "Wiper Motor; Instruction Sheet"}, "2": {"E-Waste": "Yes"}, "3": {"Product Condition": "Remanufactured"}, "4": {"Mounting Hole Quantity": "3"}, "5": {"Terminal Type": "Blade"}, "6": {"Mounting Type": "Direct Bolt"}, "7": {"Weight PG": "2.5500"}, "8": {"Washer Pump Included": "No"}, "9": {"Part Type": "Windshield Wiper Motor"}, "10": {"Warranty Info": "1 Year/18,000 Mile"}, "11": {"Sustainable Choice": "Yes"}, "12": {"Lifecycle Status": "Available to Order"}, "13": {"Application Summary": "Jeep Commander 2010-08"}, "14": {"ItemLevelGTIN": "00082617850254"}, "15": {"_addonCardone": "40-464::98384:116726:510"}, "16": {"Eligible for R&amp;R Service": "Yes"}}</t>
        </is>
      </c>
      <c r="J372" t="inlineStr">
        <is>
          <t>https://www.cardone.com/product/windshield-wiper-motor-40-464</t>
        </is>
      </c>
      <c r="K372">
        <f>DISPIMG("ID_7C9E0195621B4B17B6D8F77B3D178831",1)</f>
        <v/>
      </c>
      <c r="L372" t="inlineStr">
        <is>
          <t>CPCX|40-464</t>
        </is>
      </c>
      <c r="M372" t="inlineStr">
        <is>
          <t>Wiper Motor; Instruction Sheet</t>
        </is>
      </c>
      <c r="N372" t="inlineStr">
        <is>
          <t>Yes</t>
        </is>
      </c>
      <c r="O372" t="inlineStr">
        <is>
          <t>Remanufactured</t>
        </is>
      </c>
      <c r="P372" t="inlineStr">
        <is>
          <t>3</t>
        </is>
      </c>
      <c r="Q372" t="inlineStr">
        <is>
          <t>Blade</t>
        </is>
      </c>
      <c r="R372" t="inlineStr">
        <is>
          <t>Direct Bolt</t>
        </is>
      </c>
      <c r="S372" t="inlineStr">
        <is>
          <t>2.5500</t>
        </is>
      </c>
      <c r="T372" t="inlineStr">
        <is>
          <t>No</t>
        </is>
      </c>
      <c r="U372" t="inlineStr">
        <is>
          <t>1 Year/18,000 Mile</t>
        </is>
      </c>
      <c r="V372" t="inlineStr">
        <is>
          <t>Yes</t>
        </is>
      </c>
      <c r="W372" t="inlineStr">
        <is>
          <t>Available to Order</t>
        </is>
      </c>
      <c r="X372" t="inlineStr">
        <is>
          <t>Jeep Commander 2010-08</t>
        </is>
      </c>
      <c r="Y372" t="inlineStr">
        <is>
          <t>00082617850254</t>
        </is>
      </c>
      <c r="Z372" t="inlineStr">
        <is>
          <t>40-464::98384:116726:510</t>
        </is>
      </c>
      <c r="AA372" t="inlineStr">
        <is>
          <t>Yes</t>
        </is>
      </c>
      <c r="AB372" t="inlineStr"/>
      <c r="AC372" t="inlineStr"/>
    </row>
    <row r="373">
      <c r="A373" t="inlineStr">
        <is>
          <t>372</t>
        </is>
      </c>
      <c r="B373" t="inlineStr">
        <is>
          <t>Windshield Wiper Motor</t>
        </is>
      </c>
      <c r="C373" t="inlineStr">
        <is>
          <t>40-490</t>
        </is>
      </c>
      <c r="D373" t="inlineStr">
        <is>
          <t>Windshield Wiper Motor - 40-490</t>
        </is>
      </c>
      <c r="E373" t="inlineStr">
        <is>
          <t>CARDONE Reman</t>
        </is>
      </c>
      <c r="F373" t="inlineStr">
        <is>
          <t>3735274;J3735274</t>
        </is>
      </c>
      <c r="G373" t="inlineStr">
        <is>
          <t>American Motors Eagle 1984-1988</t>
        </is>
      </c>
      <c r="H373" t="inlineStr">
        <is>
          <t>American Motors Eagle 1984 2.5L L4 150cid
American Motors Eagle 1984-1988 4.2L L6 258cid</t>
        </is>
      </c>
      <c r="I373" t="inlineStr">
        <is>
          <t>{"0": {"productDeskExternalKey": "CPCX|40-490"}, "1": {"Package Contents": "Wiper Motor; Instruction Sheet"}, "2": {"E-Waste": "Yes"}, "3": {"Product Condition": "Remanufactured"}, "4": {"Mounting Hole Quantity": "1"}, "5": {"Terminal Type": "Blade"}, "6": {"Mounting Type": "Eyelet"}, "7": {"Weight PG": "2.8500"}, "8": {"Washer Pump Included": "No"}, "9": {"Part Type": "Windshield Wiper Motor"}, "10": {"Warranty Info": "1 Year/18,000 Mile"}, "11": {"Sustainable Choice": "Yes"}, "12": {"Lifecycle Status": "Available to Order"}, "13": {"Application Summary": "American Motors Eagle 1988-84"}, "14": {"ItemLevelGTIN": "00082617076371"}, "15": {"_addonCardone": "40-490::98384:116740:510"}, "16": {"Eligible for R&amp;R Service": "Yes"}}</t>
        </is>
      </c>
      <c r="J373" t="inlineStr">
        <is>
          <t>https://www.cardone.com/product/windshield-wiper-motor-40-490</t>
        </is>
      </c>
      <c r="K373">
        <f>DISPIMG("ID_4ED64D3CFB044067A2A89702A08AEC26",1)</f>
        <v/>
      </c>
      <c r="L373" t="inlineStr">
        <is>
          <t>CPCX|40-490</t>
        </is>
      </c>
      <c r="M373" t="inlineStr">
        <is>
          <t>Wiper Motor; Instruction Sheet</t>
        </is>
      </c>
      <c r="N373" t="inlineStr">
        <is>
          <t>Yes</t>
        </is>
      </c>
      <c r="O373" t="inlineStr">
        <is>
          <t>Remanufactured</t>
        </is>
      </c>
      <c r="P373" t="inlineStr">
        <is>
          <t>1</t>
        </is>
      </c>
      <c r="Q373" t="inlineStr">
        <is>
          <t>Blade</t>
        </is>
      </c>
      <c r="R373" t="inlineStr">
        <is>
          <t>Eyelet</t>
        </is>
      </c>
      <c r="S373" t="inlineStr">
        <is>
          <t>2.8500</t>
        </is>
      </c>
      <c r="T373" t="inlineStr">
        <is>
          <t>No</t>
        </is>
      </c>
      <c r="U373" t="inlineStr">
        <is>
          <t>1 Year/18,000 Mile</t>
        </is>
      </c>
      <c r="V373" t="inlineStr">
        <is>
          <t>Yes</t>
        </is>
      </c>
      <c r="W373" t="inlineStr">
        <is>
          <t>Available to Order</t>
        </is>
      </c>
      <c r="X373" t="inlineStr">
        <is>
          <t>American Motors Eagle 1988-84</t>
        </is>
      </c>
      <c r="Y373" t="inlineStr">
        <is>
          <t>00082617076371</t>
        </is>
      </c>
      <c r="Z373" t="inlineStr">
        <is>
          <t>40-490::98384:116740:510</t>
        </is>
      </c>
      <c r="AA373" t="inlineStr">
        <is>
          <t>Yes</t>
        </is>
      </c>
      <c r="AB373" t="inlineStr"/>
      <c r="AC373" t="inlineStr"/>
    </row>
    <row r="374">
      <c r="A374" t="inlineStr">
        <is>
          <t>373</t>
        </is>
      </c>
      <c r="B374" t="inlineStr">
        <is>
          <t>Windshield Wiper Motor</t>
        </is>
      </c>
      <c r="C374" t="inlineStr">
        <is>
          <t>40-491</t>
        </is>
      </c>
      <c r="D374" t="inlineStr">
        <is>
          <t>Windshield Wiper Motor - 40-491</t>
        </is>
      </c>
      <c r="E374" t="inlineStr">
        <is>
          <t>CARDONE Reman</t>
        </is>
      </c>
      <c r="F374" t="inlineStr">
        <is>
          <t>56000701</t>
        </is>
      </c>
      <c r="G374" t="inlineStr">
        <is>
          <t>Jeep Cherokee 1984-1990
Jeep Wagoneer 1984-1990</t>
        </is>
      </c>
      <c r="H374" t="inlineStr">
        <is>
          <t>Jeep Cherokee 1984-1986 2.8L V6 173cid
Jeep Cherokee 1984-1990 2.5L L4 150cid
Jeep Cherokee 1985-1987 2.1L L4 126cid
Jeep Cherokee 1987-1990 4L L6 242cid
Jeep Wagoneer 1984-1986 2.8L V6 173cid
Jeep Wagoneer 1984-1987 2.5L L4 150cid
Jeep Wagoneer 1984-1987 4.6L L6 282cid
Jeep Wagoneer 1985 2.1L L4 126cid
Jeep Wagoneer 1987-1990 4L L6 242cid</t>
        </is>
      </c>
      <c r="I374" t="inlineStr">
        <is>
          <t>{"0": {"productDeskExternalKey": "CPCX|40-491"}, "1": {"Package Contents": "Wiper Motor; Instruction Sheet"}, "2": {"E-Waste": "Yes"}, "3": {"Product Condition": "Remanufactured"}, "4": {"Mounting Hole Quantity": "2"}, "5": {"Terminal Type": "Blade"}, "6": {"Mounting Type": "Eyelet"}, "7": {"Weight PG": "2.7600"}, "8": {"Washer Pump Included": "No"}, "9": {"Part Type": "Windshield Wiper Motor"}, "10": {"Warranty Info": "1 Year/18,000 Mile"}, "11": {"Sustainable Choice": "Yes"}, "12": {"Lifecycle Status": "Available to Order"}, "13": {"Application Summary": "Jeep Cherokee 1990-84, Wagoneer 1990-84"}, "14": {"ItemLevelGTIN": "00082617076388"}, "15": {"_addonCardone": "40-491::98384:116758:510"}, "16": {"Eligible for R&amp;R Service": "Yes"}}</t>
        </is>
      </c>
      <c r="J374" t="inlineStr">
        <is>
          <t>https://www.cardone.com/product/windshield-wiper-motor-40-491</t>
        </is>
      </c>
      <c r="K374">
        <f>DISPIMG("ID_C29CC57121F248029AD14F7DCA2E2EBF",1)</f>
        <v/>
      </c>
      <c r="L374" t="inlineStr">
        <is>
          <t>CPCX|40-491</t>
        </is>
      </c>
      <c r="M374" t="inlineStr">
        <is>
          <t>Wiper Motor; Instruction Sheet</t>
        </is>
      </c>
      <c r="N374" t="inlineStr">
        <is>
          <t>Yes</t>
        </is>
      </c>
      <c r="O374" t="inlineStr">
        <is>
          <t>Remanufactured</t>
        </is>
      </c>
      <c r="P374" t="inlineStr">
        <is>
          <t>2</t>
        </is>
      </c>
      <c r="Q374" t="inlineStr">
        <is>
          <t>Blade</t>
        </is>
      </c>
      <c r="R374" t="inlineStr">
        <is>
          <t>Eyelet</t>
        </is>
      </c>
      <c r="S374" t="inlineStr">
        <is>
          <t>2.7600</t>
        </is>
      </c>
      <c r="T374" t="inlineStr">
        <is>
          <t>No</t>
        </is>
      </c>
      <c r="U374" t="inlineStr">
        <is>
          <t>1 Year/18,000 Mile</t>
        </is>
      </c>
      <c r="V374" t="inlineStr">
        <is>
          <t>Yes</t>
        </is>
      </c>
      <c r="W374" t="inlineStr">
        <is>
          <t>Available to Order</t>
        </is>
      </c>
      <c r="X374" t="inlineStr">
        <is>
          <t>Jeep Cherokee 1990-84, Wagoneer 1990-84</t>
        </is>
      </c>
      <c r="Y374" t="inlineStr">
        <is>
          <t>00082617076388</t>
        </is>
      </c>
      <c r="Z374" t="inlineStr">
        <is>
          <t>40-491::98384:116758:510</t>
        </is>
      </c>
      <c r="AA374" t="inlineStr">
        <is>
          <t>Yes</t>
        </is>
      </c>
      <c r="AB374" t="inlineStr"/>
      <c r="AC374" t="inlineStr"/>
    </row>
    <row r="375">
      <c r="A375" t="inlineStr">
        <is>
          <t>374</t>
        </is>
      </c>
      <c r="B375" t="inlineStr">
        <is>
          <t>Windshield Wiper Motor</t>
        </is>
      </c>
      <c r="C375" t="inlineStr">
        <is>
          <t>40-492</t>
        </is>
      </c>
      <c r="D375" t="inlineStr">
        <is>
          <t>Windshield Wiper Motor - 40-492</t>
        </is>
      </c>
      <c r="E375" t="inlineStr">
        <is>
          <t>CARDONE Reman</t>
        </is>
      </c>
      <c r="F375" t="inlineStr">
        <is>
          <t>5252223</t>
        </is>
      </c>
      <c r="G375" t="inlineStr">
        <is>
          <t>Jeep Wrangler 1990</t>
        </is>
      </c>
      <c r="H375" t="inlineStr">
        <is>
          <t>Jeep Wrangler 1990 2.5L L4 150cid
Jeep Wrangler 1990 4.2L L6 258cid</t>
        </is>
      </c>
      <c r="I375" t="inlineStr">
        <is>
          <t>{"0": {"productDeskExternalKey": "CPCX|40-492"}, "1": {"Package Contents": "Wiper Motor; Instruction Sheet"}, "2": {"E-Waste": "Yes"}, "3": {"Product Condition": "Remanufactured"}, "4": {"Mounting Hole Quantity": "2"}, "5": {"Terminal Type": "Blade"}, "6": {"Mounting Type": "Grommet"}, "7": {"Weight PG": "3.8500"}, "8": {"Washer Pump Included": "No"}, "9": {"Part Type": "Windshield Wiper Motor"}, "10": {"Warranty Info": "1 Year/18,000 Mile"}, "11": {"Sustainable Choice": "Yes"}, "12": {"Lifecycle Status": "Available to Order"}, "13": {"Application Summary": "Jeep Wrangler 1990"}, "14": {"ItemLevelGTIN": "00082617272629"}, "15": {"_addonCardone": "40-492::98384:116778:510"}, "16": {"Eligible for R&amp;R Service": "Yes"}}</t>
        </is>
      </c>
      <c r="J375" t="inlineStr">
        <is>
          <t>https://www.cardone.com/product/windshield-wiper-motor-40-492</t>
        </is>
      </c>
      <c r="K375">
        <f>DISPIMG("ID_C34E863E9513417E904EFFAA47785225",1)</f>
        <v/>
      </c>
      <c r="L375" t="inlineStr">
        <is>
          <t>CPCX|40-492</t>
        </is>
      </c>
      <c r="M375" t="inlineStr">
        <is>
          <t>Wiper Motor; Instruction Sheet</t>
        </is>
      </c>
      <c r="N375" t="inlineStr">
        <is>
          <t>Yes</t>
        </is>
      </c>
      <c r="O375" t="inlineStr">
        <is>
          <t>Remanufactured</t>
        </is>
      </c>
      <c r="P375" t="inlineStr">
        <is>
          <t>2</t>
        </is>
      </c>
      <c r="Q375" t="inlineStr">
        <is>
          <t>Blade</t>
        </is>
      </c>
      <c r="R375" t="inlineStr">
        <is>
          <t>Grommet</t>
        </is>
      </c>
      <c r="S375" t="inlineStr">
        <is>
          <t>3.8500</t>
        </is>
      </c>
      <c r="T375" t="inlineStr">
        <is>
          <t>No</t>
        </is>
      </c>
      <c r="U375" t="inlineStr">
        <is>
          <t>1 Year/18,000 Mile</t>
        </is>
      </c>
      <c r="V375" t="inlineStr">
        <is>
          <t>Yes</t>
        </is>
      </c>
      <c r="W375" t="inlineStr">
        <is>
          <t>Available to Order</t>
        </is>
      </c>
      <c r="X375" t="inlineStr">
        <is>
          <t>Jeep Wrangler 1990</t>
        </is>
      </c>
      <c r="Y375" t="inlineStr">
        <is>
          <t>00082617272629</t>
        </is>
      </c>
      <c r="Z375" t="inlineStr">
        <is>
          <t>40-492::98384:116778:510</t>
        </is>
      </c>
      <c r="AA375" t="inlineStr">
        <is>
          <t>Yes</t>
        </is>
      </c>
      <c r="AB375" t="inlineStr"/>
      <c r="AC375" t="inlineStr"/>
    </row>
    <row r="376">
      <c r="A376" t="inlineStr">
        <is>
          <t>375</t>
        </is>
      </c>
      <c r="B376" t="inlineStr">
        <is>
          <t>Windshield Wiper Motor</t>
        </is>
      </c>
      <c r="C376" t="inlineStr">
        <is>
          <t>43-1007</t>
        </is>
      </c>
      <c r="D376" t="inlineStr">
        <is>
          <t>Windshield Wiper Motor - 43-1007</t>
        </is>
      </c>
      <c r="E376" t="inlineStr">
        <is>
          <t>CARDONE Reman</t>
        </is>
      </c>
      <c r="F376" t="inlineStr">
        <is>
          <t>E5RY17508B</t>
        </is>
      </c>
      <c r="G376" t="inlineStr"/>
      <c r="H376" t="inlineStr"/>
      <c r="I376" t="inlineStr">
        <is>
          <t>{"0": {"productDeskExternalKey": "CPCX|43-1007"}, "1": {"Package Contents": "Wiper Motor; Instruction Sheet"}, "2": {"E-Waste": "Yes"}, "3": {"Product Condition": "Remanufactured"}, "4": {"Mounting Hole Quantity": "3"}, "5": {"Terminal Type": "Blade"}, "6": {"Mounting Type": "Direct Bolt"}, "7": {"Washer Pump Included": "No"}, "8": {"Part Type": "Windshield Wiper Motor"}, "9": {"Warranty Info": "1 Year/18,000 Mile"}, "10": {"Sustainable Choice": "Yes"}, "11": {"Lifecycle Status": "Available to Order"}, "12": {"Application Summary": "Merkur XR4Ti 1989-85"}, "13": {"Weight PG": "2.9400"}, "14": {"ItemLevelGTIN": "00082617142618"}, "15": {"_addonCardone": "43-1007::98268:106177:494"}, "16": {"Eligible for R&amp;R Service": "Yes"}}</t>
        </is>
      </c>
      <c r="J376" t="inlineStr">
        <is>
          <t>https://www.cardone.com/product/windshield-wiper-motor-43-1007</t>
        </is>
      </c>
      <c r="K376">
        <f>DISPIMG("ID_164E7A4412ED484FAFB2BD0D1DCB1EE6",1)</f>
        <v/>
      </c>
      <c r="L376" t="inlineStr">
        <is>
          <t>CPCX|43-1007</t>
        </is>
      </c>
      <c r="M376" t="inlineStr">
        <is>
          <t>Wiper Motor; Instruction Sheet</t>
        </is>
      </c>
      <c r="N376" t="inlineStr">
        <is>
          <t>Yes</t>
        </is>
      </c>
      <c r="O376" t="inlineStr">
        <is>
          <t>Remanufactured</t>
        </is>
      </c>
      <c r="P376" t="inlineStr">
        <is>
          <t>3</t>
        </is>
      </c>
      <c r="Q376" t="inlineStr">
        <is>
          <t>Blade</t>
        </is>
      </c>
      <c r="R376" t="inlineStr">
        <is>
          <t>Direct Bolt</t>
        </is>
      </c>
      <c r="S376" t="inlineStr">
        <is>
          <t>2.9400</t>
        </is>
      </c>
      <c r="T376" t="inlineStr">
        <is>
          <t>No</t>
        </is>
      </c>
      <c r="U376" t="inlineStr">
        <is>
          <t>1 Year/18,000 Mile</t>
        </is>
      </c>
      <c r="V376" t="inlineStr">
        <is>
          <t>Yes</t>
        </is>
      </c>
      <c r="W376" t="inlineStr">
        <is>
          <t>Available to Order</t>
        </is>
      </c>
      <c r="X376" t="inlineStr">
        <is>
          <t>Merkur XR4Ti 1989-85</t>
        </is>
      </c>
      <c r="Y376" t="inlineStr">
        <is>
          <t>00082617142618</t>
        </is>
      </c>
      <c r="Z376" t="inlineStr">
        <is>
          <t>43-1007::98268:106177:494</t>
        </is>
      </c>
      <c r="AA376" t="inlineStr">
        <is>
          <t>Yes</t>
        </is>
      </c>
      <c r="AB376" t="inlineStr"/>
      <c r="AC376" t="inlineStr"/>
    </row>
    <row r="377">
      <c r="A377" t="inlineStr">
        <is>
          <t>376</t>
        </is>
      </c>
      <c r="B377" t="inlineStr">
        <is>
          <t>Windshield Wiper Motor</t>
        </is>
      </c>
      <c r="C377" t="inlineStr">
        <is>
          <t>43-1008</t>
        </is>
      </c>
      <c r="D377" t="inlineStr">
        <is>
          <t>Windshield Wiper Motor - 43-1008</t>
        </is>
      </c>
      <c r="E377" t="inlineStr">
        <is>
          <t>CARDONE Reman</t>
        </is>
      </c>
      <c r="F377" t="inlineStr">
        <is>
          <t>895955113</t>
        </is>
      </c>
      <c r="G377" t="inlineStr">
        <is>
          <t>Audi 80 1988-1992
Audi 80 Quattro 1988-1992
Audi 90 1988-1995
Audi 90 Quattro 1988-1995
Audi Cabriolet 1994-1998
Audi Coupe Quattro 1990-1991</t>
        </is>
      </c>
      <c r="H377" t="inlineStr">
        <is>
          <t>Audi 80 1988-1990 2L L4 121cid
Audi 80 1991-1992 2.3L L5 2309cc
Audi 80 Quattro 1988-1992 2.3L L5 2309cc
Audi 90 1988 2L L4 121cid
Audi 90 1988-1991 2.3L L5 2309cc
Audi 90 1993-1995 2.8L V6 2771cc
Audi 90 Quattro 1988-1991 2.3L L5 2309cc
Audi 90 Quattro 1993-1995 2.8L V6 2771cc
Audi Cabriolet 1994-1998 2.8L V6 2771cc
Audi Coupe Quattro 1990-1991 2.3L L5 2309cc</t>
        </is>
      </c>
      <c r="I377" t="inlineStr">
        <is>
          <t>{"0": {"productDeskExternalKey": "CPCX|43-1008"}, "1": {"Package Contents": "Wiper Motor; Instruction Sheet"}, "2": {"E-Waste": "Yes"}, "3": {"Product Condition": "Remanufactured"}, "4": {"Mounting Hole Quantity": "3"}, "5": {"Terminal Type": "Blade"}, "6": {"Mounting Type": "Direct Bolt"}, "7": {"Weight PG": "2.3600"}, "8": {"Washer Pump Included": "No"}, "9": {"Part Type": "Windshield Wiper Motor"}, "10": {"Warranty Info": "1 Year/18,000 Mile"}, "11": {"Sustainable Choice": "Yes"}, "12": {"Lifecycle Status": "Available to Order"}, "13": {"Application Summary": "Audi 80 1992-88, 80 Quattro 1992-88, 90 1995-93 1991-88, 90 Quattro 1995-93 1991-88, Cabriolet 1998-94, Coupe Quattro 1991-90"}, "14": {"ItemLevelGTIN": "00082617377607"}, "15": {"_addonCardone": "43-1008::98268:106196:494"}, "16": {"Eligible for R&amp;R Service": "Yes"}}</t>
        </is>
      </c>
      <c r="J377" t="inlineStr">
        <is>
          <t>https://www.cardone.com/product/windshield-wiper-motor-43-1008</t>
        </is>
      </c>
      <c r="K377">
        <f>DISPIMG("ID_C320BAF606FA419BB804B4266E6891BF",1)</f>
        <v/>
      </c>
      <c r="L377" t="inlineStr">
        <is>
          <t>CPCX|43-1008</t>
        </is>
      </c>
      <c r="M377" t="inlineStr">
        <is>
          <t>Wiper Motor; Instruction Sheet</t>
        </is>
      </c>
      <c r="N377" t="inlineStr">
        <is>
          <t>Yes</t>
        </is>
      </c>
      <c r="O377" t="inlineStr">
        <is>
          <t>Remanufactured</t>
        </is>
      </c>
      <c r="P377" t="inlineStr">
        <is>
          <t>3</t>
        </is>
      </c>
      <c r="Q377" t="inlineStr">
        <is>
          <t>Blade</t>
        </is>
      </c>
      <c r="R377" t="inlineStr">
        <is>
          <t>Direct Bolt</t>
        </is>
      </c>
      <c r="S377" t="inlineStr">
        <is>
          <t>2.3600</t>
        </is>
      </c>
      <c r="T377" t="inlineStr">
        <is>
          <t>No</t>
        </is>
      </c>
      <c r="U377" t="inlineStr">
        <is>
          <t>1 Year/18,000 Mile</t>
        </is>
      </c>
      <c r="V377" t="inlineStr">
        <is>
          <t>Yes</t>
        </is>
      </c>
      <c r="W377" t="inlineStr">
        <is>
          <t>Available to Order</t>
        </is>
      </c>
      <c r="X377" t="inlineStr">
        <is>
          <t>Audi 80 1992-88, 80 Quattro 1992-88, 90 1995-93 1991-88, 90 Quattro 1995-93 1991-88, Cabriolet 1998-94, Coupe Quattro 1991-90</t>
        </is>
      </c>
      <c r="Y377" t="inlineStr">
        <is>
          <t>00082617377607</t>
        </is>
      </c>
      <c r="Z377" t="inlineStr">
        <is>
          <t>43-1008::98268:106196:494</t>
        </is>
      </c>
      <c r="AA377" t="inlineStr">
        <is>
          <t>Yes</t>
        </is>
      </c>
      <c r="AB377" t="inlineStr"/>
      <c r="AC377" t="inlineStr"/>
    </row>
    <row r="378">
      <c r="A378" t="inlineStr">
        <is>
          <t>377</t>
        </is>
      </c>
      <c r="B378" t="inlineStr">
        <is>
          <t>Windshield Wiper Motor</t>
        </is>
      </c>
      <c r="C378" t="inlineStr">
        <is>
          <t>43-1014</t>
        </is>
      </c>
      <c r="D378" t="inlineStr">
        <is>
          <t>Windshield Wiper Motor - 43-1014</t>
        </is>
      </c>
      <c r="E378" t="inlineStr">
        <is>
          <t>CARDONE Reman</t>
        </is>
      </c>
      <c r="F378" t="inlineStr">
        <is>
          <t>895955113</t>
        </is>
      </c>
      <c r="G378" t="inlineStr">
        <is>
          <t>Audi 80 1988-1991
Audi 80 Quattro 1988-1991
Audi 90 1988-1991
Audi 90 Quattro 1988-1991
Audi Coupe Quattro 1990-1991</t>
        </is>
      </c>
      <c r="H378" t="inlineStr">
        <is>
          <t>Audi 80 1988-1990 2L L4 121cid
Audi 80 1991 2.3L L5 2309cc
Audi 80 Quattro 1988-1991 2.3L L5 2309cc
Audi 90 1988 2L L4 121cid
Audi 90 1988-1991 2.3L L5 2309cc
Audi 90 Quattro 1988-1991 2.3L L5 2309cc
Audi Coupe Quattro 1990-1991 2.3L L5 2309cc</t>
        </is>
      </c>
      <c r="I378" t="inlineStr">
        <is>
          <t>{"0": {"productDeskExternalKey": "CPCX|43-1014"}, "1": {"Package Contents": "Wiper Motor; Instruction Sheet"}, "2": {"E-Waste": "Yes"}, "3": {"Product Condition": "Remanufactured"}, "4": {"Mounting Hole Quantity": "3"}, "5": {"Terminal Type": "Blade"}, "6": {"Mounting Type": "Direct Bolt"}, "7": {"Weight PG": "2.4000"}, "8": {"Washer Pump Included": "No"}, "9": {"Part Type": "Windshield Wiper Motor"}, "10": {"Warranty Info": "1 Year/18,000 Mile"}, "11": {"Sustainable Choice": "Yes"}, "12": {"Lifecycle Status": "Available to Order"}, "13": {"Application Summary": "Audi 80 1991-88, 80 Quattro 1991-88, 90 1991-88, 90 Quattro 1991-88, Coupe Quattro 1991-90"}, "14": {"ItemLevelGTIN": "00082617377591"}, "15": {"_addonCardone": "43-1014::98268:106210:494"}, "16": {"Eligible for R&amp;R Service": "Yes"}}</t>
        </is>
      </c>
      <c r="J378" t="inlineStr">
        <is>
          <t>https://www.cardone.com/product/windshield-wiper-motor-43-1014</t>
        </is>
      </c>
      <c r="K378">
        <f>DISPIMG("ID_49F6793B8AEA41EE97E6DE7629FFE5F8",1)</f>
        <v/>
      </c>
      <c r="L378" t="inlineStr">
        <is>
          <t>CPCX|43-1014</t>
        </is>
      </c>
      <c r="M378" t="inlineStr">
        <is>
          <t>Wiper Motor; Instruction Sheet</t>
        </is>
      </c>
      <c r="N378" t="inlineStr">
        <is>
          <t>Yes</t>
        </is>
      </c>
      <c r="O378" t="inlineStr">
        <is>
          <t>Remanufactured</t>
        </is>
      </c>
      <c r="P378" t="inlineStr">
        <is>
          <t>3</t>
        </is>
      </c>
      <c r="Q378" t="inlineStr">
        <is>
          <t>Blade</t>
        </is>
      </c>
      <c r="R378" t="inlineStr">
        <is>
          <t>Direct Bolt</t>
        </is>
      </c>
      <c r="S378" t="inlineStr">
        <is>
          <t>2.4000</t>
        </is>
      </c>
      <c r="T378" t="inlineStr">
        <is>
          <t>No</t>
        </is>
      </c>
      <c r="U378" t="inlineStr">
        <is>
          <t>1 Year/18,000 Mile</t>
        </is>
      </c>
      <c r="V378" t="inlineStr">
        <is>
          <t>Yes</t>
        </is>
      </c>
      <c r="W378" t="inlineStr">
        <is>
          <t>Available to Order</t>
        </is>
      </c>
      <c r="X378" t="inlineStr">
        <is>
          <t>Audi 80 1991-88, 80 Quattro 1991-88, 90 1991-88, 90 Quattro 1991-88, Coupe Quattro 1991-90</t>
        </is>
      </c>
      <c r="Y378" t="inlineStr">
        <is>
          <t>00082617377591</t>
        </is>
      </c>
      <c r="Z378" t="inlineStr">
        <is>
          <t>43-1014::98268:106210:494</t>
        </is>
      </c>
      <c r="AA378" t="inlineStr">
        <is>
          <t>Yes</t>
        </is>
      </c>
      <c r="AB378" t="inlineStr"/>
      <c r="AC378" t="inlineStr"/>
    </row>
    <row r="379">
      <c r="A379" t="inlineStr">
        <is>
          <t>378</t>
        </is>
      </c>
      <c r="B379" t="inlineStr">
        <is>
          <t>Windshield Wiper Motor</t>
        </is>
      </c>
      <c r="C379" t="inlineStr">
        <is>
          <t>43-1015</t>
        </is>
      </c>
      <c r="D379" t="inlineStr">
        <is>
          <t>Windshield Wiper Motor - 43-1015</t>
        </is>
      </c>
      <c r="E379" t="inlineStr">
        <is>
          <t>CARDONE Reman</t>
        </is>
      </c>
      <c r="F379" t="inlineStr">
        <is>
          <t>443955113A</t>
        </is>
      </c>
      <c r="G379" t="inlineStr">
        <is>
          <t>Audi 100 1989
Audi 100 Quattro 1989
Audi 200 1989
Audi 200 Quattro 1989
Audi 5000 1984-1988
Audi 5000 Quattro 1986-1988</t>
        </is>
      </c>
      <c r="H379" t="inlineStr">
        <is>
          <t>Audi 100 1989 2.3L L5 2309cc
Audi 100 Quattro 1989 2.3L L5 2309cc
Audi 200 1989 2.2L L5 2226cc
Audi 200 Quattro 1989 2.2L L5 2226cc
Audi 5000 1984-1985 2.2L L5 2144cc
Audi 5000 1985-1988 2.2L L5 2226cc
Audi 5000 1987-1988 2.3L L5 2309cc
Audi 5000 Quattro 1986-1988 2.2L L5 2226cc
Audi 5000 Quattro 1987-1988 2.3L L5 2309cc</t>
        </is>
      </c>
      <c r="I379" t="inlineStr">
        <is>
          <t>{"0": {"productDeskExternalKey": "CPCX|43-1015"}, "1": {"Package Contents": "Wiper Motor; Instruction Sheet"}, "2": {"E-Waste": "Yes"}, "3": {"Product Condition": "Remanufactured"}, "4": {"Mounting Hole Quantity": "3"}, "5": {"Terminal Type": "Blade"}, "6": {"Mounting Type": "Direct Bolt"}, "7": {"Weight PG": "2.4800"}, "8": {"Washer Pump Included": "No"}, "9": {"Part Type": "Windshield Wiper Motor"}, "10": {"Warranty Info": "1 Year/18,000 Mile"}, "11": {"Sustainable Choice": "Yes"}, "12": {"Lifecycle Status": "Available to Order"}, "13": {"Application Summary": "Audi 100 1989, 100 Quattro 1989, 200 1989, 200 Quattro 1989, 5000 1988-84, 5000 Quattro 1988-86"}, "14": {"ItemLevelGTIN": "00082617264556"}, "15": {"_addonCardone": "43-1015::98268:106228:494"}, "16": {"Eligible for R&amp;R Service": "Yes"}}</t>
        </is>
      </c>
      <c r="J379" t="inlineStr">
        <is>
          <t>https://www.cardone.com/product/windshield-wiper-motor-43-1015</t>
        </is>
      </c>
      <c r="K379">
        <f>DISPIMG("ID_F2663952256C494E82A4BC4C4D699092",1)</f>
        <v/>
      </c>
      <c r="L379" t="inlineStr">
        <is>
          <t>CPCX|43-1015</t>
        </is>
      </c>
      <c r="M379" t="inlineStr">
        <is>
          <t>Wiper Motor; Instruction Sheet</t>
        </is>
      </c>
      <c r="N379" t="inlineStr">
        <is>
          <t>Yes</t>
        </is>
      </c>
      <c r="O379" t="inlineStr">
        <is>
          <t>Remanufactured</t>
        </is>
      </c>
      <c r="P379" t="inlineStr">
        <is>
          <t>3</t>
        </is>
      </c>
      <c r="Q379" t="inlineStr">
        <is>
          <t>Blade</t>
        </is>
      </c>
      <c r="R379" t="inlineStr">
        <is>
          <t>Direct Bolt</t>
        </is>
      </c>
      <c r="S379" t="inlineStr">
        <is>
          <t>2.4800</t>
        </is>
      </c>
      <c r="T379" t="inlineStr">
        <is>
          <t>No</t>
        </is>
      </c>
      <c r="U379" t="inlineStr">
        <is>
          <t>1 Year/18,000 Mile</t>
        </is>
      </c>
      <c r="V379" t="inlineStr">
        <is>
          <t>Yes</t>
        </is>
      </c>
      <c r="W379" t="inlineStr">
        <is>
          <t>Available to Order</t>
        </is>
      </c>
      <c r="X379" t="inlineStr">
        <is>
          <t>Audi 100 1989, 100 Quattro 1989, 200 1989, 200 Quattro 1989, 5000 1988-84, 5000 Quattro 1988-86</t>
        </is>
      </c>
      <c r="Y379" t="inlineStr">
        <is>
          <t>00082617264556</t>
        </is>
      </c>
      <c r="Z379" t="inlineStr">
        <is>
          <t>43-1015::98268:106228:494</t>
        </is>
      </c>
      <c r="AA379" t="inlineStr">
        <is>
          <t>Yes</t>
        </is>
      </c>
      <c r="AB379" t="inlineStr"/>
      <c r="AC379" t="inlineStr"/>
    </row>
    <row r="380">
      <c r="A380" t="inlineStr">
        <is>
          <t>379</t>
        </is>
      </c>
      <c r="B380" t="inlineStr">
        <is>
          <t>Windshield Wiper Motor</t>
        </is>
      </c>
      <c r="C380" t="inlineStr">
        <is>
          <t>43-1016</t>
        </is>
      </c>
      <c r="D380" t="inlineStr">
        <is>
          <t>Windshield Wiper Motor - 43-1016</t>
        </is>
      </c>
      <c r="E380" t="inlineStr">
        <is>
          <t>CARDONE Reman</t>
        </is>
      </c>
      <c r="F380" t="inlineStr">
        <is>
          <t>811955113L</t>
        </is>
      </c>
      <c r="G380" t="inlineStr">
        <is>
          <t>Audi 4000 1984-1987
Audi 4000 Quattro 1984-1985
Audi Coupe 1985-1987
Audi Quattro 1985</t>
        </is>
      </c>
      <c r="H380" t="inlineStr">
        <is>
          <t>Audi 4000 1984 2.2L L5 2144cc
Audi 4000 1984-1987 1.8L L4 1781cc
Audi 4000 1985-1986 2.2L L5 2226cc
Audi 4000 Quattro 1984-1985 2.2L L5 2226cc
Audi Coupe 1985-1987 2.2L L5 2226cc
Audi Coupe 1987 2.3L L5 2309cc
Audi Quattro 1985 2.2L L5 2144cc</t>
        </is>
      </c>
      <c r="I380" t="inlineStr">
        <is>
          <t>{"0": {"productDeskExternalKey": "CPCX|43-1016"}, "1": {"Package Contents": "Wiper Motor; Instruction Sheet"}, "2": {"E-Waste": "Yes"}, "3": {"Product Condition": "Remanufactured"}, "4": {"Mounting Hole Quantity": "3"}, "5": {"Terminal Type": "Blade"}, "6": {"Mounting Type": "Direct Bolt"}, "7": {"Weight PG": "2.7200"}, "8": {"Washer Pump Included": "No"}, "9": {"Part Type": "Windshield Wiper Motor"}, "10": {"Warranty Info": "1 Year/18,000 Mile"}, "11": {"Sustainable Choice": "Yes"}, "12": {"Lifecycle Status": "Available to Order"}, "13": {"Application Summary": "Audi 4000 1987-84, 4000 Quattro 1985-84, Coupe 1987-85, Quattro 1985"}, "14": {"ItemLevelGTIN": "00082617264563"}, "15": {"_addonCardone": "43-1016::98268:106247:494"}, "16": {"Eligible for R&amp;R Service": "Yes"}}</t>
        </is>
      </c>
      <c r="J380" t="inlineStr">
        <is>
          <t>https://www.cardone.com/product/windshield-wiper-motor-43-1016</t>
        </is>
      </c>
      <c r="K380">
        <f>DISPIMG("ID_BEBC8E039D2F402D862634001C9E64F7",1)</f>
        <v/>
      </c>
      <c r="L380" t="inlineStr">
        <is>
          <t>CPCX|43-1016</t>
        </is>
      </c>
      <c r="M380" t="inlineStr">
        <is>
          <t>Wiper Motor; Instruction Sheet</t>
        </is>
      </c>
      <c r="N380" t="inlineStr">
        <is>
          <t>Yes</t>
        </is>
      </c>
      <c r="O380" t="inlineStr">
        <is>
          <t>Remanufactured</t>
        </is>
      </c>
      <c r="P380" t="inlineStr">
        <is>
          <t>3</t>
        </is>
      </c>
      <c r="Q380" t="inlineStr">
        <is>
          <t>Blade</t>
        </is>
      </c>
      <c r="R380" t="inlineStr">
        <is>
          <t>Direct Bolt</t>
        </is>
      </c>
      <c r="S380" t="inlineStr">
        <is>
          <t>2.7200</t>
        </is>
      </c>
      <c r="T380" t="inlineStr">
        <is>
          <t>No</t>
        </is>
      </c>
      <c r="U380" t="inlineStr">
        <is>
          <t>1 Year/18,000 Mile</t>
        </is>
      </c>
      <c r="V380" t="inlineStr">
        <is>
          <t>Yes</t>
        </is>
      </c>
      <c r="W380" t="inlineStr">
        <is>
          <t>Available to Order</t>
        </is>
      </c>
      <c r="X380" t="inlineStr">
        <is>
          <t>Audi 4000 1987-84, 4000 Quattro 1985-84, Coupe 1987-85, Quattro 1985</t>
        </is>
      </c>
      <c r="Y380" t="inlineStr">
        <is>
          <t>00082617264563</t>
        </is>
      </c>
      <c r="Z380" t="inlineStr">
        <is>
          <t>43-1016::98268:106247:494</t>
        </is>
      </c>
      <c r="AA380" t="inlineStr">
        <is>
          <t>Yes</t>
        </is>
      </c>
      <c r="AB380" t="inlineStr"/>
      <c r="AC380" t="inlineStr"/>
    </row>
    <row r="381">
      <c r="A381" t="inlineStr">
        <is>
          <t>380</t>
        </is>
      </c>
      <c r="B381" t="inlineStr">
        <is>
          <t>Windshield Wiper Motor</t>
        </is>
      </c>
      <c r="C381" t="inlineStr">
        <is>
          <t>43-1036</t>
        </is>
      </c>
      <c r="D381" t="inlineStr">
        <is>
          <t>Windshield Wiper Motor - 43-1036</t>
        </is>
      </c>
      <c r="E381" t="inlineStr">
        <is>
          <t>CARDONE Reman</t>
        </is>
      </c>
      <c r="F381" t="inlineStr"/>
      <c r="G381" t="inlineStr">
        <is>
          <t>Fiat 124 1982-1983</t>
        </is>
      </c>
      <c r="H381" t="inlineStr">
        <is>
          <t>Fiat 124 1982-1983 2L L4 122cid</t>
        </is>
      </c>
      <c r="I381" t="inlineStr">
        <is>
          <t>{"0": {"productDeskExternalKey": "CPCX|43-1036"}, "1": {"Package Contents": "Wiper Motor; Instruction Sheet"}, "2": {"E-Waste": "Yes"}, "3": {"Product Condition": "Remanufactured"}, "4": {"Mounting Hole Quantity": "3"}, "5": {"Terminal Type": "Bullet"}, "6": {"Mounting Type": "Direct Bolt"}, "7": {"Weight PG": "3.2250"}, "8": {"Washer Pump Included": "No"}, "9": {"Part Type": "Windshield Wiper Motor"}, "10": {"Warranty Info": "1 Year/18,000 Mile"}, "11": {"Sustainable Choice": "Yes"}, "12": {"Lifecycle Status": "Available to Order"}, "13": {"Application Summary": "Fiat 124 1983-82"}, "14": {"ItemLevelGTIN": "00082617042017"}, "15": {"_addonCardone": "43-1036::98268:106267:494"}, "16": {"Eligible for R&amp;R Service": "Yes"}}</t>
        </is>
      </c>
      <c r="J381" t="inlineStr">
        <is>
          <t>https://www.cardone.com/product/windshield-wiper-motor-43-1036</t>
        </is>
      </c>
      <c r="K381">
        <f>DISPIMG("ID_05DC74189E8D4E7A9AEA674284A69D12",1)</f>
        <v/>
      </c>
      <c r="L381" t="inlineStr">
        <is>
          <t>CPCX|43-1036</t>
        </is>
      </c>
      <c r="M381" t="inlineStr">
        <is>
          <t>Wiper Motor; Instruction Sheet</t>
        </is>
      </c>
      <c r="N381" t="inlineStr">
        <is>
          <t>Yes</t>
        </is>
      </c>
      <c r="O381" t="inlineStr">
        <is>
          <t>Remanufactured</t>
        </is>
      </c>
      <c r="P381" t="inlineStr">
        <is>
          <t>3</t>
        </is>
      </c>
      <c r="Q381" t="inlineStr">
        <is>
          <t>Bullet</t>
        </is>
      </c>
      <c r="R381" t="inlineStr">
        <is>
          <t>Direct Bolt</t>
        </is>
      </c>
      <c r="S381" t="inlineStr">
        <is>
          <t>3.2250</t>
        </is>
      </c>
      <c r="T381" t="inlineStr">
        <is>
          <t>No</t>
        </is>
      </c>
      <c r="U381" t="inlineStr">
        <is>
          <t>1 Year/18,000 Mile</t>
        </is>
      </c>
      <c r="V381" t="inlineStr">
        <is>
          <t>Yes</t>
        </is>
      </c>
      <c r="W381" t="inlineStr">
        <is>
          <t>Available to Order</t>
        </is>
      </c>
      <c r="X381" t="inlineStr">
        <is>
          <t>Fiat 124 1983-82</t>
        </is>
      </c>
      <c r="Y381" t="inlineStr">
        <is>
          <t>00082617042017</t>
        </is>
      </c>
      <c r="Z381" t="inlineStr">
        <is>
          <t>43-1036::98268:106267:494</t>
        </is>
      </c>
      <c r="AA381" t="inlineStr">
        <is>
          <t>Yes</t>
        </is>
      </c>
      <c r="AB381" t="inlineStr"/>
      <c r="AC381" t="inlineStr"/>
    </row>
    <row r="382">
      <c r="A382" t="inlineStr">
        <is>
          <t>381</t>
        </is>
      </c>
      <c r="B382" t="inlineStr">
        <is>
          <t>Windshield Wiper Motor</t>
        </is>
      </c>
      <c r="C382" t="inlineStr">
        <is>
          <t>43-1057</t>
        </is>
      </c>
      <c r="D382" t="inlineStr">
        <is>
          <t>Windshield Wiper Motor - 43-1057</t>
        </is>
      </c>
      <c r="E382" t="inlineStr">
        <is>
          <t>CARDONE Reman</t>
        </is>
      </c>
      <c r="F382" t="inlineStr">
        <is>
          <t>61611386156;61611373385;61611386155</t>
        </is>
      </c>
      <c r="G382" t="inlineStr">
        <is>
          <t>BMW 318i 1984-1993
BMW 318is 1991
BMW 325 1986-1988
BMW 325e 1984-1987
BMW 325es 1986-1987
BMW 325i 1987-1993
BMW 325iX 1988-1991
BMW 325is 1987-1991
BMW 524td 1985-1986
BMW 528e 1984-1988
BMW 533i 1984
BMW 535i 1985-1988
BMW 535is 1988
BMW M3 1988-1991
BMW M5 1988</t>
        </is>
      </c>
      <c r="H382" t="inlineStr">
        <is>
          <t>BMW 318i 1984-1985 1.8L L4 107cid
BMW 318i 1991-1993 1.8L L4 1796cc
BMW 318is 1991 1.8L L4 1796cc
BMW 325 1986-1988 2.7L L6 2693cc
BMW 325e 1984-1987 2.7L L6 2693cc
BMW 325es 1986-1987 2.7L L6 2693cc
BMW 325i 1987-1993 2.5L L6 152cid
BMW 325iX 1988-1991 2.5L L6 152cid
BMW 325is 1987-1991 2.5L L6 152cid
BMW 524td 1985-1986 2.4L L6 2443cc
BMW 528e 1984-1988 2.7L L6 2693cc
BMW 533i 1984 3.2L L6 3210cc
BMW 535i 1985-1988 3.5L L6 3430cc
BMW 535is 1988 3.5L L6 3430cc
BMW M3 1988-1991 2.3L L4 2302cc
BMW M5 1988 3.5L L6 3453cc</t>
        </is>
      </c>
      <c r="I382" t="inlineStr">
        <is>
          <t>{"0": {"productDeskExternalKey": "CPCX|43-1057"}, "1": {"Package Contents": "Wiper Motor; Instruction Sheet"}, "2": {"E-Waste": "Yes"}, "3": {"Product Condition": "Remanufactured"}, "4": {"Mounting Hole Quantity": "3"}, "5": {"Terminal Type": "Bullet"}, "6": {"Mounting Type": "Direct Bolt"}, "7": {"Weight PG": "2.2600"}, "8": {"Washer Pump Included": "No"}, "9": {"Part Type": "Windshield Wiper Motor"}, "10": {"Warranty Info": "1 Year/18,000 Mile"}, "11": {"Sustainable Choice": "Yes"}, "12": {"Lifecycle Status": "Available to Order"}, "13": {"Application Summary": "BMW 318i 1993-91 1985-84, 318is 1991, 325 1988-86, 325e 1987-84, 325es 1987-86, 325i 1993-87, 325is 1991-87, 325iX 1991-88, 524td 1986-85, 528e 1988-84, 533i 1984, 535i 1988-85, 535is 1988, M3 1991-88, M5 1988"}, "14": {"ItemLevelGTIN": "00082617142625"}, "15": {"_addonCardone": "43-1057::98268:106286:494"}, "16": {"Eligible for R&amp;R Service": "Yes"}}</t>
        </is>
      </c>
      <c r="J382" t="inlineStr">
        <is>
          <t>https://www.cardone.com/product/windshield-wiper-motor-43-1057</t>
        </is>
      </c>
      <c r="K382">
        <f>DISPIMG("ID_370ABBB20A3A4DFFB1DA5EBA1D4E83A5",1)</f>
        <v/>
      </c>
      <c r="L382" t="inlineStr">
        <is>
          <t>CPCX|43-1057</t>
        </is>
      </c>
      <c r="M382" t="inlineStr">
        <is>
          <t>Wiper Motor; Instruction Sheet</t>
        </is>
      </c>
      <c r="N382" t="inlineStr">
        <is>
          <t>Yes</t>
        </is>
      </c>
      <c r="O382" t="inlineStr">
        <is>
          <t>Remanufactured</t>
        </is>
      </c>
      <c r="P382" t="inlineStr">
        <is>
          <t>3</t>
        </is>
      </c>
      <c r="Q382" t="inlineStr">
        <is>
          <t>Bullet</t>
        </is>
      </c>
      <c r="R382" t="inlineStr">
        <is>
          <t>Direct Bolt</t>
        </is>
      </c>
      <c r="S382" t="inlineStr">
        <is>
          <t>2.2600</t>
        </is>
      </c>
      <c r="T382" t="inlineStr">
        <is>
          <t>No</t>
        </is>
      </c>
      <c r="U382" t="inlineStr">
        <is>
          <t>1 Year/18,000 Mile</t>
        </is>
      </c>
      <c r="V382" t="inlineStr">
        <is>
          <t>Yes</t>
        </is>
      </c>
      <c r="W382" t="inlineStr">
        <is>
          <t>Available to Order</t>
        </is>
      </c>
      <c r="X382" t="inlineStr">
        <is>
          <t>BMW 318i 1993-91 1985-84, 318is 1991, 325 1988-86, 325e 1987-84, 325es 1987-86, 325i 1993-87, 325is 1991-87, 325iX 1991-88, 524td 1986-85, 528e 1988-84, 533i 1984, 535i 1988-85, 535is 1988, M3 1991-88, M5 1988</t>
        </is>
      </c>
      <c r="Y382" t="inlineStr">
        <is>
          <t>00082617142625</t>
        </is>
      </c>
      <c r="Z382" t="inlineStr">
        <is>
          <t>43-1057::98268:106286:494</t>
        </is>
      </c>
      <c r="AA382" t="inlineStr">
        <is>
          <t>Yes</t>
        </is>
      </c>
      <c r="AB382" t="inlineStr"/>
      <c r="AC382" t="inlineStr"/>
    </row>
    <row r="383">
      <c r="A383" t="inlineStr">
        <is>
          <t>382</t>
        </is>
      </c>
      <c r="B383" t="inlineStr">
        <is>
          <t>Windshield Wiper Motor</t>
        </is>
      </c>
      <c r="C383" t="inlineStr">
        <is>
          <t>43-1107</t>
        </is>
      </c>
      <c r="D383" t="inlineStr">
        <is>
          <t>Windshield Wiper Motor - 43-1107</t>
        </is>
      </c>
      <c r="E383" t="inlineStr">
        <is>
          <t>CARDONE Reman</t>
        </is>
      </c>
      <c r="F383" t="inlineStr">
        <is>
          <t>MB196275;MB262431</t>
        </is>
      </c>
      <c r="G383" t="inlineStr">
        <is>
          <t>Dodge Challenger 1981-1983
Dodge Power Ram 50 1983-1986
Dodge Ram 50 1983-1986
Mitsubishi Mighty Max 1983-1986
Plymouth Sapporo 1981-1983</t>
        </is>
      </c>
      <c r="H383" t="inlineStr">
        <is>
          <t>Dodge Challenger 1981-1983 2.6L L4 156cid
Dodge Power Ram 50 1983-1984 2L L4 122cid
Dodge Power Ram 50 1983-1985 2.3L L4 2346cc
Dodge Power Ram 50 1983-1986 2.6L L4 156cid
Dodge Ram 50 1983-1985 2.3L L4 143cid
Dodge Ram 50 1983-1986 2.6L L4 156cid
Dodge Ram 50 1983-1986 2L L4 122cid
Mitsubishi Mighty Max 1983-1985 2.3L L4 143cid
Mitsubishi Mighty Max 1983-1986 2.6L L4 156cid
Mitsubishi Mighty Max 1983-1986 2L L4 122cid
Plymouth Sapporo 1981-1983 2.6L L4 156cid</t>
        </is>
      </c>
      <c r="I383" t="inlineStr">
        <is>
          <t>{"0": {"productDeskExternalKey": "CPCX|43-1107"}, "1": {"Package Contents": "Wiper Motor; Instruction Sheet"}, "2": {"E-Waste": "Yes"}, "3": {"Product Condition": "Remanufactured"}, "4": {"Mounting Hole Quantity": "3"}, "5": {"Terminal Type": "Blade"}, "6": {"Mounting Type": "Direct Bolt"}, "7": {"Weight PG": "2.8600"}, "8": {"Washer Pump Included": "No"}, "9": {"Part Type": "Windshield Wiper Motor"}, "10": {"Warranty Info": "1 Year/18,000 Mile"}, "11": {"Sustainable Choice": "Yes"}, "12": {"Lifecycle Status": "Available to Order"}, "13": {"Application Summary": "Dodge Challenger 1983-81, Power Ram 50 1986-83, Ram 50 1986-83; Mitsubishi Mighty Max 1986-83; Plymouth Sapporo 1983-81"}, "14": {"ItemLevelGTIN": "00082617081542"}, "15": {"_addonCardone": "43-1107::98268:106305:494"}, "16": {"Eligible for R&amp;R Service": "Yes"}}</t>
        </is>
      </c>
      <c r="J383" t="inlineStr">
        <is>
          <t>https://www.cardone.com/product/windshield-wiper-motor-43-1107</t>
        </is>
      </c>
      <c r="K383">
        <f>DISPIMG("ID_139A1F44637B46EFB18D6651BEF6EBA9",1)</f>
        <v/>
      </c>
      <c r="L383" t="inlineStr">
        <is>
          <t>CPCX|43-1107</t>
        </is>
      </c>
      <c r="M383" t="inlineStr">
        <is>
          <t>Wiper Motor; Instruction Sheet</t>
        </is>
      </c>
      <c r="N383" t="inlineStr">
        <is>
          <t>Yes</t>
        </is>
      </c>
      <c r="O383" t="inlineStr">
        <is>
          <t>Remanufactured</t>
        </is>
      </c>
      <c r="P383" t="inlineStr">
        <is>
          <t>3</t>
        </is>
      </c>
      <c r="Q383" t="inlineStr">
        <is>
          <t>Blade</t>
        </is>
      </c>
      <c r="R383" t="inlineStr">
        <is>
          <t>Direct Bolt</t>
        </is>
      </c>
      <c r="S383" t="inlineStr">
        <is>
          <t>2.8600</t>
        </is>
      </c>
      <c r="T383" t="inlineStr">
        <is>
          <t>No</t>
        </is>
      </c>
      <c r="U383" t="inlineStr">
        <is>
          <t>1 Year/18,000 Mile</t>
        </is>
      </c>
      <c r="V383" t="inlineStr">
        <is>
          <t>Yes</t>
        </is>
      </c>
      <c r="W383" t="inlineStr">
        <is>
          <t>Available to Order</t>
        </is>
      </c>
      <c r="X383" t="inlineStr">
        <is>
          <t>Dodge Challenger 1983-81, Power Ram 50 1986-83, Ram 50 1986-83; Mitsubishi Mighty Max 1986-83; Plymouth Sapporo 1983-81</t>
        </is>
      </c>
      <c r="Y383" t="inlineStr">
        <is>
          <t>00082617081542</t>
        </is>
      </c>
      <c r="Z383" t="inlineStr">
        <is>
          <t>43-1107::98268:106305:494</t>
        </is>
      </c>
      <c r="AA383" t="inlineStr">
        <is>
          <t>Yes</t>
        </is>
      </c>
      <c r="AB383" t="inlineStr"/>
      <c r="AC383" t="inlineStr"/>
    </row>
    <row r="384">
      <c r="A384" t="inlineStr">
        <is>
          <t>383</t>
        </is>
      </c>
      <c r="B384" t="inlineStr">
        <is>
          <t>Windshield Wiper Motor</t>
        </is>
      </c>
      <c r="C384" t="inlineStr">
        <is>
          <t>43-1111</t>
        </is>
      </c>
      <c r="D384" t="inlineStr">
        <is>
          <t>Windshield Wiper Motor - 43-1111</t>
        </is>
      </c>
      <c r="E384" t="inlineStr">
        <is>
          <t>CARDONE Reman</t>
        </is>
      </c>
      <c r="F384" t="inlineStr">
        <is>
          <t>8941218070;8943771890;8941218080;8943443661</t>
        </is>
      </c>
      <c r="G384" t="inlineStr">
        <is>
          <t>Chevrolet LUV 1981-1982
Isuzu Pickup 1981-1987
Isuzu Trooper 1984-1991</t>
        </is>
      </c>
      <c r="H384" t="inlineStr">
        <is>
          <t>Chevrolet LUV 1981-1982 1.8L L4 111cid
Chevrolet LUV 1982 2.2L L4 134cid
Isuzu Pickup 1981-1982 1.8L L4 1817cc
Isuzu Pickup 1981-1987 2.2L L4 2238cc
Isuzu Pickup 1983-1987 1.9L L4 1949cc
Isuzu Pickup 1986-1987 2.3L L4 2254cc
Isuzu Trooper 1984-1985 1.9L L4 1949cc
Isuzu Trooper 1984-1987 2.2L L4 2238cc
Isuzu Trooper 1986-1987 2.3L L4 2254cc
Isuzu Trooper 1988-1991 2.6L L4 2559cc
Isuzu Trooper 1989-1991 2.8L V6 2827cc</t>
        </is>
      </c>
      <c r="I384" t="inlineStr">
        <is>
          <t>{"0": {"productDeskExternalKey": "CPCX|43-1111"}, "1": {"Package Contents": "Wiper Motor; Instruction Sheet"}, "2": {"E-Waste": "Yes"}, "3": {"Product Condition": "Remanufactured"}, "4": {"Mounting Hole Quantity": "3"}, "5": {"Terminal Type": "Blade"}, "6": {"Mounting Type": "Direct Bolt"}, "7": {"Weight PG": "2.6600"}, "8": {"Washer Pump Included": "No"}, "9": {"Part Type": "Windshield Wiper Motor"}, "10": {"Warranty Info": "1 Year/18,000 Mile"}, "11": {"Sustainable Choice": "Yes"}, "12": {"Lifecycle Status": "Available to Order"}, "13": {"Application Summary": "Chevrolet LUV 1982-81; Isuzu Pickup 1987-81, Trooper 1991-84"}, "14": {"ItemLevelGTIN": "00082617042222"}, "15": {"_addonCardone": "43-1111::98268:106325:494"}, "16": {"Eligible for R&amp;R Service": "Yes"}}</t>
        </is>
      </c>
      <c r="J384" t="inlineStr">
        <is>
          <t>https://www.cardone.com/product/windshield-wiper-motor-43-1111</t>
        </is>
      </c>
      <c r="K384">
        <f>DISPIMG("ID_05E4D5377FBA49C19B85ADEED26DAEC7",1)</f>
        <v/>
      </c>
      <c r="L384" t="inlineStr">
        <is>
          <t>CPCX|43-1111</t>
        </is>
      </c>
      <c r="M384" t="inlineStr">
        <is>
          <t>Wiper Motor; Instruction Sheet</t>
        </is>
      </c>
      <c r="N384" t="inlineStr">
        <is>
          <t>Yes</t>
        </is>
      </c>
      <c r="O384" t="inlineStr">
        <is>
          <t>Remanufactured</t>
        </is>
      </c>
      <c r="P384" t="inlineStr">
        <is>
          <t>3</t>
        </is>
      </c>
      <c r="Q384" t="inlineStr">
        <is>
          <t>Blade</t>
        </is>
      </c>
      <c r="R384" t="inlineStr">
        <is>
          <t>Direct Bolt</t>
        </is>
      </c>
      <c r="S384" t="inlineStr">
        <is>
          <t>2.6600</t>
        </is>
      </c>
      <c r="T384" t="inlineStr">
        <is>
          <t>No</t>
        </is>
      </c>
      <c r="U384" t="inlineStr">
        <is>
          <t>1 Year/18,000 Mile</t>
        </is>
      </c>
      <c r="V384" t="inlineStr">
        <is>
          <t>Yes</t>
        </is>
      </c>
      <c r="W384" t="inlineStr">
        <is>
          <t>Available to Order</t>
        </is>
      </c>
      <c r="X384" t="inlineStr">
        <is>
          <t>Chevrolet LUV 1982-81; Isuzu Pickup 1987-81, Trooper 1991-84</t>
        </is>
      </c>
      <c r="Y384" t="inlineStr">
        <is>
          <t>00082617042222</t>
        </is>
      </c>
      <c r="Z384" t="inlineStr">
        <is>
          <t>43-1111::98268:106325:494</t>
        </is>
      </c>
      <c r="AA384" t="inlineStr">
        <is>
          <t>Yes</t>
        </is>
      </c>
      <c r="AB384" t="inlineStr"/>
      <c r="AC384" t="inlineStr"/>
    </row>
    <row r="385">
      <c r="A385" t="inlineStr">
        <is>
          <t>384</t>
        </is>
      </c>
      <c r="B385" t="inlineStr">
        <is>
          <t>Windshield Wiper Motor</t>
        </is>
      </c>
      <c r="C385" t="inlineStr">
        <is>
          <t>43-1112</t>
        </is>
      </c>
      <c r="D385" t="inlineStr">
        <is>
          <t>Windshield Wiper Motor - 43-1112</t>
        </is>
      </c>
      <c r="E385" t="inlineStr">
        <is>
          <t>CARDONE Reman</t>
        </is>
      </c>
      <c r="F385" t="inlineStr">
        <is>
          <t>MB606019;MB285721</t>
        </is>
      </c>
      <c r="G385" t="inlineStr">
        <is>
          <t>Dodge Colt 1984-1991
Plymouth Colt 1984-1991</t>
        </is>
      </c>
      <c r="H385" t="inlineStr">
        <is>
          <t>Dodge Colt 1984-1991 2L L4 122cid
Plymouth Colt 1984-1991 2L L4 122cid</t>
        </is>
      </c>
      <c r="I385" t="inlineStr">
        <is>
          <t>{"0": {"productDeskExternalKey": "CPCX|43-1112"}, "1": {"Package Contents": "Wiper Motor; Instruction Sheet"}, "2": {"E-Waste": "Yes"}, "3": {"Product Condition": "Remanufactured"}, "4": {"Mounting Hole Quantity": "3"}, "5": {"Terminal Type": "Blade"}, "6": {"Mounting Type": "Direct Bolt"}, "7": {"Weight PG": "3.0500"}, "8": {"Washer Pump Included": "No"}, "9": {"Part Type": "Windshield Wiper Motor"}, "10": {"Warranty Info": "1 Year/18,000 Mile"}, "11": {"Sustainable Choice": "Yes"}, "12": {"Lifecycle Status": "Available to Order"}, "13": {"Application Summary": "Dodge Colt 1991-84; Plymouth Colt 1991-84"}, "14": {"ItemLevelGTIN": "00082617081559"}, "15": {"_addonCardone": "43-1112::98268:106771:494"}, "16": {"Eligible for R&amp;R Service": "Yes"}}</t>
        </is>
      </c>
      <c r="J385" t="inlineStr">
        <is>
          <t>https://www.cardone.com/product/windshield-wiper-motor-43-1112</t>
        </is>
      </c>
      <c r="K385">
        <f>DISPIMG("ID_0DD00F58B368414B9C59BA8E65F21593",1)</f>
        <v/>
      </c>
      <c r="L385" t="inlineStr">
        <is>
          <t>CPCX|43-1112</t>
        </is>
      </c>
      <c r="M385" t="inlineStr">
        <is>
          <t>Wiper Motor; Instruction Sheet</t>
        </is>
      </c>
      <c r="N385" t="inlineStr">
        <is>
          <t>Yes</t>
        </is>
      </c>
      <c r="O385" t="inlineStr">
        <is>
          <t>Remanufactured</t>
        </is>
      </c>
      <c r="P385" t="inlineStr">
        <is>
          <t>3</t>
        </is>
      </c>
      <c r="Q385" t="inlineStr">
        <is>
          <t>Blade</t>
        </is>
      </c>
      <c r="R385" t="inlineStr">
        <is>
          <t>Direct Bolt</t>
        </is>
      </c>
      <c r="S385" t="inlineStr">
        <is>
          <t>3.0500</t>
        </is>
      </c>
      <c r="T385" t="inlineStr">
        <is>
          <t>No</t>
        </is>
      </c>
      <c r="U385" t="inlineStr">
        <is>
          <t>1 Year/18,000 Mile</t>
        </is>
      </c>
      <c r="V385" t="inlineStr">
        <is>
          <t>Yes</t>
        </is>
      </c>
      <c r="W385" t="inlineStr">
        <is>
          <t>Available to Order</t>
        </is>
      </c>
      <c r="X385" t="inlineStr">
        <is>
          <t>Dodge Colt 1991-84; Plymouth Colt 1991-84</t>
        </is>
      </c>
      <c r="Y385" t="inlineStr">
        <is>
          <t>00082617081559</t>
        </is>
      </c>
      <c r="Z385" t="inlineStr">
        <is>
          <t>43-1112::98268:106771:494</t>
        </is>
      </c>
      <c r="AA385" t="inlineStr">
        <is>
          <t>Yes</t>
        </is>
      </c>
      <c r="AB385" t="inlineStr"/>
      <c r="AC385" t="inlineStr"/>
    </row>
    <row r="386">
      <c r="A386" t="inlineStr">
        <is>
          <t>385</t>
        </is>
      </c>
      <c r="B386" t="inlineStr">
        <is>
          <t>Windshield Wiper Motor</t>
        </is>
      </c>
      <c r="C386" t="inlineStr">
        <is>
          <t>43-1113</t>
        </is>
      </c>
      <c r="D386" t="inlineStr">
        <is>
          <t>Windshield Wiper Motor - 43-1113</t>
        </is>
      </c>
      <c r="E386" t="inlineStr">
        <is>
          <t>CARDONE Reman</t>
        </is>
      </c>
      <c r="F386" t="inlineStr">
        <is>
          <t>MB314153;MB314154</t>
        </is>
      </c>
      <c r="G386" t="inlineStr">
        <is>
          <t>Dodge Colt 1985-1990
Mitsubishi Mirage 1985-1988
Plymouth Colt 1985-1990</t>
        </is>
      </c>
      <c r="H386" t="inlineStr">
        <is>
          <t>Dodge Colt 1985-1988 1.6L L4 98cid
Dodge Colt 1985-1990 1.5L L4 90cid
Dodge Colt 1989-1990 1.8L L4 107cid
Mitsubishi Mirage 1985-1988 1.5L L4 90cid
Mitsubishi Mirage 1985-1988 1.6L L4 98cid
Plymouth Colt 1985-1988 1.6L L4 98cid
Plymouth Colt 1985-1990 1.5L L4 90cid
Plymouth Colt 1989-1990 1.8L L4 107cid</t>
        </is>
      </c>
      <c r="I386" t="inlineStr">
        <is>
          <t>{"0": {"productDeskExternalKey": "CPCX|43-1113"},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"Dodge Colt 1990-85; Mitsubishi Mirage 1988-85; Plymouth Colt 1990-85"}, "14": {"ItemLevelGTIN": "00082617081566"}, "15": {"_addonCardone": "43-1113::98268:106795:494"}, "16": {"Eligible for R&amp;R Service": "Yes"}}</t>
        </is>
      </c>
      <c r="J386" t="inlineStr">
        <is>
          <t>https://www.cardone.com/product/windshield-wiper-motor-43-1113</t>
        </is>
      </c>
      <c r="K386">
        <f>DISPIMG("ID_A039ABEBA4054A5C8CB84765091E7B2F",1)</f>
        <v/>
      </c>
      <c r="L386" t="inlineStr">
        <is>
          <t>CPCX|43-1113</t>
        </is>
      </c>
      <c r="M386" t="inlineStr">
        <is>
          <t>Wiper Motor; Instruction Sheet</t>
        </is>
      </c>
      <c r="N386" t="inlineStr">
        <is>
          <t>Yes</t>
        </is>
      </c>
      <c r="O386" t="inlineStr">
        <is>
          <t>Remanufactured</t>
        </is>
      </c>
      <c r="P386" t="inlineStr">
        <is>
          <t>3</t>
        </is>
      </c>
      <c r="Q386" t="inlineStr">
        <is>
          <t>Blade</t>
        </is>
      </c>
      <c r="R386" t="inlineStr">
        <is>
          <t>Direct Bolt</t>
        </is>
      </c>
      <c r="S386" t="inlineStr">
        <is>
          <t>3.0000</t>
        </is>
      </c>
      <c r="T386" t="inlineStr">
        <is>
          <t>No</t>
        </is>
      </c>
      <c r="U386" t="inlineStr">
        <is>
          <t>1 Year/18,000 Mile</t>
        </is>
      </c>
      <c r="V386" t="inlineStr">
        <is>
          <t>Yes</t>
        </is>
      </c>
      <c r="W386" t="inlineStr">
        <is>
          <t>Available to Order</t>
        </is>
      </c>
      <c r="X386" t="inlineStr">
        <is>
          <t>Dodge Colt 1990-85; Mitsubishi Mirage 1988-85; Plymouth Colt 1990-85</t>
        </is>
      </c>
      <c r="Y386" t="inlineStr">
        <is>
          <t>00082617081566</t>
        </is>
      </c>
      <c r="Z386" t="inlineStr">
        <is>
          <t>43-1113::98268:106795:494</t>
        </is>
      </c>
      <c r="AA386" t="inlineStr">
        <is>
          <t>Yes</t>
        </is>
      </c>
      <c r="AB386" t="inlineStr"/>
      <c r="AC386" t="inlineStr"/>
    </row>
    <row r="387">
      <c r="A387" t="inlineStr">
        <is>
          <t>386</t>
        </is>
      </c>
      <c r="B387" t="inlineStr">
        <is>
          <t>Windshield Wiper Motor</t>
        </is>
      </c>
      <c r="C387" t="inlineStr">
        <is>
          <t>43-1114</t>
        </is>
      </c>
      <c r="D387" t="inlineStr">
        <is>
          <t>Windshield Wiper Motor - 43-1114</t>
        </is>
      </c>
      <c r="E387" t="inlineStr">
        <is>
          <t>CARDONE Reman</t>
        </is>
      </c>
      <c r="F387" t="inlineStr">
        <is>
          <t>MB183834</t>
        </is>
      </c>
      <c r="G387" t="inlineStr">
        <is>
          <t>Chrysler Conquest 1987-1989
Dodge Conquest 1984-1986
Mitsubishi Starion 1983-1989
Plymouth Conquest 1984-1986</t>
        </is>
      </c>
      <c r="H387" t="inlineStr">
        <is>
          <t>Chrysler Conquest 1987-1989 2.6L L4 156cid
Dodge Conquest 1984-1986 2.6L L4 156cid
Mitsubishi Starion 1983-1989 2.6L L4 156cid
Plymouth Conquest 1984-1986 2.6L L4 156cid</t>
        </is>
      </c>
      <c r="I387" t="inlineStr">
        <is>
          <t>{"0": {"productDeskExternalKey": "CPCX|43-1114"},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"Chrysler Conquest 1989-87; Dodge Conquest 1986-84; Mitsubishi Starion 1989-83; Plymouth Conquest 1986-84"}, "14": {"ItemLevelGTIN": "00082617142632"}, "15": {"_addonCardone": "43-1114::98268:106822:494"}, "16": {"Eligible for R&amp;R Service": "Yes"}}</t>
        </is>
      </c>
      <c r="J387" t="inlineStr">
        <is>
          <t>https://www.cardone.com/product/windshield-wiper-motor-43-1114</t>
        </is>
      </c>
      <c r="K387">
        <f>DISPIMG("ID_99D947E723754C61B6CFEEF25E693281",1)</f>
        <v/>
      </c>
      <c r="L387" t="inlineStr">
        <is>
          <t>CPCX|43-1114</t>
        </is>
      </c>
      <c r="M387" t="inlineStr">
        <is>
          <t>Wiper Motor; Instruction Sheet</t>
        </is>
      </c>
      <c r="N387" t="inlineStr">
        <is>
          <t>Yes</t>
        </is>
      </c>
      <c r="O387" t="inlineStr">
        <is>
          <t>Remanufactured</t>
        </is>
      </c>
      <c r="P387" t="inlineStr">
        <is>
          <t>3</t>
        </is>
      </c>
      <c r="Q387" t="inlineStr">
        <is>
          <t>Blade</t>
        </is>
      </c>
      <c r="R387" t="inlineStr">
        <is>
          <t>Direct Bolt</t>
        </is>
      </c>
      <c r="S387" t="inlineStr">
        <is>
          <t>3.0000</t>
        </is>
      </c>
      <c r="T387" t="inlineStr">
        <is>
          <t>No</t>
        </is>
      </c>
      <c r="U387" t="inlineStr">
        <is>
          <t>1 Year/18,000 Mile</t>
        </is>
      </c>
      <c r="V387" t="inlineStr">
        <is>
          <t>Yes</t>
        </is>
      </c>
      <c r="W387" t="inlineStr">
        <is>
          <t>Available to Order</t>
        </is>
      </c>
      <c r="X387" t="inlineStr">
        <is>
          <t>Chrysler Conquest 1989-87; Dodge Conquest 1986-84; Mitsubishi Starion 1989-83; Plymouth Conquest 1986-84</t>
        </is>
      </c>
      <c r="Y387" t="inlineStr">
        <is>
          <t>00082617142632</t>
        </is>
      </c>
      <c r="Z387" t="inlineStr">
        <is>
          <t>43-1114::98268:106822:494</t>
        </is>
      </c>
      <c r="AA387" t="inlineStr">
        <is>
          <t>Yes</t>
        </is>
      </c>
      <c r="AB387" t="inlineStr"/>
      <c r="AC387" t="inlineStr"/>
    </row>
    <row r="388">
      <c r="A388" t="inlineStr">
        <is>
          <t>387</t>
        </is>
      </c>
      <c r="B388" t="inlineStr">
        <is>
          <t>Windshield Wiper Motor</t>
        </is>
      </c>
      <c r="C388" t="inlineStr">
        <is>
          <t>43-1115</t>
        </is>
      </c>
      <c r="D388" t="inlineStr">
        <is>
          <t>Windshield Wiper Motor - 43-1115</t>
        </is>
      </c>
      <c r="E388" t="inlineStr">
        <is>
          <t>CARDONE Reman</t>
        </is>
      </c>
      <c r="F388" t="inlineStr">
        <is>
          <t>MB622910;MB415260;MB848431;MB488025;MB617845;MB623137</t>
        </is>
      </c>
      <c r="G388" t="inlineStr">
        <is>
          <t>Dodge 2000 GTX 1989-1990
Dodge Ram 50 1987-1993
Dodge Stealth 1991-1996
Eagle 2000 GTX 1991-1993
Mitsubishi Mighty Max 1987-1996
Mitsubishi Van 1987-1990</t>
        </is>
      </c>
      <c r="H388" t="inlineStr">
        <is>
          <t>Dodge 2000 GTX 1989-1990 2L L4 122cid
Dodge Ram 50 1987-1989 2.6L L4 156cid
Dodge Ram 50 1987-1989 2L L4 122cid
Dodge Ram 50 1990-1991 3L V6 181cid
Dodge Ram 50 1990-1993 2.4L L4 2351cc
Dodge Stealth 1991-1996 3L V6 181cid
Eagle 2000 GTX 1991-1993 2L L4 122cid
Mitsubishi Mighty Max 1987-1989 2.6L L4 156cid
Mitsubishi Mighty Max 1987-1989 2L L4 122cid
Mitsubishi Mighty Max 1990-1994 3L V6 181cid
Mitsubishi Mighty Max 1990-1996 2.4L L4 2351cc
Mitsubishi Van 1987-1990 2.4L L4 2351cc</t>
        </is>
      </c>
      <c r="I388" t="inlineStr">
        <is>
          <t>{"0": {"productDeskExternalKey": "CPCX|43-1115"}, "1": {"Package Contents": "Wiper Motor; Instruction Sheet"}, "2": {"E-Waste": "Yes"}, "3": {"Product Condition": "Remanufactured"}, "4": {"Mounting Hole Quantity": "4"}, "5": {"Terminal Type": "Blade"}, "6": {"Mounting Type": "Grommet"}, "7": {"Weight PG": "2.3200"}, "8": {"Washer Pump Included": "No"}, "9": {"Part Type": "Windshield Wiper Motor"}, "10": {"Warranty Info": "1 Year/18,000 Mile"}, "11": {"Sustainable Choice": "Yes"}, "12": {"Lifecycle Status": "Available to Order"}, "13": {"Application Summary": "Dodge 2000 GTX 1990-89, Ram 50 1993-87, Stealth 1996-91; Eagle 2000 GTX 1993-91; Mitsubishi 3000GT 1999-91, Diamante 1996-92, Galant 1998-89, Mighty Max 1996-87, Van 1990-87"}, "14": {"ItemLevelGTIN": "00082617166461"}, "15": {"_addonCardone": "43-1115::98268:106847:494"}, "16": {"Eligible for R&amp;R Service": "Yes"}}</t>
        </is>
      </c>
      <c r="J388" t="inlineStr">
        <is>
          <t>https://www.cardone.com/product/windshield-wiper-motor-43-1115</t>
        </is>
      </c>
      <c r="K388">
        <f>DISPIMG("ID_9295D5C55C7B482596C2E04FE68BFA72",1)</f>
        <v/>
      </c>
      <c r="L388" t="inlineStr">
        <is>
          <t>CPCX|43-1115</t>
        </is>
      </c>
      <c r="M388" t="inlineStr">
        <is>
          <t>Wiper Motor; Instruction Sheet</t>
        </is>
      </c>
      <c r="N388" t="inlineStr">
        <is>
          <t>Yes</t>
        </is>
      </c>
      <c r="O388" t="inlineStr">
        <is>
          <t>Remanufactured</t>
        </is>
      </c>
      <c r="P388" t="inlineStr">
        <is>
          <t>4</t>
        </is>
      </c>
      <c r="Q388" t="inlineStr">
        <is>
          <t>Blade</t>
        </is>
      </c>
      <c r="R388" t="inlineStr">
        <is>
          <t>Grommet</t>
        </is>
      </c>
      <c r="S388" t="inlineStr">
        <is>
          <t>2.3200</t>
        </is>
      </c>
      <c r="T388" t="inlineStr">
        <is>
          <t>No</t>
        </is>
      </c>
      <c r="U388" t="inlineStr">
        <is>
          <t>1 Year/18,000 Mile</t>
        </is>
      </c>
      <c r="V388" t="inlineStr">
        <is>
          <t>Yes</t>
        </is>
      </c>
      <c r="W388" t="inlineStr">
        <is>
          <t>Available to Order</t>
        </is>
      </c>
      <c r="X388" t="inlineStr">
        <is>
          <t>Dodge 2000 GTX 1990-89, Ram 50 1993-87, Stealth 1996-91; Eagle 2000 GTX 1993-91; Mitsubishi 3000GT 1999-91, Diamante 1996-92, Galant 1998-89, Mighty Max 1996-87, Van 1990-87</t>
        </is>
      </c>
      <c r="Y388" t="inlineStr">
        <is>
          <t>00082617166461</t>
        </is>
      </c>
      <c r="Z388" t="inlineStr">
        <is>
          <t>43-1115::98268:106847:494</t>
        </is>
      </c>
      <c r="AA388" t="inlineStr">
        <is>
          <t>Yes</t>
        </is>
      </c>
      <c r="AB388" t="inlineStr"/>
      <c r="AC388" t="inlineStr"/>
    </row>
    <row r="389">
      <c r="A389" t="inlineStr">
        <is>
          <t>388</t>
        </is>
      </c>
      <c r="B389" t="inlineStr">
        <is>
          <t>Windshield Wiper Motor</t>
        </is>
      </c>
      <c r="C389" t="inlineStr">
        <is>
          <t>43-1116</t>
        </is>
      </c>
      <c r="D389" t="inlineStr">
        <is>
          <t>Windshield Wiper Motor - 43-1116</t>
        </is>
      </c>
      <c r="E389" t="inlineStr">
        <is>
          <t>CARDONE Reman</t>
        </is>
      </c>
      <c r="F389" t="inlineStr">
        <is>
          <t>MB541613</t>
        </is>
      </c>
      <c r="G389" t="inlineStr">
        <is>
          <t>Dodge Colt 1989-1992
Eagle Summit 1989-1992
Mitsubishi Mirage 1989-1992
Plymouth Colt 1989-1992</t>
        </is>
      </c>
      <c r="H389" t="inlineStr">
        <is>
          <t>Dodge Colt 1989-1990 1.6L L4 98cid
Dodge Colt 1989-1992 1.5L L4 90cid
Dodge Colt 1992 1.8L L4 112cid
Eagle Summit 1989-1990 1.6L L4 98cid
Eagle Summit 1989-1992 1.5L L4 90cid
Eagle Summit 1992 1.8L L4 112cid
Eagle Summit 1992 2.4L L4 2351cc
Mitsubishi Mirage 1989-1992 1.5L L4 90cid
Mitsubishi Mirage 1989-1992 1.6L L4 98cid
Plymouth Colt 1989-1990 1.6L L4 98cid
Plymouth Colt 1989-1992 1.5L L4 90cid
Plymouth Colt 1992 1.8L L4 112cid
Plymouth Colt 1992 2.4L L4 2351cc</t>
        </is>
      </c>
      <c r="I389" t="inlineStr">
        <is>
          <t>{"0": {"productDeskExternalKey": "CPCX|43-1116"},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"Dodge Colt 1992-89; Eagle Summit 1992-89; Mitsubishi Mirage 1992-89; Plymouth Colt 1992-89"}, "14": {"ItemLevelGTIN": "00082617166478"}, "15": {"_addonCardone": "43-1116::98268:106871:494"}, "16": {"Eligible for R&amp;R Service": "Yes"}}</t>
        </is>
      </c>
      <c r="J389" t="inlineStr">
        <is>
          <t>https://www.cardone.com/product/windshield-wiper-motor-43-1116</t>
        </is>
      </c>
      <c r="K389">
        <f>DISPIMG("ID_A7BF0D899165440E94B7EAE45CBB72AB",1)</f>
        <v/>
      </c>
      <c r="L389" t="inlineStr">
        <is>
          <t>CPCX|43-1116</t>
        </is>
      </c>
      <c r="M389" t="inlineStr">
        <is>
          <t>Wiper Motor; Instruction Sheet</t>
        </is>
      </c>
      <c r="N389" t="inlineStr">
        <is>
          <t>Yes</t>
        </is>
      </c>
      <c r="O389" t="inlineStr">
        <is>
          <t>Remanufactured</t>
        </is>
      </c>
      <c r="P389" t="inlineStr">
        <is>
          <t>3</t>
        </is>
      </c>
      <c r="Q389" t="inlineStr">
        <is>
          <t>Blade</t>
        </is>
      </c>
      <c r="R389" t="inlineStr">
        <is>
          <t>Direct Bolt</t>
        </is>
      </c>
      <c r="S389" t="inlineStr">
        <is>
          <t>2.5000</t>
        </is>
      </c>
      <c r="T389" t="inlineStr">
        <is>
          <t>No</t>
        </is>
      </c>
      <c r="U389" t="inlineStr">
        <is>
          <t>1 Year/18,000 Mile</t>
        </is>
      </c>
      <c r="V389" t="inlineStr">
        <is>
          <t>Yes</t>
        </is>
      </c>
      <c r="W389" t="inlineStr">
        <is>
          <t>Available to Order</t>
        </is>
      </c>
      <c r="X389" t="inlineStr">
        <is>
          <t>Dodge Colt 1992-89; Eagle Summit 1992-89; Mitsubishi Mirage 1992-89; Plymouth Colt 1992-89</t>
        </is>
      </c>
      <c r="Y389" t="inlineStr">
        <is>
          <t>00082617166478</t>
        </is>
      </c>
      <c r="Z389" t="inlineStr">
        <is>
          <t>43-1116::98268:106871:494</t>
        </is>
      </c>
      <c r="AA389" t="inlineStr">
        <is>
          <t>Yes</t>
        </is>
      </c>
      <c r="AB389" t="inlineStr"/>
      <c r="AC389" t="inlineStr"/>
    </row>
    <row r="390">
      <c r="A390" t="inlineStr">
        <is>
          <t>389</t>
        </is>
      </c>
      <c r="B390" t="inlineStr">
        <is>
          <t>Windshield Wiper Motor</t>
        </is>
      </c>
      <c r="C390" t="inlineStr">
        <is>
          <t>43-1117</t>
        </is>
      </c>
      <c r="D390" t="inlineStr">
        <is>
          <t>Windshield Wiper Motor - 43-1117</t>
        </is>
      </c>
      <c r="E390" t="inlineStr">
        <is>
          <t>CARDONE Reman</t>
        </is>
      </c>
      <c r="F390" t="inlineStr">
        <is>
          <t>MB821112</t>
        </is>
      </c>
      <c r="G390" t="inlineStr">
        <is>
          <t>Dodge Colt 1993-1995
Eagle Summit 1993-1996
Mitsubishi Mirage 1993-1996
Plymouth Colt 1993-1995</t>
        </is>
      </c>
      <c r="H390" t="inlineStr">
        <is>
          <t>Dodge Colt 1993-1994 1.8L L4 112cid
Dodge Colt 1993-1994 2.4L L4 2351cc
Dodge Colt 1993-1995 1.5L L4 90cid
Eagle Summit 1993-1996 1.5L L4 90cid
Eagle Summit 1993-1996 1.8L L4 112cid
Eagle Summit 1993-1996 2.4L L4 2351cc
Mitsubishi Mirage 1993-1996 1.5L L4 90cid
Mitsubishi Mirage 1993-1996 1.8L L4 112cid
Plymouth Colt 1993-1994 1.8L L4 112cid
Plymouth Colt 1993-1994 2.4L L4 2351cc
Plymouth Colt 1993-1995 1.5L L4 90cid</t>
        </is>
      </c>
      <c r="I390" t="inlineStr">
        <is>
          <t>{"0": {"productDeskExternalKey": "CPCX|43-1117"},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"Dodge Colt 1995-93; Eagle Summit 1996-93; Mitsubishi Mirage 1996-93; Plymouth Colt 1995-93"}, "14": {"ItemLevelGTIN": "00082617377331"}, "15": {"_addonCardone": "43-1117::98268:106898:494"}, "16": {"Eligible for R&amp;R Service": "Yes"}}</t>
        </is>
      </c>
      <c r="J390" t="inlineStr">
        <is>
          <t>https://www.cardone.com/product/windshield-wiper-motor-43-1117</t>
        </is>
      </c>
      <c r="K390">
        <f>DISPIMG("ID_C2F9D0566C10420A8EFF4F061864D944",1)</f>
        <v/>
      </c>
      <c r="L390" t="inlineStr">
        <is>
          <t>CPCX|43-1117</t>
        </is>
      </c>
      <c r="M390" t="inlineStr">
        <is>
          <t>Wiper Motor; Instruction Sheet</t>
        </is>
      </c>
      <c r="N390" t="inlineStr">
        <is>
          <t>Yes</t>
        </is>
      </c>
      <c r="O390" t="inlineStr">
        <is>
          <t>Remanufactured</t>
        </is>
      </c>
      <c r="P390" t="inlineStr">
        <is>
          <t>3</t>
        </is>
      </c>
      <c r="Q390" t="inlineStr">
        <is>
          <t>Blade</t>
        </is>
      </c>
      <c r="R390" t="inlineStr">
        <is>
          <t>Direct Bolt</t>
        </is>
      </c>
      <c r="S390" t="inlineStr">
        <is>
          <t>2.5000</t>
        </is>
      </c>
      <c r="T390" t="inlineStr">
        <is>
          <t>No</t>
        </is>
      </c>
      <c r="U390" t="inlineStr">
        <is>
          <t>1 Year/18,000 Mile</t>
        </is>
      </c>
      <c r="V390" t="inlineStr">
        <is>
          <t>Yes</t>
        </is>
      </c>
      <c r="W390" t="inlineStr">
        <is>
          <t>Available to Order</t>
        </is>
      </c>
      <c r="X390" t="inlineStr">
        <is>
          <t>Dodge Colt 1995-93; Eagle Summit 1996-93; Mitsubishi Mirage 1996-93; Plymouth Colt 1995-93</t>
        </is>
      </c>
      <c r="Y390" t="inlineStr">
        <is>
          <t>00082617377331</t>
        </is>
      </c>
      <c r="Z390" t="inlineStr">
        <is>
          <t>43-1117::98268:106898:494</t>
        </is>
      </c>
      <c r="AA390" t="inlineStr">
        <is>
          <t>Yes</t>
        </is>
      </c>
      <c r="AB390" t="inlineStr"/>
      <c r="AC390" t="inlineStr"/>
    </row>
    <row r="391">
      <c r="A391" t="inlineStr">
        <is>
          <t>390</t>
        </is>
      </c>
      <c r="B391" t="inlineStr">
        <is>
          <t>Windshield Wiper Motor</t>
        </is>
      </c>
      <c r="C391" t="inlineStr">
        <is>
          <t>43-1118</t>
        </is>
      </c>
      <c r="D391" t="inlineStr">
        <is>
          <t>Windshield Wiper Motor - 43-1118</t>
        </is>
      </c>
      <c r="E391" t="inlineStr">
        <is>
          <t>CARDONE Reman</t>
        </is>
      </c>
      <c r="F391" t="inlineStr">
        <is>
          <t>MB606131</t>
        </is>
      </c>
      <c r="G391" t="inlineStr">
        <is>
          <t>Eagle Summit 1992-1996
Plymouth Colt 1992-1994</t>
        </is>
      </c>
      <c r="H391" t="inlineStr">
        <is>
          <t>Eagle Summit 1992-1996 1.5L L4 90cid
Eagle Summit 1992-1996 1.8L L4 112cid
Eagle Summit 1992-1996 2.4L L4 2351cc
Plymouth Colt 1992-1994 1.8L L4 112cid
Plymouth Colt 1992-1994 2.4L L4 2351cc
Plymouth Colt 1994 1.5L L4 90cid</t>
        </is>
      </c>
      <c r="I391" t="inlineStr">
        <is>
          <t>{"0": {"productDeskExternalKey": "CPCX|43-1118"}, "1": {"Package Contents": "Wiper Motor; Instruction Sheet"}, "2": {"E-Waste": "Yes"}, "3": {"Product Condition": "Remanufactured"}, "4": {"Mounting Hole Quantity": "3"}, "5": {"Terminal Type": "Blade"}, "6": {"Mounting Type": "Direct Bolt"}, "7": {"Weight PG": "2.6400"}, "8": {"Washer Pump Included": "No"}, "9": {"Part Type": "Windshield Wiper Motor"}, "10": {"Warranty Info": "1 Year/18,000 Mile"}, "11": {"Sustainable Choice": "Yes"}, "12": {"Lifecycle Status": "Available to Order"}, "13": {"Application Summary": "Eagle Summit 1996-92; Mitsubishi Expo 1995-92, Expo LRV 1994-92; Plymouth Colt 1994-92"}, "14": {"ItemLevelGTIN": "00082617377324"}, "15": {"_addonCardone": "43-1118::98268:106930:494"}, "16": {"Eligible for R&amp;R Service": "Yes"}}</t>
        </is>
      </c>
      <c r="J391" t="inlineStr">
        <is>
          <t>https://www.cardone.com/product/windshield-wiper-motor-43-1118</t>
        </is>
      </c>
      <c r="K391">
        <f>DISPIMG("ID_DE158E36C222425BBD43C8561411E18A",1)</f>
        <v/>
      </c>
      <c r="L391" t="inlineStr">
        <is>
          <t>CPCX|43-1118</t>
        </is>
      </c>
      <c r="M391" t="inlineStr">
        <is>
          <t>Wiper Motor; Instruction Sheet</t>
        </is>
      </c>
      <c r="N391" t="inlineStr">
        <is>
          <t>Yes</t>
        </is>
      </c>
      <c r="O391" t="inlineStr">
        <is>
          <t>Remanufactured</t>
        </is>
      </c>
      <c r="P391" t="inlineStr">
        <is>
          <t>3</t>
        </is>
      </c>
      <c r="Q391" t="inlineStr">
        <is>
          <t>Blade</t>
        </is>
      </c>
      <c r="R391" t="inlineStr">
        <is>
          <t>Direct Bolt</t>
        </is>
      </c>
      <c r="S391" t="inlineStr">
        <is>
          <t>2.6400</t>
        </is>
      </c>
      <c r="T391" t="inlineStr">
        <is>
          <t>No</t>
        </is>
      </c>
      <c r="U391" t="inlineStr">
        <is>
          <t>1 Year/18,000 Mile</t>
        </is>
      </c>
      <c r="V391" t="inlineStr">
        <is>
          <t>Yes</t>
        </is>
      </c>
      <c r="W391" t="inlineStr">
        <is>
          <t>Available to Order</t>
        </is>
      </c>
      <c r="X391" t="inlineStr">
        <is>
          <t>Eagle Summit 1996-92; Mitsubishi Expo 1995-92, Expo LRV 1994-92; Plymouth Colt 1994-92</t>
        </is>
      </c>
      <c r="Y391" t="inlineStr">
        <is>
          <t>00082617377324</t>
        </is>
      </c>
      <c r="Z391" t="inlineStr">
        <is>
          <t>43-1118::98268:106930:494</t>
        </is>
      </c>
      <c r="AA391" t="inlineStr">
        <is>
          <t>Yes</t>
        </is>
      </c>
      <c r="AB391" t="inlineStr"/>
      <c r="AC391" t="inlineStr"/>
    </row>
    <row r="392">
      <c r="A392" t="inlineStr">
        <is>
          <t>391</t>
        </is>
      </c>
      <c r="B392" t="inlineStr">
        <is>
          <t>Windshield Wiper Motor</t>
        </is>
      </c>
      <c r="C392" t="inlineStr">
        <is>
          <t>43-1119</t>
        </is>
      </c>
      <c r="D392" t="inlineStr">
        <is>
          <t>Windshield Wiper Motor - 43-1119</t>
        </is>
      </c>
      <c r="E392" t="inlineStr">
        <is>
          <t>CARDONE Reman</t>
        </is>
      </c>
      <c r="F392" t="inlineStr">
        <is>
          <t>MB623285</t>
        </is>
      </c>
      <c r="G392" t="inlineStr">
        <is>
          <t>Mitsubishi Montero 1992-2000</t>
        </is>
      </c>
      <c r="H392" t="inlineStr">
        <is>
          <t>Mitsubishi Montero 1992-1996 3L V6 181cid
Mitsubishi Montero 1994-2000 3.5L V6 215cid</t>
        </is>
      </c>
      <c r="I392" t="inlineStr">
        <is>
          <t>{"0": {"productDeskExternalKey": "CPCX|43-1119"}, "1": {"Package Contents": "Wiper Motor; Instruction Sheet"}, "2": {"E-Waste": "Yes"}, "3": {"Product Condition": "Remanufactured"}, "4": {"Mounting Hole Quantity": "4"}, "5": {"Terminal Type": "Blade"}, "6": {"Mounting Type": "Grommet"}, "7": {"Weight PG": "2.4000"}, "8": {"Washer Pump Included": "No"}, "9": {"Part Type": "Windshield Wiper Motor"}, "10": {"Warranty Info": "1 Year/18,000 Mile"}, "11": {"Sustainable Choice": "Yes"}, "12": {"Lifecycle Status": "Available to Order"}, "13": {"Application Summary": "Mitsubishi Montero 2000-92"}, "14": {"ItemLevelGTIN": "00082617456043"}, "15": {"_addonCardone": "43-1119::98268:106953:494"}, "16": {"Eligible for R&amp;R Service": "Yes"}}</t>
        </is>
      </c>
      <c r="J392" t="inlineStr">
        <is>
          <t>https://www.cardone.com/product/windshield-wiper-motor-43-1119</t>
        </is>
      </c>
      <c r="K392">
        <f>DISPIMG("ID_DCCCCEC0FD674D0B950618F690884D29",1)</f>
        <v/>
      </c>
      <c r="L392" t="inlineStr">
        <is>
          <t>CPCX|43-1119</t>
        </is>
      </c>
      <c r="M392" t="inlineStr">
        <is>
          <t>Wiper Motor; Instruction Sheet</t>
        </is>
      </c>
      <c r="N392" t="inlineStr">
        <is>
          <t>Yes</t>
        </is>
      </c>
      <c r="O392" t="inlineStr">
        <is>
          <t>Remanufactured</t>
        </is>
      </c>
      <c r="P392" t="inlineStr">
        <is>
          <t>4</t>
        </is>
      </c>
      <c r="Q392" t="inlineStr">
        <is>
          <t>Blade</t>
        </is>
      </c>
      <c r="R392" t="inlineStr">
        <is>
          <t>Grommet</t>
        </is>
      </c>
      <c r="S392" t="inlineStr">
        <is>
          <t>2.4000</t>
        </is>
      </c>
      <c r="T392" t="inlineStr">
        <is>
          <t>No</t>
        </is>
      </c>
      <c r="U392" t="inlineStr">
        <is>
          <t>1 Year/18,000 Mile</t>
        </is>
      </c>
      <c r="V392" t="inlineStr">
        <is>
          <t>Yes</t>
        </is>
      </c>
      <c r="W392" t="inlineStr">
        <is>
          <t>Available to Order</t>
        </is>
      </c>
      <c r="X392" t="inlineStr">
        <is>
          <t>Mitsubishi Montero 2000-92</t>
        </is>
      </c>
      <c r="Y392" t="inlineStr">
        <is>
          <t>00082617456043</t>
        </is>
      </c>
      <c r="Z392" t="inlineStr">
        <is>
          <t>43-1119::98268:106953:494</t>
        </is>
      </c>
      <c r="AA392" t="inlineStr">
        <is>
          <t>Yes</t>
        </is>
      </c>
      <c r="AB392" t="inlineStr"/>
      <c r="AC392" t="inlineStr"/>
    </row>
    <row r="393">
      <c r="A393" t="inlineStr">
        <is>
          <t>392</t>
        </is>
      </c>
      <c r="B393" t="inlineStr">
        <is>
          <t>Windshield Wiper Motor</t>
        </is>
      </c>
      <c r="C393" t="inlineStr">
        <is>
          <t>43-1150</t>
        </is>
      </c>
      <c r="D393" t="inlineStr">
        <is>
          <t>Windshield Wiper Motor - 43-1150</t>
        </is>
      </c>
      <c r="E393" t="inlineStr">
        <is>
          <t>CARDONE Reman</t>
        </is>
      </c>
      <c r="F393" t="inlineStr">
        <is>
          <t>MB229523</t>
        </is>
      </c>
      <c r="G393" t="inlineStr">
        <is>
          <t>Mitsubishi Tredia 1983-1988</t>
        </is>
      </c>
      <c r="H393" t="inlineStr">
        <is>
          <t>Mitsubishi Tredia 1983-1988 1.8L L4 1795cc
Mitsubishi Tredia 1984-1988 2L L4 122cid</t>
        </is>
      </c>
      <c r="I393" t="inlineStr">
        <is>
          <t>{"0": {"productDeskExternalKey": "CPCX|43-1150"}, "1": {"Package Contents": "Wiper Motor; Instruction Sheet"}, "2": {"E-Waste": "Yes"}, "3": {"Product Condition": "Remanufactured"}, "4": {"Mounting Hole Quantity": "3"}, "5": {"Terminal Type": "Blade"}, "6": {"Mounting Type": "Direct Bolt"}, "7": {"Weight PG": "3.0900"}, "8": {"Washer Pump Included": "No"}, "9": {"Part Type": "Windshield Wiper Motor"}, "10": {"Warranty Info": "1 Year/18,000 Mile"}, "11": {"Sustainable Choice": "Yes"}, "12": {"Lifecycle Status": "Available to Order"}, "13": {"Application Summary": "Mitsubishi Tredia 1988-83"}, "14": {"ItemLevelGTIN": "00082617143127"}, "15": {"_addonCardone": "43-1150::98268:106984:494"}, "16": {"Eligible for R&amp;R Service": "Yes"}}</t>
        </is>
      </c>
      <c r="J393" t="inlineStr">
        <is>
          <t>https://www.cardone.com/product/windshield-wiper-motor-43-1150</t>
        </is>
      </c>
      <c r="K393">
        <f>DISPIMG("ID_8763F0E23F7F46EC8B6740E4FAF2E197",1)</f>
        <v/>
      </c>
      <c r="L393" t="inlineStr">
        <is>
          <t>CPCX|43-1150</t>
        </is>
      </c>
      <c r="M393" t="inlineStr">
        <is>
          <t>Wiper Motor; Instruction Sheet</t>
        </is>
      </c>
      <c r="N393" t="inlineStr">
        <is>
          <t>Yes</t>
        </is>
      </c>
      <c r="O393" t="inlineStr">
        <is>
          <t>Remanufactured</t>
        </is>
      </c>
      <c r="P393" t="inlineStr">
        <is>
          <t>3</t>
        </is>
      </c>
      <c r="Q393" t="inlineStr">
        <is>
          <t>Blade</t>
        </is>
      </c>
      <c r="R393" t="inlineStr">
        <is>
          <t>Direct Bolt</t>
        </is>
      </c>
      <c r="S393" t="inlineStr">
        <is>
          <t>3.0900</t>
        </is>
      </c>
      <c r="T393" t="inlineStr">
        <is>
          <t>No</t>
        </is>
      </c>
      <c r="U393" t="inlineStr">
        <is>
          <t>1 Year/18,000 Mile</t>
        </is>
      </c>
      <c r="V393" t="inlineStr">
        <is>
          <t>Yes</t>
        </is>
      </c>
      <c r="W393" t="inlineStr">
        <is>
          <t>Available to Order</t>
        </is>
      </c>
      <c r="X393" t="inlineStr">
        <is>
          <t>Mitsubishi Tredia 1988-83</t>
        </is>
      </c>
      <c r="Y393" t="inlineStr">
        <is>
          <t>00082617143127</t>
        </is>
      </c>
      <c r="Z393" t="inlineStr">
        <is>
          <t>43-1150::98268:106984:494</t>
        </is>
      </c>
      <c r="AA393" t="inlineStr">
        <is>
          <t>Yes</t>
        </is>
      </c>
      <c r="AB393" t="inlineStr"/>
      <c r="AC393" t="inlineStr"/>
    </row>
    <row r="394">
      <c r="A394" t="inlineStr">
        <is>
          <t>393</t>
        </is>
      </c>
      <c r="B394" t="inlineStr">
        <is>
          <t>Windshield Wiper Motor</t>
        </is>
      </c>
      <c r="C394" t="inlineStr">
        <is>
          <t>43-1152</t>
        </is>
      </c>
      <c r="D394" t="inlineStr">
        <is>
          <t>Windshield Wiper Motor - 43-1152</t>
        </is>
      </c>
      <c r="E394" t="inlineStr">
        <is>
          <t>CARDONE Reman</t>
        </is>
      </c>
      <c r="F394" t="inlineStr">
        <is>
          <t>MB529011;MB306008</t>
        </is>
      </c>
      <c r="G394" t="inlineStr">
        <is>
          <t>Dodge 2000 GTX 1989
Mitsubishi Sigma 1989-1990</t>
        </is>
      </c>
      <c r="H394" t="inlineStr">
        <is>
          <t>Dodge 2000 GTX 1989 2L L4 122cid
Mitsubishi Sigma 1989-1990 3L V6 181cid</t>
        </is>
      </c>
      <c r="I394" t="inlineStr">
        <is>
          <t>{"0": {"productDeskExternalKey": "CPCX|43-1152"}, "1": {"Package Contents": "Wiper Motor; Instruction Sheet"}, "2": {"E-Waste": "Yes"}, "3": {"Product Condition": "Remanufactured"}, "4": {"Mounting Hole Quantity": "4"}, "5": {"Terminal Type": "Blade"}, "6": {"Mounting Type": "Grommet"}, "7": {"Weight PG": "4.5100"}, "8": {"Washer Pump Included": "No"}, "9": {"Part Type": "Windshield Wiper Motor"}, "10": {"Warranty Info": "1 Year/18,000 Mile"}, "11": {"Sustainable Choice": "Yes"}, "12": {"Lifecycle Status": "Available to Order"}, "13": {"Application Summary": "Dodge 2000 GTX 1989; Mitsubishi Cordia 1987-85, Galant 1989-85, Sigma 1990-89"}, "14": {"ItemLevelGTIN": "00082617142649"}, "15": {"_addonCardone": "43-1152::98268:107006:494"}, "16": {"Eligible for R&amp;R Service": "Yes"}}</t>
        </is>
      </c>
      <c r="J394" t="inlineStr">
        <is>
          <t>https://www.cardone.com/product/windshield-wiper-motor-43-1152</t>
        </is>
      </c>
      <c r="K394">
        <f>DISPIMG("ID_64989E866DAC4CA1B2AB153D7657A800",1)</f>
        <v/>
      </c>
      <c r="L394" t="inlineStr">
        <is>
          <t>CPCX|43-1152</t>
        </is>
      </c>
      <c r="M394" t="inlineStr">
        <is>
          <t>Wiper Motor; Instruction Sheet</t>
        </is>
      </c>
      <c r="N394" t="inlineStr">
        <is>
          <t>Yes</t>
        </is>
      </c>
      <c r="O394" t="inlineStr">
        <is>
          <t>Remanufactured</t>
        </is>
      </c>
      <c r="P394" t="inlineStr">
        <is>
          <t>4</t>
        </is>
      </c>
      <c r="Q394" t="inlineStr">
        <is>
          <t>Blade</t>
        </is>
      </c>
      <c r="R394" t="inlineStr">
        <is>
          <t>Grommet</t>
        </is>
      </c>
      <c r="S394" t="inlineStr">
        <is>
          <t>4.5100</t>
        </is>
      </c>
      <c r="T394" t="inlineStr">
        <is>
          <t>No</t>
        </is>
      </c>
      <c r="U394" t="inlineStr">
        <is>
          <t>1 Year/18,000 Mile</t>
        </is>
      </c>
      <c r="V394" t="inlineStr">
        <is>
          <t>Yes</t>
        </is>
      </c>
      <c r="W394" t="inlineStr">
        <is>
          <t>Available to Order</t>
        </is>
      </c>
      <c r="X394" t="inlineStr">
        <is>
          <t>Dodge 2000 GTX 1989; Mitsubishi Cordia 1987-85, Galant 1989-85, Sigma 1990-89</t>
        </is>
      </c>
      <c r="Y394" t="inlineStr">
        <is>
          <t>00082617142649</t>
        </is>
      </c>
      <c r="Z394" t="inlineStr">
        <is>
          <t>43-1152::98268:107006:494</t>
        </is>
      </c>
      <c r="AA394" t="inlineStr">
        <is>
          <t>Yes</t>
        </is>
      </c>
      <c r="AB394" t="inlineStr"/>
      <c r="AC394" t="inlineStr"/>
    </row>
    <row r="395">
      <c r="A395" t="inlineStr">
        <is>
          <t>394</t>
        </is>
      </c>
      <c r="B395" t="inlineStr">
        <is>
          <t>Windshield Wiper Motor</t>
        </is>
      </c>
      <c r="C395" t="inlineStr">
        <is>
          <t>43-1153</t>
        </is>
      </c>
      <c r="D395" t="inlineStr">
        <is>
          <t>Windshield Wiper Motor - 43-1153</t>
        </is>
      </c>
      <c r="E395" t="inlineStr">
        <is>
          <t>CARDONE Reman</t>
        </is>
      </c>
      <c r="F395" t="inlineStr">
        <is>
          <t>9810021010;9810021011;9810021301</t>
        </is>
      </c>
      <c r="G395" t="inlineStr">
        <is>
          <t>Mitsubishi Precis 1987-1989</t>
        </is>
      </c>
      <c r="H395" t="inlineStr">
        <is>
          <t>Mitsubishi Precis 1987-1989 1.5L L4 90cid</t>
        </is>
      </c>
      <c r="I395" t="inlineStr">
        <is>
          <t>{"0": {"productDeskExternalKey": "CPCX|43-1153"}, "1": {"Package Contents": "Wiper Motor; Instruction Sheet"}, "2": {"E-Waste": "Yes"}, "3": {"Product Condition": "Remanufactured"}, "4": {"Mounting Hole Quantity": "3"}, "5": {"Terminal Type": "Blade"}, "6": {"Mounting Type": "Direct Bolt"}, "7": {"Weight PG": "2.2600"}, "8": {"Washer Pump Included": "No"}, "9": {"Part Type": "Windshield Wiper Motor"}, "10": {"Warranty Info": "1 Year/18,000 Mile"}, "11": {"Sustainable Choice": "Yes"}, "12": {"Lifecycle Status": "Available to Order"}, "13": {"Application Summary": "Hyundai Excel 1989-86; Mitsubishi Precis 1989-87"}, "14": {"ItemLevelGTIN": "00082617142656"}, "15": {"_addonCardone": "43-1153::98268:107041:494"}, "16": {"Eligible for R&amp;R Service": "Yes"}}</t>
        </is>
      </c>
      <c r="J395" t="inlineStr">
        <is>
          <t>https://www.cardone.com/product/windshield-wiper-motor-43-1153</t>
        </is>
      </c>
      <c r="K395">
        <f>DISPIMG("ID_5EEC7FBB5FCF4B3DAB96B3F4E7920185",1)</f>
        <v/>
      </c>
      <c r="L395" t="inlineStr">
        <is>
          <t>CPCX|43-1153</t>
        </is>
      </c>
      <c r="M395" t="inlineStr">
        <is>
          <t>Wiper Motor; Instruction Sheet</t>
        </is>
      </c>
      <c r="N395" t="inlineStr">
        <is>
          <t>Yes</t>
        </is>
      </c>
      <c r="O395" t="inlineStr">
        <is>
          <t>Remanufactured</t>
        </is>
      </c>
      <c r="P395" t="inlineStr">
        <is>
          <t>3</t>
        </is>
      </c>
      <c r="Q395" t="inlineStr">
        <is>
          <t>Blade</t>
        </is>
      </c>
      <c r="R395" t="inlineStr">
        <is>
          <t>Direct Bolt</t>
        </is>
      </c>
      <c r="S395" t="inlineStr">
        <is>
          <t>2.2600</t>
        </is>
      </c>
      <c r="T395" t="inlineStr">
        <is>
          <t>No</t>
        </is>
      </c>
      <c r="U395" t="inlineStr">
        <is>
          <t>1 Year/18,000 Mile</t>
        </is>
      </c>
      <c r="V395" t="inlineStr">
        <is>
          <t>Yes</t>
        </is>
      </c>
      <c r="W395" t="inlineStr">
        <is>
          <t>Available to Order</t>
        </is>
      </c>
      <c r="X395" t="inlineStr">
        <is>
          <t>Hyundai Excel 1989-86; Mitsubishi Precis 1989-87</t>
        </is>
      </c>
      <c r="Y395" t="inlineStr">
        <is>
          <t>00082617142656</t>
        </is>
      </c>
      <c r="Z395" t="inlineStr">
        <is>
          <t>43-1153::98268:107041:494</t>
        </is>
      </c>
      <c r="AA395" t="inlineStr">
        <is>
          <t>Yes</t>
        </is>
      </c>
      <c r="AB395" t="inlineStr"/>
      <c r="AC395" t="inlineStr"/>
    </row>
    <row r="396">
      <c r="A396" t="inlineStr">
        <is>
          <t>395</t>
        </is>
      </c>
      <c r="B396" t="inlineStr">
        <is>
          <t>Windshield Wiper Motor</t>
        </is>
      </c>
      <c r="C396" t="inlineStr">
        <is>
          <t>43-1156</t>
        </is>
      </c>
      <c r="D396" t="inlineStr">
        <is>
          <t>Windshield Wiper Motor - 43-1156</t>
        </is>
      </c>
      <c r="E396" t="inlineStr">
        <is>
          <t>CARDONE Reman</t>
        </is>
      </c>
      <c r="F396" t="inlineStr">
        <is>
          <t>9810034150</t>
        </is>
      </c>
      <c r="G396" t="inlineStr"/>
      <c r="H396" t="inlineStr"/>
      <c r="I396" t="inlineStr">
        <is>
          <t>{"0": {"productDeskExternalKey": "CPCX|43-1156"}, "1": {"Package Contents": "Wiper Motor; Instruction Sheet"}, "2": {"E-Waste": "Yes"}, "3": {"Product Condition": "Remanufactured"}, "4": {"Mounting Hole Quantity": "4"}, "5": {"Terminal Type": "Blade"}, "6": {"Mounting Type": "Grommet"}, "7": {"Weight PG": "2.7800"}, "8": {"Washer Pump Included": "No"}, "9": {"Part Type": "Windshield Wiper Motor"}, "10": {"Warranty Info": "1 Year/18,000 Mile"}, "11": {"Sustainable Choice": "Yes"}, "12": {"Lifecycle Status": "Available to Order"}, "13": {"Application Summary": "Hyundai Sonata 1996-95"}, "14": {"ItemLevelGTIN": "00082617571197"}, "15": {"_addonCardone": "43-1156::98268:107069:494"}, "16": {"Eligible for R&amp;R Service": "Yes"}}</t>
        </is>
      </c>
      <c r="J396" t="inlineStr">
        <is>
          <t>https://www.cardone.com/product/windshield-wiper-motor-43-1156</t>
        </is>
      </c>
      <c r="K396">
        <f>DISPIMG("ID_31D83F3573174964B62E98F2D6269D3D",1)</f>
        <v/>
      </c>
      <c r="L396" t="inlineStr">
        <is>
          <t>CPCX|43-1156</t>
        </is>
      </c>
      <c r="M396" t="inlineStr">
        <is>
          <t>Wiper Motor; Instruction Sheet</t>
        </is>
      </c>
      <c r="N396" t="inlineStr">
        <is>
          <t>Yes</t>
        </is>
      </c>
      <c r="O396" t="inlineStr">
        <is>
          <t>Remanufactured</t>
        </is>
      </c>
      <c r="P396" t="inlineStr">
        <is>
          <t>4</t>
        </is>
      </c>
      <c r="Q396" t="inlineStr">
        <is>
          <t>Blade</t>
        </is>
      </c>
      <c r="R396" t="inlineStr">
        <is>
          <t>Grommet</t>
        </is>
      </c>
      <c r="S396" t="inlineStr">
        <is>
          <t>2.7800</t>
        </is>
      </c>
      <c r="T396" t="inlineStr">
        <is>
          <t>No</t>
        </is>
      </c>
      <c r="U396" t="inlineStr">
        <is>
          <t>1 Year/18,000 Mile</t>
        </is>
      </c>
      <c r="V396" t="inlineStr">
        <is>
          <t>Yes</t>
        </is>
      </c>
      <c r="W396" t="inlineStr">
        <is>
          <t>Available to Order</t>
        </is>
      </c>
      <c r="X396" t="inlineStr">
        <is>
          <t>Hyundai Sonata 1996-95</t>
        </is>
      </c>
      <c r="Y396" t="inlineStr">
        <is>
          <t>00082617571197</t>
        </is>
      </c>
      <c r="Z396" t="inlineStr">
        <is>
          <t>43-1156::98268:107069:494</t>
        </is>
      </c>
      <c r="AA396" t="inlineStr">
        <is>
          <t>Yes</t>
        </is>
      </c>
      <c r="AB396" t="inlineStr"/>
      <c r="AC396" t="inlineStr"/>
    </row>
    <row r="397">
      <c r="A397" t="inlineStr">
        <is>
          <t>396</t>
        </is>
      </c>
      <c r="B397" t="inlineStr">
        <is>
          <t>Windshield Wiper Motor</t>
        </is>
      </c>
      <c r="C397" t="inlineStr">
        <is>
          <t>43-1159</t>
        </is>
      </c>
      <c r="D397" t="inlineStr">
        <is>
          <t>Windshield Wiper Motor - 43-1159</t>
        </is>
      </c>
      <c r="E397" t="inlineStr">
        <is>
          <t>CARDONE Reman</t>
        </is>
      </c>
      <c r="F397" t="inlineStr">
        <is>
          <t>94167622;8941676221</t>
        </is>
      </c>
      <c r="G397" t="inlineStr">
        <is>
          <t>Chevrolet Spectrum 1985-1988
Geo Spectrum 1989
Isuzu I-Mark 1985-1989
Pontiac Sunburst 1985-1988</t>
        </is>
      </c>
      <c r="H397" t="inlineStr">
        <is>
          <t>Chevrolet Spectrum 1985-1988 1.5L L4 92cid
Geo Spectrum 1989 1.5L L4 92cid
Isuzu I-Mark 1985 1.8L L4 1817cc
Isuzu I-Mark 1985-1989 1.5L L4 1471cc
Isuzu I-Mark 1989 1.6L L4 1588cc
Pontiac Sunburst 1985-1988 1.5L L4 92cid</t>
        </is>
      </c>
      <c r="I397" t="inlineStr">
        <is>
          <t>{"0": {"productDeskExternalKey": "CPCX|43-1159"}, "1": {"Package Contents": "Wiper Motor; Instruction Sheet"}, "2": {"E-Waste": "Yes"}, "3": {"Product Condition": "Remanufactured"}, "4": {"Mounting Hole Quantity": "4"}, "5": {"Terminal Type": "Blade"}, "6": {"Mounting Type": "Grommet"}, "7": {"Weight PG": "2.3400"}, "8": {"Washer Pump Included": "No"}, "9": {"Part Type": "Windshield Wiper Motor"}, "10": {"Warranty Info": "1 Year/18,000 Mile"}, "11": {"Sustainable Choice": "Yes"}, "12": {"Lifecycle Status": "Available to Order"}, "13": {"Application Summary": "Chevrolet Spectrum 1988-85; Geo Spectrum 1989; Isuzu I-Mark 1989-85; Pontiac Sunburst 1988-85"}, "14": {"ItemLevelGTIN": "00082617081573"}, "15": {"_addonCardone": "43-1159::98268:107093:494"}, "16": {"Eligible for R&amp;R Service": "Yes"}}</t>
        </is>
      </c>
      <c r="J397" t="inlineStr">
        <is>
          <t>https://www.cardone.com/product/windshield-wiper-motor-43-1159</t>
        </is>
      </c>
      <c r="K397">
        <f>DISPIMG("ID_50B0F2466C7B4FD98947BB9C874CD248",1)</f>
        <v/>
      </c>
      <c r="L397" t="inlineStr">
        <is>
          <t>CPCX|43-1159</t>
        </is>
      </c>
      <c r="M397" t="inlineStr">
        <is>
          <t>Wiper Motor; Instruction Sheet</t>
        </is>
      </c>
      <c r="N397" t="inlineStr">
        <is>
          <t>Yes</t>
        </is>
      </c>
      <c r="O397" t="inlineStr">
        <is>
          <t>Remanufactured</t>
        </is>
      </c>
      <c r="P397" t="inlineStr">
        <is>
          <t>4</t>
        </is>
      </c>
      <c r="Q397" t="inlineStr">
        <is>
          <t>Blade</t>
        </is>
      </c>
      <c r="R397" t="inlineStr">
        <is>
          <t>Grommet</t>
        </is>
      </c>
      <c r="S397" t="inlineStr">
        <is>
          <t>2.3400</t>
        </is>
      </c>
      <c r="T397" t="inlineStr">
        <is>
          <t>No</t>
        </is>
      </c>
      <c r="U397" t="inlineStr">
        <is>
          <t>1 Year/18,000 Mile</t>
        </is>
      </c>
      <c r="V397" t="inlineStr">
        <is>
          <t>Yes</t>
        </is>
      </c>
      <c r="W397" t="inlineStr">
        <is>
          <t>Available to Order</t>
        </is>
      </c>
      <c r="X397" t="inlineStr">
        <is>
          <t>Chevrolet Spectrum 1988-85; Geo Spectrum 1989; Isuzu I-Mark 1989-85; Pontiac Sunburst 1988-85</t>
        </is>
      </c>
      <c r="Y397" t="inlineStr">
        <is>
          <t>00082617081573</t>
        </is>
      </c>
      <c r="Z397" t="inlineStr">
        <is>
          <t>43-1159::98268:107093:494</t>
        </is>
      </c>
      <c r="AA397" t="inlineStr">
        <is>
          <t>Yes</t>
        </is>
      </c>
      <c r="AB397" t="inlineStr"/>
      <c r="AC397" t="inlineStr"/>
    </row>
    <row r="398">
      <c r="A398" t="inlineStr">
        <is>
          <t>397</t>
        </is>
      </c>
      <c r="B398" t="inlineStr">
        <is>
          <t>Windshield Wiper Motor</t>
        </is>
      </c>
      <c r="C398" t="inlineStr">
        <is>
          <t>43-1160</t>
        </is>
      </c>
      <c r="D398" t="inlineStr">
        <is>
          <t>Windshield Wiper Motor - 43-1160</t>
        </is>
      </c>
      <c r="E398" t="inlineStr">
        <is>
          <t>CARDONE Reman</t>
        </is>
      </c>
      <c r="F398" t="inlineStr">
        <is>
          <t>22057652</t>
        </is>
      </c>
      <c r="G398" t="inlineStr">
        <is>
          <t>Chevrolet Nova 1985-1988</t>
        </is>
      </c>
      <c r="H398" t="inlineStr">
        <is>
          <t>Chevrolet Nova 1985-1988 1.6L L4 98cid</t>
        </is>
      </c>
      <c r="I398" t="inlineStr">
        <is>
          <t>{"0": {"productDeskExternalKey": "CPCX|43-1160"}, "1": {"Package Contents": "Wiper Motor; Instruction Sheet"}, "2": {"E-Waste": "Yes"}, "3": {"Product Condition": "Remanufactured"}, "4": {"Mounting Hole Quantity": "4"}, "5": {"Terminal Type": "Blade"}, "6": {"Mounting Type": "Grommet"}, "7": {"Weight PG": "4.3400"}, "8": {"Washer Pump Included": "No"}, "9": {"Part Type": "Windshield Wiper Motor"}, "10": {"Warranty Info": "1 Year/18,000 Mile"}, "11": {"Sustainable Choice": "Yes"}, "12": {"Lifecycle Status": "Available to Order"}, "13": {"Application Summary": "Chevrolet Nova 1988-85"}, "14": {"ItemLevelGTIN": "00082617081580"}, "15": {"_addonCardone": "43-1160::98268:107614:494"}, "16": {"Eligible for R&amp;R Service": "Yes"}}</t>
        </is>
      </c>
      <c r="J398" t="inlineStr">
        <is>
          <t>https://www.cardone.com/product/windshield-wiper-motor-43-1160</t>
        </is>
      </c>
      <c r="K398">
        <f>DISPIMG("ID_A8D55A6B03264A00848341C9D91C0C33",1)</f>
        <v/>
      </c>
      <c r="L398" t="inlineStr">
        <is>
          <t>CPCX|43-1160</t>
        </is>
      </c>
      <c r="M398" t="inlineStr">
        <is>
          <t>Wiper Motor; Instruction Sheet</t>
        </is>
      </c>
      <c r="N398" t="inlineStr">
        <is>
          <t>Yes</t>
        </is>
      </c>
      <c r="O398" t="inlineStr">
        <is>
          <t>Remanufactured</t>
        </is>
      </c>
      <c r="P398" t="inlineStr">
        <is>
          <t>4</t>
        </is>
      </c>
      <c r="Q398" t="inlineStr">
        <is>
          <t>Blade</t>
        </is>
      </c>
      <c r="R398" t="inlineStr">
        <is>
          <t>Grommet</t>
        </is>
      </c>
      <c r="S398" t="inlineStr">
        <is>
          <t>4.3400</t>
        </is>
      </c>
      <c r="T398" t="inlineStr">
        <is>
          <t>No</t>
        </is>
      </c>
      <c r="U398" t="inlineStr">
        <is>
          <t>1 Year/18,000 Mile</t>
        </is>
      </c>
      <c r="V398" t="inlineStr">
        <is>
          <t>Yes</t>
        </is>
      </c>
      <c r="W398" t="inlineStr">
        <is>
          <t>Available to Order</t>
        </is>
      </c>
      <c r="X398" t="inlineStr">
        <is>
          <t>Chevrolet Nova 1988-85</t>
        </is>
      </c>
      <c r="Y398" t="inlineStr">
        <is>
          <t>00082617081580</t>
        </is>
      </c>
      <c r="Z398" t="inlineStr">
        <is>
          <t>43-1160::98268:107614:494</t>
        </is>
      </c>
      <c r="AA398" t="inlineStr">
        <is>
          <t>Yes</t>
        </is>
      </c>
      <c r="AB398" t="inlineStr"/>
      <c r="AC398" t="inlineStr"/>
    </row>
    <row r="399">
      <c r="A399" t="inlineStr">
        <is>
          <t>398</t>
        </is>
      </c>
      <c r="B399" t="inlineStr">
        <is>
          <t>Windshield Wiper Motor</t>
        </is>
      </c>
      <c r="C399" t="inlineStr">
        <is>
          <t>43-1162</t>
        </is>
      </c>
      <c r="D399" t="inlineStr">
        <is>
          <t>Windshield Wiper Motor - 43-1162</t>
        </is>
      </c>
      <c r="E399" t="inlineStr">
        <is>
          <t>CARDONE Reman</t>
        </is>
      </c>
      <c r="F399" t="inlineStr">
        <is>
          <t>MB249196</t>
        </is>
      </c>
      <c r="G399" t="inlineStr">
        <is>
          <t>Dodge Raider 1987-1989
Mitsubishi Montero 1983-1991</t>
        </is>
      </c>
      <c r="H399" t="inlineStr">
        <is>
          <t>Dodge Raider 1987-1989 2.6L L4 156cid
Dodge Raider 1989 3L V6 181cid
Mitsubishi Montero 1983-1989 2.6L L4 156cid
Mitsubishi Montero 1989-1991 3L V6 181cid</t>
        </is>
      </c>
      <c r="I399" t="inlineStr">
        <is>
          <t>{"0": {"productDeskExternalKey": "CPCX|43-1162"},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"Dodge Raider 1989-87; Mitsubishi Montero 1991-83"}, "14": {"ItemLevelGTIN": "00082617377317"}, "15": {"_addonCardone": "43-1162::98268:107645:494"}, "16": {"Eligible for R&amp;R Service": "Yes"}}</t>
        </is>
      </c>
      <c r="J399" t="inlineStr">
        <is>
          <t>https://www.cardone.com/product/windshield-wiper-motor-43-1162</t>
        </is>
      </c>
      <c r="K399">
        <f>DISPIMG("ID_445B7CFA5EB4449FA08B0D5269D67CDF",1)</f>
        <v/>
      </c>
      <c r="L399" t="inlineStr">
        <is>
          <t>CPCX|43-1162</t>
        </is>
      </c>
      <c r="M399" t="inlineStr">
        <is>
          <t>Wiper Motor; Instruction Sheet</t>
        </is>
      </c>
      <c r="N399" t="inlineStr">
        <is>
          <t>Yes</t>
        </is>
      </c>
      <c r="O399" t="inlineStr">
        <is>
          <t>Remanufactured</t>
        </is>
      </c>
      <c r="P399" t="inlineStr">
        <is>
          <t>3</t>
        </is>
      </c>
      <c r="Q399" t="inlineStr">
        <is>
          <t>Blade</t>
        </is>
      </c>
      <c r="R399" t="inlineStr">
        <is>
          <t>Direct Bolt</t>
        </is>
      </c>
      <c r="S399" t="inlineStr">
        <is>
          <t>2.5000</t>
        </is>
      </c>
      <c r="T399" t="inlineStr">
        <is>
          <t>No</t>
        </is>
      </c>
      <c r="U399" t="inlineStr">
        <is>
          <t>1 Year/18,000 Mile</t>
        </is>
      </c>
      <c r="V399" t="inlineStr">
        <is>
          <t>Yes</t>
        </is>
      </c>
      <c r="W399" t="inlineStr">
        <is>
          <t>Available to Order</t>
        </is>
      </c>
      <c r="X399" t="inlineStr">
        <is>
          <t>Dodge Raider 1989-87; Mitsubishi Montero 1991-83</t>
        </is>
      </c>
      <c r="Y399" t="inlineStr">
        <is>
          <t>00082617377317</t>
        </is>
      </c>
      <c r="Z399" t="inlineStr">
        <is>
          <t>43-1162::98268:107645:494</t>
        </is>
      </c>
      <c r="AA399" t="inlineStr">
        <is>
          <t>Yes</t>
        </is>
      </c>
      <c r="AB399" t="inlineStr"/>
      <c r="AC399" t="inlineStr"/>
    </row>
    <row r="400">
      <c r="A400" t="inlineStr">
        <is>
          <t>399</t>
        </is>
      </c>
      <c r="B400" t="inlineStr">
        <is>
          <t>Windshield Wiper Motor</t>
        </is>
      </c>
      <c r="C400" t="inlineStr">
        <is>
          <t>43-1163</t>
        </is>
      </c>
      <c r="D400" t="inlineStr">
        <is>
          <t>Windshield Wiper Motor - 43-1163</t>
        </is>
      </c>
      <c r="E400" t="inlineStr">
        <is>
          <t>CARDONE Reman</t>
        </is>
      </c>
      <c r="F400" t="inlineStr">
        <is>
          <t>9801024000</t>
        </is>
      </c>
      <c r="G400" t="inlineStr">
        <is>
          <t>Mitsubishi Precis 1990-1993</t>
        </is>
      </c>
      <c r="H400" t="inlineStr">
        <is>
          <t>Mitsubishi Precis 1990-1993 1.5L L4 90cid</t>
        </is>
      </c>
      <c r="I400" t="inlineStr">
        <is>
          <t>{"0": {"productDeskExternalKey": "CPCX|43-1163"}, "1": {"Package Contents": "Wiper Motor; Instruction Sheet"}, "2": {"E-Waste": "Yes"}, "3": {"Product Condition": "Remanufactured"}, "4": {"Mounting Hole Quantity": "3"}, "5": {"Terminal Type": "Blade"}, "6": {"Mounting Type": "Grommet"}, "7": {"Weight PG": "2.2500"}, "8": {"Washer Pump Included": "No"}, "9": {"Part Type": "Windshield Wiper Motor"}, "10": {"Warranty Info": "1 Year/18,000 Mile"}, "11": {"Sustainable Choice": "Yes"}, "12": {"Lifecycle Status": "Available to Order"}, "13": {"Application Summary": "Hyundai Excel 1993-90; Mitsubishi Precis 1993-90"}, "14": {"ItemLevelGTIN": "00082617265645"}, "15": {"_addonCardone": "43-1163::98268:107668:494"}, "16": {"Eligible for R&amp;R Service": "Yes"}}</t>
        </is>
      </c>
      <c r="J400" t="inlineStr">
        <is>
          <t>https://www.cardone.com/product/windshield-wiper-motor-43-1163</t>
        </is>
      </c>
      <c r="K400">
        <f>DISPIMG("ID_495A0AD31FE2450E87C42E1348EE98A4",1)</f>
        <v/>
      </c>
      <c r="L400" t="inlineStr">
        <is>
          <t>CPCX|43-1163</t>
        </is>
      </c>
      <c r="M400" t="inlineStr">
        <is>
          <t>Wiper Motor; Instruction Sheet</t>
        </is>
      </c>
      <c r="N400" t="inlineStr">
        <is>
          <t>Yes</t>
        </is>
      </c>
      <c r="O400" t="inlineStr">
        <is>
          <t>Remanufactured</t>
        </is>
      </c>
      <c r="P400" t="inlineStr">
        <is>
          <t>3</t>
        </is>
      </c>
      <c r="Q400" t="inlineStr">
        <is>
          <t>Blade</t>
        </is>
      </c>
      <c r="R400" t="inlineStr">
        <is>
          <t>Grommet</t>
        </is>
      </c>
      <c r="S400" t="inlineStr">
        <is>
          <t>2.2500</t>
        </is>
      </c>
      <c r="T400" t="inlineStr">
        <is>
          <t>No</t>
        </is>
      </c>
      <c r="U400" t="inlineStr">
        <is>
          <t>1 Year/18,000 Mile</t>
        </is>
      </c>
      <c r="V400" t="inlineStr">
        <is>
          <t>Yes</t>
        </is>
      </c>
      <c r="W400" t="inlineStr">
        <is>
          <t>Available to Order</t>
        </is>
      </c>
      <c r="X400" t="inlineStr">
        <is>
          <t>Hyundai Excel 1993-90; Mitsubishi Precis 1993-90</t>
        </is>
      </c>
      <c r="Y400" t="inlineStr">
        <is>
          <t>00082617265645</t>
        </is>
      </c>
      <c r="Z400" t="inlineStr">
        <is>
          <t>43-1163::98268:107668:494</t>
        </is>
      </c>
      <c r="AA400" t="inlineStr">
        <is>
          <t>Yes</t>
        </is>
      </c>
      <c r="AB400" t="inlineStr"/>
      <c r="AC400" t="inlineStr"/>
    </row>
    <row r="401">
      <c r="A401" t="inlineStr">
        <is>
          <t>400</t>
        </is>
      </c>
      <c r="B401" t="inlineStr">
        <is>
          <t>Windshield Wiper Motor</t>
        </is>
      </c>
      <c r="C401" t="inlineStr">
        <is>
          <t>43-1164</t>
        </is>
      </c>
      <c r="D401" t="inlineStr">
        <is>
          <t>Windshield Wiper Motor - 43-1164</t>
        </is>
      </c>
      <c r="E401" t="inlineStr">
        <is>
          <t>CARDONE Reman</t>
        </is>
      </c>
      <c r="F401" t="inlineStr">
        <is>
          <t>9810033001;9810033002</t>
        </is>
      </c>
      <c r="G401" t="inlineStr">
        <is>
          <t>Hyundai Sonata 1991-1994</t>
        </is>
      </c>
      <c r="H401" t="inlineStr">
        <is>
          <t>Hyundai Sonata 1991 2.4L L4 2351cc
Hyundai Sonata 1991-1994 3L V6 2972cc
Hyundai Sonata 1992-1994 2L L4 1997cc</t>
        </is>
      </c>
      <c r="I401" t="inlineStr">
        <is>
          <t>{"0": {"productDeskExternalKey": "CPCX|43-1164"}, "1": {"Package Contents": "Wiper Motor; Instruction Sheet"}, "2": {"E-Waste": "Yes"}, "3": {"Product Condition": "Remanufactured"}, "4": {"Mounting Hole Quantity": "3"}, "5": {"Terminal Type": "Blade"}, "6": {"Mounting Type": "Grommet"}, "7": {"Weight PG": "2.6700"}, "8": {"Washer Pump Included": "No"}, "9": {"Part Type": "Windshield Wiper Motor"}, "10": {"Warranty Info": "1 Year/18,000 Mile"}, "11": {"Sustainable Choice": "Yes"}, "12": {"Lifecycle Status": "Available to Order"}, "13": {"Application Summary": "Hyundai Scoupe 1993, Sonata 1994-89"}, "14": {"ItemLevelGTIN": "00082617265652"}, "15": {"_addonCardone": "43-1164::98268:107691:494"}, "16": {"Eligible for R&amp;R Service": "Yes"}}</t>
        </is>
      </c>
      <c r="J401" t="inlineStr">
        <is>
          <t>https://www.cardone.com/product/windshield-wiper-motor-43-1164</t>
        </is>
      </c>
      <c r="K401">
        <f>DISPIMG("ID_0E0A3A6E79B84F87B8699B19BF141535",1)</f>
        <v/>
      </c>
      <c r="L401" t="inlineStr">
        <is>
          <t>CPCX|43-1164</t>
        </is>
      </c>
      <c r="M401" t="inlineStr">
        <is>
          <t>Wiper Motor; Instruction Sheet</t>
        </is>
      </c>
      <c r="N401" t="inlineStr">
        <is>
          <t>Yes</t>
        </is>
      </c>
      <c r="O401" t="inlineStr">
        <is>
          <t>Remanufactured</t>
        </is>
      </c>
      <c r="P401" t="inlineStr">
        <is>
          <t>3</t>
        </is>
      </c>
      <c r="Q401" t="inlineStr">
        <is>
          <t>Blade</t>
        </is>
      </c>
      <c r="R401" t="inlineStr">
        <is>
          <t>Grommet</t>
        </is>
      </c>
      <c r="S401" t="inlineStr">
        <is>
          <t>2.6700</t>
        </is>
      </c>
      <c r="T401" t="inlineStr">
        <is>
          <t>No</t>
        </is>
      </c>
      <c r="U401" t="inlineStr">
        <is>
          <t>1 Year/18,000 Mile</t>
        </is>
      </c>
      <c r="V401" t="inlineStr">
        <is>
          <t>Yes</t>
        </is>
      </c>
      <c r="W401" t="inlineStr">
        <is>
          <t>Available to Order</t>
        </is>
      </c>
      <c r="X401" t="inlineStr">
        <is>
          <t>Hyundai Scoupe 1993, Sonata 1994-89</t>
        </is>
      </c>
      <c r="Y401" t="inlineStr">
        <is>
          <t>00082617265652</t>
        </is>
      </c>
      <c r="Z401" t="inlineStr">
        <is>
          <t>43-1164::98268:107691:494</t>
        </is>
      </c>
      <c r="AA401" t="inlineStr">
        <is>
          <t>Yes</t>
        </is>
      </c>
      <c r="AB401" t="inlineStr"/>
      <c r="AC401" t="inlineStr"/>
    </row>
    <row r="402">
      <c r="A402" t="inlineStr">
        <is>
          <t>401</t>
        </is>
      </c>
      <c r="B402" t="inlineStr">
        <is>
          <t>Windshield Wiper Motor</t>
        </is>
      </c>
      <c r="C402" t="inlineStr">
        <is>
          <t>43-1165</t>
        </is>
      </c>
      <c r="D402" t="inlineStr">
        <is>
          <t>Windshield Wiper Motor - 43-1165</t>
        </is>
      </c>
      <c r="E402" t="inlineStr">
        <is>
          <t>CARDONE Reman</t>
        </is>
      </c>
      <c r="F402" t="inlineStr">
        <is>
          <t>MB530210</t>
        </is>
      </c>
      <c r="G402" t="inlineStr">
        <is>
          <t>Eagle Talon 1990-1994
Plymouth Laser 1990-1994</t>
        </is>
      </c>
      <c r="H402" t="inlineStr">
        <is>
          <t>Eagle Talon 1990-1994 2L L4 122cid
Eagle Talon 1993-1994 1.8L L4 107cid
Plymouth Laser 1990-1994 1.8L L4 107cid
Plymouth Laser 1990-1994 2L L4 122cid</t>
        </is>
      </c>
      <c r="I402" t="inlineStr">
        <is>
          <t>{"0": {"productDeskExternalKey": "CPCX|43-1165"}, "1": {"Package Contents": "Wiper Motor; Instruction Sheet"}, "2": {"E-Waste": "Yes"}, "3": {"Product Condition": "Remanufactured"}, "4": {"Mounting Hole Quantity": "4"}, "5": {"Terminal Type": "Blade"}, "6": {"Mounting Type": "Grommet"}, "7": {"Weight PG": "2.4100"}, "8": {"Washer Pump Included": "No"}, "9": {"Part Type": "Windshield Wiper Motor"}, "10": {"Warranty Info": "1 Year/18,000 Mile"}, "11": {"Sustainable Choice": "Yes"}, "12": {"Lifecycle Status": "Available to Order"}, "13": {"Application Summary": "Eagle Talon 1994-90; Mitsubishi Eclipse 1994-90; Plymouth Laser 1994-90"}, "14": {"ItemLevelGTIN": "00082617265669"}, "15": {"_addonCardone": "43-1165::98268:107724:494"}, "16": {"Eligible for R&amp;R Service": "Yes"}}</t>
        </is>
      </c>
      <c r="J402" t="inlineStr">
        <is>
          <t>https://www.cardone.com/product/windshield-wiper-motor-43-1165</t>
        </is>
      </c>
      <c r="K402">
        <f>DISPIMG("ID_52C67509C3DC4BC4B92EC8E9D296008E",1)</f>
        <v/>
      </c>
      <c r="L402" t="inlineStr">
        <is>
          <t>CPCX|43-1165</t>
        </is>
      </c>
      <c r="M402" t="inlineStr">
        <is>
          <t>Wiper Motor; Instruction Sheet</t>
        </is>
      </c>
      <c r="N402" t="inlineStr">
        <is>
          <t>Yes</t>
        </is>
      </c>
      <c r="O402" t="inlineStr">
        <is>
          <t>Remanufactured</t>
        </is>
      </c>
      <c r="P402" t="inlineStr">
        <is>
          <t>4</t>
        </is>
      </c>
      <c r="Q402" t="inlineStr">
        <is>
          <t>Blade</t>
        </is>
      </c>
      <c r="R402" t="inlineStr">
        <is>
          <t>Grommet</t>
        </is>
      </c>
      <c r="S402" t="inlineStr">
        <is>
          <t>2.4100</t>
        </is>
      </c>
      <c r="T402" t="inlineStr">
        <is>
          <t>No</t>
        </is>
      </c>
      <c r="U402" t="inlineStr">
        <is>
          <t>1 Year/18,000 Mile</t>
        </is>
      </c>
      <c r="V402" t="inlineStr">
        <is>
          <t>Yes</t>
        </is>
      </c>
      <c r="W402" t="inlineStr">
        <is>
          <t>Available to Order</t>
        </is>
      </c>
      <c r="X402" t="inlineStr">
        <is>
          <t>Eagle Talon 1994-90; Mitsubishi Eclipse 1994-90; Plymouth Laser 1994-90</t>
        </is>
      </c>
      <c r="Y402" t="inlineStr">
        <is>
          <t>00082617265669</t>
        </is>
      </c>
      <c r="Z402" t="inlineStr">
        <is>
          <t>43-1165::98268:107724:494</t>
        </is>
      </c>
      <c r="AA402" t="inlineStr">
        <is>
          <t>Yes</t>
        </is>
      </c>
      <c r="AB402" t="inlineStr"/>
      <c r="AC402" t="inlineStr"/>
    </row>
    <row r="403">
      <c r="A403" t="inlineStr">
        <is>
          <t>402</t>
        </is>
      </c>
      <c r="B403" t="inlineStr">
        <is>
          <t>Windshield Wiper Motor</t>
        </is>
      </c>
      <c r="C403" t="inlineStr">
        <is>
          <t>43-1166</t>
        </is>
      </c>
      <c r="D403" t="inlineStr">
        <is>
          <t>Windshield Wiper Motor - 43-1166</t>
        </is>
      </c>
      <c r="E403" t="inlineStr">
        <is>
          <t>CARDONE Reman</t>
        </is>
      </c>
      <c r="F403" t="inlineStr">
        <is>
          <t>9810023000</t>
        </is>
      </c>
      <c r="G403" t="inlineStr"/>
      <c r="H403" t="inlineStr"/>
      <c r="I403" t="inlineStr">
        <is>
          <t>{"0": {"productDeskExternalKey": "CPCX|43-1166"}, "1": {"Package Contents": "Wiper Motor; Instruction Sheet"}, "2": {"E-Waste": "Yes"}, "3": {"Product Condition": "Remanufactured"}, "4": {"Mounting Hole Quantity": "3"}, "5": {"Terminal Type": "Blade"}, "6": {"Mounting Type": "Grommet"}, "7": {"Weight PG": "2.7500"}, "8": {"Washer Pump Included": "No"}, "9": {"Part Type": "Windshield Wiper Motor"}, "10": {"Warranty Info": "1 Year/18,000 Mile"}, "11": {"Sustainable Choice": "Yes"}, "12": {"Lifecycle Status": "Available to Order"}, "13": {"Application Summary": "Hyundai Scoupe 1993-91"}, "14": {"ItemLevelGTIN": "00082617265706"}, "15": {"_addonCardone": "43-1166::98268:107753:494"}, "16": {"Eligible for R&amp;R Service": "Yes"}}</t>
        </is>
      </c>
      <c r="J403" t="inlineStr">
        <is>
          <t>https://www.cardone.com/product/windshield-wiper-motor-43-1166</t>
        </is>
      </c>
      <c r="K403">
        <f>DISPIMG("ID_440C02453005457F8DB60EA2923A35FD",1)</f>
        <v/>
      </c>
      <c r="L403" t="inlineStr">
        <is>
          <t>CPCX|43-1166</t>
        </is>
      </c>
      <c r="M403" t="inlineStr">
        <is>
          <t>Wiper Motor; Instruction Sheet</t>
        </is>
      </c>
      <c r="N403" t="inlineStr">
        <is>
          <t>Yes</t>
        </is>
      </c>
      <c r="O403" t="inlineStr">
        <is>
          <t>Remanufactured</t>
        </is>
      </c>
      <c r="P403" t="inlineStr">
        <is>
          <t>3</t>
        </is>
      </c>
      <c r="Q403" t="inlineStr">
        <is>
          <t>Blade</t>
        </is>
      </c>
      <c r="R403" t="inlineStr">
        <is>
          <t>Grommet</t>
        </is>
      </c>
      <c r="S403" t="inlineStr">
        <is>
          <t>2.7500</t>
        </is>
      </c>
      <c r="T403" t="inlineStr">
        <is>
          <t>No</t>
        </is>
      </c>
      <c r="U403" t="inlineStr">
        <is>
          <t>1 Year/18,000 Mile</t>
        </is>
      </c>
      <c r="V403" t="inlineStr">
        <is>
          <t>Yes</t>
        </is>
      </c>
      <c r="W403" t="inlineStr">
        <is>
          <t>Available to Order</t>
        </is>
      </c>
      <c r="X403" t="inlineStr">
        <is>
          <t>Hyundai Scoupe 1993-91</t>
        </is>
      </c>
      <c r="Y403" t="inlineStr">
        <is>
          <t>00082617265706</t>
        </is>
      </c>
      <c r="Z403" t="inlineStr">
        <is>
          <t>43-1166::98268:107753:494</t>
        </is>
      </c>
      <c r="AA403" t="inlineStr">
        <is>
          <t>Yes</t>
        </is>
      </c>
      <c r="AB403" t="inlineStr"/>
      <c r="AC403" t="inlineStr"/>
    </row>
    <row r="404">
      <c r="A404" t="inlineStr">
        <is>
          <t>403</t>
        </is>
      </c>
      <c r="B404" t="inlineStr">
        <is>
          <t>Windshield Wiper Motor</t>
        </is>
      </c>
      <c r="C404" t="inlineStr">
        <is>
          <t>43-1167</t>
        </is>
      </c>
      <c r="D404" t="inlineStr">
        <is>
          <t>Windshield Wiper Motor - 43-1167</t>
        </is>
      </c>
      <c r="E404" t="inlineStr">
        <is>
          <t>CARDONE Reman</t>
        </is>
      </c>
      <c r="F404" t="inlineStr">
        <is>
          <t>9810028000</t>
        </is>
      </c>
      <c r="G404" t="inlineStr"/>
      <c r="H404" t="inlineStr"/>
      <c r="I404" t="inlineStr">
        <is>
          <t>{"0": {"productDeskExternalKey": "CPCX|43-1167"}, "1": {"Package Contents": "Wiper Motor; Instruction Sheet"}, "2": {"E-Waste": "Yes"}, "3": {"Product Condition": "Remanufactured"}, "4": {"Mounting Hole Quantity": "4"}, "5": {"Terminal Type": "Blade"}, "6": {"Mounting Type": "Grommet"}, "7": {"Weight PG": "2.7800"}, "8": {"Washer Pump Included": "No"}, "9": {"Part Type": "Windshield Wiper Motor"}, "10": {"Warranty Info": "1 Year/18,000 Mile"}, "11": {"Sustainable Choice": "Yes"}, "12": {"Lifecycle Status": "Available to Order"}, "13": {"Application Summary": "Hyundai Elantra 1995-92"}, "14": {"ItemLevelGTIN": "00082617377256"}, "15": {"_addonCardone": "43-1167::98268:107783:494"}, "16": {"Eligible for R&amp;R Service": "Yes"}}</t>
        </is>
      </c>
      <c r="J404" t="inlineStr">
        <is>
          <t>https://www.cardone.com/product/windshield-wiper-motor-43-1167</t>
        </is>
      </c>
      <c r="K404">
        <f>DISPIMG("ID_ECE98863CA1C4EB08A64BC8F0D72A897",1)</f>
        <v/>
      </c>
      <c r="L404" t="inlineStr">
        <is>
          <t>CPCX|43-1167</t>
        </is>
      </c>
      <c r="M404" t="inlineStr">
        <is>
          <t>Wiper Motor; Instruction Sheet</t>
        </is>
      </c>
      <c r="N404" t="inlineStr">
        <is>
          <t>Yes</t>
        </is>
      </c>
      <c r="O404" t="inlineStr">
        <is>
          <t>Remanufactured</t>
        </is>
      </c>
      <c r="P404" t="inlineStr">
        <is>
          <t>4</t>
        </is>
      </c>
      <c r="Q404" t="inlineStr">
        <is>
          <t>Blade</t>
        </is>
      </c>
      <c r="R404" t="inlineStr">
        <is>
          <t>Grommet</t>
        </is>
      </c>
      <c r="S404" t="inlineStr">
        <is>
          <t>2.7800</t>
        </is>
      </c>
      <c r="T404" t="inlineStr">
        <is>
          <t>No</t>
        </is>
      </c>
      <c r="U404" t="inlineStr">
        <is>
          <t>1 Year/18,000 Mile</t>
        </is>
      </c>
      <c r="V404" t="inlineStr">
        <is>
          <t>Yes</t>
        </is>
      </c>
      <c r="W404" t="inlineStr">
        <is>
          <t>Available to Order</t>
        </is>
      </c>
      <c r="X404" t="inlineStr">
        <is>
          <t>Hyundai Elantra 1995-92</t>
        </is>
      </c>
      <c r="Y404" t="inlineStr">
        <is>
          <t>00082617377256</t>
        </is>
      </c>
      <c r="Z404" t="inlineStr">
        <is>
          <t>43-1167::98268:107783:494</t>
        </is>
      </c>
      <c r="AA404" t="inlineStr">
        <is>
          <t>Yes</t>
        </is>
      </c>
      <c r="AB404" t="inlineStr"/>
      <c r="AC404" t="inlineStr"/>
    </row>
    <row r="405">
      <c r="A405" t="inlineStr">
        <is>
          <t>404</t>
        </is>
      </c>
      <c r="B405" t="inlineStr">
        <is>
          <t>Windshield Wiper Motor</t>
        </is>
      </c>
      <c r="C405" t="inlineStr">
        <is>
          <t>43-1169</t>
        </is>
      </c>
      <c r="D405" t="inlineStr">
        <is>
          <t>Windshield Wiper Motor - 43-1169</t>
        </is>
      </c>
      <c r="E405" t="inlineStr">
        <is>
          <t>CARDONE Reman</t>
        </is>
      </c>
      <c r="F405" t="inlineStr">
        <is>
          <t>9810023001</t>
        </is>
      </c>
      <c r="G405" t="inlineStr"/>
      <c r="H405" t="inlineStr"/>
      <c r="I405" t="inlineStr">
        <is>
          <t>{"0": {"productDeskExternalKey": "CPCX|43-1169"},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"Hyundai Scoupe 1995-93"}, "14": {"ItemLevelGTIN": "00082617574648"}, "15": {"_addonCardone": "43-1169::98268:107822:494"}, "16": {"Eligible for R&amp;R Service": "Yes"}}</t>
        </is>
      </c>
      <c r="J405" t="inlineStr">
        <is>
          <t>https://www.cardone.com/product/windshield-wiper-motor-43-1169</t>
        </is>
      </c>
      <c r="K405">
        <f>DISPIMG("ID_260AD2E02811451BB31863F849437246",1)</f>
        <v/>
      </c>
      <c r="L405" t="inlineStr">
        <is>
          <t>CPCX|43-1169</t>
        </is>
      </c>
      <c r="M405" t="inlineStr">
        <is>
          <t>Wiper Motor; Instruction Sheet</t>
        </is>
      </c>
      <c r="N405" t="inlineStr">
        <is>
          <t>Yes</t>
        </is>
      </c>
      <c r="O405" t="inlineStr">
        <is>
          <t>Remanufactured</t>
        </is>
      </c>
      <c r="P405" t="inlineStr">
        <is>
          <t>3</t>
        </is>
      </c>
      <c r="Q405" t="inlineStr">
        <is>
          <t>Blade</t>
        </is>
      </c>
      <c r="R405" t="inlineStr">
        <is>
          <t>Grommet</t>
        </is>
      </c>
      <c r="S405" t="inlineStr">
        <is>
          <t>2.5000</t>
        </is>
      </c>
      <c r="T405" t="inlineStr">
        <is>
          <t>No</t>
        </is>
      </c>
      <c r="U405" t="inlineStr">
        <is>
          <t>1 Year/18,000 Mile</t>
        </is>
      </c>
      <c r="V405" t="inlineStr">
        <is>
          <t>Yes</t>
        </is>
      </c>
      <c r="W405" t="inlineStr">
        <is>
          <t>Available to Order</t>
        </is>
      </c>
      <c r="X405" t="inlineStr">
        <is>
          <t>Hyundai Scoupe 1995-93</t>
        </is>
      </c>
      <c r="Y405" t="inlineStr">
        <is>
          <t>00082617574648</t>
        </is>
      </c>
      <c r="Z405" t="inlineStr">
        <is>
          <t>43-1169::98268:107822:494</t>
        </is>
      </c>
      <c r="AA405" t="inlineStr">
        <is>
          <t>Yes</t>
        </is>
      </c>
      <c r="AB405" t="inlineStr"/>
      <c r="AC405" t="inlineStr"/>
    </row>
    <row r="406">
      <c r="A406" t="inlineStr">
        <is>
          <t>405</t>
        </is>
      </c>
      <c r="B406" t="inlineStr">
        <is>
          <t>Windshield Wiper Motor</t>
        </is>
      </c>
      <c r="C406" t="inlineStr">
        <is>
          <t>43-1170</t>
        </is>
      </c>
      <c r="D406" t="inlineStr">
        <is>
          <t>Windshield Wiper Motor - 43-1170</t>
        </is>
      </c>
      <c r="E406" t="inlineStr">
        <is>
          <t>CARDONE Reman</t>
        </is>
      </c>
      <c r="F406" t="inlineStr">
        <is>
          <t>9810033200;9810033201</t>
        </is>
      </c>
      <c r="G406" t="inlineStr">
        <is>
          <t>Hyundai Sonata 1991-1994</t>
        </is>
      </c>
      <c r="H406" t="inlineStr">
        <is>
          <t>Hyundai Sonata 1991 2.4L L4 2351cc
Hyundai Sonata 1991-1994 3L V6 2972cc
Hyundai Sonata 1992-1994 2L L4 1997cc</t>
        </is>
      </c>
      <c r="I406" t="inlineStr">
        <is>
          <t>{"0": {"productDeskExternalKey": "CPCX|43-1170"}, "1": {"Package Contents": "Wiper Motor; Instruction Sheet"}, "2": {"E-Waste": "Yes"}, "3": {"Product Condition": "Remanufactured"}, "4": {"Mounting Hole Quantity": "3"}, "5": {"Terminal Type": "Blade"}, "6": {"Mounting Type": "Grommet"}, "7": {"Weight PG": "2.7200"}, "8": {"Washer Pump Included": "No"}, "9": {"Part Type": "Windshield Wiper Motor"}, "10": {"Warranty Info": "1 Year/18,000 Mile"}, "11": {"Sustainable Choice": "Yes"}, "12": {"Lifecycle Status": "Available to Order"}, "13": {"Application Summary": "Hyundai Sonata 1994-91"}, "14": {"ItemLevelGTIN": "00082617377263"}, "15": {"_addonCardone": "43-1170::98268:108323:494"}, "16": {"Eligible for R&amp;R Service": "Yes"}}</t>
        </is>
      </c>
      <c r="J406" t="inlineStr">
        <is>
          <t>https://www.cardone.com/product/windshield-wiper-motor-43-1170</t>
        </is>
      </c>
      <c r="K406">
        <f>DISPIMG("ID_539B17381A274795A3DA3245BCDDAC44",1)</f>
        <v/>
      </c>
      <c r="L406" t="inlineStr">
        <is>
          <t>CPCX|43-1170</t>
        </is>
      </c>
      <c r="M406" t="inlineStr">
        <is>
          <t>Wiper Motor; Instruction Sheet</t>
        </is>
      </c>
      <c r="N406" t="inlineStr">
        <is>
          <t>Yes</t>
        </is>
      </c>
      <c r="O406" t="inlineStr">
        <is>
          <t>Remanufactured</t>
        </is>
      </c>
      <c r="P406" t="inlineStr">
        <is>
          <t>3</t>
        </is>
      </c>
      <c r="Q406" t="inlineStr">
        <is>
          <t>Blade</t>
        </is>
      </c>
      <c r="R406" t="inlineStr">
        <is>
          <t>Grommet</t>
        </is>
      </c>
      <c r="S406" t="inlineStr">
        <is>
          <t>2.7200</t>
        </is>
      </c>
      <c r="T406" t="inlineStr">
        <is>
          <t>No</t>
        </is>
      </c>
      <c r="U406" t="inlineStr">
        <is>
          <t>1 Year/18,000 Mile</t>
        </is>
      </c>
      <c r="V406" t="inlineStr">
        <is>
          <t>Yes</t>
        </is>
      </c>
      <c r="W406" t="inlineStr">
        <is>
          <t>Available to Order</t>
        </is>
      </c>
      <c r="X406" t="inlineStr">
        <is>
          <t>Hyundai Sonata 1994-91</t>
        </is>
      </c>
      <c r="Y406" t="inlineStr">
        <is>
          <t>00082617377263</t>
        </is>
      </c>
      <c r="Z406" t="inlineStr">
        <is>
          <t>43-1170::98268:108323:494</t>
        </is>
      </c>
      <c r="AA406" t="inlineStr">
        <is>
          <t>Yes</t>
        </is>
      </c>
      <c r="AB406" t="inlineStr"/>
      <c r="AC406" t="inlineStr"/>
    </row>
    <row r="407">
      <c r="A407" t="inlineStr">
        <is>
          <t>406</t>
        </is>
      </c>
      <c r="B407" t="inlineStr">
        <is>
          <t>Windshield Wiper Motor</t>
        </is>
      </c>
      <c r="C407" t="inlineStr">
        <is>
          <t>43-1171</t>
        </is>
      </c>
      <c r="D407" t="inlineStr">
        <is>
          <t>Windshield Wiper Motor - 43-1171</t>
        </is>
      </c>
      <c r="E407" t="inlineStr">
        <is>
          <t>CARDONE Reman</t>
        </is>
      </c>
      <c r="F407" t="inlineStr">
        <is>
          <t>3811060A40;96068324;96069168;96059533;96060484;3810160A40;3811060B00</t>
        </is>
      </c>
      <c r="G407" t="inlineStr">
        <is>
          <t>Asuna Sunrunner 1992-1993
Chevrolet Tracker 1989-1998
GMC Tracker 1989-1992
Geo Metro 1989-1994
Geo Tracker 1989-1997
Pontiac Firefly 1989-1994
Pontiac Sunrunner 1994-1997
Suzuki Sidekick 1989-1998
Suzuki Swift 1989-1994
Suzuki X-90 1996-1998</t>
        </is>
      </c>
      <c r="H407" t="inlineStr">
        <is>
          <t>Asuna Sunrunner 1992-1993 1.6L L4 98cid
Chevrolet Tracker 1989-1998 1.6L L4 98cid
Chevrolet Tracker 1992
GMC Tracker 1989-1991 1.6L L4 98cid
GMC Tracker 1992
Geo Metro 1989-1994 1L L3 61cid
Geo Metro 1992-1994 1.3L L4 79cid
Geo Tracker 1989-1997 1.6L L4 98cid
Pontiac Firefly 1989-1994 1L L3 61cid
Pontiac Firefly 1994 1.3L L4 79cid
Pontiac Sunrunner 1994-1997 1.6L L4 98cid
Suzuki Sidekick 1989 1.3L L4 81cid
Suzuki Sidekick 1989-1998 1.6L L4 97cid
Suzuki Sidekick 1996-1998 1.8L L4 1840cc
Suzuki Swift 1989-1994 1.3L L4 79cid
Suzuki Swift 1992-1993 1.6L L4 97cid
Suzuki Swift 1992-1994 1L L3 61cid
Suzuki X-90 1996-1998 1.6L L4 97cid</t>
        </is>
      </c>
      <c r="I407" t="inlineStr">
        <is>
          <t>{"0": {"productDeskExternalKey": "CPCX|43-1171"}, "1": {"Package Contents": "Wiper Motor; Instruction Sheet"}, "2": {"E-Waste": "Yes"}, "3": {"Product Condition": "Remanufactured"}, "4": {"Mounting Hole Quantity": "3"}, "5": {"Terminal Type": "Blade"}, "6": {"Mounting Type": "Direct Bolt"}, "7": {"Weight PG": "2.3900"}, "8": {"Washer Pump Included": "No"}, "9": {"Part Type": "Windshield Wiper Motor"}, "10": {"Warranty Info": "1 Year/18,000 Mile"}, "11": {"Sustainable Choice": "Yes"}, "12": {"Lifecycle Status": "Available to Order"}, "13": {"Application Summary": "Asuna Sunrunner 1993-92; Chevrolet Tracker 1998 1991-89; Geo Metro 1994-89, Tracker 1997-89; GMC Tracker 1991-89; Pontiac Firefly 1994 1991-89, Sunrunner 1997-94; Suzuki Sidekick 1998-89, Swift 1994-89, X-90 1998-96"}, "14": {"ItemLevelGTIN": "00082617265676"}, "15": {"_addonCardone": "43-1171::98268:108345:494"}, "16": {"Eligible for R&amp;R Service": "Yes"}}</t>
        </is>
      </c>
      <c r="J407" t="inlineStr">
        <is>
          <t>https://www.cardone.com/product/windshield-wiper-motor-43-1171</t>
        </is>
      </c>
      <c r="K407">
        <f>DISPIMG("ID_44CF502E313342158DA4299A626F4D1E",1)</f>
        <v/>
      </c>
      <c r="L407" t="inlineStr">
        <is>
          <t>CPCX|43-1171</t>
        </is>
      </c>
      <c r="M407" t="inlineStr">
        <is>
          <t>Wiper Motor; Instruction Sheet</t>
        </is>
      </c>
      <c r="N407" t="inlineStr">
        <is>
          <t>Yes</t>
        </is>
      </c>
      <c r="O407" t="inlineStr">
        <is>
          <t>Remanufactured</t>
        </is>
      </c>
      <c r="P407" t="inlineStr">
        <is>
          <t>3</t>
        </is>
      </c>
      <c r="Q407" t="inlineStr">
        <is>
          <t>Blade</t>
        </is>
      </c>
      <c r="R407" t="inlineStr">
        <is>
          <t>Direct Bolt</t>
        </is>
      </c>
      <c r="S407" t="inlineStr">
        <is>
          <t>2.3900</t>
        </is>
      </c>
      <c r="T407" t="inlineStr">
        <is>
          <t>No</t>
        </is>
      </c>
      <c r="U407" t="inlineStr">
        <is>
          <t>1 Year/18,000 Mile</t>
        </is>
      </c>
      <c r="V407" t="inlineStr">
        <is>
          <t>Yes</t>
        </is>
      </c>
      <c r="W407" t="inlineStr">
        <is>
          <t>Available to Order</t>
        </is>
      </c>
      <c r="X407" t="inlineStr">
        <is>
          <t>Asuna Sunrunner 1993-92; Chevrolet Tracker 1998 1991-89; Geo Metro 1994-89, Tracker 1997-89; GMC Tracker 1991-89; Pontiac Firefly 1994 1991-89, Sunrunner 1997-94; Suzuki Sidekick 1998-89, Swift 1994-89, X-90 1998-96</t>
        </is>
      </c>
      <c r="Y407" t="inlineStr">
        <is>
          <t>00082617265676</t>
        </is>
      </c>
      <c r="Z407" t="inlineStr">
        <is>
          <t>43-1171::98268:108345:494</t>
        </is>
      </c>
      <c r="AA407" t="inlineStr">
        <is>
          <t>Yes</t>
        </is>
      </c>
      <c r="AB407" t="inlineStr"/>
      <c r="AC407" t="inlineStr"/>
    </row>
    <row r="408">
      <c r="A408" t="inlineStr">
        <is>
          <t>407</t>
        </is>
      </c>
      <c r="B408" t="inlineStr">
        <is>
          <t>Windshield Wiper Motor</t>
        </is>
      </c>
      <c r="C408" t="inlineStr">
        <is>
          <t>43-1172</t>
        </is>
      </c>
      <c r="D408" t="inlineStr">
        <is>
          <t>Windshield Wiper Motor - 43-1172</t>
        </is>
      </c>
      <c r="E408" t="inlineStr">
        <is>
          <t>CARDONE Reman</t>
        </is>
      </c>
      <c r="F408" t="inlineStr">
        <is>
          <t>8943870761;8943870760</t>
        </is>
      </c>
      <c r="G408" t="inlineStr">
        <is>
          <t>Asuna Sunfire 1993
Geo Storm 1990-1993
Isuzu Impulse 1990-1992
Isuzu Stylus 1991-1993</t>
        </is>
      </c>
      <c r="H408" t="inlineStr">
        <is>
          <t>Asuna Sunfire 1993 1.8L L4 110cid
Geo Storm 1990-1993 1.6L L4 98cid
Geo Storm 1992-1993 1.8L L4 110cid
Isuzu Impulse 1990-1992 1.6L L4 1588cc
Isuzu Impulse 1992 1.8L L4 110cid
Isuzu Stylus 1991-1993 1.6L L4 1588cc
Isuzu Stylus 1992 1.8L L4 110cid</t>
        </is>
      </c>
      <c r="I408" t="inlineStr">
        <is>
          <t>{"0": {"productDeskExternalKey": "CPCX|43-1172"}, "1": {"Package Contents": "Wiper Motor; Instruction Sheet"}, "2": {"E-Waste": "Yes"}, "3": {"Product Condition": "Remanufactured"}, "4": {"Mounting Hole Quantity": "4"}, "5": {"Terminal Type": "Blade"}, "6": {"Mounting Type": "Grommet"}, "7": {"Weight PG": "3.0000"}, "8": {"Washer Pump Included": "No"}, "9": {"Part Type": "Windshield Wiper Motor"}, "10": {"Warranty Info": "1 Year/18,000 Mile"}, "11": {"Sustainable Choice": "Yes"}, "12": {"Lifecycle Status": "Available to Order"}, "13": {"Application Summary": "Asuna Sunfire 1993; Geo Storm 1993-90; Isuzu Impulse 1992-90, Stylus 1993-91"}, "14": {"ItemLevelGTIN": "00082617265683"}, "15": {"_addonCardone": "43-1172::98268:108367:494"}, "16": {"Eligible for R&amp;R Service": "Yes"}}</t>
        </is>
      </c>
      <c r="J408" t="inlineStr">
        <is>
          <t>https://www.cardone.com/product/windshield-wiper-motor-43-1172</t>
        </is>
      </c>
      <c r="K408">
        <f>DISPIMG("ID_7EF53235AD5145E99FB62FC1B19927B5",1)</f>
        <v/>
      </c>
      <c r="L408" t="inlineStr">
        <is>
          <t>CPCX|43-1172</t>
        </is>
      </c>
      <c r="M408" t="inlineStr">
        <is>
          <t>Wiper Motor; Instruction Sheet</t>
        </is>
      </c>
      <c r="N408" t="inlineStr">
        <is>
          <t>Yes</t>
        </is>
      </c>
      <c r="O408" t="inlineStr">
        <is>
          <t>Remanufactured</t>
        </is>
      </c>
      <c r="P408" t="inlineStr">
        <is>
          <t>4</t>
        </is>
      </c>
      <c r="Q408" t="inlineStr">
        <is>
          <t>Blade</t>
        </is>
      </c>
      <c r="R408" t="inlineStr">
        <is>
          <t>Grommet</t>
        </is>
      </c>
      <c r="S408" t="inlineStr">
        <is>
          <t>3.0000</t>
        </is>
      </c>
      <c r="T408" t="inlineStr">
        <is>
          <t>No</t>
        </is>
      </c>
      <c r="U408" t="inlineStr">
        <is>
          <t>1 Year/18,000 Mile</t>
        </is>
      </c>
      <c r="V408" t="inlineStr">
        <is>
          <t>Yes</t>
        </is>
      </c>
      <c r="W408" t="inlineStr">
        <is>
          <t>Available to Order</t>
        </is>
      </c>
      <c r="X408" t="inlineStr">
        <is>
          <t>Asuna Sunfire 1993; Geo Storm 1993-90; Isuzu Impulse 1992-90, Stylus 1993-91</t>
        </is>
      </c>
      <c r="Y408" t="inlineStr">
        <is>
          <t>00082617265683</t>
        </is>
      </c>
      <c r="Z408" t="inlineStr">
        <is>
          <t>43-1172::98268:108367:494</t>
        </is>
      </c>
      <c r="AA408" t="inlineStr">
        <is>
          <t>Yes</t>
        </is>
      </c>
      <c r="AB408" t="inlineStr"/>
      <c r="AC408" t="inlineStr"/>
    </row>
    <row r="409">
      <c r="A409" t="inlineStr">
        <is>
          <t>408</t>
        </is>
      </c>
      <c r="B409" t="inlineStr">
        <is>
          <t>Windshield Wiper Motor</t>
        </is>
      </c>
      <c r="C409" t="inlineStr">
        <is>
          <t>43-1174</t>
        </is>
      </c>
      <c r="D409" t="inlineStr">
        <is>
          <t>Windshield Wiper Motor - 43-1174</t>
        </is>
      </c>
      <c r="E409" t="inlineStr">
        <is>
          <t>CARDONE Reman</t>
        </is>
      </c>
      <c r="F409" t="inlineStr">
        <is>
          <t>8943588391;8978081120</t>
        </is>
      </c>
      <c r="G409" t="inlineStr">
        <is>
          <t>Acura SLX 1996-1999
Isuzu Trooper 1992-2002</t>
        </is>
      </c>
      <c r="H409" t="inlineStr">
        <is>
          <t>Acura SLX 1996-1997 3.2L V6 3165cc
Acura SLX 1998-1999 3.5L V6 3494cc
Isuzu Trooper 1992-1997 3.2L V6 3165cc
Isuzu Trooper 1998-2002 3.5L V6 3475cc</t>
        </is>
      </c>
      <c r="I409" t="inlineStr">
        <is>
          <t>{"0": {"productDeskExternalKey": "CPCX|43-1174"}, "1": {"Package Contents": "Wiper Motor; Instruction Sheet"}, "2": {"E-Waste": "Yes"}, "3": {"Product Condition": "Remanufactured"}, "4": {"Mounting Hole Quantity": "4"}, "5": {"Terminal Type": "Blade"}, "6": {"Mounting Type": "Grommet"}, "7": {"Weight PG": "2.7500"}, "8": {"Washer Pump Included": "No"}, "9": {"Part Type": "Windshield Wiper Motor"}, "10": {"Warranty Info": "1 Year/18,000 Mile"}, "11": {"Sustainable Choice": "Yes"}, "12": {"Lifecycle Status": "Available to Order"}, "13": {"Application Summary": "Acura SLX 1999-96; Isuzu Trooper 2002-92"}, "14": {"ItemLevelGTIN": "00082617456241"}, "15": {"_addonCardone": "43-1174::98268:108388:494"}, "16": {"Eligible for R&amp;R Service": "Yes"}}</t>
        </is>
      </c>
      <c r="J409" t="inlineStr">
        <is>
          <t>https://www.cardone.com/product/windshield-wiper-motor-43-1174</t>
        </is>
      </c>
      <c r="K409">
        <f>DISPIMG("ID_E89C1EA183144426A9F1E5189B598B26",1)</f>
        <v/>
      </c>
      <c r="L409" t="inlineStr">
        <is>
          <t>CPCX|43-1174</t>
        </is>
      </c>
      <c r="M409" t="inlineStr">
        <is>
          <t>Wiper Motor; Instruction Sheet</t>
        </is>
      </c>
      <c r="N409" t="inlineStr">
        <is>
          <t>Yes</t>
        </is>
      </c>
      <c r="O409" t="inlineStr">
        <is>
          <t>Remanufactured</t>
        </is>
      </c>
      <c r="P409" t="inlineStr">
        <is>
          <t>4</t>
        </is>
      </c>
      <c r="Q409" t="inlineStr">
        <is>
          <t>Blade</t>
        </is>
      </c>
      <c r="R409" t="inlineStr">
        <is>
          <t>Grommet</t>
        </is>
      </c>
      <c r="S409" t="inlineStr">
        <is>
          <t>2.7500</t>
        </is>
      </c>
      <c r="T409" t="inlineStr">
        <is>
          <t>No</t>
        </is>
      </c>
      <c r="U409" t="inlineStr">
        <is>
          <t>1 Year/18,000 Mile</t>
        </is>
      </c>
      <c r="V409" t="inlineStr">
        <is>
          <t>Yes</t>
        </is>
      </c>
      <c r="W409" t="inlineStr">
        <is>
          <t>Available to Order</t>
        </is>
      </c>
      <c r="X409" t="inlineStr">
        <is>
          <t>Acura SLX 1999-96; Isuzu Trooper 2002-92</t>
        </is>
      </c>
      <c r="Y409" t="inlineStr">
        <is>
          <t>00082617456241</t>
        </is>
      </c>
      <c r="Z409" t="inlineStr">
        <is>
          <t>43-1174::98268:108388:494</t>
        </is>
      </c>
      <c r="AA409" t="inlineStr">
        <is>
          <t>Yes</t>
        </is>
      </c>
      <c r="AB409" t="inlineStr"/>
      <c r="AC409" t="inlineStr"/>
    </row>
    <row r="410">
      <c r="A410" t="inlineStr">
        <is>
          <t>409</t>
        </is>
      </c>
      <c r="B410" t="inlineStr">
        <is>
          <t>Windshield Wiper Motor</t>
        </is>
      </c>
      <c r="C410" t="inlineStr">
        <is>
          <t>43-1176</t>
        </is>
      </c>
      <c r="D410" t="inlineStr">
        <is>
          <t>Windshield Wiper Motor - 43-1176</t>
        </is>
      </c>
      <c r="E410" t="inlineStr">
        <is>
          <t>CARDONE Reman</t>
        </is>
      </c>
      <c r="F410" t="inlineStr">
        <is>
          <t>3810160G10</t>
        </is>
      </c>
      <c r="G410" t="inlineStr">
        <is>
          <t>Suzuki Esteem 1995-2002</t>
        </is>
      </c>
      <c r="H410" t="inlineStr">
        <is>
          <t>Suzuki Esteem 1995-2001 1.6L L4 97cid
Suzuki Esteem 1999-2002 1.8L L4 1790cc</t>
        </is>
      </c>
      <c r="I410" t="inlineStr">
        <is>
          <t>{"0": {"productDeskExternalKey": "CPCX|43-1176"},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"Suzuki Esteem 2002-95"}, "14": {"ItemLevelGTIN": "00082617574655"}, "15": {"_addonCardone": "43-1176::98268:108406:494"}, "16": {"Eligible for R&amp;R Service": "Yes"}}</t>
        </is>
      </c>
      <c r="J410" t="inlineStr">
        <is>
          <t>https://www.cardone.com/product/windshield-wiper-motor-43-1176</t>
        </is>
      </c>
      <c r="K410">
        <f>DISPIMG("ID_3F3C79A2A9BA4462ABE4CB3169A71B2A",1)</f>
        <v/>
      </c>
      <c r="L410" t="inlineStr">
        <is>
          <t>CPCX|43-1176</t>
        </is>
      </c>
      <c r="M410" t="inlineStr">
        <is>
          <t>Wiper Motor; Instruction Sheet</t>
        </is>
      </c>
      <c r="N410" t="inlineStr">
        <is>
          <t>Yes</t>
        </is>
      </c>
      <c r="O410" t="inlineStr">
        <is>
          <t>Remanufactured</t>
        </is>
      </c>
      <c r="P410" t="inlineStr">
        <is>
          <t>3</t>
        </is>
      </c>
      <c r="Q410" t="inlineStr">
        <is>
          <t>Blade</t>
        </is>
      </c>
      <c r="R410" t="inlineStr">
        <is>
          <t>Direct Bolt</t>
        </is>
      </c>
      <c r="S410" t="inlineStr">
        <is>
          <t>2.5000</t>
        </is>
      </c>
      <c r="T410" t="inlineStr">
        <is>
          <t>No</t>
        </is>
      </c>
      <c r="U410" t="inlineStr">
        <is>
          <t>1 Year/18,000 Mile</t>
        </is>
      </c>
      <c r="V410" t="inlineStr">
        <is>
          <t>Yes</t>
        </is>
      </c>
      <c r="W410" t="inlineStr">
        <is>
          <t>Available to Order</t>
        </is>
      </c>
      <c r="X410" t="inlineStr">
        <is>
          <t>Suzuki Esteem 2002-95</t>
        </is>
      </c>
      <c r="Y410" t="inlineStr">
        <is>
          <t>00082617574655</t>
        </is>
      </c>
      <c r="Z410" t="inlineStr">
        <is>
          <t>43-1176::98268:108406:494</t>
        </is>
      </c>
      <c r="AA410" t="inlineStr">
        <is>
          <t>Yes</t>
        </is>
      </c>
      <c r="AB410" t="inlineStr"/>
      <c r="AC410" t="inlineStr"/>
    </row>
    <row r="411">
      <c r="A411" t="inlineStr">
        <is>
          <t>410</t>
        </is>
      </c>
      <c r="B411" t="inlineStr">
        <is>
          <t>Windshield Wiper Motor</t>
        </is>
      </c>
      <c r="C411" t="inlineStr">
        <is>
          <t>43-1202</t>
        </is>
      </c>
      <c r="D411" t="inlineStr">
        <is>
          <t>Windshield Wiper Motor - 43-1202</t>
        </is>
      </c>
      <c r="E411" t="inlineStr">
        <is>
          <t>CARDONE Reman</t>
        </is>
      </c>
      <c r="F411" t="inlineStr">
        <is>
          <t>2881515E00;28815D4510</t>
        </is>
      </c>
      <c r="G411" t="inlineStr">
        <is>
          <t>Nissan Stanza 1986-1988</t>
        </is>
      </c>
      <c r="H411" t="inlineStr">
        <is>
          <t>Nissan Stanza 1986-1988 2L L4 1974cc</t>
        </is>
      </c>
      <c r="I411" t="inlineStr">
        <is>
          <t>{"0": {"productDeskExternalKey": "CPCX|43-1202"}, "1": {"Package Contents": "Wiper Motor; Instruction Sheet"}, "2": {"E-Waste": "Yes"}, "3": {"Product Condition": "Remanufactured"}, "4": {"Mounting Hole Quantity": "3"}, "5": {"Terminal Type": "Blade"}, "6": {"Mounting Type": "Grommet"}, "7": {"Weight PG": "2.7400"}, "8": {"Washer Pump Included": "No"}, "9": {"Part Type": "Windshield Wiper Motor"}, "10": {"Warranty Info": "1 Year/18,000 Mile"}, "11": {"Sustainable Choice": "Yes"}, "12": {"Lifecycle Status": "Available to Order"}, "13": {"Application Summary": "Nissan Maxima 1988-85, Stanza 1988-86"}, "14": {"ItemLevelGTIN": "00082617143141"}, "15": {"_addonCardone": "43-1202::98268:108427:494"}, "16": {"Eligible for R&amp;R Service": "Yes"}}</t>
        </is>
      </c>
      <c r="J411" t="inlineStr">
        <is>
          <t>https://www.cardone.com/product/windshield-wiper-motor-43-1202</t>
        </is>
      </c>
      <c r="K411">
        <f>DISPIMG("ID_7C8A9D2C92354751A014F273A3957599",1)</f>
        <v/>
      </c>
      <c r="L411" t="inlineStr">
        <is>
          <t>CPCX|43-1202</t>
        </is>
      </c>
      <c r="M411" t="inlineStr">
        <is>
          <t>Wiper Motor; Instruction Sheet</t>
        </is>
      </c>
      <c r="N411" t="inlineStr">
        <is>
          <t>Yes</t>
        </is>
      </c>
      <c r="O411" t="inlineStr">
        <is>
          <t>Remanufactured</t>
        </is>
      </c>
      <c r="P411" t="inlineStr">
        <is>
          <t>3</t>
        </is>
      </c>
      <c r="Q411" t="inlineStr">
        <is>
          <t>Blade</t>
        </is>
      </c>
      <c r="R411" t="inlineStr">
        <is>
          <t>Grommet</t>
        </is>
      </c>
      <c r="S411" t="inlineStr">
        <is>
          <t>2.7400</t>
        </is>
      </c>
      <c r="T411" t="inlineStr">
        <is>
          <t>No</t>
        </is>
      </c>
      <c r="U411" t="inlineStr">
        <is>
          <t>1 Year/18,000 Mile</t>
        </is>
      </c>
      <c r="V411" t="inlineStr">
        <is>
          <t>Yes</t>
        </is>
      </c>
      <c r="W411" t="inlineStr">
        <is>
          <t>Available to Order</t>
        </is>
      </c>
      <c r="X411" t="inlineStr">
        <is>
          <t>Nissan Maxima 1988-85, Stanza 1988-86</t>
        </is>
      </c>
      <c r="Y411" t="inlineStr">
        <is>
          <t>00082617143141</t>
        </is>
      </c>
      <c r="Z411" t="inlineStr">
        <is>
          <t>43-1202::98268:108427:494</t>
        </is>
      </c>
      <c r="AA411" t="inlineStr">
        <is>
          <t>Yes</t>
        </is>
      </c>
      <c r="AB411" t="inlineStr"/>
      <c r="AC411" t="inlineStr"/>
    </row>
    <row r="412">
      <c r="A412" t="inlineStr">
        <is>
          <t>411</t>
        </is>
      </c>
      <c r="B412" t="inlineStr">
        <is>
          <t>Windshield Wiper Motor</t>
        </is>
      </c>
      <c r="C412" t="inlineStr">
        <is>
          <t>43-1207</t>
        </is>
      </c>
      <c r="D412" t="inlineStr">
        <is>
          <t>Windshield Wiper Motor - 43-1207</t>
        </is>
      </c>
      <c r="E412" t="inlineStr">
        <is>
          <t>CARDONE Reman</t>
        </is>
      </c>
      <c r="F412" t="inlineStr">
        <is>
          <t>2880501P00</t>
        </is>
      </c>
      <c r="G412" t="inlineStr">
        <is>
          <t>Nissan 300ZX 1984</t>
        </is>
      </c>
      <c r="H412" t="inlineStr">
        <is>
          <t>Nissan 300ZX 1984 3L V6 181cid</t>
        </is>
      </c>
      <c r="I412" t="inlineStr">
        <is>
          <t>{"0": {"productDeskExternalKey": "CPCX|43-1207"}, "1": {"Package Contents": "Wiper Motor; Instruction Sheet"}, "2": {"E-Waste": "Yes"}, "3": {"Product Condition": "Remanufactured"}, "4": {"Mounting Hole Quantity": "3"}, "5": {"Terminal Type": "Blade"}, "6": {"Mounting Type": "Grommet"}, "7": {"Weight PG": "2.7000"}, "8": {"Washer Pump Included": "No"}, "9": {"Part Type": "Windshield Wiper Motor"}, "10": {"Warranty Info": "1 Year/18,000 Mile"}, "11": {"Sustainable Choice": "Yes"}, "12": {"Lifecycle Status": "Available to Order"}, "13": {"Application Summary": "Nissan 300ZX 1984"}, "14": {"ItemLevelGTIN": "00082617081603"}, "15": {"_addonCardone": "43-1207::98268:108448:494"}, "16": {"Eligible for R&amp;R Service": "Yes"}}</t>
        </is>
      </c>
      <c r="J412" t="inlineStr">
        <is>
          <t>https://www.cardone.com/product/windshield-wiper-motor-43-1207</t>
        </is>
      </c>
      <c r="K412">
        <f>DISPIMG("ID_6A5508BDB86F4127B862B04A405D6237",1)</f>
        <v/>
      </c>
      <c r="L412" t="inlineStr">
        <is>
          <t>CPCX|43-1207</t>
        </is>
      </c>
      <c r="M412" t="inlineStr">
        <is>
          <t>Wiper Motor; Instruction Sheet</t>
        </is>
      </c>
      <c r="N412" t="inlineStr">
        <is>
          <t>Yes</t>
        </is>
      </c>
      <c r="O412" t="inlineStr">
        <is>
          <t>Remanufactured</t>
        </is>
      </c>
      <c r="P412" t="inlineStr">
        <is>
          <t>3</t>
        </is>
      </c>
      <c r="Q412" t="inlineStr">
        <is>
          <t>Blade</t>
        </is>
      </c>
      <c r="R412" t="inlineStr">
        <is>
          <t>Grommet</t>
        </is>
      </c>
      <c r="S412" t="inlineStr">
        <is>
          <t>2.7000</t>
        </is>
      </c>
      <c r="T412" t="inlineStr">
        <is>
          <t>No</t>
        </is>
      </c>
      <c r="U412" t="inlineStr">
        <is>
          <t>1 Year/18,000 Mile</t>
        </is>
      </c>
      <c r="V412" t="inlineStr">
        <is>
          <t>Yes</t>
        </is>
      </c>
      <c r="W412" t="inlineStr">
        <is>
          <t>Available to Order</t>
        </is>
      </c>
      <c r="X412" t="inlineStr">
        <is>
          <t>Nissan 300ZX 1984</t>
        </is>
      </c>
      <c r="Y412" t="inlineStr">
        <is>
          <t>00082617081603</t>
        </is>
      </c>
      <c r="Z412" t="inlineStr">
        <is>
          <t>43-1207::98268:108448:494</t>
        </is>
      </c>
      <c r="AA412" t="inlineStr">
        <is>
          <t>Yes</t>
        </is>
      </c>
      <c r="AB412" t="inlineStr"/>
      <c r="AC412" t="inlineStr"/>
    </row>
    <row r="413">
      <c r="A413" t="inlineStr">
        <is>
          <t>412</t>
        </is>
      </c>
      <c r="B413" t="inlineStr">
        <is>
          <t>Windshield Wiper Motor</t>
        </is>
      </c>
      <c r="C413" t="inlineStr">
        <is>
          <t>43-1213</t>
        </is>
      </c>
      <c r="D413" t="inlineStr">
        <is>
          <t>Windshield Wiper Motor - 43-1213</t>
        </is>
      </c>
      <c r="E413" t="inlineStr">
        <is>
          <t>CARDONE Reman</t>
        </is>
      </c>
      <c r="F413" t="inlineStr">
        <is>
          <t>2881001P02</t>
        </is>
      </c>
      <c r="G413" t="inlineStr">
        <is>
          <t>Nissan 300ZX 1985-1989</t>
        </is>
      </c>
      <c r="H413" t="inlineStr">
        <is>
          <t>Nissan 300ZX 1985-1989 3L V6 181cid</t>
        </is>
      </c>
      <c r="I413" t="inlineStr">
        <is>
          <t>{"0": {"productDeskExternalKey": "CPCX|43-1213"}, "1": {"Package Contents": "Wiper Motor; Instruction Sheet"}, "2": {"E-Waste": "Yes"}, "3": {"Product Condition": "Remanufactured"}, "4": {"Mounting Hole Quantity": "3"}, "5": {"Terminal Type": "Blade"}, "6": {"Mounting Type": "Grommet"}, "7": {"Weight PG": "2.7400"}, "8": {"Washer Pump Included": "No"}, "9": {"Part Type": "Windshield Wiper Motor"}, "10": {"Warranty Info": "1 Year/18,000 Mile"}, "11": {"Sustainable Choice": "Yes"}, "12": {"Lifecycle Status": "Available to Order"}, "13": {"Application Summary": "Nissan 300ZX 1989-85"}, "14": {"ItemLevelGTIN": "00082617143158"}, "15": {"_addonCardone": "43-1213::98268:108936:494"}, "16": {"Eligible for R&amp;R Service": "Yes"}}</t>
        </is>
      </c>
      <c r="J413" t="inlineStr">
        <is>
          <t>https://www.cardone.com/product/windshield-wiper-motor-43-1213</t>
        </is>
      </c>
      <c r="K413">
        <f>DISPIMG("ID_9B16CFE352194F18AB130EB4C241C7A0",1)</f>
        <v/>
      </c>
      <c r="L413" t="inlineStr">
        <is>
          <t>CPCX|43-1213</t>
        </is>
      </c>
      <c r="M413" t="inlineStr">
        <is>
          <t>Wiper Motor; Instruction Sheet</t>
        </is>
      </c>
      <c r="N413" t="inlineStr">
        <is>
          <t>Yes</t>
        </is>
      </c>
      <c r="O413" t="inlineStr">
        <is>
          <t>Remanufactured</t>
        </is>
      </c>
      <c r="P413" t="inlineStr">
        <is>
          <t>3</t>
        </is>
      </c>
      <c r="Q413" t="inlineStr">
        <is>
          <t>Blade</t>
        </is>
      </c>
      <c r="R413" t="inlineStr">
        <is>
          <t>Grommet</t>
        </is>
      </c>
      <c r="S413" t="inlineStr">
        <is>
          <t>2.7400</t>
        </is>
      </c>
      <c r="T413" t="inlineStr">
        <is>
          <t>No</t>
        </is>
      </c>
      <c r="U413" t="inlineStr">
        <is>
          <t>1 Year/18,000 Mile</t>
        </is>
      </c>
      <c r="V413" t="inlineStr">
        <is>
          <t>Yes</t>
        </is>
      </c>
      <c r="W413" t="inlineStr">
        <is>
          <t>Available to Order</t>
        </is>
      </c>
      <c r="X413" t="inlineStr">
        <is>
          <t>Nissan 300ZX 1989-85</t>
        </is>
      </c>
      <c r="Y413" t="inlineStr">
        <is>
          <t>00082617143158</t>
        </is>
      </c>
      <c r="Z413" t="inlineStr">
        <is>
          <t>43-1213::98268:108936:494</t>
        </is>
      </c>
      <c r="AA413" t="inlineStr">
        <is>
          <t>Yes</t>
        </is>
      </c>
      <c r="AB413" t="inlineStr"/>
      <c r="AC413" t="inlineStr"/>
    </row>
    <row r="414">
      <c r="A414" t="inlineStr">
        <is>
          <t>413</t>
        </is>
      </c>
      <c r="B414" t="inlineStr">
        <is>
          <t>Windshield Wiper Motor</t>
        </is>
      </c>
      <c r="C414" t="inlineStr">
        <is>
          <t>43-1225</t>
        </is>
      </c>
      <c r="D414" t="inlineStr">
        <is>
          <t>Windshield Wiper Motor - 43-1225</t>
        </is>
      </c>
      <c r="E414" t="inlineStr">
        <is>
          <t>CARDONE Reman</t>
        </is>
      </c>
      <c r="F414" t="inlineStr">
        <is>
          <t>2881532F00</t>
        </is>
      </c>
      <c r="G414" t="inlineStr">
        <is>
          <t>Nissan 200SX 1987-1988</t>
        </is>
      </c>
      <c r="H414" t="inlineStr">
        <is>
          <t>Nissan 200SX 1987 1.8L L4 1809cc
Nissan 200SX 1987-1988 2L L4 1974cc
Nissan 200SX 1987-1988 3L V6 181cid</t>
        </is>
      </c>
      <c r="I414" t="inlineStr">
        <is>
          <t>{"0": {"productDeskExternalKey": "CPCX|43-1225"}, "1": {"Package Contents": "Wiper Motor; Instruction Sheet"}, "2": {"E-Waste": "Yes"}, "3": {"Product Condition": "Remanufactured"}, "4": {"Mounting Hole Quantity": "3"}, "5": {"Terminal Type": "Blade"}, "6": {"Mounting Type": "Grommet"}, "7": {"Weight PG": "2.1000"}, "8": {"Washer Pump Included": "No"}, "9": {"Part Type": "Windshield Wiper Motor"}, "10": {"Warranty Info": "1 Year/18,000 Mile"}, "11": {"Sustainable Choice": "Yes"}, "12": {"Lifecycle Status": "Available to Order"}, "13": {"Application Summary": "Nissan 200SX 1988-87"}, "14": {"ItemLevelGTIN": "00082617142663"}, "15": {"_addonCardone": "43-1225::98268:108967:494"}, "16": {"Eligible for R&amp;R Service": "Yes"}}</t>
        </is>
      </c>
      <c r="J414" t="inlineStr">
        <is>
          <t>https://www.cardone.com/product/windshield-wiper-motor-43-1225</t>
        </is>
      </c>
      <c r="K414">
        <f>DISPIMG("ID_BC577B7D75844DA18BB83CF9B7A913C4",1)</f>
        <v/>
      </c>
      <c r="L414" t="inlineStr">
        <is>
          <t>CPCX|43-1225</t>
        </is>
      </c>
      <c r="M414" t="inlineStr">
        <is>
          <t>Wiper Motor; Instruction Sheet</t>
        </is>
      </c>
      <c r="N414" t="inlineStr">
        <is>
          <t>Yes</t>
        </is>
      </c>
      <c r="O414" t="inlineStr">
        <is>
          <t>Remanufactured</t>
        </is>
      </c>
      <c r="P414" t="inlineStr">
        <is>
          <t>3</t>
        </is>
      </c>
      <c r="Q414" t="inlineStr">
        <is>
          <t>Blade</t>
        </is>
      </c>
      <c r="R414" t="inlineStr">
        <is>
          <t>Grommet</t>
        </is>
      </c>
      <c r="S414" t="inlineStr">
        <is>
          <t>2.1000</t>
        </is>
      </c>
      <c r="T414" t="inlineStr">
        <is>
          <t>No</t>
        </is>
      </c>
      <c r="U414" t="inlineStr">
        <is>
          <t>1 Year/18,000 Mile</t>
        </is>
      </c>
      <c r="V414" t="inlineStr">
        <is>
          <t>Yes</t>
        </is>
      </c>
      <c r="W414" t="inlineStr">
        <is>
          <t>Available to Order</t>
        </is>
      </c>
      <c r="X414" t="inlineStr">
        <is>
          <t>Nissan 200SX 1988-87</t>
        </is>
      </c>
      <c r="Y414" t="inlineStr">
        <is>
          <t>00082617142663</t>
        </is>
      </c>
      <c r="Z414" t="inlineStr">
        <is>
          <t>43-1225::98268:108967:494</t>
        </is>
      </c>
      <c r="AA414" t="inlineStr">
        <is>
          <t>Yes</t>
        </is>
      </c>
      <c r="AB414" t="inlineStr"/>
      <c r="AC414" t="inlineStr"/>
    </row>
    <row r="415">
      <c r="A415" t="inlineStr">
        <is>
          <t>414</t>
        </is>
      </c>
      <c r="B415" t="inlineStr">
        <is>
          <t>Windshield Wiper Motor</t>
        </is>
      </c>
      <c r="C415" t="inlineStr">
        <is>
          <t>43-1227</t>
        </is>
      </c>
      <c r="D415" t="inlineStr">
        <is>
          <t>Windshield Wiper Motor - 43-1227</t>
        </is>
      </c>
      <c r="E415" t="inlineStr">
        <is>
          <t>CARDONE Reman</t>
        </is>
      </c>
      <c r="F415" t="inlineStr">
        <is>
          <t>28810P8100</t>
        </is>
      </c>
      <c r="G415" t="inlineStr">
        <is>
          <t>Nissan 280ZX 1980-1983</t>
        </is>
      </c>
      <c r="H415" t="inlineStr">
        <is>
          <t>Nissan 280ZX 1980-1983 2.8L L6 2753cc</t>
        </is>
      </c>
      <c r="I415" t="inlineStr">
        <is>
          <t>{"0": {"productDeskExternalKey": "CPCX|43-1227"},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"Nissan 280ZX 1983-80"}, "14": {"ItemLevelGTIN": "00082617042444"}, "15": {"_addonCardone": "43-1227::98268:108989:494"}, "16": {"Eligible for R&amp;R Service": "Yes"}}</t>
        </is>
      </c>
      <c r="J415" t="inlineStr">
        <is>
          <t>https://www.cardone.com/product/windshield-wiper-motor-43-1227</t>
        </is>
      </c>
      <c r="K415">
        <f>DISPIMG("ID_16FAFC3407554F8784CE82F6EE71F674",1)</f>
        <v/>
      </c>
      <c r="L415" t="inlineStr">
        <is>
          <t>CPCX|43-1227</t>
        </is>
      </c>
      <c r="M415" t="inlineStr">
        <is>
          <t>Wiper Motor; Instruction Sheet</t>
        </is>
      </c>
      <c r="N415" t="inlineStr">
        <is>
          <t>Yes</t>
        </is>
      </c>
      <c r="O415" t="inlineStr">
        <is>
          <t>Remanufactured</t>
        </is>
      </c>
      <c r="P415" t="inlineStr">
        <is>
          <t>3</t>
        </is>
      </c>
      <c r="Q415" t="inlineStr">
        <is>
          <t>Blade</t>
        </is>
      </c>
      <c r="R415" t="inlineStr">
        <is>
          <t>Direct Bolt</t>
        </is>
      </c>
      <c r="S415" t="inlineStr">
        <is>
          <t>3.0000</t>
        </is>
      </c>
      <c r="T415" t="inlineStr">
        <is>
          <t>No</t>
        </is>
      </c>
      <c r="U415" t="inlineStr">
        <is>
          <t>1 Year/18,000 Mile</t>
        </is>
      </c>
      <c r="V415" t="inlineStr">
        <is>
          <t>Yes</t>
        </is>
      </c>
      <c r="W415" t="inlineStr">
        <is>
          <t>Available to Order</t>
        </is>
      </c>
      <c r="X415" t="inlineStr">
        <is>
          <t>Nissan 280ZX 1983-80</t>
        </is>
      </c>
      <c r="Y415" t="inlineStr">
        <is>
          <t>00082617042444</t>
        </is>
      </c>
      <c r="Z415" t="inlineStr">
        <is>
          <t>43-1227::98268:108989:494</t>
        </is>
      </c>
      <c r="AA415" t="inlineStr">
        <is>
          <t>Yes</t>
        </is>
      </c>
      <c r="AB415" t="inlineStr"/>
      <c r="AC415" t="inlineStr"/>
    </row>
    <row r="416">
      <c r="A416" t="inlineStr">
        <is>
          <t>415</t>
        </is>
      </c>
      <c r="B416" t="inlineStr">
        <is>
          <t>Windshield Wiper Motor</t>
        </is>
      </c>
      <c r="C416" t="inlineStr">
        <is>
          <t>43-1229</t>
        </is>
      </c>
      <c r="D416" t="inlineStr">
        <is>
          <t>Windshield Wiper Motor - 43-1229</t>
        </is>
      </c>
      <c r="E416" t="inlineStr">
        <is>
          <t>CARDONE Reman</t>
        </is>
      </c>
      <c r="F416" t="inlineStr">
        <is>
          <t>2881560A15;2881560A60</t>
        </is>
      </c>
      <c r="G416" t="inlineStr">
        <is>
          <t>Nissan Sentra 1986-1990
Nissan Tsuru 1986-1990</t>
        </is>
      </c>
      <c r="H416" t="inlineStr">
        <is>
          <t>Nissan Sentra 1986-1987 1.7L L4 1688cc
Nissan Sentra 1986-1990 1.6L L4 97cid
Nissan Tsuru 1986-1990 1.6L L4 97cid</t>
        </is>
      </c>
      <c r="I416" t="inlineStr">
        <is>
          <t>{"0": {"productDeskExternalKey": "CPCX|43-1229"}, "1": {"Package Contents": "Wiper Motor; Instruction Sheet"}, "2": {"E-Waste": "Yes"}, "3": {"Product Condition": "Remanufactured"}, "4": {"Mounting Hole Quantity": "3"}, "5": {"Terminal Type": "Blade"}, "6": {"Mounting Type": "Grommet"}, "7": {"Weight PG": "2.8600"}, "8": {"Washer Pump Included": "No"}, "9": {"Part Type": "Windshield Wiper Motor"}, "10": {"Warranty Info": "1 Year/18,000 Mile"}, "11": {"Sustainable Choice": "Yes"}, "12": {"Lifecycle Status": "Available to Order"}, "13": {"Application Summary": "Nissan Sentra 1990-86, Tsuru 1990-86"}, "14": {"ItemLevelGTIN": "00082617081610"}, "15": {"_addonCardone": "43-1229::98268:109012:494"}, "16": {"Eligible for R&amp;R Service": "Yes"}}</t>
        </is>
      </c>
      <c r="J416" t="inlineStr">
        <is>
          <t>https://www.cardone.com/product/windshield-wiper-motor-43-1229</t>
        </is>
      </c>
      <c r="K416">
        <f>DISPIMG("ID_4A63D897C94D4FECB29216DDFFE881A1",1)</f>
        <v/>
      </c>
      <c r="L416" t="inlineStr">
        <is>
          <t>CPCX|43-1229</t>
        </is>
      </c>
      <c r="M416" t="inlineStr">
        <is>
          <t>Wiper Motor; Instruction Sheet</t>
        </is>
      </c>
      <c r="N416" t="inlineStr">
        <is>
          <t>Yes</t>
        </is>
      </c>
      <c r="O416" t="inlineStr">
        <is>
          <t>Remanufactured</t>
        </is>
      </c>
      <c r="P416" t="inlineStr">
        <is>
          <t>3</t>
        </is>
      </c>
      <c r="Q416" t="inlineStr">
        <is>
          <t>Blade</t>
        </is>
      </c>
      <c r="R416" t="inlineStr">
        <is>
          <t>Grommet</t>
        </is>
      </c>
      <c r="S416" t="inlineStr">
        <is>
          <t>2.8600</t>
        </is>
      </c>
      <c r="T416" t="inlineStr">
        <is>
          <t>No</t>
        </is>
      </c>
      <c r="U416" t="inlineStr">
        <is>
          <t>1 Year/18,000 Mile</t>
        </is>
      </c>
      <c r="V416" t="inlineStr">
        <is>
          <t>Yes</t>
        </is>
      </c>
      <c r="W416" t="inlineStr">
        <is>
          <t>Available to Order</t>
        </is>
      </c>
      <c r="X416" t="inlineStr">
        <is>
          <t>Nissan Sentra 1990-86, Tsuru 1990-86</t>
        </is>
      </c>
      <c r="Y416" t="inlineStr">
        <is>
          <t>00082617081610</t>
        </is>
      </c>
      <c r="Z416" t="inlineStr">
        <is>
          <t>43-1229::98268:109012:494</t>
        </is>
      </c>
      <c r="AA416" t="inlineStr">
        <is>
          <t>Yes</t>
        </is>
      </c>
      <c r="AB416" t="inlineStr"/>
      <c r="AC416" t="inlineStr"/>
    </row>
    <row r="417">
      <c r="A417" t="inlineStr">
        <is>
          <t>416</t>
        </is>
      </c>
      <c r="B417" t="inlineStr">
        <is>
          <t>Windshield Wiper Motor</t>
        </is>
      </c>
      <c r="C417" t="inlineStr">
        <is>
          <t>43-1230</t>
        </is>
      </c>
      <c r="D417" t="inlineStr">
        <is>
          <t>Windshield Wiper Motor - 43-1230</t>
        </is>
      </c>
      <c r="E417" t="inlineStr">
        <is>
          <t>CARDONE Reman</t>
        </is>
      </c>
      <c r="F417" t="inlineStr">
        <is>
          <t>28810027A0</t>
        </is>
      </c>
      <c r="G417" t="inlineStr">
        <is>
          <t>Nissan Pulsar 1983
Nissan Pulsar NX 1983-1986
Nissan Sentra 1982-1986</t>
        </is>
      </c>
      <c r="H417" t="inlineStr">
        <is>
          <t>Nissan Pulsar 1983 1.6L L4 97cid
Nissan Pulsar NX 1983-1984 1.5L L4 1488cc
Nissan Pulsar NX 1983-1986 1.6L L4 97cid
Nissan Sentra 1982-1983 1.5L L4 1488cc
Nissan Sentra 1983-1986 1.6L L4 97cid
Nissan Sentra 1983-1986 1.7L L4 1688cc</t>
        </is>
      </c>
      <c r="I417" t="inlineStr">
        <is>
          <t>{"0": {"productDeskExternalKey": "CPCX|43-1230"}, "1": {"Package Contents": "Wiper Motor; Instruction Sheet"}, "2": {"E-Waste": "Yes"}, "3": {"Product Condition": "Remanufactured"}, "4": {"Mounting Hole Quantity": "4"}, "5": {"Terminal Type": "Blade"}, "6": {"Mounting Type": "Grommet"}, "7": {"Weight PG": "3.2200"}, "8": {"Washer Pump Included": "No"}, "9": {"Part Type": "Windshield Wiper Motor"}, "10": {"Warranty Info": "1 Year/18,000 Mile"}, "11": {"Sustainable Choice": "Yes"}, "12": {"Lifecycle Status": "Available to Order"}, "13": {"Application Summary": "Nissan Pulsar 1983, Pulsar NX 1986-83, Sentra 1986-82"}, "14": {"ItemLevelGTIN": "00082617042468"}, "15": {"_addonCardone": "43-1230::98268:109036:494"}, "16": {"Eligible for R&amp;R Service": "Yes"}}</t>
        </is>
      </c>
      <c r="J417" t="inlineStr">
        <is>
          <t>https://www.cardone.com/product/windshield-wiper-motor-43-1230</t>
        </is>
      </c>
      <c r="K417">
        <f>DISPIMG("ID_9D67D06431B141F6B42AAF56D9A36FA6",1)</f>
        <v/>
      </c>
      <c r="L417" t="inlineStr">
        <is>
          <t>CPCX|43-1230</t>
        </is>
      </c>
      <c r="M417" t="inlineStr">
        <is>
          <t>Wiper Motor; Instruction Sheet</t>
        </is>
      </c>
      <c r="N417" t="inlineStr">
        <is>
          <t>Yes</t>
        </is>
      </c>
      <c r="O417" t="inlineStr">
        <is>
          <t>Remanufactured</t>
        </is>
      </c>
      <c r="P417" t="inlineStr">
        <is>
          <t>4</t>
        </is>
      </c>
      <c r="Q417" t="inlineStr">
        <is>
          <t>Blade</t>
        </is>
      </c>
      <c r="R417" t="inlineStr">
        <is>
          <t>Grommet</t>
        </is>
      </c>
      <c r="S417" t="inlineStr">
        <is>
          <t>3.2200</t>
        </is>
      </c>
      <c r="T417" t="inlineStr">
        <is>
          <t>No</t>
        </is>
      </c>
      <c r="U417" t="inlineStr">
        <is>
          <t>1 Year/18,000 Mile</t>
        </is>
      </c>
      <c r="V417" t="inlineStr">
        <is>
          <t>Yes</t>
        </is>
      </c>
      <c r="W417" t="inlineStr">
        <is>
          <t>Available to Order</t>
        </is>
      </c>
      <c r="X417" t="inlineStr">
        <is>
          <t>Nissan Pulsar 1983, Pulsar NX 1986-83, Sentra 1986-82</t>
        </is>
      </c>
      <c r="Y417" t="inlineStr">
        <is>
          <t>00082617042468</t>
        </is>
      </c>
      <c r="Z417" t="inlineStr">
        <is>
          <t>43-1230::98268:109036:494</t>
        </is>
      </c>
      <c r="AA417" t="inlineStr">
        <is>
          <t>Yes</t>
        </is>
      </c>
      <c r="AB417" t="inlineStr"/>
      <c r="AC417" t="inlineStr"/>
    </row>
    <row r="418">
      <c r="A418" t="inlineStr">
        <is>
          <t>417</t>
        </is>
      </c>
      <c r="B418" t="inlineStr">
        <is>
          <t>Windshield Wiper Motor</t>
        </is>
      </c>
      <c r="C418" t="inlineStr">
        <is>
          <t>43-1231</t>
        </is>
      </c>
      <c r="D418" t="inlineStr">
        <is>
          <t>Windshield Wiper Motor - 43-1231</t>
        </is>
      </c>
      <c r="E418" t="inlineStr">
        <is>
          <t>CARDONE Reman</t>
        </is>
      </c>
      <c r="F418" t="inlineStr">
        <is>
          <t>28810D1600</t>
        </is>
      </c>
      <c r="G418" t="inlineStr">
        <is>
          <t>Nissan Stanza 1982-1986</t>
        </is>
      </c>
      <c r="H418" t="inlineStr">
        <is>
          <t>Nissan Stanza 1982-1986 2L L4 1974cc</t>
        </is>
      </c>
      <c r="I418" t="inlineStr">
        <is>
          <t>{"0": {"productDeskExternalKey": "CPCX|43-1231"}, "1": {"Package Contents": "Wiper Motor; Instruction Sheet"}, "2": {"E-Waste": "Yes"}, "3": {"Product Condition": "Remanufactured"}, "4": {"Mounting Hole Quantity": "3"}, "5": {"Terminal Type": "Blade"}, "6": {"Mounting Type": "Direct Bolt"}, "7": {"Weight PG": "3.2500"}, "8": {"Washer Pump Included": "No"}, "9": {"Part Type": "Windshield Wiper Motor"}, "10": {"Warranty Info": "1 Year/18,000 Mile"}, "11": {"Sustainable Choice": "Yes"}, "12": {"Lifecycle Status": "Available to Order"}, "13": {"Application Summary": "Nissan Stanza 1986-82"}, "14": {"ItemLevelGTIN": "00082617042475"}, "15": {"_addonCardone": "43-1231::98268:109062:494"}, "16": {"Eligible for R&amp;R Service": "Yes"}}</t>
        </is>
      </c>
      <c r="J418" t="inlineStr">
        <is>
          <t>https://www.cardone.com/product/windshield-wiper-motor-43-1231</t>
        </is>
      </c>
      <c r="K418">
        <f>DISPIMG("ID_488AE0C61A1246B8A0A317B527B6D8E0",1)</f>
        <v/>
      </c>
      <c r="L418" t="inlineStr">
        <is>
          <t>CPCX|43-1231</t>
        </is>
      </c>
      <c r="M418" t="inlineStr">
        <is>
          <t>Wiper Motor; Instruction Sheet</t>
        </is>
      </c>
      <c r="N418" t="inlineStr">
        <is>
          <t>Yes</t>
        </is>
      </c>
      <c r="O418" t="inlineStr">
        <is>
          <t>Remanufactured</t>
        </is>
      </c>
      <c r="P418" t="inlineStr">
        <is>
          <t>3</t>
        </is>
      </c>
      <c r="Q418" t="inlineStr">
        <is>
          <t>Blade</t>
        </is>
      </c>
      <c r="R418" t="inlineStr">
        <is>
          <t>Direct Bolt</t>
        </is>
      </c>
      <c r="S418" t="inlineStr">
        <is>
          <t>3.2500</t>
        </is>
      </c>
      <c r="T418" t="inlineStr">
        <is>
          <t>No</t>
        </is>
      </c>
      <c r="U418" t="inlineStr">
        <is>
          <t>1 Year/18,000 Mile</t>
        </is>
      </c>
      <c r="V418" t="inlineStr">
        <is>
          <t>Yes</t>
        </is>
      </c>
      <c r="W418" t="inlineStr">
        <is>
          <t>Available to Order</t>
        </is>
      </c>
      <c r="X418" t="inlineStr">
        <is>
          <t>Nissan Stanza 1986-82</t>
        </is>
      </c>
      <c r="Y418" t="inlineStr">
        <is>
          <t>00082617042475</t>
        </is>
      </c>
      <c r="Z418" t="inlineStr">
        <is>
          <t>43-1231::98268:109062:494</t>
        </is>
      </c>
      <c r="AA418" t="inlineStr">
        <is>
          <t>Yes</t>
        </is>
      </c>
      <c r="AB418" t="inlineStr"/>
      <c r="AC418" t="inlineStr"/>
    </row>
    <row r="419">
      <c r="A419" t="inlineStr">
        <is>
          <t>418</t>
        </is>
      </c>
      <c r="B419" t="inlineStr">
        <is>
          <t>Windshield Wiper Motor</t>
        </is>
      </c>
      <c r="C419" t="inlineStr">
        <is>
          <t>43-1232</t>
        </is>
      </c>
      <c r="D419" t="inlineStr">
        <is>
          <t>Windshield Wiper Motor - 43-1232</t>
        </is>
      </c>
      <c r="E419" t="inlineStr">
        <is>
          <t>CARDONE Reman</t>
        </is>
      </c>
      <c r="F419" t="inlineStr">
        <is>
          <t>2881507F00</t>
        </is>
      </c>
      <c r="G419" t="inlineStr">
        <is>
          <t>Nissan 200SX 1984-1985</t>
        </is>
      </c>
      <c r="H419" t="inlineStr">
        <is>
          <t>Nissan 200SX 1984-1985 1.8L L4 1809cc
Nissan 200SX 1984-1985 2L L4 1974cc</t>
        </is>
      </c>
      <c r="I419" t="inlineStr">
        <is>
          <t>{"0": {"productDeskExternalKey": "CPCX|43-1232"}, "1": {"Package Contents": "Wiper Motor; Instruction Sheet"}, "2": {"E-Waste": "Yes"}, "3": {"Product Condition": "Remanufactured"}, "4": {"Mounting Hole Quantity": "3"}, "5": {"Terminal Type": "Blade"}, "6": {"Mounting Type": "Grommet"}, "7": {"Weight PG": "2.7000"}, "8": {"Washer Pump Included": "No"}, "9": {"Part Type": "Windshield Wiper Motor"}, "10": {"Warranty Info": "1 Year/18,000 Mile"}, "11": {"Sustainable Choice": "Yes"}, "12": {"Lifecycle Status": "Available to Order"}, "13": {"Application Summary": "Nissan 200SX 1985-84"}, "14": {"ItemLevelGTIN": "00082617172516"}, "15": {"_addonCardone": "43-1232::98268:109087:494"}, "16": {"Eligible for R&amp;R Service": "Yes"}}</t>
        </is>
      </c>
      <c r="J419" t="inlineStr">
        <is>
          <t>https://www.cardone.com/product/windshield-wiper-motor-43-1232</t>
        </is>
      </c>
      <c r="K419">
        <f>DISPIMG("ID_ABDB1C72FF6B4F0391174341ED99EDEC",1)</f>
        <v/>
      </c>
      <c r="L419" t="inlineStr">
        <is>
          <t>CPCX|43-1232</t>
        </is>
      </c>
      <c r="M419" t="inlineStr">
        <is>
          <t>Wiper Motor; Instruction Sheet</t>
        </is>
      </c>
      <c r="N419" t="inlineStr">
        <is>
          <t>Yes</t>
        </is>
      </c>
      <c r="O419" t="inlineStr">
        <is>
          <t>Remanufactured</t>
        </is>
      </c>
      <c r="P419" t="inlineStr">
        <is>
          <t>3</t>
        </is>
      </c>
      <c r="Q419" t="inlineStr">
        <is>
          <t>Blade</t>
        </is>
      </c>
      <c r="R419" t="inlineStr">
        <is>
          <t>Grommet</t>
        </is>
      </c>
      <c r="S419" t="inlineStr">
        <is>
          <t>2.7000</t>
        </is>
      </c>
      <c r="T419" t="inlineStr">
        <is>
          <t>No</t>
        </is>
      </c>
      <c r="U419" t="inlineStr">
        <is>
          <t>1 Year/18,000 Mile</t>
        </is>
      </c>
      <c r="V419" t="inlineStr">
        <is>
          <t>Yes</t>
        </is>
      </c>
      <c r="W419" t="inlineStr">
        <is>
          <t>Available to Order</t>
        </is>
      </c>
      <c r="X419" t="inlineStr">
        <is>
          <t>Nissan 200SX 1985-84</t>
        </is>
      </c>
      <c r="Y419" t="inlineStr">
        <is>
          <t>00082617172516</t>
        </is>
      </c>
      <c r="Z419" t="inlineStr">
        <is>
          <t>43-1232::98268:109087:494</t>
        </is>
      </c>
      <c r="AA419" t="inlineStr">
        <is>
          <t>Yes</t>
        </is>
      </c>
      <c r="AB419" t="inlineStr"/>
      <c r="AC419" t="inlineStr"/>
    </row>
    <row r="420">
      <c r="A420" t="inlineStr">
        <is>
          <t>419</t>
        </is>
      </c>
      <c r="B420" t="inlineStr">
        <is>
          <t>Windshield Wiper Motor</t>
        </is>
      </c>
      <c r="C420" t="inlineStr">
        <is>
          <t>43-1233</t>
        </is>
      </c>
      <c r="D420" t="inlineStr">
        <is>
          <t>Windshield Wiper Motor - 43-1233</t>
        </is>
      </c>
      <c r="E420" t="inlineStr">
        <is>
          <t>CARDONE Reman</t>
        </is>
      </c>
      <c r="F420" t="inlineStr">
        <is>
          <t>2881506F00</t>
        </is>
      </c>
      <c r="G420" t="inlineStr">
        <is>
          <t>Nissan 200SX 1984-1986</t>
        </is>
      </c>
      <c r="H420" t="inlineStr">
        <is>
          <t>Nissan 200SX 1984-1986 1.8L L4 1809cc
Nissan 200SX 1984-1986 2L L4 1974cc</t>
        </is>
      </c>
      <c r="I420" t="inlineStr">
        <is>
          <t>{"0": {"productDeskExternalKey": "CPCX|43-1233"}, "1": {"Package Contents": "Wiper Motor; Instruction Sheet"}, "2": {"E-Waste": "Yes"}, "3": {"Product Condition": "Remanufactured"}, "4": {"Mounting Hole Quantity": "3"}, "5": {"Terminal Type": "Blade"}, "6": {"Mounting Type": "Grommet"}, "7": {"Weight PG": "2.5800"}, "8": {"Washer Pump Included": "No"}, "9": {"Part Type": "Windshield Wiper Motor"}, "10": {"Warranty Info": "1 Year/18,000 Mile"}, "11": {"Sustainable Choice": "Yes"}, "12": {"Lifecycle Status": "Available to Order"}, "13": {"Application Summary": "Nissan 200SX 1986-84"}, "14": {"ItemLevelGTIN": "00082617081627"}, "15": {"_addonCardone": "43-1233::98268:109108:494"}, "16": {"Eligible for R&amp;R Service": "Yes"}}</t>
        </is>
      </c>
      <c r="J420" t="inlineStr">
        <is>
          <t>https://www.cardone.com/product/windshield-wiper-motor-43-1233</t>
        </is>
      </c>
      <c r="K420">
        <f>DISPIMG("ID_0A4EC914315743759A8F662DFF7475C5",1)</f>
        <v/>
      </c>
      <c r="L420" t="inlineStr">
        <is>
          <t>CPCX|43-1233</t>
        </is>
      </c>
      <c r="M420" t="inlineStr">
        <is>
          <t>Wiper Motor; Instruction Sheet</t>
        </is>
      </c>
      <c r="N420" t="inlineStr">
        <is>
          <t>Yes</t>
        </is>
      </c>
      <c r="O420" t="inlineStr">
        <is>
          <t>Remanufactured</t>
        </is>
      </c>
      <c r="P420" t="inlineStr">
        <is>
          <t>3</t>
        </is>
      </c>
      <c r="Q420" t="inlineStr">
        <is>
          <t>Blade</t>
        </is>
      </c>
      <c r="R420" t="inlineStr">
        <is>
          <t>Grommet</t>
        </is>
      </c>
      <c r="S420" t="inlineStr">
        <is>
          <t>2.5800</t>
        </is>
      </c>
      <c r="T420" t="inlineStr">
        <is>
          <t>No</t>
        </is>
      </c>
      <c r="U420" t="inlineStr">
        <is>
          <t>1 Year/18,000 Mile</t>
        </is>
      </c>
      <c r="V420" t="inlineStr">
        <is>
          <t>Yes</t>
        </is>
      </c>
      <c r="W420" t="inlineStr">
        <is>
          <t>Available to Order</t>
        </is>
      </c>
      <c r="X420" t="inlineStr">
        <is>
          <t>Nissan 200SX 1986-84</t>
        </is>
      </c>
      <c r="Y420" t="inlineStr">
        <is>
          <t>00082617081627</t>
        </is>
      </c>
      <c r="Z420" t="inlineStr">
        <is>
          <t>43-1233::98268:109108:494</t>
        </is>
      </c>
      <c r="AA420" t="inlineStr">
        <is>
          <t>Yes</t>
        </is>
      </c>
      <c r="AB420" t="inlineStr"/>
      <c r="AC420" t="inlineStr"/>
    </row>
    <row r="421">
      <c r="A421" t="inlineStr">
        <is>
          <t>420</t>
        </is>
      </c>
      <c r="B421" t="inlineStr">
        <is>
          <t>Windshield Wiper Motor</t>
        </is>
      </c>
      <c r="C421" t="inlineStr">
        <is>
          <t>43-1235</t>
        </is>
      </c>
      <c r="D421" t="inlineStr">
        <is>
          <t>Windshield Wiper Motor - 43-1235</t>
        </is>
      </c>
      <c r="E421" t="inlineStr">
        <is>
          <t>CARDONE Reman</t>
        </is>
      </c>
      <c r="F421" t="inlineStr">
        <is>
          <t>28810W2400</t>
        </is>
      </c>
      <c r="G421" t="inlineStr">
        <is>
          <t>Nissan 810 1980-1981</t>
        </is>
      </c>
      <c r="H421" t="inlineStr">
        <is>
          <t>Nissan 810 1980-1981 2.4L L6 2393cc
Nissan 810 1981 2.8L L6 2793cc</t>
        </is>
      </c>
      <c r="I421" t="inlineStr">
        <is>
          <t>{"0": {"productDeskExternalKey": "CPCX|43-1235"}, "1": {"Package Contents": "Wiper Motor; Instruction Sheet"}, "2": {"E-Waste": "Yes"}, "3": {"Product Condition": "Remanufactured"}, "4": {"Mounting Hole Quantity": "3"}, "5": {"Terminal Type": "Blade"}, "6": {"Mounting Type": "Direct Bolt"}, "7": {"Weight PG": "3.2100"}, "8": {"Washer Pump Included": "No"}, "9": {"Part Type": "Windshield Wiper Motor"}, "10": {"Warranty Info": "1 Year/18,000 Mile"}, "11": {"Sustainable Choice": "Yes"}, "12": {"Lifecycle Status": "Available to Order"}, "13": {"Application Summary": "Nissan 810 1981-80, Maxima 1984-81"}, "14": {"ItemLevelGTIN": "00082617081634"}, "15": {"_addonCardone": "43-1235::98268:109133:494"}, "16": {"Eligible for R&amp;R Service": "Yes"}}</t>
        </is>
      </c>
      <c r="J421" t="inlineStr">
        <is>
          <t>https://www.cardone.com/product/windshield-wiper-motor-43-1235</t>
        </is>
      </c>
      <c r="K421">
        <f>DISPIMG("ID_D7BBC5A14E1F44869AD7DA3798758A96",1)</f>
        <v/>
      </c>
      <c r="L421" t="inlineStr">
        <is>
          <t>CPCX|43-1235</t>
        </is>
      </c>
      <c r="M421" t="inlineStr">
        <is>
          <t>Wiper Motor; Instruction Sheet</t>
        </is>
      </c>
      <c r="N421" t="inlineStr">
        <is>
          <t>Yes</t>
        </is>
      </c>
      <c r="O421" t="inlineStr">
        <is>
          <t>Remanufactured</t>
        </is>
      </c>
      <c r="P421" t="inlineStr">
        <is>
          <t>3</t>
        </is>
      </c>
      <c r="Q421" t="inlineStr">
        <is>
          <t>Blade</t>
        </is>
      </c>
      <c r="R421" t="inlineStr">
        <is>
          <t>Direct Bolt</t>
        </is>
      </c>
      <c r="S421" t="inlineStr">
        <is>
          <t>3.2100</t>
        </is>
      </c>
      <c r="T421" t="inlineStr">
        <is>
          <t>No</t>
        </is>
      </c>
      <c r="U421" t="inlineStr">
        <is>
          <t>1 Year/18,000 Mile</t>
        </is>
      </c>
      <c r="V421" t="inlineStr">
        <is>
          <t>Yes</t>
        </is>
      </c>
      <c r="W421" t="inlineStr">
        <is>
          <t>Available to Order</t>
        </is>
      </c>
      <c r="X421" t="inlineStr">
        <is>
          <t>Nissan 810 1981-80, Maxima 1984-81</t>
        </is>
      </c>
      <c r="Y421" t="inlineStr">
        <is>
          <t>00082617081634</t>
        </is>
      </c>
      <c r="Z421" t="inlineStr">
        <is>
          <t>43-1235::98268:109133:494</t>
        </is>
      </c>
      <c r="AA421" t="inlineStr">
        <is>
          <t>Yes</t>
        </is>
      </c>
      <c r="AB421" t="inlineStr"/>
      <c r="AC421" t="inlineStr"/>
    </row>
    <row r="422">
      <c r="A422" t="inlineStr">
        <is>
          <t>421</t>
        </is>
      </c>
      <c r="B422" t="inlineStr">
        <is>
          <t>Windshield Wiper Motor</t>
        </is>
      </c>
      <c r="C422" t="inlineStr">
        <is>
          <t>43-1237</t>
        </is>
      </c>
      <c r="D422" t="inlineStr">
        <is>
          <t>Windshield Wiper Motor - 43-1237</t>
        </is>
      </c>
      <c r="E422" t="inlineStr">
        <is>
          <t>CARDONE Reman</t>
        </is>
      </c>
      <c r="F422" t="inlineStr">
        <is>
          <t>2881501G00;2881503G00;2881557G00;28815S3800;28815S3801;28815S3802</t>
        </is>
      </c>
      <c r="G422" t="inlineStr">
        <is>
          <t>Nissan Pickup 1985-1997</t>
        </is>
      </c>
      <c r="H422" t="inlineStr">
        <is>
          <t>Nissan Pickup 1985-1992 1.8L L4 108cid
Nissan Pickup 1991-1997 2.4L L4 2389cc
Nissan Pickup 1995 3L V6 181cid</t>
        </is>
      </c>
      <c r="I422" t="inlineStr">
        <is>
          <t>{"0": {"productDeskExternalKey": "CPCX|43-1237"}, "1": {"Package Contents": "Wiper Motor; Instruction Sheet"}, "2": {"E-Waste": "Yes"}, "3": {"Product Condition": "Remanufactured"}, "4": {"Mounting Hole Quantity": "3"}, "5": {"Terminal Type": "Blade"}, "6": {"Mounting Type": "Grommet"}, "7": {"Weight PG": "2.7800"}, "8": {"Washer Pump Included": "No"}, "9": {"Part Type": "Windshield Wiper Motor"}, "10": {"Warranty Info": "1 Year/18,000 Mile"}, "11": {"Sustainable Choice": "Yes"}, "12": {"Lifecycle Status": "Available to Order"}, "13": {"Application Summary": "INFINITI M30 1992-90; Nissan D21 1994-86, Pathfinder 1995-87, Pickup 2004-01 1997-85"}, "14": {"ItemLevelGTIN": "00082617142670"}, "15": {"_addonCardone": "43-1237::98268:109159:494"}, "16": {"Eligible for R&amp;R Service": "Yes"}}</t>
        </is>
      </c>
      <c r="J422" t="inlineStr">
        <is>
          <t>https://www.cardone.com/product/windshield-wiper-motor-43-1237</t>
        </is>
      </c>
      <c r="K422">
        <f>DISPIMG("ID_BBEB0411FAF443B5A1A45C184CF796AD",1)</f>
        <v/>
      </c>
      <c r="L422" t="inlineStr">
        <is>
          <t>CPCX|43-1237</t>
        </is>
      </c>
      <c r="M422" t="inlineStr">
        <is>
          <t>Wiper Motor; Instruction Sheet</t>
        </is>
      </c>
      <c r="N422" t="inlineStr">
        <is>
          <t>Yes</t>
        </is>
      </c>
      <c r="O422" t="inlineStr">
        <is>
          <t>Remanufactured</t>
        </is>
      </c>
      <c r="P422" t="inlineStr">
        <is>
          <t>3</t>
        </is>
      </c>
      <c r="Q422" t="inlineStr">
        <is>
          <t>Blade</t>
        </is>
      </c>
      <c r="R422" t="inlineStr">
        <is>
          <t>Grommet</t>
        </is>
      </c>
      <c r="S422" t="inlineStr">
        <is>
          <t>2.7800</t>
        </is>
      </c>
      <c r="T422" t="inlineStr">
        <is>
          <t>No</t>
        </is>
      </c>
      <c r="U422" t="inlineStr">
        <is>
          <t>1 Year/18,000 Mile</t>
        </is>
      </c>
      <c r="V422" t="inlineStr">
        <is>
          <t>Yes</t>
        </is>
      </c>
      <c r="W422" t="inlineStr">
        <is>
          <t>Available to Order</t>
        </is>
      </c>
      <c r="X422" t="inlineStr">
        <is>
          <t>INFINITI M30 1992-90; Nissan D21 1994-86, Pathfinder 1995-87, Pickup 2004-01 1997-85</t>
        </is>
      </c>
      <c r="Y422" t="inlineStr">
        <is>
          <t>00082617142670</t>
        </is>
      </c>
      <c r="Z422" t="inlineStr">
        <is>
          <t>43-1237::98268:109159:494</t>
        </is>
      </c>
      <c r="AA422" t="inlineStr">
        <is>
          <t>Yes</t>
        </is>
      </c>
      <c r="AB422" t="inlineStr"/>
      <c r="AC422" t="inlineStr"/>
    </row>
    <row r="423">
      <c r="A423" t="inlineStr">
        <is>
          <t>422</t>
        </is>
      </c>
      <c r="B423" t="inlineStr">
        <is>
          <t>Windshield Wiper Motor</t>
        </is>
      </c>
      <c r="C423" t="inlineStr">
        <is>
          <t>43-1242</t>
        </is>
      </c>
      <c r="D423" t="inlineStr">
        <is>
          <t>Windshield Wiper Motor - 43-1242</t>
        </is>
      </c>
      <c r="E423" t="inlineStr">
        <is>
          <t>CARDONE Reman</t>
        </is>
      </c>
      <c r="F423" t="inlineStr">
        <is>
          <t>2881085E11;2881086E00;2881086E11;2881061E00;2881013E10;288103S500;2881040F00;28810D4710</t>
        </is>
      </c>
      <c r="G423" t="inlineStr">
        <is>
          <t>Nissan 240SX 1989-1994
Nissan Frontier 1998-2004
Nissan Stanza 1989-1992
Nissan Xterra 2000</t>
        </is>
      </c>
      <c r="H423" t="inlineStr">
        <is>
          <t>Nissan 240SX 1989-1994 2.4L L4 2389cc
Nissan Frontier 1998-2004 2.4L L4 2389cc
Nissan Frontier 1999-2004 3.3L V6 3275cc
Nissan Stanza 1989 2L L4 1974cc
Nissan Stanza 1990-1992 2.4L L4 2389cc
Nissan Xterra 2000 2.4L L4 2389cc
Nissan Xterra 2000 3.3L V6 3275cc</t>
        </is>
      </c>
      <c r="I423" t="inlineStr">
        <is>
          <t>{"0": {"productDeskExternalKey": "CPCX|43-1242"}, "1": {"Package Contents": "Wiper Motor; Instruction Sheet"}, "2": {"E-Waste": "Yes"}, "3": {"Product Condition": "Remanufactured"}, "4": {"Mounting Hole Quantity": "4"}, "5": {"Terminal Type": "Blade"}, "6": {"Mounting Type": "Grommet"}, "7": {"Weight PG": "2.7200"}, "8": {"Washer Pump Included": "No"}, "9": {"Part Type": "Windshield Wiper Motor"}, "10": {"Warranty Info": "1 Year/18,000 Mile"}, "11": {"Sustainable Choice": "Yes"}, "12": {"Lifecycle Status": "Available to Order"}, "13": {"Application Summary": "Nissan 240SX 1994-89, Frontier 2004-98, Maxima 1994-89, Stanza 1992-89, Xterra 2000"}, "14": {"ItemLevelGTIN": "00082617166492"}, "15": {"_addonCardone": "43-1242::98268:109184:494"}, "16": {"Eligible for R&amp;R Service": "Yes"}}</t>
        </is>
      </c>
      <c r="J423" t="inlineStr">
        <is>
          <t>https://www.cardone.com/product/windshield-wiper-motor-43-1242</t>
        </is>
      </c>
      <c r="K423">
        <f>DISPIMG("ID_F2E724801FF84DCC8DF155FEDF07AC0C",1)</f>
        <v/>
      </c>
      <c r="L423" t="inlineStr">
        <is>
          <t>CPCX|43-1242</t>
        </is>
      </c>
      <c r="M423" t="inlineStr">
        <is>
          <t>Wiper Motor; Instruction Sheet</t>
        </is>
      </c>
      <c r="N423" t="inlineStr">
        <is>
          <t>Yes</t>
        </is>
      </c>
      <c r="O423" t="inlineStr">
        <is>
          <t>Remanufactured</t>
        </is>
      </c>
      <c r="P423" t="inlineStr">
        <is>
          <t>4</t>
        </is>
      </c>
      <c r="Q423" t="inlineStr">
        <is>
          <t>Blade</t>
        </is>
      </c>
      <c r="R423" t="inlineStr">
        <is>
          <t>Grommet</t>
        </is>
      </c>
      <c r="S423" t="inlineStr">
        <is>
          <t>2.7200</t>
        </is>
      </c>
      <c r="T423" t="inlineStr">
        <is>
          <t>No</t>
        </is>
      </c>
      <c r="U423" t="inlineStr">
        <is>
          <t>1 Year/18,000 Mile</t>
        </is>
      </c>
      <c r="V423" t="inlineStr">
        <is>
          <t>Yes</t>
        </is>
      </c>
      <c r="W423" t="inlineStr">
        <is>
          <t>Available to Order</t>
        </is>
      </c>
      <c r="X423" t="inlineStr">
        <is>
          <t>Nissan 240SX 1994-89, Frontier 2004-98, Maxima 1994-89, Stanza 1992-89, Xterra 2000</t>
        </is>
      </c>
      <c r="Y423" t="inlineStr">
        <is>
          <t>00082617166492</t>
        </is>
      </c>
      <c r="Z423" t="inlineStr">
        <is>
          <t>43-1242::98268:109184:494</t>
        </is>
      </c>
      <c r="AA423" t="inlineStr">
        <is>
          <t>Yes</t>
        </is>
      </c>
      <c r="AB423" t="inlineStr"/>
      <c r="AC423" t="inlineStr"/>
    </row>
    <row r="424">
      <c r="A424" t="inlineStr">
        <is>
          <t>423</t>
        </is>
      </c>
      <c r="B424" t="inlineStr">
        <is>
          <t>Windshield Wiper Motor</t>
        </is>
      </c>
      <c r="C424" t="inlineStr">
        <is>
          <t>43-1243</t>
        </is>
      </c>
      <c r="D424" t="inlineStr">
        <is>
          <t>Windshield Wiper Motor - 43-1243</t>
        </is>
      </c>
      <c r="E424" t="inlineStr">
        <is>
          <t>CARDONE Reman</t>
        </is>
      </c>
      <c r="F424" t="inlineStr">
        <is>
          <t>2881584M05</t>
        </is>
      </c>
      <c r="G424" t="inlineStr">
        <is>
          <t>Nissan Pulsar NX 1987-1990</t>
        </is>
      </c>
      <c r="H424" t="inlineStr">
        <is>
          <t>Nissan Pulsar NX 1987-1990 1.6L L4 97cid
Nissan Pulsar NX 1988-1989 1.8L L4 1809cc</t>
        </is>
      </c>
      <c r="I424" t="inlineStr">
        <is>
          <t>{"0": {"productDeskExternalKey": "CPCX|43-1243"}, "1": {"Package Contents": "Wiper Motor; Instruction Sheet"}, "2": {"E-Waste": "Yes"}, "3": {"Product Condition": "Remanufactured"}, "4": {"Mounting Hole Quantity": "3"}, "5": {"Terminal Type": "Blade"}, "6": {"Mounting Type": "Grommet"}, "7": {"Weight PG": "2.4900"}, "8": {"Washer Pump Included": "No"}, "9": {"Part Type": "Windshield Wiper Motor"}, "10": {"Warranty Info": "1 Year/18,000 Mile"}, "11": {"Sustainable Choice": "Yes"}, "12": {"Lifecycle Status": "Available to Order"}, "13": {"Application Summary": "Nissan Pulsar NX 1990-87"}, "14": {"ItemLevelGTIN": "00082617166508"}, "15": {"_addonCardone": "43-1243::98268:109206:494"}, "16": {"Eligible for R&amp;R Service": "Yes"}}</t>
        </is>
      </c>
      <c r="J424" t="inlineStr">
        <is>
          <t>https://www.cardone.com/product/windshield-wiper-motor-43-1243</t>
        </is>
      </c>
      <c r="K424">
        <f>DISPIMG("ID_9543B9A63D6C4D1892ECA3C0708ECAB8",1)</f>
        <v/>
      </c>
      <c r="L424" t="inlineStr">
        <is>
          <t>CPCX|43-1243</t>
        </is>
      </c>
      <c r="M424" t="inlineStr">
        <is>
          <t>Wiper Motor; Instruction Sheet</t>
        </is>
      </c>
      <c r="N424" t="inlineStr">
        <is>
          <t>Yes</t>
        </is>
      </c>
      <c r="O424" t="inlineStr">
        <is>
          <t>Remanufactured</t>
        </is>
      </c>
      <c r="P424" t="inlineStr">
        <is>
          <t>3</t>
        </is>
      </c>
      <c r="Q424" t="inlineStr">
        <is>
          <t>Blade</t>
        </is>
      </c>
      <c r="R424" t="inlineStr">
        <is>
          <t>Grommet</t>
        </is>
      </c>
      <c r="S424" t="inlineStr">
        <is>
          <t>2.4900</t>
        </is>
      </c>
      <c r="T424" t="inlineStr">
        <is>
          <t>No</t>
        </is>
      </c>
      <c r="U424" t="inlineStr">
        <is>
          <t>1 Year/18,000 Mile</t>
        </is>
      </c>
      <c r="V424" t="inlineStr">
        <is>
          <t>Yes</t>
        </is>
      </c>
      <c r="W424" t="inlineStr">
        <is>
          <t>Available to Order</t>
        </is>
      </c>
      <c r="X424" t="inlineStr">
        <is>
          <t>Nissan Pulsar NX 1990-87</t>
        </is>
      </c>
      <c r="Y424" t="inlineStr">
        <is>
          <t>00082617166508</t>
        </is>
      </c>
      <c r="Z424" t="inlineStr">
        <is>
          <t>43-1243::98268:109206:494</t>
        </is>
      </c>
      <c r="AA424" t="inlineStr">
        <is>
          <t>Yes</t>
        </is>
      </c>
      <c r="AB424" t="inlineStr"/>
      <c r="AC424" t="inlineStr"/>
    </row>
    <row r="425">
      <c r="A425" t="inlineStr">
        <is>
          <t>424</t>
        </is>
      </c>
      <c r="B425" t="inlineStr">
        <is>
          <t>Windshield Wiper Motor</t>
        </is>
      </c>
      <c r="C425" t="inlineStr">
        <is>
          <t>43-1244</t>
        </is>
      </c>
      <c r="D425" t="inlineStr">
        <is>
          <t>Windshield Wiper Motor - 43-1244</t>
        </is>
      </c>
      <c r="E425" t="inlineStr">
        <is>
          <t>CARDONE Reman</t>
        </is>
      </c>
      <c r="F425" t="inlineStr">
        <is>
          <t>2881030P00</t>
        </is>
      </c>
      <c r="G425" t="inlineStr">
        <is>
          <t>Nissan 300ZX 1990-1996</t>
        </is>
      </c>
      <c r="H425" t="inlineStr">
        <is>
          <t>Nissan 300ZX 1990-1996 3L V6 181cid</t>
        </is>
      </c>
      <c r="I425" t="inlineStr">
        <is>
          <t>{"0": {"productDeskExternalKey": "CPCX|43-1244"}, "1": {"Package Contents": "Wiper Motor; Instruction Sheet"}, "2": {"E-Waste": "Yes"}, "3": {"Product Condition": "Remanufactured"}, "4": {"Mounting Hole Quantity": "4"}, "5": {"Terminal Type": "Blade"}, "6": {"Mounting Type": "Grommet"}, "7": {"Weight PG": "3.4200"}, "8": {"Washer Pump Included": "No"}, "9": {"Part Type": "Windshield Wiper Motor"}, "10": {"Warranty Info": "1 Year/18,000 Mile"}, "11": {"Sustainable Choice": "Yes"}, "12": {"Lifecycle Status": "Available to Order"}, "13": {"Application Summary": "Nissan 300ZX 1996-90"}, "14": {"ItemLevelGTIN": "00082617377096"}, "15": {"_addonCardone": "43-1244::98268:109228:494"}, "16": {"Eligible for R&amp;R Service": "Yes"}}</t>
        </is>
      </c>
      <c r="J425" t="inlineStr">
        <is>
          <t>https://www.cardone.com/product/windshield-wiper-motor-43-1244</t>
        </is>
      </c>
      <c r="K425">
        <f>DISPIMG("ID_529B1CDA6BC748289DB99F91F5C704EB",1)</f>
        <v/>
      </c>
      <c r="L425" t="inlineStr">
        <is>
          <t>CPCX|43-1244</t>
        </is>
      </c>
      <c r="M425" t="inlineStr">
        <is>
          <t>Wiper Motor; Instruction Sheet</t>
        </is>
      </c>
      <c r="N425" t="inlineStr">
        <is>
          <t>Yes</t>
        </is>
      </c>
      <c r="O425" t="inlineStr">
        <is>
          <t>Remanufactured</t>
        </is>
      </c>
      <c r="P425" t="inlineStr">
        <is>
          <t>4</t>
        </is>
      </c>
      <c r="Q425" t="inlineStr">
        <is>
          <t>Blade</t>
        </is>
      </c>
      <c r="R425" t="inlineStr">
        <is>
          <t>Grommet</t>
        </is>
      </c>
      <c r="S425" t="inlineStr">
        <is>
          <t>3.4200</t>
        </is>
      </c>
      <c r="T425" t="inlineStr">
        <is>
          <t>No</t>
        </is>
      </c>
      <c r="U425" t="inlineStr">
        <is>
          <t>1 Year/18,000 Mile</t>
        </is>
      </c>
      <c r="V425" t="inlineStr">
        <is>
          <t>Yes</t>
        </is>
      </c>
      <c r="W425" t="inlineStr">
        <is>
          <t>Available to Order</t>
        </is>
      </c>
      <c r="X425" t="inlineStr">
        <is>
          <t>Nissan 300ZX 1996-90</t>
        </is>
      </c>
      <c r="Y425" t="inlineStr">
        <is>
          <t>00082617377096</t>
        </is>
      </c>
      <c r="Z425" t="inlineStr">
        <is>
          <t>43-1244::98268:109228:494</t>
        </is>
      </c>
      <c r="AA425" t="inlineStr">
        <is>
          <t>Yes</t>
        </is>
      </c>
      <c r="AB425" t="inlineStr"/>
      <c r="AC425" t="inlineStr"/>
    </row>
    <row r="426">
      <c r="A426" t="inlineStr">
        <is>
          <t>425</t>
        </is>
      </c>
      <c r="B426" t="inlineStr">
        <is>
          <t>Windshield Wiper Motor</t>
        </is>
      </c>
      <c r="C426" t="inlineStr">
        <is>
          <t>43-1245</t>
        </is>
      </c>
      <c r="D426" t="inlineStr">
        <is>
          <t>Windshield Wiper Motor - 43-1245</t>
        </is>
      </c>
      <c r="E426" t="inlineStr">
        <is>
          <t>CARDONE Reman</t>
        </is>
      </c>
      <c r="F426" t="inlineStr">
        <is>
          <t>28815Q5600;2881565Y00</t>
        </is>
      </c>
      <c r="G426" t="inlineStr">
        <is>
          <t>Nissan Sentra 1991-1994</t>
        </is>
      </c>
      <c r="H426" t="inlineStr">
        <is>
          <t>Nissan Sentra 1991-1994 1.6L L4 97cid
Nissan Sentra 1991-1994 2L L4 122cid</t>
        </is>
      </c>
      <c r="I426" t="inlineStr">
        <is>
          <t>{"0": {"productDeskExternalKey": "CPCX|43-1245"}, "1": {"Package Contents": "Wiper Motor; Instruction Sheet"}, "2": {"E-Waste": "Yes"}, "3": {"Product Condition": "Remanufactured"}, "4": {"Mounting Hole Quantity": "4"}, "5": {"Terminal Type": "Blade"}, "6": {"Mounting Type": "Grommet"}, "7": {"Weight PG": "2.5000"}, "8": {"Washer Pump Included": "No"}, "9": {"Part Type": "Windshield Wiper Motor"}, "10": {"Warranty Info": "1 Year/18,000 Mile"}, "11": {"Sustainable Choice": "Yes"}, "12": {"Lifecycle Status": "Available to Order"}, "13": {"Application Summary": "Nissan NX 1993-91, Sentra 1994-91"}, "14": {"ItemLevelGTIN": "00082617265713"}, "15": {"_addonCardone": "43-1245::98268:109679:494"}, "16": {"Eligible for R&amp;R Service": "Yes"}}</t>
        </is>
      </c>
      <c r="J426" t="inlineStr">
        <is>
          <t>https://www.cardone.com/product/windshield-wiper-motor-43-1245</t>
        </is>
      </c>
      <c r="K426">
        <f>DISPIMG("ID_3D4AA56AC4D3470FABD3F15464652D40",1)</f>
        <v/>
      </c>
      <c r="L426" t="inlineStr">
        <is>
          <t>CPCX|43-1245</t>
        </is>
      </c>
      <c r="M426" t="inlineStr">
        <is>
          <t>Wiper Motor; Instruction Sheet</t>
        </is>
      </c>
      <c r="N426" t="inlineStr">
        <is>
          <t>Yes</t>
        </is>
      </c>
      <c r="O426" t="inlineStr">
        <is>
          <t>Remanufactured</t>
        </is>
      </c>
      <c r="P426" t="inlineStr">
        <is>
          <t>4</t>
        </is>
      </c>
      <c r="Q426" t="inlineStr">
        <is>
          <t>Blade</t>
        </is>
      </c>
      <c r="R426" t="inlineStr">
        <is>
          <t>Grommet</t>
        </is>
      </c>
      <c r="S426" t="inlineStr">
        <is>
          <t>2.5000</t>
        </is>
      </c>
      <c r="T426" t="inlineStr">
        <is>
          <t>No</t>
        </is>
      </c>
      <c r="U426" t="inlineStr">
        <is>
          <t>1 Year/18,000 Mile</t>
        </is>
      </c>
      <c r="V426" t="inlineStr">
        <is>
          <t>Yes</t>
        </is>
      </c>
      <c r="W426" t="inlineStr">
        <is>
          <t>Available to Order</t>
        </is>
      </c>
      <c r="X426" t="inlineStr">
        <is>
          <t>Nissan NX 1993-91, Sentra 1994-91</t>
        </is>
      </c>
      <c r="Y426" t="inlineStr">
        <is>
          <t>00082617265713</t>
        </is>
      </c>
      <c r="Z426" t="inlineStr">
        <is>
          <t>43-1245::98268:109679:494</t>
        </is>
      </c>
      <c r="AA426" t="inlineStr">
        <is>
          <t>Yes</t>
        </is>
      </c>
      <c r="AB426" t="inlineStr"/>
      <c r="AC426" t="inlineStr"/>
    </row>
    <row r="427">
      <c r="A427" t="inlineStr">
        <is>
          <t>426</t>
        </is>
      </c>
      <c r="B427" t="inlineStr">
        <is>
          <t>Windshield Wiper Motor</t>
        </is>
      </c>
      <c r="C427" t="inlineStr">
        <is>
          <t>43-1246</t>
        </is>
      </c>
      <c r="D427" t="inlineStr">
        <is>
          <t>Windshield Wiper Motor - 43-1246</t>
        </is>
      </c>
      <c r="E427" t="inlineStr">
        <is>
          <t>CARDONE Reman</t>
        </is>
      </c>
      <c r="F427" t="inlineStr">
        <is>
          <t>2881016R00</t>
        </is>
      </c>
      <c r="G427" t="inlineStr">
        <is>
          <t>Nissan Stanza 1986-1989</t>
        </is>
      </c>
      <c r="H427" t="inlineStr">
        <is>
          <t>Nissan Stanza 1986-1989 2L L4 1974cc</t>
        </is>
      </c>
      <c r="I427" t="inlineStr">
        <is>
          <t>{"0": {"productDeskExternalKey": "CPCX|43-1246"}, "1": {"Package Contents": "Wiper Motor; Instruction Sheet"}, "2": {"E-Waste": "Yes"}, "3": {"Product Condition": "Remanufactured"}, "4": {"Mounting Hole Quantity": "4"}, "5": {"Terminal Type": "Blade"}, "6": {"Mounting Type": "Grommet"}, "7": {"Weight PG": "3.2400"}, "8": {"Washer Pump Included": "No"}, "9": {"Part Type": "Windshield Wiper Motor"}, "10": {"Warranty Info": "1 Year/18,000 Mile"}, "11": {"Sustainable Choice": "Yes"}, "12": {"Lifecycle Status": "Available to Order"}, "13": {"Application Summary": "Nissan Stanza 1988-86"}, "14": {"ItemLevelGTIN": "00082617143165"}, "15": {"_addonCardone": "43-1246::98268:109700:494"}, "16": {"Eligible for R&amp;R Service": "Yes"}}</t>
        </is>
      </c>
      <c r="J427" t="inlineStr">
        <is>
          <t>https://www.cardone.com/product/windshield-wiper-motor-43-1246</t>
        </is>
      </c>
      <c r="K427">
        <f>DISPIMG("ID_1718EFB4AEB44CB885735D5D208D5BFE",1)</f>
        <v/>
      </c>
      <c r="L427" t="inlineStr">
        <is>
          <t>CPCX|43-1246</t>
        </is>
      </c>
      <c r="M427" t="inlineStr">
        <is>
          <t>Wiper Motor; Instruction Sheet</t>
        </is>
      </c>
      <c r="N427" t="inlineStr">
        <is>
          <t>Yes</t>
        </is>
      </c>
      <c r="O427" t="inlineStr">
        <is>
          <t>Remanufactured</t>
        </is>
      </c>
      <c r="P427" t="inlineStr">
        <is>
          <t>4</t>
        </is>
      </c>
      <c r="Q427" t="inlineStr">
        <is>
          <t>Blade</t>
        </is>
      </c>
      <c r="R427" t="inlineStr">
        <is>
          <t>Grommet</t>
        </is>
      </c>
      <c r="S427" t="inlineStr">
        <is>
          <t>3.2400</t>
        </is>
      </c>
      <c r="T427" t="inlineStr">
        <is>
          <t>No</t>
        </is>
      </c>
      <c r="U427" t="inlineStr">
        <is>
          <t>1 Year/18,000 Mile</t>
        </is>
      </c>
      <c r="V427" t="inlineStr">
        <is>
          <t>Yes</t>
        </is>
      </c>
      <c r="W427" t="inlineStr">
        <is>
          <t>Available to Order</t>
        </is>
      </c>
      <c r="X427" t="inlineStr">
        <is>
          <t>Nissan Stanza 1988-86</t>
        </is>
      </c>
      <c r="Y427" t="inlineStr">
        <is>
          <t>00082617143165</t>
        </is>
      </c>
      <c r="Z427" t="inlineStr">
        <is>
          <t>43-1246::98268:109700:494</t>
        </is>
      </c>
      <c r="AA427" t="inlineStr">
        <is>
          <t>Yes</t>
        </is>
      </c>
      <c r="AB427" t="inlineStr"/>
      <c r="AC427" t="inlineStr"/>
    </row>
    <row r="428">
      <c r="A428" t="inlineStr">
        <is>
          <t>427</t>
        </is>
      </c>
      <c r="B428" t="inlineStr">
        <is>
          <t>Windshield Wiper Motor</t>
        </is>
      </c>
      <c r="C428" t="inlineStr">
        <is>
          <t>43-1250</t>
        </is>
      </c>
      <c r="D428" t="inlineStr">
        <is>
          <t>Windshield Wiper Motor - 43-1250</t>
        </is>
      </c>
      <c r="E428" t="inlineStr">
        <is>
          <t>CARDONE Reman</t>
        </is>
      </c>
      <c r="F428" t="inlineStr">
        <is>
          <t>2881559J00</t>
        </is>
      </c>
      <c r="G428" t="inlineStr"/>
      <c r="H428" t="inlineStr"/>
      <c r="I428" t="inlineStr">
        <is>
          <t>{"0": {"productDeskExternalKey": "CPCX|43-1250"}, "1": {"Package Contents": "Wiper Motor; Instruction Sheet"}, "2": {"E-Waste": "Yes"}, "3": {"Product Condition": "Remanufactured"}, "4": {"Mounting Hole Quantity": "4"}, "5": {"Terminal Type": "Blade"}, "6": {"Mounting Type": "Grommet"}, "7": {"Weight PG": "2.9000"}, "8": {"Washer Pump Included": "No"}, "9": {"Part Type": "Windshield Wiper Motor"}, "10": {"Warranty Info": "1 Year/18,000 Mile"}, "11": {"Sustainable Choice": "Yes"}, "12": {"Lifecycle Status": "Available to Order"}, "13": {"Application Summary": "INFINITI G20 1996-91"}, "14": {"ItemLevelGTIN": "00082617377102"}, "15": {"_addonCardone": "43-1250::98268:109724:494"}, "16": {"Eligible for R&amp;R Service": "Yes"}}</t>
        </is>
      </c>
      <c r="J428" t="inlineStr">
        <is>
          <t>https://www.cardone.com/product/windshield-wiper-motor-43-1250</t>
        </is>
      </c>
      <c r="K428">
        <f>DISPIMG("ID_59644855D16A4A958DA5EA52120D715B",1)</f>
        <v/>
      </c>
      <c r="L428" t="inlineStr">
        <is>
          <t>CPCX|43-1250</t>
        </is>
      </c>
      <c r="M428" t="inlineStr">
        <is>
          <t>Wiper Motor; Instruction Sheet</t>
        </is>
      </c>
      <c r="N428" t="inlineStr">
        <is>
          <t>Yes</t>
        </is>
      </c>
      <c r="O428" t="inlineStr">
        <is>
          <t>Remanufactured</t>
        </is>
      </c>
      <c r="P428" t="inlineStr">
        <is>
          <t>4</t>
        </is>
      </c>
      <c r="Q428" t="inlineStr">
        <is>
          <t>Blade</t>
        </is>
      </c>
      <c r="R428" t="inlineStr">
        <is>
          <t>Grommet</t>
        </is>
      </c>
      <c r="S428" t="inlineStr">
        <is>
          <t>2.9000</t>
        </is>
      </c>
      <c r="T428" t="inlineStr">
        <is>
          <t>No</t>
        </is>
      </c>
      <c r="U428" t="inlineStr">
        <is>
          <t>1 Year/18,000 Mile</t>
        </is>
      </c>
      <c r="V428" t="inlineStr">
        <is>
          <t>Yes</t>
        </is>
      </c>
      <c r="W428" t="inlineStr">
        <is>
          <t>Available to Order</t>
        </is>
      </c>
      <c r="X428" t="inlineStr">
        <is>
          <t>INFINITI G20 1996-91</t>
        </is>
      </c>
      <c r="Y428" t="inlineStr">
        <is>
          <t>00082617377102</t>
        </is>
      </c>
      <c r="Z428" t="inlineStr">
        <is>
          <t>43-1250::98268:109724:494</t>
        </is>
      </c>
      <c r="AA428" t="inlineStr">
        <is>
          <t>Yes</t>
        </is>
      </c>
      <c r="AB428" t="inlineStr"/>
      <c r="AC428" t="inlineStr"/>
    </row>
    <row r="429">
      <c r="A429" t="inlineStr">
        <is>
          <t>428</t>
        </is>
      </c>
      <c r="B429" t="inlineStr">
        <is>
          <t>Windshield Wiper Motor</t>
        </is>
      </c>
      <c r="C429" t="inlineStr">
        <is>
          <t>43-1251</t>
        </is>
      </c>
      <c r="D429" t="inlineStr">
        <is>
          <t>Windshield Wiper Motor - 43-1251</t>
        </is>
      </c>
      <c r="E429" t="inlineStr">
        <is>
          <t>CARDONE Reman</t>
        </is>
      </c>
      <c r="F429" t="inlineStr">
        <is>
          <t>2881010Y00</t>
        </is>
      </c>
      <c r="G429" t="inlineStr"/>
      <c r="H429" t="inlineStr"/>
      <c r="I429" t="inlineStr">
        <is>
          <t>{"0": {"productDeskExternalKey": "CPCX|43-1251"}, "1": {"Package Contents": "Wiper Motor; Instruction Sheet"}, "2": {"E-Waste": "Yes"}, "3": {"Product Condition": "Remanufactured"}, "4": {"Mounting Hole Quantity": "4"}, "5": {"Terminal Type": "Blade"}, "6": {"Mounting Type": "Grommet"}, "7": {"Weight PG": "3.5000"}, "8": {"Washer Pump Included": "No"}, "9": {"Part Type": "Windshield Wiper Motor"}, "10": {"Warranty Info": "1 Year/18,000 Mile"}, "11": {"Sustainable Choice": "Yes"}, "12": {"Lifecycle Status": "Available to Order"}, "13": {"Application Summary": "INFINITI J30 1997-93"}, "14": {"ItemLevelGTIN": "00082617377072"}, "15": {"_addonCardone": "43-1251::98268:109747:494"}, "16": {"Eligible for R&amp;R Service": "Yes"}}</t>
        </is>
      </c>
      <c r="J429" t="inlineStr">
        <is>
          <t>https://www.cardone.com/product/windshield-wiper-motor-43-1251</t>
        </is>
      </c>
      <c r="K429">
        <f>DISPIMG("ID_A3D56B6E6F5443BCA7AAEF122DABDAC8",1)</f>
        <v/>
      </c>
      <c r="L429" t="inlineStr">
        <is>
          <t>CPCX|43-1251</t>
        </is>
      </c>
      <c r="M429" t="inlineStr">
        <is>
          <t>Wiper Motor; Instruction Sheet</t>
        </is>
      </c>
      <c r="N429" t="inlineStr">
        <is>
          <t>Yes</t>
        </is>
      </c>
      <c r="O429" t="inlineStr">
        <is>
          <t>Remanufactured</t>
        </is>
      </c>
      <c r="P429" t="inlineStr">
        <is>
          <t>4</t>
        </is>
      </c>
      <c r="Q429" t="inlineStr">
        <is>
          <t>Blade</t>
        </is>
      </c>
      <c r="R429" t="inlineStr">
        <is>
          <t>Grommet</t>
        </is>
      </c>
      <c r="S429" t="inlineStr">
        <is>
          <t>3.5000</t>
        </is>
      </c>
      <c r="T429" t="inlineStr">
        <is>
          <t>No</t>
        </is>
      </c>
      <c r="U429" t="inlineStr">
        <is>
          <t>1 Year/18,000 Mile</t>
        </is>
      </c>
      <c r="V429" t="inlineStr">
        <is>
          <t>Yes</t>
        </is>
      </c>
      <c r="W429" t="inlineStr">
        <is>
          <t>Available to Order</t>
        </is>
      </c>
      <c r="X429" t="inlineStr">
        <is>
          <t>INFINITI J30 1997-93</t>
        </is>
      </c>
      <c r="Y429" t="inlineStr">
        <is>
          <t>00082617377072</t>
        </is>
      </c>
      <c r="Z429" t="inlineStr">
        <is>
          <t>43-1251::98268:109747:494</t>
        </is>
      </c>
      <c r="AA429" t="inlineStr">
        <is>
          <t>Yes</t>
        </is>
      </c>
      <c r="AB429" t="inlineStr"/>
      <c r="AC429" t="inlineStr"/>
    </row>
    <row r="430">
      <c r="A430" t="inlineStr">
        <is>
          <t>429</t>
        </is>
      </c>
      <c r="B430" t="inlineStr">
        <is>
          <t>Windshield Wiper Motor</t>
        </is>
      </c>
      <c r="C430" t="inlineStr">
        <is>
          <t>43-1252</t>
        </is>
      </c>
      <c r="D430" t="inlineStr">
        <is>
          <t>Windshield Wiper Motor - 43-1252</t>
        </is>
      </c>
      <c r="E430" t="inlineStr">
        <is>
          <t>CARDONE Reman</t>
        </is>
      </c>
      <c r="F430" t="inlineStr">
        <is>
          <t>2881560U00</t>
        </is>
      </c>
      <c r="G430" t="inlineStr"/>
      <c r="H430" t="inlineStr"/>
      <c r="I430" t="inlineStr">
        <is>
          <t>{"0": {"productDeskExternalKey": "CPCX|43-1252"}, "1": {"Package Contents": "Wiper Motor; Instruction Sheet"}, "2": {"E-Waste": "Yes"}, "3": {"Product Condition": "Remanufactured"}, "4": {"Mounting Hole Quantity": "4"}, "5": {"Terminal Type": "Blade"}, "6": {"Mounting Type": "Grommet"}, "7": {"Weight PG": "2.8400"}, "8": {"Washer Pump Included": "No"}, "9": {"Part Type": "Windshield Wiper Motor"}, "10": {"Warranty Info": "1 Year/18,000 Mile"}, "11": {"Sustainable Choice": "Yes"}, "12": {"Lifecycle Status": "Available to Order"}, "13": {"Application Summary": "INFINITI Q45 1993-90"}, "14": {"ItemLevelGTIN": "00082617377119"}, "15": {"_addonCardone": "43-1252::98268:109766:494"}, "16": {"Eligible for R&amp;R Service": "Yes"}}</t>
        </is>
      </c>
      <c r="J430" t="inlineStr">
        <is>
          <t>https://www.cardone.com/product/windshield-wiper-motor-43-1252</t>
        </is>
      </c>
      <c r="K430">
        <f>DISPIMG("ID_8564E5D8453C4C0A83331E621995EEFC",1)</f>
        <v/>
      </c>
      <c r="L430" t="inlineStr">
        <is>
          <t>CPCX|43-1252</t>
        </is>
      </c>
      <c r="M430" t="inlineStr">
        <is>
          <t>Wiper Motor; Instruction Sheet</t>
        </is>
      </c>
      <c r="N430" t="inlineStr">
        <is>
          <t>Yes</t>
        </is>
      </c>
      <c r="O430" t="inlineStr">
        <is>
          <t>Remanufactured</t>
        </is>
      </c>
      <c r="P430" t="inlineStr">
        <is>
          <t>4</t>
        </is>
      </c>
      <c r="Q430" t="inlineStr">
        <is>
          <t>Blade</t>
        </is>
      </c>
      <c r="R430" t="inlineStr">
        <is>
          <t>Grommet</t>
        </is>
      </c>
      <c r="S430" t="inlineStr">
        <is>
          <t>2.8400</t>
        </is>
      </c>
      <c r="T430" t="inlineStr">
        <is>
          <t>No</t>
        </is>
      </c>
      <c r="U430" t="inlineStr">
        <is>
          <t>1 Year/18,000 Mile</t>
        </is>
      </c>
      <c r="V430" t="inlineStr">
        <is>
          <t>Yes</t>
        </is>
      </c>
      <c r="W430" t="inlineStr">
        <is>
          <t>Available to Order</t>
        </is>
      </c>
      <c r="X430" t="inlineStr">
        <is>
          <t>INFINITI Q45 1993-90</t>
        </is>
      </c>
      <c r="Y430" t="inlineStr">
        <is>
          <t>00082617377119</t>
        </is>
      </c>
      <c r="Z430" t="inlineStr">
        <is>
          <t>43-1252::98268:109766:494</t>
        </is>
      </c>
      <c r="AA430" t="inlineStr">
        <is>
          <t>Yes</t>
        </is>
      </c>
      <c r="AB430" t="inlineStr"/>
      <c r="AC430" t="inlineStr"/>
    </row>
    <row r="431">
      <c r="A431" t="inlineStr">
        <is>
          <t>430</t>
        </is>
      </c>
      <c r="B431" t="inlineStr">
        <is>
          <t>Windshield Wiper Motor</t>
        </is>
      </c>
      <c r="C431" t="inlineStr">
        <is>
          <t>43-1253</t>
        </is>
      </c>
      <c r="D431" t="inlineStr">
        <is>
          <t>Windshield Wiper Motor - 43-1253</t>
        </is>
      </c>
      <c r="E431" t="inlineStr">
        <is>
          <t>CARDONE Reman</t>
        </is>
      </c>
      <c r="F431" t="inlineStr">
        <is>
          <t>288101E400</t>
        </is>
      </c>
      <c r="G431" t="inlineStr"/>
      <c r="H431" t="inlineStr"/>
      <c r="I431" t="inlineStr">
        <is>
          <t>{"0": {"productDeskExternalKey": "CPCX|43-1253"}, "1": {"Package Contents": "Wiper Motor; Instruction Sheet"}, "2": {"E-Waste": "Yes"}, "3": {"Product Condition": "Remanufactured"}, "4": {"Mounting Hole Quantity": "4"}, "5": {"Terminal Type": "Blade"}, "6": {"Mounting Type": "Grommet"}, "7": {"Weight PG": "3.4400"}, "8": {"Washer Pump Included": "No"}, "9": {"Part Type": "Windshield Wiper Motor"}, "10": {"Warranty Info": "1 Year/18,000 Mile"}, "11": {"Sustainable Choice": "Yes"}, "12": {"Lifecycle Status": "Available to Order"}, "13": {"Application Summary": "Nissan Altima 1994-93"}, "14": {"ItemLevelGTIN": "00082617377089"}, "15": {"_addonCardone": "43-1253::98268:109787:494"}, "16": {"Eligible for R&amp;R Service": "Yes"}}</t>
        </is>
      </c>
      <c r="J431" t="inlineStr">
        <is>
          <t>https://www.cardone.com/product/windshield-wiper-motor-43-1253</t>
        </is>
      </c>
      <c r="K431">
        <f>DISPIMG("ID_FCBC31CCCE6F40CF8A58909FBC62EDDF",1)</f>
        <v/>
      </c>
      <c r="L431" t="inlineStr">
        <is>
          <t>CPCX|43-1253</t>
        </is>
      </c>
      <c r="M431" t="inlineStr">
        <is>
          <t>Wiper Motor; Instruction Sheet</t>
        </is>
      </c>
      <c r="N431" t="inlineStr">
        <is>
          <t>Yes</t>
        </is>
      </c>
      <c r="O431" t="inlineStr">
        <is>
          <t>Remanufactured</t>
        </is>
      </c>
      <c r="P431" t="inlineStr">
        <is>
          <t>4</t>
        </is>
      </c>
      <c r="Q431" t="inlineStr">
        <is>
          <t>Blade</t>
        </is>
      </c>
      <c r="R431" t="inlineStr">
        <is>
          <t>Grommet</t>
        </is>
      </c>
      <c r="S431" t="inlineStr">
        <is>
          <t>3.4400</t>
        </is>
      </c>
      <c r="T431" t="inlineStr">
        <is>
          <t>No</t>
        </is>
      </c>
      <c r="U431" t="inlineStr">
        <is>
          <t>1 Year/18,000 Mile</t>
        </is>
      </c>
      <c r="V431" t="inlineStr">
        <is>
          <t>Yes</t>
        </is>
      </c>
      <c r="W431" t="inlineStr">
        <is>
          <t>Available to Order</t>
        </is>
      </c>
      <c r="X431" t="inlineStr">
        <is>
          <t>Nissan Altima 1994-93</t>
        </is>
      </c>
      <c r="Y431" t="inlineStr">
        <is>
          <t>00082617377089</t>
        </is>
      </c>
      <c r="Z431" t="inlineStr">
        <is>
          <t>43-1253::98268:109787:494</t>
        </is>
      </c>
      <c r="AA431" t="inlineStr">
        <is>
          <t>Yes</t>
        </is>
      </c>
      <c r="AB431" t="inlineStr"/>
      <c r="AC431" t="inlineStr"/>
    </row>
    <row r="432">
      <c r="A432" t="inlineStr">
        <is>
          <t>431</t>
        </is>
      </c>
      <c r="B432" t="inlineStr">
        <is>
          <t>Windshield Wiper Motor</t>
        </is>
      </c>
      <c r="C432" t="inlineStr">
        <is>
          <t>43-1254</t>
        </is>
      </c>
      <c r="D432" t="inlineStr">
        <is>
          <t>Windshield Wiper Motor - 43-1254</t>
        </is>
      </c>
      <c r="E432" t="inlineStr">
        <is>
          <t>CARDONE Reman</t>
        </is>
      </c>
      <c r="F432" t="inlineStr">
        <is>
          <t>288100B000;F3XY17508D;YF5Z17508AA;XF5Z17508CA;288107B000</t>
        </is>
      </c>
      <c r="G432" t="inlineStr">
        <is>
          <t>Nissan Quest 1993-2002</t>
        </is>
      </c>
      <c r="H432" t="inlineStr">
        <is>
          <t>Nissan Quest 1993-1998 3L V6 181cid
Nissan Quest 1999-2002 3.3L V6 3275cc</t>
        </is>
      </c>
      <c r="I432" t="inlineStr">
        <is>
          <t>{"0": {"productDeskExternalKey": "CPCX|43-1254"}, "1": {"Package Contents": "Wiper Motor; Instruction Sheet"}, "2": {"E-Waste": "Yes"}, "3": {"Product Condition": "Remanufactured"}, "4": {"Mounting Hole Quantity": "4"}, "5": {"Terminal Type": "Blade"}, "6": {"Mounting Type": "Grommet"}, "7": {"Weight PG": "2.9000"}, "8": {"Washer Pump Included": "No"}, "9": {"Part Type": "Windshield Wiper Motor"}, "10": {"Warranty Info": "1 Year/18,000 Mile"}, "11": {"Sustainable Choice": "Yes"}, "12": {"Lifecycle Status": "Available to Order"}, "13": {"Application Summary": "Mercury Villager 2002-93; Nissan Quest 2002-93"}, "14": {"ItemLevelGTIN": "00082617377065"}, "15": {"_addonCardone": "43-1254::98268:109808:494"}, "16": {"Eligible for R&amp;R Service": "Yes"}}</t>
        </is>
      </c>
      <c r="J432" t="inlineStr">
        <is>
          <t>https://www.cardone.com/product/windshield-wiper-motor-43-1254</t>
        </is>
      </c>
      <c r="K432">
        <f>DISPIMG("ID_1F68ADE4716549CEB24DB03B0C8AB617",1)</f>
        <v/>
      </c>
      <c r="L432" t="inlineStr">
        <is>
          <t>CPCX|43-1254</t>
        </is>
      </c>
      <c r="M432" t="inlineStr">
        <is>
          <t>Wiper Motor; Instruction Sheet</t>
        </is>
      </c>
      <c r="N432" t="inlineStr">
        <is>
          <t>Yes</t>
        </is>
      </c>
      <c r="O432" t="inlineStr">
        <is>
          <t>Remanufactured</t>
        </is>
      </c>
      <c r="P432" t="inlineStr">
        <is>
          <t>4</t>
        </is>
      </c>
      <c r="Q432" t="inlineStr">
        <is>
          <t>Blade</t>
        </is>
      </c>
      <c r="R432" t="inlineStr">
        <is>
          <t>Grommet</t>
        </is>
      </c>
      <c r="S432" t="inlineStr">
        <is>
          <t>2.9000</t>
        </is>
      </c>
      <c r="T432" t="inlineStr">
        <is>
          <t>No</t>
        </is>
      </c>
      <c r="U432" t="inlineStr">
        <is>
          <t>1 Year/18,000 Mile</t>
        </is>
      </c>
      <c r="V432" t="inlineStr">
        <is>
          <t>Yes</t>
        </is>
      </c>
      <c r="W432" t="inlineStr">
        <is>
          <t>Available to Order</t>
        </is>
      </c>
      <c r="X432" t="inlineStr">
        <is>
          <t>Mercury Villager 2002-93; Nissan Quest 2002-93</t>
        </is>
      </c>
      <c r="Y432" t="inlineStr">
        <is>
          <t>00082617377065</t>
        </is>
      </c>
      <c r="Z432" t="inlineStr">
        <is>
          <t>43-1254::98268:109808:494</t>
        </is>
      </c>
      <c r="AA432" t="inlineStr">
        <is>
          <t>Yes</t>
        </is>
      </c>
      <c r="AB432" t="inlineStr"/>
      <c r="AC432" t="inlineStr"/>
    </row>
    <row r="433">
      <c r="A433" t="inlineStr">
        <is>
          <t>432</t>
        </is>
      </c>
      <c r="B433" t="inlineStr">
        <is>
          <t>Windshield Wiper Motor</t>
        </is>
      </c>
      <c r="C433" t="inlineStr">
        <is>
          <t>43-1256</t>
        </is>
      </c>
      <c r="D433" t="inlineStr">
        <is>
          <t>Windshield Wiper Motor - 43-1256</t>
        </is>
      </c>
      <c r="E433" t="inlineStr">
        <is>
          <t>CARDONE Reman</t>
        </is>
      </c>
      <c r="F433" t="inlineStr">
        <is>
          <t>2881070F00;2881070F10</t>
        </is>
      </c>
      <c r="G433" t="inlineStr">
        <is>
          <t>Nissan 240SX 1994-1996</t>
        </is>
      </c>
      <c r="H433" t="inlineStr">
        <is>
          <t>Nissan 240SX 1994-1996 2.4L L4 2389cc</t>
        </is>
      </c>
      <c r="I433" t="inlineStr">
        <is>
          <t>{"0": {"productDeskExternalKey": "CPCX|43-1256"}, "1": {"Package Contents": "Wiper Motor; Instruction Sheet"}, "2": {"E-Waste": "Yes"}, "3": {"Product Condition": "Remanufactured"}, "4": {"Mounting Hole Quantity": "4"}, "5": {"Terminal Type": "Blade"}, "6": {"Mounting Type": "Grommet"}, "7": {"Weight PG": "3.0000"}, "8": {"Washer Pump Included": "No"}, "9": {"Part Type": "Windshield Wiper Motor"}, "10": {"Warranty Info": "1 Year/18,000 Mile"}, "11": {"Sustainable Choice": "Yes"}, "12": {"Lifecycle Status": "Available to Order"}, "13": {"Application Summary": "Nissan 240SX 1996-94"}, "14": {"ItemLevelGTIN": "00082617570978"}, "15": {"_addonCardone": "43-1256::98268:109826:494"}, "16": {"Eligible for R&amp;R Service": "Yes"}}</t>
        </is>
      </c>
      <c r="J433" t="inlineStr">
        <is>
          <t>https://www.cardone.com/product/windshield-wiper-motor-43-1256</t>
        </is>
      </c>
      <c r="K433">
        <f>DISPIMG("ID_26E7BD11EC1D427B8D08A2711772FB33",1)</f>
        <v/>
      </c>
      <c r="L433" t="inlineStr">
        <is>
          <t>CPCX|43-1256</t>
        </is>
      </c>
      <c r="M433" t="inlineStr">
        <is>
          <t>Wiper Motor; Instruction Sheet</t>
        </is>
      </c>
      <c r="N433" t="inlineStr">
        <is>
          <t>Yes</t>
        </is>
      </c>
      <c r="O433" t="inlineStr">
        <is>
          <t>Remanufactured</t>
        </is>
      </c>
      <c r="P433" t="inlineStr">
        <is>
          <t>4</t>
        </is>
      </c>
      <c r="Q433" t="inlineStr">
        <is>
          <t>Blade</t>
        </is>
      </c>
      <c r="R433" t="inlineStr">
        <is>
          <t>Grommet</t>
        </is>
      </c>
      <c r="S433" t="inlineStr">
        <is>
          <t>3.0000</t>
        </is>
      </c>
      <c r="T433" t="inlineStr">
        <is>
          <t>No</t>
        </is>
      </c>
      <c r="U433" t="inlineStr">
        <is>
          <t>1 Year/18,000 Mile</t>
        </is>
      </c>
      <c r="V433" t="inlineStr">
        <is>
          <t>Yes</t>
        </is>
      </c>
      <c r="W433" t="inlineStr">
        <is>
          <t>Available to Order</t>
        </is>
      </c>
      <c r="X433" t="inlineStr">
        <is>
          <t>Nissan 240SX 1996-94</t>
        </is>
      </c>
      <c r="Y433" t="inlineStr">
        <is>
          <t>00082617570978</t>
        </is>
      </c>
      <c r="Z433" t="inlineStr">
        <is>
          <t>43-1256::98268:109826:494</t>
        </is>
      </c>
      <c r="AA433" t="inlineStr">
        <is>
          <t>Yes</t>
        </is>
      </c>
      <c r="AB433" t="inlineStr"/>
      <c r="AC433" t="inlineStr"/>
    </row>
    <row r="434">
      <c r="A434" t="inlineStr">
        <is>
          <t>433</t>
        </is>
      </c>
      <c r="B434" t="inlineStr">
        <is>
          <t>Windshield Wiper Motor</t>
        </is>
      </c>
      <c r="C434" t="inlineStr">
        <is>
          <t>43-1307</t>
        </is>
      </c>
      <c r="D434" t="inlineStr">
        <is>
          <t>Windshield Wiper Motor - 43-1307</t>
        </is>
      </c>
      <c r="E434" t="inlineStr">
        <is>
          <t>CARDONE Reman</t>
        </is>
      </c>
      <c r="F434" t="inlineStr">
        <is>
          <t>E9JY17508A</t>
        </is>
      </c>
      <c r="G434" t="inlineStr"/>
      <c r="H434" t="inlineStr"/>
      <c r="I434" t="inlineStr">
        <is>
          <t>{"0": {"productDeskExternalKey": "CPCX|43-1307"}, "1": {"Package Contents": "Wiper Motor; Instruction Sheet"}, "2": {"E-Waste": "Yes"}, "3": {"Product Condition": "Remanufactured"}, "4": {"Mounting Hole Quantity": "4"}, "5": {"Terminal Type": "Blade"}, "6": {"Mounting Type": "Grommet"}, "7": {"Weight PG": "3.2800"}, "8": {"Washer Pump Included": "No"}, "9": {"Part Type": "Windshield Wiper Motor"}, "10": {"Warranty Info": "1 Year/18,000 Mile"}, "11": {"Sustainable Choice": "Yes"}, "12": {"Lifecycle Status": "Available to Order"}, "13": {"Application Summary": "Mercury Capri 1994-91"}, "14": {"ItemLevelGTIN": "00082617377270"}, "15": {"_addonCardone": "43-1307::98268:109847:494"}, "16": {"Eligible for R&amp;R Service": "Yes"}}</t>
        </is>
      </c>
      <c r="J434" t="inlineStr">
        <is>
          <t>https://www.cardone.com/product/windshield-wiper-motor-43-1307</t>
        </is>
      </c>
      <c r="K434">
        <f>DISPIMG("ID_5D6C1AC089064ACB8E7940D95FF510D7",1)</f>
        <v/>
      </c>
      <c r="L434" t="inlineStr">
        <is>
          <t>CPCX|43-1307</t>
        </is>
      </c>
      <c r="M434" t="inlineStr">
        <is>
          <t>Wiper Motor; Instruction Sheet</t>
        </is>
      </c>
      <c r="N434" t="inlineStr">
        <is>
          <t>Yes</t>
        </is>
      </c>
      <c r="O434" t="inlineStr">
        <is>
          <t>Remanufactured</t>
        </is>
      </c>
      <c r="P434" t="inlineStr">
        <is>
          <t>4</t>
        </is>
      </c>
      <c r="Q434" t="inlineStr">
        <is>
          <t>Blade</t>
        </is>
      </c>
      <c r="R434" t="inlineStr">
        <is>
          <t>Grommet</t>
        </is>
      </c>
      <c r="S434" t="inlineStr">
        <is>
          <t>3.2800</t>
        </is>
      </c>
      <c r="T434" t="inlineStr">
        <is>
          <t>No</t>
        </is>
      </c>
      <c r="U434" t="inlineStr">
        <is>
          <t>1 Year/18,000 Mile</t>
        </is>
      </c>
      <c r="V434" t="inlineStr">
        <is>
          <t>Yes</t>
        </is>
      </c>
      <c r="W434" t="inlineStr">
        <is>
          <t>Available to Order</t>
        </is>
      </c>
      <c r="X434" t="inlineStr">
        <is>
          <t>Mercury Capri 1994-91</t>
        </is>
      </c>
      <c r="Y434" t="inlineStr">
        <is>
          <t>00082617377270</t>
        </is>
      </c>
      <c r="Z434" t="inlineStr">
        <is>
          <t>43-1307::98268:109847:494</t>
        </is>
      </c>
      <c r="AA434" t="inlineStr">
        <is>
          <t>Yes</t>
        </is>
      </c>
      <c r="AB434" t="inlineStr"/>
      <c r="AC434" t="inlineStr"/>
    </row>
    <row r="435">
      <c r="A435" t="inlineStr">
        <is>
          <t>434</t>
        </is>
      </c>
      <c r="B435" t="inlineStr">
        <is>
          <t>Windshield Wiper Motor</t>
        </is>
      </c>
      <c r="C435" t="inlineStr">
        <is>
          <t>43-1324</t>
        </is>
      </c>
      <c r="D435" t="inlineStr">
        <is>
          <t>Windshield Wiper Motor - 43-1324</t>
        </is>
      </c>
      <c r="E435" t="inlineStr">
        <is>
          <t>CARDONE Reman</t>
        </is>
      </c>
      <c r="F435" t="inlineStr">
        <is>
          <t>22057742</t>
        </is>
      </c>
      <c r="G435" t="inlineStr">
        <is>
          <t>Pontiac LeMans 1988</t>
        </is>
      </c>
      <c r="H435" t="inlineStr">
        <is>
          <t>Pontiac LeMans 1988 1.6L L4 98cid</t>
        </is>
      </c>
      <c r="I435" t="inlineStr">
        <is>
          <t>{"0": {"productDeskExternalKey": "CPCX|43-1324"},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"Pontiac LeMans 1988"}, "14": {"ItemLevelGTIN": "00082617142687"}, "15": {"_addonCardone": "43-1324::98268:109869:494"}, "16": {"Eligible for R&amp;R Service": "Yes"}}</t>
        </is>
      </c>
      <c r="J435" t="inlineStr">
        <is>
          <t>https://www.cardone.com/product/windshield-wiper-motor-43-1324</t>
        </is>
      </c>
      <c r="K435">
        <f>DISPIMG("ID_E63891ED96334A499FAA0D47F16AB704",1)</f>
        <v/>
      </c>
      <c r="L435" t="inlineStr">
        <is>
          <t>CPCX|43-1324</t>
        </is>
      </c>
      <c r="M435" t="inlineStr">
        <is>
          <t>Wiper Motor; Instruction Sheet</t>
        </is>
      </c>
      <c r="N435" t="inlineStr">
        <is>
          <t>Yes</t>
        </is>
      </c>
      <c r="O435" t="inlineStr">
        <is>
          <t>Remanufactured</t>
        </is>
      </c>
      <c r="P435" t="inlineStr">
        <is>
          <t>3</t>
        </is>
      </c>
      <c r="Q435" t="inlineStr">
        <is>
          <t>Blade</t>
        </is>
      </c>
      <c r="R435" t="inlineStr">
        <is>
          <t>Direct Bolt</t>
        </is>
      </c>
      <c r="S435" t="inlineStr">
        <is>
          <t>2.5000</t>
        </is>
      </c>
      <c r="T435" t="inlineStr">
        <is>
          <t>No</t>
        </is>
      </c>
      <c r="U435" t="inlineStr">
        <is>
          <t>1 Year/18,000 Mile</t>
        </is>
      </c>
      <c r="V435" t="inlineStr">
        <is>
          <t>Yes</t>
        </is>
      </c>
      <c r="W435" t="inlineStr">
        <is>
          <t>Available to Order</t>
        </is>
      </c>
      <c r="X435" t="inlineStr">
        <is>
          <t>Pontiac LeMans 1988</t>
        </is>
      </c>
      <c r="Y435" t="inlineStr">
        <is>
          <t>00082617142687</t>
        </is>
      </c>
      <c r="Z435" t="inlineStr">
        <is>
          <t>43-1324::98268:109869:494</t>
        </is>
      </c>
      <c r="AA435" t="inlineStr">
        <is>
          <t>Yes</t>
        </is>
      </c>
      <c r="AB435" t="inlineStr"/>
      <c r="AC435" t="inlineStr"/>
    </row>
    <row r="436">
      <c r="A436" t="inlineStr">
        <is>
          <t>435</t>
        </is>
      </c>
      <c r="B436" t="inlineStr">
        <is>
          <t>Windshield Wiper Motor</t>
        </is>
      </c>
      <c r="C436" t="inlineStr">
        <is>
          <t>43-1328</t>
        </is>
      </c>
      <c r="D436" t="inlineStr">
        <is>
          <t>Windshield Wiper Motor - 43-1328</t>
        </is>
      </c>
      <c r="E436" t="inlineStr">
        <is>
          <t>CARDONE Reman</t>
        </is>
      </c>
      <c r="F436" t="inlineStr">
        <is>
          <t>84184150032;84184150014</t>
        </is>
      </c>
      <c r="G436" t="inlineStr">
        <is>
          <t>Sterling 825 1988
Sterling 827 1989</t>
        </is>
      </c>
      <c r="H436" t="inlineStr">
        <is>
          <t>Sterling 825 1988 2.5L V6 2494cc
Sterling 827 1989 2.7L V6 2675cc</t>
        </is>
      </c>
      <c r="I436" t="inlineStr">
        <is>
          <t>{"0": {"productDeskExternalKey": "CPCX|43-1328"},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"Sterling 825 1988, 827 1989"}, "14": {"ItemLevelGTIN": "00082617570992"}, "15": {"_addonCardone": "43-1328::98268:109886:494"}, "16": {"Eligible for R&amp;R Service": "Yes"}}</t>
        </is>
      </c>
      <c r="J436" t="inlineStr">
        <is>
          <t>https://www.cardone.com/product/windshield-wiper-motor-43-1328</t>
        </is>
      </c>
      <c r="K436">
        <f>DISPIMG("ID_EFD55D1B43D1426F8C3ED65966BBB00A",1)</f>
        <v/>
      </c>
      <c r="L436" t="inlineStr">
        <is>
          <t>CPCX|43-1328</t>
        </is>
      </c>
      <c r="M436" t="inlineStr">
        <is>
          <t>Wiper Motor; Instruction Sheet</t>
        </is>
      </c>
      <c r="N436" t="inlineStr">
        <is>
          <t>Yes</t>
        </is>
      </c>
      <c r="O436" t="inlineStr">
        <is>
          <t>Remanufactured</t>
        </is>
      </c>
      <c r="P436" t="inlineStr">
        <is>
          <t>3</t>
        </is>
      </c>
      <c r="Q436" t="inlineStr">
        <is>
          <t>Blade</t>
        </is>
      </c>
      <c r="R436" t="inlineStr">
        <is>
          <t>Direct Bolt</t>
        </is>
      </c>
      <c r="S436" t="inlineStr">
        <is>
          <t>3.0000</t>
        </is>
      </c>
      <c r="T436" t="inlineStr">
        <is>
          <t>No</t>
        </is>
      </c>
      <c r="U436" t="inlineStr">
        <is>
          <t>1 Year/18,000 Mile</t>
        </is>
      </c>
      <c r="V436" t="inlineStr">
        <is>
          <t>Yes</t>
        </is>
      </c>
      <c r="W436" t="inlineStr">
        <is>
          <t>Available to Order</t>
        </is>
      </c>
      <c r="X436" t="inlineStr">
        <is>
          <t>Sterling 825 1988, 827 1989</t>
        </is>
      </c>
      <c r="Y436" t="inlineStr">
        <is>
          <t>00082617570992</t>
        </is>
      </c>
      <c r="Z436" t="inlineStr">
        <is>
          <t>43-1328::98268:109886:494</t>
        </is>
      </c>
      <c r="AA436" t="inlineStr">
        <is>
          <t>Yes</t>
        </is>
      </c>
      <c r="AB436" t="inlineStr"/>
      <c r="AC436" t="inlineStr"/>
    </row>
    <row r="437">
      <c r="A437" t="inlineStr">
        <is>
          <t>436</t>
        </is>
      </c>
      <c r="B437" t="inlineStr">
        <is>
          <t>Windshield Wiper Motor</t>
        </is>
      </c>
      <c r="C437" t="inlineStr">
        <is>
          <t>43-1330</t>
        </is>
      </c>
      <c r="D437" t="inlineStr">
        <is>
          <t>Windshield Wiper Motor - 43-1330</t>
        </is>
      </c>
      <c r="E437" t="inlineStr">
        <is>
          <t>CARDONE Reman</t>
        </is>
      </c>
      <c r="F437" t="inlineStr">
        <is>
          <t>96082942</t>
        </is>
      </c>
      <c r="G437" t="inlineStr">
        <is>
          <t>Asuna GT 1993
Asuna SE 1993
Pontiac LeMans 1988-1993</t>
        </is>
      </c>
      <c r="H437" t="inlineStr">
        <is>
          <t>Asuna GT 1993 1.6L L4 98cid
Asuna SE 1993 1.6L L4 98cid
Pontiac LeMans 1988-1993 1.6L L4 98cid
Pontiac LeMans 1989-1990 2L L4 122cid</t>
        </is>
      </c>
      <c r="I437" t="inlineStr">
        <is>
          <t>{"0": {"productDeskExternalKey": "CPCX|43-1330"},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"Asuna GT 1993, SE 1993; Pontiac LeMans 1993-88"}, "14": {"ItemLevelGTIN": "00082617265737"}, "15": {"_addonCardone": "43-1330::98268:109903:494"}, "16": {"Eligible for R&amp;R Service": "Yes"}}</t>
        </is>
      </c>
      <c r="J437" t="inlineStr">
        <is>
          <t>https://www.cardone.com/product/windshield-wiper-motor-43-1330</t>
        </is>
      </c>
      <c r="K437">
        <f>DISPIMG("ID_5A5B254A45DC406BB6818CB75C884C84",1)</f>
        <v/>
      </c>
      <c r="L437" t="inlineStr">
        <is>
          <t>CPCX|43-1330</t>
        </is>
      </c>
      <c r="M437" t="inlineStr">
        <is>
          <t>Wiper Motor; Instruction Sheet</t>
        </is>
      </c>
      <c r="N437" t="inlineStr">
        <is>
          <t>Yes</t>
        </is>
      </c>
      <c r="O437" t="inlineStr">
        <is>
          <t>Remanufactured</t>
        </is>
      </c>
      <c r="P437" t="inlineStr">
        <is>
          <t>3</t>
        </is>
      </c>
      <c r="Q437" t="inlineStr">
        <is>
          <t>Blade</t>
        </is>
      </c>
      <c r="R437" t="inlineStr">
        <is>
          <t>Direct Bolt</t>
        </is>
      </c>
      <c r="S437" t="inlineStr">
        <is>
          <t>2.5000</t>
        </is>
      </c>
      <c r="T437" t="inlineStr">
        <is>
          <t>No</t>
        </is>
      </c>
      <c r="U437" t="inlineStr">
        <is>
          <t>1 Year/18,000 Mile</t>
        </is>
      </c>
      <c r="V437" t="inlineStr">
        <is>
          <t>Yes</t>
        </is>
      </c>
      <c r="W437" t="inlineStr">
        <is>
          <t>Available to Order</t>
        </is>
      </c>
      <c r="X437" t="inlineStr">
        <is>
          <t>Asuna GT 1993, SE 1993; Pontiac LeMans 1993-88</t>
        </is>
      </c>
      <c r="Y437" t="inlineStr">
        <is>
          <t>00082617265737</t>
        </is>
      </c>
      <c r="Z437" t="inlineStr">
        <is>
          <t>43-1330::98268:109903:494</t>
        </is>
      </c>
      <c r="AA437" t="inlineStr">
        <is>
          <t>Yes</t>
        </is>
      </c>
      <c r="AB437" t="inlineStr"/>
      <c r="AC437" t="inlineStr"/>
    </row>
    <row r="438">
      <c r="A438" t="inlineStr">
        <is>
          <t>437</t>
        </is>
      </c>
      <c r="B438" t="inlineStr">
        <is>
          <t>Windshield Wiper Motor</t>
        </is>
      </c>
      <c r="C438" t="inlineStr">
        <is>
          <t>43-1406</t>
        </is>
      </c>
      <c r="D438" t="inlineStr">
        <is>
          <t>Windshield Wiper Motor - 43-1406</t>
        </is>
      </c>
      <c r="E438" t="inlineStr">
        <is>
          <t>CARDONE Reman</t>
        </is>
      </c>
      <c r="F438" t="inlineStr">
        <is>
          <t>38410SA0671;38410SA0604</t>
        </is>
      </c>
      <c r="G438" t="inlineStr"/>
      <c r="H438" t="inlineStr"/>
      <c r="I438" t="inlineStr">
        <is>
          <t>{"0": {"productDeskExternalKey": "CPCX|43-1406"}, "1": {"Package Contents": "Wiper Motor; Instruction Sheet"}, "2": {"E-Waste": "Yes"}, "3": {"Product Condition": "Remanufactured"}, "4": {"Mounting Hole Quantity": "2"}, "5": {"Terminal Type": "Blade"}, "6": {"Mounting Type": "Grommet"}, "7": {"Weight PG": "2.0000"}, "8": {"Washer Pump Included": "No"}, "9": {"Part Type": "Windshield Wiper Motor"}, "10": {"Warranty Info": "1 Year/18,000 Mile"}, "11": {"Sustainable Choice": "Yes"}, "12": {"Lifecycle Status": "Available to Order"}, "13": {"Application Summary": "Honda Civic 1981-80"}, "14": {"ItemLevelGTIN": "00082617042680"}, "15": {"_addonCardone": "43-1406::98268:109920:494"}, "16": {"Eligible for R&amp;R Service": "Yes"}}</t>
        </is>
      </c>
      <c r="J438" t="inlineStr">
        <is>
          <t>https://www.cardone.com/product/windshield-wiper-motor-43-1406</t>
        </is>
      </c>
      <c r="K438">
        <f>DISPIMG("ID_DE0E65A528584C2DB2CEB099606CF579",1)</f>
        <v/>
      </c>
      <c r="L438" t="inlineStr">
        <is>
          <t>CPCX|43-1406</t>
        </is>
      </c>
      <c r="M438" t="inlineStr">
        <is>
          <t>Wiper Motor; Instruction Sheet</t>
        </is>
      </c>
      <c r="N438" t="inlineStr">
        <is>
          <t>Yes</t>
        </is>
      </c>
      <c r="O438" t="inlineStr">
        <is>
          <t>Remanufactured</t>
        </is>
      </c>
      <c r="P438" t="inlineStr">
        <is>
          <t>2</t>
        </is>
      </c>
      <c r="Q438" t="inlineStr">
        <is>
          <t>Blade</t>
        </is>
      </c>
      <c r="R438" t="inlineStr">
        <is>
          <t>Grommet</t>
        </is>
      </c>
      <c r="S438" t="inlineStr">
        <is>
          <t>2.0000</t>
        </is>
      </c>
      <c r="T438" t="inlineStr">
        <is>
          <t>No</t>
        </is>
      </c>
      <c r="U438" t="inlineStr">
        <is>
          <t>1 Year/18,000 Mile</t>
        </is>
      </c>
      <c r="V438" t="inlineStr">
        <is>
          <t>Yes</t>
        </is>
      </c>
      <c r="W438" t="inlineStr">
        <is>
          <t>Available to Order</t>
        </is>
      </c>
      <c r="X438" t="inlineStr">
        <is>
          <t>Honda Civic 1981-80</t>
        </is>
      </c>
      <c r="Y438" t="inlineStr">
        <is>
          <t>00082617042680</t>
        </is>
      </c>
      <c r="Z438" t="inlineStr">
        <is>
          <t>43-1406::98268:109920:494</t>
        </is>
      </c>
      <c r="AA438" t="inlineStr">
        <is>
          <t>Yes</t>
        </is>
      </c>
      <c r="AB438" t="inlineStr"/>
      <c r="AC438" t="inlineStr"/>
    </row>
    <row r="439">
      <c r="A439" t="inlineStr">
        <is>
          <t>438</t>
        </is>
      </c>
      <c r="B439" t="inlineStr">
        <is>
          <t>Windshield Wiper Motor</t>
        </is>
      </c>
      <c r="C439" t="inlineStr">
        <is>
          <t>43-1407</t>
        </is>
      </c>
      <c r="D439" t="inlineStr">
        <is>
          <t>Windshield Wiper Motor - 43-1407</t>
        </is>
      </c>
      <c r="E439" t="inlineStr">
        <is>
          <t>CARDONE Reman</t>
        </is>
      </c>
      <c r="F439" t="inlineStr">
        <is>
          <t>38410SA0607</t>
        </is>
      </c>
      <c r="G439" t="inlineStr">
        <is>
          <t>Honda Civic 1982-1983</t>
        </is>
      </c>
      <c r="H439" t="inlineStr">
        <is>
          <t>Honda Civic 1982-1983 1.3L L4 1335cc
Honda Civic 1982-1983 1.5L L4 1487cc</t>
        </is>
      </c>
      <c r="I439" t="inlineStr">
        <is>
          <t>{"0": {"productDeskExternalKey": "CPCX|43-1407"}, "1": {"Package Contents": "Wiper Motor; Instruction Sheet"}, "2": {"E-Waste": "Yes"}, "3": {"Product Condition": "Remanufactured"}, "4": {"Mounting Hole Quantity": "2"}, "5": {"Terminal Type": "Blade"}, "6": {"Mounting Type": "Grommet"}, "7": {"Weight PG": "2.3400"}, "8": {"Washer Pump Included": "No"}, "9": {"Part Type": "Windshield Wiper Motor"}, "10": {"Warranty Info": "1 Year/18,000 Mile"}, "11": {"Sustainable Choice": "Yes"}, "12": {"Lifecycle Status": "Available to Order"}, "13": {"Application Summary": "Honda Civic 1983-82"}, "14": {"ItemLevelGTIN": "00082617042697"}, "15": {"_addonCardone": "43-1407::98268:109940:494"}, "16": {"Eligible for R&amp;R Service": "Yes"}}</t>
        </is>
      </c>
      <c r="J439" t="inlineStr">
        <is>
          <t>https://www.cardone.com/product/windshield-wiper-motor-43-1407</t>
        </is>
      </c>
      <c r="K439">
        <f>DISPIMG("ID_10797B164CCF4A07ADE5B88241440B61",1)</f>
        <v/>
      </c>
      <c r="L439" t="inlineStr">
        <is>
          <t>CPCX|43-1407</t>
        </is>
      </c>
      <c r="M439" t="inlineStr">
        <is>
          <t>Wiper Motor; Instruction Sheet</t>
        </is>
      </c>
      <c r="N439" t="inlineStr">
        <is>
          <t>Yes</t>
        </is>
      </c>
      <c r="O439" t="inlineStr">
        <is>
          <t>Remanufactured</t>
        </is>
      </c>
      <c r="P439" t="inlineStr">
        <is>
          <t>2</t>
        </is>
      </c>
      <c r="Q439" t="inlineStr">
        <is>
          <t>Blade</t>
        </is>
      </c>
      <c r="R439" t="inlineStr">
        <is>
          <t>Grommet</t>
        </is>
      </c>
      <c r="S439" t="inlineStr">
        <is>
          <t>2.3400</t>
        </is>
      </c>
      <c r="T439" t="inlineStr">
        <is>
          <t>No</t>
        </is>
      </c>
      <c r="U439" t="inlineStr">
        <is>
          <t>1 Year/18,000 Mile</t>
        </is>
      </c>
      <c r="V439" t="inlineStr">
        <is>
          <t>Yes</t>
        </is>
      </c>
      <c r="W439" t="inlineStr">
        <is>
          <t>Available to Order</t>
        </is>
      </c>
      <c r="X439" t="inlineStr">
        <is>
          <t>Honda Civic 1983-82</t>
        </is>
      </c>
      <c r="Y439" t="inlineStr">
        <is>
          <t>00082617042697</t>
        </is>
      </c>
      <c r="Z439" t="inlineStr">
        <is>
          <t>43-1407::98268:109940:494</t>
        </is>
      </c>
      <c r="AA439" t="inlineStr">
        <is>
          <t>Yes</t>
        </is>
      </c>
      <c r="AB439" t="inlineStr"/>
      <c r="AC439" t="inlineStr"/>
    </row>
    <row r="440">
      <c r="A440" t="inlineStr">
        <is>
          <t>439</t>
        </is>
      </c>
      <c r="B440" t="inlineStr">
        <is>
          <t>Windshield Wiper Motor</t>
        </is>
      </c>
      <c r="C440" t="inlineStr">
        <is>
          <t>43-1408</t>
        </is>
      </c>
      <c r="D440" t="inlineStr">
        <is>
          <t>Windshield Wiper Motor - 43-1408</t>
        </is>
      </c>
      <c r="E440" t="inlineStr">
        <is>
          <t>CARDONE Reman</t>
        </is>
      </c>
      <c r="F440" t="inlineStr">
        <is>
          <t>38410SA5661</t>
        </is>
      </c>
      <c r="G440" t="inlineStr">
        <is>
          <t>Honda Accord 1984-1985</t>
        </is>
      </c>
      <c r="H440" t="inlineStr">
        <is>
          <t>Honda Accord 1984-1985 1.8L L4 1829cc
Honda Accord 1985 1.6L L4 1598cc</t>
        </is>
      </c>
      <c r="I440" t="inlineStr">
        <is>
          <t>{"0": {"productDeskExternalKey": "CPCX|43-1408"}, "1": {"Package Contents": "Wiper Motor; Instruction Sheet"}, "2": {"E-Waste": "Yes"}, "3": {"Product Condition": "Remanufactured"}, "4": {"Terminal Type": "Blade"}, "5": {"Mounting Type": "Direct Bolt; Grommet"}, "6": {"Weight PG": "3.1200"}, "7": {"Washer Pump Included": "No"}, "8": {"Part Type": "Windshield Wiper Motor"}, "9": {"Warranty Info": "1 Year/18,000 Mile"}, "10": {"Sustainable Choice": "Yes"}, "11": {"Lifecycle Status": "Available to Order"}, "12": {"Application Summary": "Honda Accord 1985-84"}, "13": {"ItemLevelGTIN": "00082617081658"}, "14": {"_addonCardone": "43-1408::98268:110255:494"}, "15": {"Eligible for R&amp;R Service": "Yes"}}</t>
        </is>
      </c>
      <c r="J440" t="inlineStr">
        <is>
          <t>https://www.cardone.com/product/windshield-wiper-motor-43-1408</t>
        </is>
      </c>
      <c r="K440">
        <f>DISPIMG("ID_4F41B1D3F62C4DB48A4B8E065E827CDD",1)</f>
        <v/>
      </c>
      <c r="L440" t="inlineStr">
        <is>
          <t>CPCX|43-1408</t>
        </is>
      </c>
      <c r="M440" t="inlineStr">
        <is>
          <t>Wiper Motor; Instruction Sheet</t>
        </is>
      </c>
      <c r="N440" t="inlineStr">
        <is>
          <t>Yes</t>
        </is>
      </c>
      <c r="O440" t="inlineStr">
        <is>
          <t>Remanufactured</t>
        </is>
      </c>
      <c r="P440" t="inlineStr"/>
      <c r="Q440" t="inlineStr">
        <is>
          <t>Blade</t>
        </is>
      </c>
      <c r="R440" t="inlineStr">
        <is>
          <t>Direct Bolt; Grommet</t>
        </is>
      </c>
      <c r="S440" t="inlineStr">
        <is>
          <t>3.1200</t>
        </is>
      </c>
      <c r="T440" t="inlineStr">
        <is>
          <t>No</t>
        </is>
      </c>
      <c r="U440" t="inlineStr">
        <is>
          <t>1 Year/18,000 Mile</t>
        </is>
      </c>
      <c r="V440" t="inlineStr">
        <is>
          <t>Yes</t>
        </is>
      </c>
      <c r="W440" t="inlineStr">
        <is>
          <t>Available to Order</t>
        </is>
      </c>
      <c r="X440" t="inlineStr">
        <is>
          <t>Honda Accord 1985-84</t>
        </is>
      </c>
      <c r="Y440" t="inlineStr">
        <is>
          <t>00082617081658</t>
        </is>
      </c>
      <c r="Z440" t="inlineStr">
        <is>
          <t>43-1408::98268:110255:494</t>
        </is>
      </c>
      <c r="AA440" t="inlineStr">
        <is>
          <t>Yes</t>
        </is>
      </c>
      <c r="AB440" t="inlineStr"/>
      <c r="AC440" t="inlineStr"/>
    </row>
    <row r="441">
      <c r="A441" t="inlineStr">
        <is>
          <t>440</t>
        </is>
      </c>
      <c r="B441" t="inlineStr">
        <is>
          <t>Windshield Wiper Motor</t>
        </is>
      </c>
      <c r="C441" t="inlineStr">
        <is>
          <t>43-1409</t>
        </is>
      </c>
      <c r="D441" t="inlineStr">
        <is>
          <t>Windshield Wiper Motor - 43-1409</t>
        </is>
      </c>
      <c r="E441" t="inlineStr">
        <is>
          <t>CARDONE Reman</t>
        </is>
      </c>
      <c r="F441" t="inlineStr">
        <is>
          <t>38410SA5672</t>
        </is>
      </c>
      <c r="G441" t="inlineStr">
        <is>
          <t>Honda Accord 1982-1983</t>
        </is>
      </c>
      <c r="H441" t="inlineStr">
        <is>
          <t>Honda Accord 1982-1983 1.8L L4 1751cc</t>
        </is>
      </c>
      <c r="I441" t="inlineStr">
        <is>
          <t>{"0": {"productDeskExternalKey": "CPCX|43-1409"}, "1": {"Package Contents": "Wiper Motor; Instruction Sheet"}, "2": {"E-Waste": "Yes"}, "3": {"Product Condition": "Remanufactured"}, "4": {"Mounting Hole Quantity": "3"}, "5": {"Terminal Type": "Blade"}, "6": {"Mounting Type": "Direct Bolt"}, "7": {"Weight PG": "3.0900"}, "8": {"Washer Pump Included": "No"}, "9": {"Part Type": "Windshield Wiper Motor"}, "10": {"Warranty Info": "1 Year/18,000 Mile"}, "11": {"Sustainable Choice": "Yes"}, "12": {"Lifecycle Status": "Available to Order"}, "13": {"Application Summary": "Honda Accord 1983-82"}, "14": {"ItemLevelGTIN": "00082617081665"}, "15": {"_addonCardone": "43-1409::98268:110271:494"}, "16": {"Eligible for R&amp;R Service": "Yes"}}</t>
        </is>
      </c>
      <c r="J441" t="inlineStr">
        <is>
          <t>https://www.cardone.com/product/windshield-wiper-motor-43-1409</t>
        </is>
      </c>
      <c r="K441">
        <f>DISPIMG("ID_0DCC62423E9143328AA4F77A6D5F49B7",1)</f>
        <v/>
      </c>
      <c r="L441" t="inlineStr">
        <is>
          <t>CPCX|43-1409</t>
        </is>
      </c>
      <c r="M441" t="inlineStr">
        <is>
          <t>Wiper Motor; Instruction Sheet</t>
        </is>
      </c>
      <c r="N441" t="inlineStr">
        <is>
          <t>Yes</t>
        </is>
      </c>
      <c r="O441" t="inlineStr">
        <is>
          <t>Remanufactured</t>
        </is>
      </c>
      <c r="P441" t="inlineStr">
        <is>
          <t>3</t>
        </is>
      </c>
      <c r="Q441" t="inlineStr">
        <is>
          <t>Blade</t>
        </is>
      </c>
      <c r="R441" t="inlineStr">
        <is>
          <t>Direct Bolt</t>
        </is>
      </c>
      <c r="S441" t="inlineStr">
        <is>
          <t>3.0900</t>
        </is>
      </c>
      <c r="T441" t="inlineStr">
        <is>
          <t>No</t>
        </is>
      </c>
      <c r="U441" t="inlineStr">
        <is>
          <t>1 Year/18,000 Mile</t>
        </is>
      </c>
      <c r="V441" t="inlineStr">
        <is>
          <t>Yes</t>
        </is>
      </c>
      <c r="W441" t="inlineStr">
        <is>
          <t>Available to Order</t>
        </is>
      </c>
      <c r="X441" t="inlineStr">
        <is>
          <t>Honda Accord 1983-82</t>
        </is>
      </c>
      <c r="Y441" t="inlineStr">
        <is>
          <t>00082617081665</t>
        </is>
      </c>
      <c r="Z441" t="inlineStr">
        <is>
          <t>43-1409::98268:110271:494</t>
        </is>
      </c>
      <c r="AA441" t="inlineStr">
        <is>
          <t>Yes</t>
        </is>
      </c>
      <c r="AB441" t="inlineStr"/>
      <c r="AC441" t="inlineStr"/>
    </row>
    <row r="442">
      <c r="A442" t="inlineStr">
        <is>
          <t>441</t>
        </is>
      </c>
      <c r="B442" t="inlineStr">
        <is>
          <t>Windshield Wiper Motor</t>
        </is>
      </c>
      <c r="C442" t="inlineStr">
        <is>
          <t>43-1410</t>
        </is>
      </c>
      <c r="D442" t="inlineStr">
        <is>
          <t>Windshield Wiper Motor - 43-1410</t>
        </is>
      </c>
      <c r="E442" t="inlineStr">
        <is>
          <t>CARDONE Reman</t>
        </is>
      </c>
      <c r="F442" t="inlineStr">
        <is>
          <t>38401SB2673;38401SB2672;38410SB2673</t>
        </is>
      </c>
      <c r="G442" t="inlineStr">
        <is>
          <t>Acura Integra 1986-1989
Honda Civic 1984-1987</t>
        </is>
      </c>
      <c r="H442" t="inlineStr">
        <is>
          <t>Acura Integra 1986-1989 1.6L L4 1590cc
Honda Civic 1984-1987 1.3L L4 82cid
Honda Civic 1984-1987 1.5L L4 1487cc</t>
        </is>
      </c>
      <c r="I442" t="inlineStr">
        <is>
          <t>{"0": {"productDeskExternalKey": "CPCX|43-1410"}, "1": {"Package Contents": "Wiper Motor; Instruction Sheet"}, "2": {"E-Waste": "Yes"}, "3": {"Product Condition": "Remanufactured"}, "4": {"Mounting Hole Quantity": "3"}, "5": {"Terminal Type": "Blade"}, "6": {"Mounting Type": "Grommet"}, "7": {"Weight PG": "3.2000"}, "8": {"Washer Pump Included": "No"}, "9": {"Part Type": "Windshield Wiper Motor"}, "10": {"Warranty Info": "1 Year/18,000 Mile"}, "11": {"Sustainable Choice": "Yes"}, "12": {"Lifecycle Status": "Available to Order"}, "13": {"Application Summary": "Acura Integra 1989-86; Honda Civic 1987-84"}, "14": {"ItemLevelGTIN": "00082617142700"}, "15": {"_addonCardone": "43-1410::98268:110285:494"}, "16": {"Eligible for R&amp;R Service": "Yes"}}</t>
        </is>
      </c>
      <c r="J442" t="inlineStr">
        <is>
          <t>https://www.cardone.com/product/windshield-wiper-motor-43-1410</t>
        </is>
      </c>
      <c r="K442">
        <f>DISPIMG("ID_F3E2A26223C64B9C8CF8085FE826FE7F",1)</f>
        <v/>
      </c>
      <c r="L442" t="inlineStr">
        <is>
          <t>CPCX|43-1410</t>
        </is>
      </c>
      <c r="M442" t="inlineStr">
        <is>
          <t>Wiper Motor; Instruction Sheet</t>
        </is>
      </c>
      <c r="N442" t="inlineStr">
        <is>
          <t>Yes</t>
        </is>
      </c>
      <c r="O442" t="inlineStr">
        <is>
          <t>Remanufactured</t>
        </is>
      </c>
      <c r="P442" t="inlineStr">
        <is>
          <t>3</t>
        </is>
      </c>
      <c r="Q442" t="inlineStr">
        <is>
          <t>Blade</t>
        </is>
      </c>
      <c r="R442" t="inlineStr">
        <is>
          <t>Grommet</t>
        </is>
      </c>
      <c r="S442" t="inlineStr">
        <is>
          <t>3.2000</t>
        </is>
      </c>
      <c r="T442" t="inlineStr">
        <is>
          <t>No</t>
        </is>
      </c>
      <c r="U442" t="inlineStr">
        <is>
          <t>1 Year/18,000 Mile</t>
        </is>
      </c>
      <c r="V442" t="inlineStr">
        <is>
          <t>Yes</t>
        </is>
      </c>
      <c r="W442" t="inlineStr">
        <is>
          <t>Available to Order</t>
        </is>
      </c>
      <c r="X442" t="inlineStr">
        <is>
          <t>Acura Integra 1989-86; Honda Civic 1987-84</t>
        </is>
      </c>
      <c r="Y442" t="inlineStr">
        <is>
          <t>00082617142700</t>
        </is>
      </c>
      <c r="Z442" t="inlineStr">
        <is>
          <t>43-1410::98268:110285:494</t>
        </is>
      </c>
      <c r="AA442" t="inlineStr">
        <is>
          <t>Yes</t>
        </is>
      </c>
      <c r="AB442" t="inlineStr"/>
      <c r="AC442" t="inlineStr"/>
    </row>
    <row r="443">
      <c r="A443" t="inlineStr">
        <is>
          <t>442</t>
        </is>
      </c>
      <c r="B443" t="inlineStr">
        <is>
          <t>Windshield Wiper Motor</t>
        </is>
      </c>
      <c r="C443" t="inlineStr">
        <is>
          <t>43-1411</t>
        </is>
      </c>
      <c r="D443" t="inlineStr">
        <is>
          <t>Windshield Wiper Motor - 43-1411</t>
        </is>
      </c>
      <c r="E443" t="inlineStr">
        <is>
          <t>CARDONE Reman</t>
        </is>
      </c>
      <c r="F443" t="inlineStr">
        <is>
          <t>38410SB6673;38401SB6672</t>
        </is>
      </c>
      <c r="G443" t="inlineStr">
        <is>
          <t>Honda Civic 1984-1987</t>
        </is>
      </c>
      <c r="H443" t="inlineStr">
        <is>
          <t>Honda Civic 1984-1987 1.3L L4 82cid
Honda Civic 1984-1987 1.5L L4 1487cc</t>
        </is>
      </c>
      <c r="I443" t="inlineStr">
        <is>
          <t>{"0": {"productDeskExternalKey": "CPCX|43-1411"}, "1": {"Package Contents": "Wiper Motor; Instruction Sheet"}, "2": {"E-Waste": "Yes"}, "3": {"Product Condition": "Remanufactured"}, "4": {"Mounting Hole Quantity": "4"}, "5": {"Terminal Type": "Blade"}, "6": {"Mounting Type": "Grommet"}, "7": {"Weight PG": "3.1800"}, "8": {"Washer Pump Included": "No"}, "9": {"Part Type": "Windshield Wiper Motor"}, "10": {"Warranty Info": "1 Year/18,000 Mile"}, "11": {"Sustainable Choice": "Yes"}, "12": {"Lifecycle Status": "Available to Order"}, "13": {"Application Summary": "Honda Civic 1987-84, Wagovan 1987-86 1984"}, "14": {"ItemLevelGTIN": "00082617142717"}, "15": {"_addonCardone": "43-1411::98268:110300:494"}, "16": {"Eligible for R&amp;R Service": "Yes"}}</t>
        </is>
      </c>
      <c r="J443" t="inlineStr">
        <is>
          <t>https://www.cardone.com/product/windshield-wiper-motor-43-1411</t>
        </is>
      </c>
      <c r="K443">
        <f>DISPIMG("ID_D7D93C2435394F5C8340D523A806D377",1)</f>
        <v/>
      </c>
      <c r="L443" t="inlineStr">
        <is>
          <t>CPCX|43-1411</t>
        </is>
      </c>
      <c r="M443" t="inlineStr">
        <is>
          <t>Wiper Motor; Instruction Sheet</t>
        </is>
      </c>
      <c r="N443" t="inlineStr">
        <is>
          <t>Yes</t>
        </is>
      </c>
      <c r="O443" t="inlineStr">
        <is>
          <t>Remanufactured</t>
        </is>
      </c>
      <c r="P443" t="inlineStr">
        <is>
          <t>4</t>
        </is>
      </c>
      <c r="Q443" t="inlineStr">
        <is>
          <t>Blade</t>
        </is>
      </c>
      <c r="R443" t="inlineStr">
        <is>
          <t>Grommet</t>
        </is>
      </c>
      <c r="S443" t="inlineStr">
        <is>
          <t>3.1800</t>
        </is>
      </c>
      <c r="T443" t="inlineStr">
        <is>
          <t>No</t>
        </is>
      </c>
      <c r="U443" t="inlineStr">
        <is>
          <t>1 Year/18,000 Mile</t>
        </is>
      </c>
      <c r="V443" t="inlineStr">
        <is>
          <t>Yes</t>
        </is>
      </c>
      <c r="W443" t="inlineStr">
        <is>
          <t>Available to Order</t>
        </is>
      </c>
      <c r="X443" t="inlineStr">
        <is>
          <t>Honda Civic 1987-84, Wagovan 1987-86 1984</t>
        </is>
      </c>
      <c r="Y443" t="inlineStr">
        <is>
          <t>00082617142717</t>
        </is>
      </c>
      <c r="Z443" t="inlineStr">
        <is>
          <t>43-1411::98268:110300:494</t>
        </is>
      </c>
      <c r="AA443" t="inlineStr">
        <is>
          <t>Yes</t>
        </is>
      </c>
      <c r="AB443" t="inlineStr"/>
      <c r="AC443" t="inlineStr"/>
    </row>
    <row r="444">
      <c r="A444" t="inlineStr">
        <is>
          <t>443</t>
        </is>
      </c>
      <c r="B444" t="inlineStr">
        <is>
          <t>Windshield Wiper Motor</t>
        </is>
      </c>
      <c r="C444" t="inlineStr">
        <is>
          <t>43-1412</t>
        </is>
      </c>
      <c r="D444" t="inlineStr">
        <is>
          <t>Windshield Wiper Motor - 43-1412</t>
        </is>
      </c>
      <c r="E444" t="inlineStr">
        <is>
          <t>CARDONE Reman</t>
        </is>
      </c>
      <c r="F444" t="inlineStr">
        <is>
          <t>38410SB0671</t>
        </is>
      </c>
      <c r="G444" t="inlineStr"/>
      <c r="H444" t="inlineStr"/>
      <c r="I444" t="inlineStr">
        <is>
          <t>{"0": {"productDeskExternalKey": "CPCX|43-1412"}, "1": {"Package Contents": "Wiper Motor; Instruction Sheet"}, "2": {"E-Waste": "Yes"}, "3": {"Product Condition": "Remanufactured"}, "4": {"Terminal Type": "Blade"}, "5": {"Mounting Type": "Direct Bolt"}, "6": {"Weight PG": "3.1300"}, "7": {"Washer Pump Included": "No"}, "8": {"Part Type": "Windshield Wiper Motor"}, "9": {"Warranty Info": "1 Year/18,000 Mile"}, "10": {"Sustainable Choice": "Yes"}, "11": {"Lifecycle Status": "Available to Order"}, "12": {"Application Summary": "Honda Prelude 1984-83"}, "13": {"ItemLevelGTIN": "00082617142724"}, "14": {"_addonCardone": "43-1412::98268:110311:494"}, "15": {"Eligible for R&amp;R Service": "Yes"}}</t>
        </is>
      </c>
      <c r="J444" t="inlineStr">
        <is>
          <t>https://www.cardone.com/product/windshield-wiper-motor-43-1412</t>
        </is>
      </c>
      <c r="K444">
        <f>DISPIMG("ID_DDB36447A63D44F48DCD57942A13383C",1)</f>
        <v/>
      </c>
      <c r="L444" t="inlineStr">
        <is>
          <t>CPCX|43-1412</t>
        </is>
      </c>
      <c r="M444" t="inlineStr">
        <is>
          <t>Wiper Motor; Instruction Sheet</t>
        </is>
      </c>
      <c r="N444" t="inlineStr">
        <is>
          <t>Yes</t>
        </is>
      </c>
      <c r="O444" t="inlineStr">
        <is>
          <t>Remanufactured</t>
        </is>
      </c>
      <c r="P444" t="inlineStr"/>
      <c r="Q444" t="inlineStr">
        <is>
          <t>Blade</t>
        </is>
      </c>
      <c r="R444" t="inlineStr">
        <is>
          <t>Direct Bolt</t>
        </is>
      </c>
      <c r="S444" t="inlineStr">
        <is>
          <t>3.1300</t>
        </is>
      </c>
      <c r="T444" t="inlineStr">
        <is>
          <t>No</t>
        </is>
      </c>
      <c r="U444" t="inlineStr">
        <is>
          <t>1 Year/18,000 Mile</t>
        </is>
      </c>
      <c r="V444" t="inlineStr">
        <is>
          <t>Yes</t>
        </is>
      </c>
      <c r="W444" t="inlineStr">
        <is>
          <t>Available to Order</t>
        </is>
      </c>
      <c r="X444" t="inlineStr">
        <is>
          <t>Honda Prelude 1984-83</t>
        </is>
      </c>
      <c r="Y444" t="inlineStr">
        <is>
          <t>00082617142724</t>
        </is>
      </c>
      <c r="Z444" t="inlineStr">
        <is>
          <t>43-1412::98268:110311:494</t>
        </is>
      </c>
      <c r="AA444" t="inlineStr">
        <is>
          <t>Yes</t>
        </is>
      </c>
      <c r="AB444" t="inlineStr"/>
      <c r="AC444" t="inlineStr"/>
    </row>
    <row r="445">
      <c r="A445" t="inlineStr">
        <is>
          <t>444</t>
        </is>
      </c>
      <c r="B445" t="inlineStr">
        <is>
          <t>Windshield Wiper Motor</t>
        </is>
      </c>
      <c r="C445" t="inlineStr">
        <is>
          <t>43-1413</t>
        </is>
      </c>
      <c r="D445" t="inlineStr">
        <is>
          <t>Windshield Wiper Motor - 43-1413</t>
        </is>
      </c>
      <c r="E445" t="inlineStr">
        <is>
          <t>CARDONE Reman</t>
        </is>
      </c>
      <c r="F445" t="inlineStr">
        <is>
          <t>76505SE0A04</t>
        </is>
      </c>
      <c r="G445" t="inlineStr">
        <is>
          <t>Honda Accord 1986-1989</t>
        </is>
      </c>
      <c r="H445" t="inlineStr">
        <is>
          <t>Honda Accord 1986-1989 2L L4 1955cc</t>
        </is>
      </c>
      <c r="I445" t="inlineStr">
        <is>
          <t>{"0": {"productDeskExternalKey": "CPCX|43-1413"}, "1": {"Package Contents": "Wiper Motor; Instruction Sheet"}, "2": {"E-Waste": "Yes"}, "3": {"Product Condition": "Remanufactured"}, "4": {"Mounting Hole Quantity": "4"}, "5": {"Terminal Type": "Blade"}, "6": {"Mounting Type": "Grommet"}, "7": {"Weight PG": "2.7200"}, "8": {"Washer Pump Included": "No"}, "9": {"Part Type": "Windshield Wiper Motor"}, "10": {"Warranty Info": "1 Year/18,000 Mile"}, "11": {"Sustainable Choice": "Yes"}, "12": {"Lifecycle Status": "Available to Order"}, "13": {"Application Summary": "Honda Accord 1989-86"}, "14": {"ItemLevelGTIN": "00082617143172"}, "15": {"_addonCardone": "43-1413::98268:110331:494"}, "16": {"Eligible for R&amp;R Service": "Yes"}}</t>
        </is>
      </c>
      <c r="J445" t="inlineStr">
        <is>
          <t>https://www.cardone.com/product/windshield-wiper-motor-43-1413</t>
        </is>
      </c>
      <c r="K445">
        <f>DISPIMG("ID_F14239BEBF094BE68196FE2E9A1148F6",1)</f>
        <v/>
      </c>
      <c r="L445" t="inlineStr">
        <is>
          <t>CPCX|43-1413</t>
        </is>
      </c>
      <c r="M445" t="inlineStr">
        <is>
          <t>Wiper Motor; Instruction Sheet</t>
        </is>
      </c>
      <c r="N445" t="inlineStr">
        <is>
          <t>Yes</t>
        </is>
      </c>
      <c r="O445" t="inlineStr">
        <is>
          <t>Remanufactured</t>
        </is>
      </c>
      <c r="P445" t="inlineStr">
        <is>
          <t>4</t>
        </is>
      </c>
      <c r="Q445" t="inlineStr">
        <is>
          <t>Blade</t>
        </is>
      </c>
      <c r="R445" t="inlineStr">
        <is>
          <t>Grommet</t>
        </is>
      </c>
      <c r="S445" t="inlineStr">
        <is>
          <t>2.7200</t>
        </is>
      </c>
      <c r="T445" t="inlineStr">
        <is>
          <t>No</t>
        </is>
      </c>
      <c r="U445" t="inlineStr">
        <is>
          <t>1 Year/18,000 Mile</t>
        </is>
      </c>
      <c r="V445" t="inlineStr">
        <is>
          <t>Yes</t>
        </is>
      </c>
      <c r="W445" t="inlineStr">
        <is>
          <t>Available to Order</t>
        </is>
      </c>
      <c r="X445" t="inlineStr">
        <is>
          <t>Honda Accord 1989-86</t>
        </is>
      </c>
      <c r="Y445" t="inlineStr">
        <is>
          <t>00082617143172</t>
        </is>
      </c>
      <c r="Z445" t="inlineStr">
        <is>
          <t>43-1413::98268:110331:494</t>
        </is>
      </c>
      <c r="AA445" t="inlineStr">
        <is>
          <t>Yes</t>
        </is>
      </c>
      <c r="AB445" t="inlineStr"/>
      <c r="AC445" t="inlineStr"/>
    </row>
    <row r="446">
      <c r="A446" t="inlineStr">
        <is>
          <t>445</t>
        </is>
      </c>
      <c r="B446" t="inlineStr">
        <is>
          <t>Windshield Wiper Motor</t>
        </is>
      </c>
      <c r="C446" t="inlineStr">
        <is>
          <t>43-1414</t>
        </is>
      </c>
      <c r="D446" t="inlineStr">
        <is>
          <t>Windshield Wiper Motor - 43-1414</t>
        </is>
      </c>
      <c r="E446" t="inlineStr">
        <is>
          <t>CARDONE Reman</t>
        </is>
      </c>
      <c r="F446" t="inlineStr">
        <is>
          <t>38410671664</t>
        </is>
      </c>
      <c r="G446" t="inlineStr"/>
      <c r="H446" t="inlineStr"/>
      <c r="I446" t="inlineStr">
        <is>
          <t>{"0": {"productDeskExternalKey": "CPCX|43-1414"}, "1": {"Package Contents": "Wiper Motor; Instruction Sheet"}, "2": {"E-Waste": "Yes"}, "3": {"Product Condition": "Remanufactured"}, "4": {"Mounting Hole Quantity": "3"}, "5": {"Terminal Type": "Blade"}, "6": {"Mounting Type": "Direct Bolt"}, "7": {"Weight PG": "3.2500"}, "8": {"Washer Pump Included": "No"}, "9": {"Part Type": "Windshield Wiper Motor"}, "10": {"Warranty Info": "1 Year/18,000 Mile"}, "11": {"Sustainable Choice": "Yes"}, "12": {"Lifecycle Status": "Available to Order"}, "13": {"Application Summary": "Honda Prelude 1982"}, "14": {"ItemLevelGTIN": "00082617142731"}, "15": {"_addonCardone": "43-1414::98268:110343:494"}, "16": {"Eligible for R&amp;R Service": "Yes"}}</t>
        </is>
      </c>
      <c r="J446" t="inlineStr">
        <is>
          <t>https://www.cardone.com/product/windshield-wiper-motor-43-1414</t>
        </is>
      </c>
      <c r="K446">
        <f>DISPIMG("ID_371F2C528E0644AF84F7F39D2F206A18",1)</f>
        <v/>
      </c>
      <c r="L446" t="inlineStr">
        <is>
          <t>CPCX|43-1414</t>
        </is>
      </c>
      <c r="M446" t="inlineStr">
        <is>
          <t>Wiper Motor; Instruction Sheet</t>
        </is>
      </c>
      <c r="N446" t="inlineStr">
        <is>
          <t>Yes</t>
        </is>
      </c>
      <c r="O446" t="inlineStr">
        <is>
          <t>Remanufactured</t>
        </is>
      </c>
      <c r="P446" t="inlineStr">
        <is>
          <t>3</t>
        </is>
      </c>
      <c r="Q446" t="inlineStr">
        <is>
          <t>Blade</t>
        </is>
      </c>
      <c r="R446" t="inlineStr">
        <is>
          <t>Direct Bolt</t>
        </is>
      </c>
      <c r="S446" t="inlineStr">
        <is>
          <t>3.2500</t>
        </is>
      </c>
      <c r="T446" t="inlineStr">
        <is>
          <t>No</t>
        </is>
      </c>
      <c r="U446" t="inlineStr">
        <is>
          <t>1 Year/18,000 Mile</t>
        </is>
      </c>
      <c r="V446" t="inlineStr">
        <is>
          <t>Yes</t>
        </is>
      </c>
      <c r="W446" t="inlineStr">
        <is>
          <t>Available to Order</t>
        </is>
      </c>
      <c r="X446" t="inlineStr">
        <is>
          <t>Honda Prelude 1982</t>
        </is>
      </c>
      <c r="Y446" t="inlineStr">
        <is>
          <t>00082617142731</t>
        </is>
      </c>
      <c r="Z446" t="inlineStr">
        <is>
          <t>43-1414::98268:110343:494</t>
        </is>
      </c>
      <c r="AA446" t="inlineStr">
        <is>
          <t>Yes</t>
        </is>
      </c>
      <c r="AB446" t="inlineStr"/>
      <c r="AC446" t="inlineStr"/>
    </row>
    <row r="447">
      <c r="A447" t="inlineStr">
        <is>
          <t>446</t>
        </is>
      </c>
      <c r="B447" t="inlineStr">
        <is>
          <t>Windshield Wiper Motor</t>
        </is>
      </c>
      <c r="C447" t="inlineStr">
        <is>
          <t>43-1415</t>
        </is>
      </c>
      <c r="D447" t="inlineStr">
        <is>
          <t>Windshield Wiper Motor - 43-1415</t>
        </is>
      </c>
      <c r="E447" t="inlineStr">
        <is>
          <t>CARDONE Reman</t>
        </is>
      </c>
      <c r="F447" t="inlineStr">
        <is>
          <t>38410SB0672</t>
        </is>
      </c>
      <c r="G447" t="inlineStr"/>
      <c r="H447" t="inlineStr"/>
      <c r="I447" t="inlineStr">
        <is>
          <t>{"0": {"productDeskExternalKey": "CPCX|43-1415"}, "1": {"Package Contents": "Wiper Motor; Instruction Sheet"}, "2": {"E-Waste": "Yes"}, "3": {"Product Condition": "Remanufactured"}, "4": {"Mounting Hole Quantity": "3"}, "5": {"Terminal Type": "Blade"}, "6": {"Mounting Type": "Direct Bolt"}, "7": {"Weight PG": "3.2000"}, "8": {"Washer Pump Included": "No"}, "9": {"Part Type": "Windshield Wiper Motor"}, "10": {"Warranty Info": "1 Year/18,000 Mile"}, "11": {"Sustainable Choice": "Yes"}, "12": {"Lifecycle Status": "Available to Order"}, "13": {"Application Summary": "Honda Prelude 1987-85"}, "14": {"ItemLevelGTIN": "00082617143189"}, "15": {"_addonCardone": "43-1415::98268:110357:494"}, "16": {"Eligible for R&amp;R Service": "Yes"}}</t>
        </is>
      </c>
      <c r="J447" t="inlineStr">
        <is>
          <t>https://www.cardone.com/product/windshield-wiper-motor-43-1415</t>
        </is>
      </c>
      <c r="K447">
        <f>DISPIMG("ID_3ED123F1440F4D75A33A49B72DE2A770",1)</f>
        <v/>
      </c>
      <c r="L447" t="inlineStr">
        <is>
          <t>CPCX|43-1415</t>
        </is>
      </c>
      <c r="M447" t="inlineStr">
        <is>
          <t>Wiper Motor; Instruction Sheet</t>
        </is>
      </c>
      <c r="N447" t="inlineStr">
        <is>
          <t>Yes</t>
        </is>
      </c>
      <c r="O447" t="inlineStr">
        <is>
          <t>Remanufactured</t>
        </is>
      </c>
      <c r="P447" t="inlineStr">
        <is>
          <t>3</t>
        </is>
      </c>
      <c r="Q447" t="inlineStr">
        <is>
          <t>Blade</t>
        </is>
      </c>
      <c r="R447" t="inlineStr">
        <is>
          <t>Direct Bolt</t>
        </is>
      </c>
      <c r="S447" t="inlineStr">
        <is>
          <t>3.2000</t>
        </is>
      </c>
      <c r="T447" t="inlineStr">
        <is>
          <t>No</t>
        </is>
      </c>
      <c r="U447" t="inlineStr">
        <is>
          <t>1 Year/18,000 Mile</t>
        </is>
      </c>
      <c r="V447" t="inlineStr">
        <is>
          <t>Yes</t>
        </is>
      </c>
      <c r="W447" t="inlineStr">
        <is>
          <t>Available to Order</t>
        </is>
      </c>
      <c r="X447" t="inlineStr">
        <is>
          <t>Honda Prelude 1987-85</t>
        </is>
      </c>
      <c r="Y447" t="inlineStr">
        <is>
          <t>00082617143189</t>
        </is>
      </c>
      <c r="Z447" t="inlineStr">
        <is>
          <t>43-1415::98268:110357:494</t>
        </is>
      </c>
      <c r="AA447" t="inlineStr">
        <is>
          <t>Yes</t>
        </is>
      </c>
      <c r="AB447" t="inlineStr"/>
      <c r="AC447" t="inlineStr"/>
    </row>
    <row r="448">
      <c r="A448" t="inlineStr">
        <is>
          <t>447</t>
        </is>
      </c>
      <c r="B448" t="inlineStr">
        <is>
          <t>Windshield Wiper Motor</t>
        </is>
      </c>
      <c r="C448" t="inlineStr">
        <is>
          <t>43-1416</t>
        </is>
      </c>
      <c r="D448" t="inlineStr">
        <is>
          <t>Windshield Wiper Motor - 43-1416</t>
        </is>
      </c>
      <c r="E448" t="inlineStr">
        <is>
          <t>CARDONE Reman</t>
        </is>
      </c>
      <c r="F448" t="inlineStr">
        <is>
          <t>76505SD4S02;76505SD4672;76505SD4673</t>
        </is>
      </c>
      <c r="G448" t="inlineStr">
        <is>
          <t>Acura Legend 1986-1990</t>
        </is>
      </c>
      <c r="H448" t="inlineStr">
        <is>
          <t>Acura Legend 1986-1987 2.5L V6 2494cc
Acura Legend 1987-1990 2.7L V6 2675cc</t>
        </is>
      </c>
      <c r="I448" t="inlineStr">
        <is>
          <t>{"0": {"productDeskExternalKey": "CPCX|43-1416"}, "1": {"Package Contents": "Wiper Motor; Instruction Sheet"}, "2": {"E-Waste": "Yes"}, "3": {"Product Condition": "Remanufactured"}, "4": {"Mounting Hole Quantity": "4"}, "5": {"Terminal Type": "Blade"}, "6": {"Mounting Type": "Grommet"}, "7": {"Weight PG": "4.9500"}, "8": {"Washer Pump Included": "No"}, "9": {"Part Type": "Windshield Wiper Motor"}, "10": {"Warranty Info": "1 Year/18,000 Mile"}, "11": {"Sustainable Choice": "Yes"}, "12": {"Lifecycle Status": "Available to Order"}, "13": {"Application Summary": "Acura Legend 1990-86"}, "14": {"ItemLevelGTIN": "00082617166515"}, "15": {"_addonCardone": "43-1416::98268:110373:494"}, "16": {"Eligible for R&amp;R Service": "Yes"}}</t>
        </is>
      </c>
      <c r="J448" t="inlineStr">
        <is>
          <t>https://www.cardone.com/product/windshield-wiper-motor-43-1416</t>
        </is>
      </c>
      <c r="K448">
        <f>DISPIMG("ID_A458207514B544A99731A8D10A9379CA",1)</f>
        <v/>
      </c>
      <c r="L448" t="inlineStr">
        <is>
          <t>CPCX|43-1416</t>
        </is>
      </c>
      <c r="M448" t="inlineStr">
        <is>
          <t>Wiper Motor; Instruction Sheet</t>
        </is>
      </c>
      <c r="N448" t="inlineStr">
        <is>
          <t>Yes</t>
        </is>
      </c>
      <c r="O448" t="inlineStr">
        <is>
          <t>Remanufactured</t>
        </is>
      </c>
      <c r="P448" t="inlineStr">
        <is>
          <t>4</t>
        </is>
      </c>
      <c r="Q448" t="inlineStr">
        <is>
          <t>Blade</t>
        </is>
      </c>
      <c r="R448" t="inlineStr">
        <is>
          <t>Grommet</t>
        </is>
      </c>
      <c r="S448" t="inlineStr">
        <is>
          <t>4.9500</t>
        </is>
      </c>
      <c r="T448" t="inlineStr">
        <is>
          <t>No</t>
        </is>
      </c>
      <c r="U448" t="inlineStr">
        <is>
          <t>1 Year/18,000 Mile</t>
        </is>
      </c>
      <c r="V448" t="inlineStr">
        <is>
          <t>Yes</t>
        </is>
      </c>
      <c r="W448" t="inlineStr">
        <is>
          <t>Available to Order</t>
        </is>
      </c>
      <c r="X448" t="inlineStr">
        <is>
          <t>Acura Legend 1990-86</t>
        </is>
      </c>
      <c r="Y448" t="inlineStr">
        <is>
          <t>00082617166515</t>
        </is>
      </c>
      <c r="Z448" t="inlineStr">
        <is>
          <t>43-1416::98268:110373:494</t>
        </is>
      </c>
      <c r="AA448" t="inlineStr">
        <is>
          <t>Yes</t>
        </is>
      </c>
      <c r="AB448" t="inlineStr"/>
      <c r="AC448" t="inlineStr"/>
    </row>
    <row r="449">
      <c r="A449" t="inlineStr">
        <is>
          <t>448</t>
        </is>
      </c>
      <c r="B449" t="inlineStr">
        <is>
          <t>Windshield Wiper Motor</t>
        </is>
      </c>
      <c r="C449" t="inlineStr">
        <is>
          <t>43-1417</t>
        </is>
      </c>
      <c r="D449" t="inlineStr">
        <is>
          <t>Windshield Wiper Motor - 43-1417</t>
        </is>
      </c>
      <c r="E449" t="inlineStr">
        <is>
          <t>CARDONE Reman</t>
        </is>
      </c>
      <c r="F449" t="inlineStr">
        <is>
          <t>38410SA5674</t>
        </is>
      </c>
      <c r="G449" t="inlineStr">
        <is>
          <t>Honda Accord 1985</t>
        </is>
      </c>
      <c r="H449" t="inlineStr">
        <is>
          <t>Honda Accord 1985 1.8L L4 1829cc</t>
        </is>
      </c>
      <c r="I449" t="inlineStr">
        <is>
          <t>{"0": {"productDeskExternalKey": "CPCX|43-1417"}, "1": {"Package Contents": "Wiper Motor; Instruction Sheet"}, "2": {"E-Waste": "Yes"}, "3": {"Product Condition": "Remanufactured"}, "4": {"Mounting Hole Quantity": "3"}, "5": {"Terminal Type": "Blade"}, "6": {"Mounting Type": "Direct Bolt"}, "7": {"Weight PG": "3.0400"}, "8": {"Washer Pump Included": "No"}, "9": {"Part Type": "Windshield Wiper Motor"}, "10": {"Warranty Info": "1 Year/18,000 Mile"}, "11": {"Sustainable Choice": "Yes"}, "12": {"Lifecycle Status": "Available to Order"}, "13": {"Application Summary": "Honda Accord 1985"}, "14": {"ItemLevelGTIN": "00082617166522"}, "15": {"_addonCardone": "43-1417::98268:110386:494"}, "16": {"Eligible for R&amp;R Service": "Yes"}}</t>
        </is>
      </c>
      <c r="J449" t="inlineStr">
        <is>
          <t>https://www.cardone.com/product/windshield-wiper-motor-43-1417</t>
        </is>
      </c>
      <c r="K449">
        <f>DISPIMG("ID_A126A55A01174B3193A2FCD9897FCF6E",1)</f>
        <v/>
      </c>
      <c r="L449" t="inlineStr">
        <is>
          <t>CPCX|43-1417</t>
        </is>
      </c>
      <c r="M449" t="inlineStr">
        <is>
          <t>Wiper Motor; Instruction Sheet</t>
        </is>
      </c>
      <c r="N449" t="inlineStr">
        <is>
          <t>Yes</t>
        </is>
      </c>
      <c r="O449" t="inlineStr">
        <is>
          <t>Remanufactured</t>
        </is>
      </c>
      <c r="P449" t="inlineStr">
        <is>
          <t>3</t>
        </is>
      </c>
      <c r="Q449" t="inlineStr">
        <is>
          <t>Blade</t>
        </is>
      </c>
      <c r="R449" t="inlineStr">
        <is>
          <t>Direct Bolt</t>
        </is>
      </c>
      <c r="S449" t="inlineStr">
        <is>
          <t>3.0400</t>
        </is>
      </c>
      <c r="T449" t="inlineStr">
        <is>
          <t>No</t>
        </is>
      </c>
      <c r="U449" t="inlineStr">
        <is>
          <t>1 Year/18,000 Mile</t>
        </is>
      </c>
      <c r="V449" t="inlineStr">
        <is>
          <t>Yes</t>
        </is>
      </c>
      <c r="W449" t="inlineStr">
        <is>
          <t>Available to Order</t>
        </is>
      </c>
      <c r="X449" t="inlineStr">
        <is>
          <t>Honda Accord 1985</t>
        </is>
      </c>
      <c r="Y449" t="inlineStr">
        <is>
          <t>00082617166522</t>
        </is>
      </c>
      <c r="Z449" t="inlineStr">
        <is>
          <t>43-1417::98268:110386:494</t>
        </is>
      </c>
      <c r="AA449" t="inlineStr">
        <is>
          <t>Yes</t>
        </is>
      </c>
      <c r="AB449" t="inlineStr"/>
      <c r="AC449" t="inlineStr"/>
    </row>
    <row r="450">
      <c r="A450" t="inlineStr">
        <is>
          <t>449</t>
        </is>
      </c>
      <c r="B450" t="inlineStr">
        <is>
          <t>Windshield Wiper Motor</t>
        </is>
      </c>
      <c r="C450" t="inlineStr">
        <is>
          <t>43-1418</t>
        </is>
      </c>
      <c r="D450" t="inlineStr">
        <is>
          <t>Windshield Wiper Motor - 43-1418</t>
        </is>
      </c>
      <c r="E450" t="inlineStr">
        <is>
          <t>CARDONE Reman</t>
        </is>
      </c>
      <c r="F450" t="inlineStr">
        <is>
          <t>76505SF1A04</t>
        </is>
      </c>
      <c r="G450" t="inlineStr">
        <is>
          <t>Honda Prelude 1988-1991</t>
        </is>
      </c>
      <c r="H450" t="inlineStr">
        <is>
          <t>Honda Prelude 1988-1991 2L L4 1958cc
Honda Prelude 1990-1991 2.1L L4 2056cc</t>
        </is>
      </c>
      <c r="I450" t="inlineStr">
        <is>
          <t>{"0": {"productDeskExternalKey": "CPCX|43-1418"}, "1": {"Package Contents": "Wiper Motor; Instruction Sheet"}, "2": {"E-Waste": "Yes"}, "3": {"Product Condition": "Remanufactured"}, "4": {"Mounting Hole Quantity": "4"}, "5": {"Terminal Type": "Blade"}, "6": {"Mounting Type": "Grommet"}, "7": {"Weight PG": "2.5000"}, "8": {"Washer Pump Included": "No"}, "9": {"Part Type": "Windshield Wiper Motor"}, "10": {"Warranty Info": "1 Year/18,000 Mile"}, "11": {"Sustainable Choice": "Yes"}, "12": {"Lifecycle Status": "Available to Order"}, "13": {"Application Summary": "Honda Prelude 1991-88"}, "14": {"ItemLevelGTIN": "00082617166539"}, "15": {"_addonCardone": "43-1418::98268:110402:494"}, "16": {"Eligible for R&amp;R Service": "Yes"}}</t>
        </is>
      </c>
      <c r="J450" t="inlineStr">
        <is>
          <t>https://www.cardone.com/product/windshield-wiper-motor-43-1418</t>
        </is>
      </c>
      <c r="K450">
        <f>DISPIMG("ID_F89A73444A5147158FACCF3CD78E3AB2",1)</f>
        <v/>
      </c>
      <c r="L450" t="inlineStr">
        <is>
          <t>CPCX|43-1418</t>
        </is>
      </c>
      <c r="M450" t="inlineStr">
        <is>
          <t>Wiper Motor; Instruction Sheet</t>
        </is>
      </c>
      <c r="N450" t="inlineStr">
        <is>
          <t>Yes</t>
        </is>
      </c>
      <c r="O450" t="inlineStr">
        <is>
          <t>Remanufactured</t>
        </is>
      </c>
      <c r="P450" t="inlineStr">
        <is>
          <t>4</t>
        </is>
      </c>
      <c r="Q450" t="inlineStr">
        <is>
          <t>Blade</t>
        </is>
      </c>
      <c r="R450" t="inlineStr">
        <is>
          <t>Grommet</t>
        </is>
      </c>
      <c r="S450" t="inlineStr">
        <is>
          <t>2.5000</t>
        </is>
      </c>
      <c r="T450" t="inlineStr">
        <is>
          <t>No</t>
        </is>
      </c>
      <c r="U450" t="inlineStr">
        <is>
          <t>1 Year/18,000 Mile</t>
        </is>
      </c>
      <c r="V450" t="inlineStr">
        <is>
          <t>Yes</t>
        </is>
      </c>
      <c r="W450" t="inlineStr">
        <is>
          <t>Available to Order</t>
        </is>
      </c>
      <c r="X450" t="inlineStr">
        <is>
          <t>Honda Prelude 1991-88</t>
        </is>
      </c>
      <c r="Y450" t="inlineStr">
        <is>
          <t>00082617166539</t>
        </is>
      </c>
      <c r="Z450" t="inlineStr">
        <is>
          <t>43-1418::98268:110402:494</t>
        </is>
      </c>
      <c r="AA450" t="inlineStr">
        <is>
          <t>Yes</t>
        </is>
      </c>
      <c r="AB450" t="inlineStr"/>
      <c r="AC450" t="inlineStr"/>
    </row>
    <row r="451">
      <c r="A451" t="inlineStr">
        <is>
          <t>450</t>
        </is>
      </c>
      <c r="B451" t="inlineStr">
        <is>
          <t>Windshield Wiper Motor</t>
        </is>
      </c>
      <c r="C451" t="inlineStr">
        <is>
          <t>43-1419</t>
        </is>
      </c>
      <c r="D451" t="inlineStr">
        <is>
          <t>Windshield Wiper Motor - 43-1419</t>
        </is>
      </c>
      <c r="E451" t="inlineStr">
        <is>
          <t>CARDONE Reman</t>
        </is>
      </c>
      <c r="F451" t="inlineStr">
        <is>
          <t>76505SH3A03</t>
        </is>
      </c>
      <c r="G451" t="inlineStr">
        <is>
          <t>Honda Civic 1988-1991</t>
        </is>
      </c>
      <c r="H451" t="inlineStr">
        <is>
          <t>Honda Civic 1988-1991 1.5L L4 1493cc
Honda Civic 1988-1991 1.6L L4 98cid</t>
        </is>
      </c>
      <c r="I451" t="inlineStr">
        <is>
          <t>{"0": {"productDeskExternalKey": "CPCX|43-1419"}, "1": {"Package Contents": "Wiper Motor; Instruction Sheet"}, "2": {"E-Waste": "Yes"}, "3": {"Product Condition": "Remanufactured"}, "4": {"Mounting Hole Quantity": "4"}, "5": {"Terminal Type": "Blade"}, "6": {"Mounting Type": "Grommet"}, "7": {"Weight PG": "2.8460"}, "8": {"Washer Pump Included": "No"}, "9": {"Part Type": "Windshield Wiper Motor"}, "10": {"Warranty Info": "1 Year/18,000 Mile"}, "11": {"Sustainable Choice": "Yes"}, "12": {"Lifecycle Status": "Available to Order"}, "13": {"Application Summary": "Honda Civic 1991-88, CRX 1991-88"}, "14": {"ItemLevelGTIN": "00082617172523"}, "15": {"_addonCardone": "43-1419::98268:110416:494"}, "16": {"Eligible for R&amp;R Service": "Yes"}}</t>
        </is>
      </c>
      <c r="J451" t="inlineStr">
        <is>
          <t>https://www.cardone.com/product/windshield-wiper-motor-43-1419</t>
        </is>
      </c>
      <c r="K451">
        <f>DISPIMG("ID_625352DA677448509BA76040B59EE7D6",1)</f>
        <v/>
      </c>
      <c r="L451" t="inlineStr">
        <is>
          <t>CPCX|43-1419</t>
        </is>
      </c>
      <c r="M451" t="inlineStr">
        <is>
          <t>Wiper Motor; Instruction Sheet</t>
        </is>
      </c>
      <c r="N451" t="inlineStr">
        <is>
          <t>Yes</t>
        </is>
      </c>
      <c r="O451" t="inlineStr">
        <is>
          <t>Remanufactured</t>
        </is>
      </c>
      <c r="P451" t="inlineStr">
        <is>
          <t>4</t>
        </is>
      </c>
      <c r="Q451" t="inlineStr">
        <is>
          <t>Blade</t>
        </is>
      </c>
      <c r="R451" t="inlineStr">
        <is>
          <t>Grommet</t>
        </is>
      </c>
      <c r="S451" t="inlineStr">
        <is>
          <t>2.8460</t>
        </is>
      </c>
      <c r="T451" t="inlineStr">
        <is>
          <t>No</t>
        </is>
      </c>
      <c r="U451" t="inlineStr">
        <is>
          <t>1 Year/18,000 Mile</t>
        </is>
      </c>
      <c r="V451" t="inlineStr">
        <is>
          <t>Yes</t>
        </is>
      </c>
      <c r="W451" t="inlineStr">
        <is>
          <t>Available to Order</t>
        </is>
      </c>
      <c r="X451" t="inlineStr">
        <is>
          <t>Honda Civic 1991-88, CRX 1991-88</t>
        </is>
      </c>
      <c r="Y451" t="inlineStr">
        <is>
          <t>00082617172523</t>
        </is>
      </c>
      <c r="Z451" t="inlineStr">
        <is>
          <t>43-1419::98268:110416:494</t>
        </is>
      </c>
      <c r="AA451" t="inlineStr">
        <is>
          <t>Yes</t>
        </is>
      </c>
      <c r="AB451" t="inlineStr"/>
      <c r="AC451" t="inlineStr"/>
    </row>
    <row r="452">
      <c r="A452" t="inlineStr">
        <is>
          <t>451</t>
        </is>
      </c>
      <c r="B452" t="inlineStr">
        <is>
          <t>Windshield Wiper Motor</t>
        </is>
      </c>
      <c r="C452" t="inlineStr">
        <is>
          <t>43-1420</t>
        </is>
      </c>
      <c r="D452" t="inlineStr">
        <is>
          <t>Windshield Wiper Motor - 43-1420</t>
        </is>
      </c>
      <c r="E452" t="inlineStr">
        <is>
          <t>CARDONE Reman</t>
        </is>
      </c>
      <c r="F452" t="inlineStr">
        <is>
          <t>76505SM4A01</t>
        </is>
      </c>
      <c r="G452" t="inlineStr">
        <is>
          <t>Acura Vigor 1992-1994
Honda Accord 1990-1993</t>
        </is>
      </c>
      <c r="H452" t="inlineStr">
        <is>
          <t>Acura Vigor 1992-1994 2.5L L5 2451cc
Honda Accord 1990-1993 2.2L L4 2156cc</t>
        </is>
      </c>
      <c r="I452" t="inlineStr">
        <is>
          <t>{"0": {"productDeskExternalKey": "CPCX|43-1420"},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"Acura Vigor 1994-92; Honda Accord 1993-90"}, "14": {"ItemLevelGTIN": "00082617265744"}, "15": {"_addonCardone": "43-1420::98268:110433:494"}, "16": {"Eligible for R&amp;R Service": "Yes"}}</t>
        </is>
      </c>
      <c r="J452" t="inlineStr">
        <is>
          <t>https://www.cardone.com/product/windshield-wiper-motor-43-1420</t>
        </is>
      </c>
      <c r="K452">
        <f>DISPIMG("ID_E86A7764304944B2B921BADDDD53D727",1)</f>
        <v/>
      </c>
      <c r="L452" t="inlineStr">
        <is>
          <t>CPCX|43-1420</t>
        </is>
      </c>
      <c r="M452" t="inlineStr">
        <is>
          <t>Wiper Motor; Instruction Sheet</t>
        </is>
      </c>
      <c r="N452" t="inlineStr">
        <is>
          <t>Yes</t>
        </is>
      </c>
      <c r="O452" t="inlineStr">
        <is>
          <t>Remanufactured</t>
        </is>
      </c>
      <c r="P452" t="inlineStr">
        <is>
          <t>3</t>
        </is>
      </c>
      <c r="Q452" t="inlineStr">
        <is>
          <t>Blade</t>
        </is>
      </c>
      <c r="R452" t="inlineStr">
        <is>
          <t>Direct Bolt</t>
        </is>
      </c>
      <c r="S452" t="inlineStr">
        <is>
          <t>3.0000</t>
        </is>
      </c>
      <c r="T452" t="inlineStr">
        <is>
          <t>No</t>
        </is>
      </c>
      <c r="U452" t="inlineStr">
        <is>
          <t>1 Year/18,000 Mile</t>
        </is>
      </c>
      <c r="V452" t="inlineStr">
        <is>
          <t>Yes</t>
        </is>
      </c>
      <c r="W452" t="inlineStr">
        <is>
          <t>Available to Order</t>
        </is>
      </c>
      <c r="X452" t="inlineStr">
        <is>
          <t>Acura Vigor 1994-92; Honda Accord 1993-90</t>
        </is>
      </c>
      <c r="Y452" t="inlineStr">
        <is>
          <t>00082617265744</t>
        </is>
      </c>
      <c r="Z452" t="inlineStr">
        <is>
          <t>43-1420::98268:110433:494</t>
        </is>
      </c>
      <c r="AA452" t="inlineStr">
        <is>
          <t>Yes</t>
        </is>
      </c>
      <c r="AB452" t="inlineStr"/>
      <c r="AC452" t="inlineStr"/>
    </row>
    <row r="453">
      <c r="A453" t="inlineStr">
        <is>
          <t>452</t>
        </is>
      </c>
      <c r="B453" t="inlineStr">
        <is>
          <t>Windshield Wiper Motor</t>
        </is>
      </c>
      <c r="C453" t="inlineStr">
        <is>
          <t>43-1421</t>
        </is>
      </c>
      <c r="D453" t="inlineStr">
        <is>
          <t>Windshield Wiper Motor - 43-1421</t>
        </is>
      </c>
      <c r="E453" t="inlineStr">
        <is>
          <t>CARDONE Reman</t>
        </is>
      </c>
      <c r="F453" t="inlineStr">
        <is>
          <t>76505SK7A01</t>
        </is>
      </c>
      <c r="G453" t="inlineStr">
        <is>
          <t>Acura Integra 1990-1993</t>
        </is>
      </c>
      <c r="H453" t="inlineStr">
        <is>
          <t>Acura Integra 1990-1993 1.8L L4 1834cc
Acura Integra 1992-1993 1.7L L4 1678cc</t>
        </is>
      </c>
      <c r="I453" t="inlineStr">
        <is>
          <t>{"0": {"productDeskExternalKey": "CPCX|43-1421"}, "1": {"Package Contents": "Wiper Motor; Instruction Sheet"}, "2": {"E-Waste": "Yes"}, "3": {"Product Condition": "Remanufactured"}, "4": {"Mounting Hole Quantity": "4"}, "5": {"Terminal Type": "Blade"}, "6": {"Mounting Type": "Grommet"}, "7": {"Weight PG": "2.7400"}, "8": {"Washer Pump Included": "No"}, "9": {"Part Type": "Windshield Wiper Motor"}, "10": {"Warranty Info": "1 Year/18,000 Mile"}, "11": {"Sustainable Choice": "Yes"}, "12": {"Lifecycle Status": "Available to Order"}, "13": {"Application Summary": "Acura Integra 1993-90"}, "14": {"ItemLevelGTIN": "00082617265751"}, "15": {"_addonCardone": "43-1421::98268:110448:494"}, "16": {"Eligible for R&amp;R Service": "Yes"}}</t>
        </is>
      </c>
      <c r="J453" t="inlineStr">
        <is>
          <t>https://www.cardone.com/product/windshield-wiper-motor-43-1421</t>
        </is>
      </c>
      <c r="K453">
        <f>DISPIMG("ID_8B4771C739AB4DEE82CE66D3FE00223A",1)</f>
        <v/>
      </c>
      <c r="L453" t="inlineStr">
        <is>
          <t>CPCX|43-1421</t>
        </is>
      </c>
      <c r="M453" t="inlineStr">
        <is>
          <t>Wiper Motor; Instruction Sheet</t>
        </is>
      </c>
      <c r="N453" t="inlineStr">
        <is>
          <t>Yes</t>
        </is>
      </c>
      <c r="O453" t="inlineStr">
        <is>
          <t>Remanufactured</t>
        </is>
      </c>
      <c r="P453" t="inlineStr">
        <is>
          <t>4</t>
        </is>
      </c>
      <c r="Q453" t="inlineStr">
        <is>
          <t>Blade</t>
        </is>
      </c>
      <c r="R453" t="inlineStr">
        <is>
          <t>Grommet</t>
        </is>
      </c>
      <c r="S453" t="inlineStr">
        <is>
          <t>2.7400</t>
        </is>
      </c>
      <c r="T453" t="inlineStr">
        <is>
          <t>No</t>
        </is>
      </c>
      <c r="U453" t="inlineStr">
        <is>
          <t>1 Year/18,000 Mile</t>
        </is>
      </c>
      <c r="V453" t="inlineStr">
        <is>
          <t>Yes</t>
        </is>
      </c>
      <c r="W453" t="inlineStr">
        <is>
          <t>Available to Order</t>
        </is>
      </c>
      <c r="X453" t="inlineStr">
        <is>
          <t>Acura Integra 1993-90</t>
        </is>
      </c>
      <c r="Y453" t="inlineStr">
        <is>
          <t>00082617265751</t>
        </is>
      </c>
      <c r="Z453" t="inlineStr">
        <is>
          <t>43-1421::98268:110448:494</t>
        </is>
      </c>
      <c r="AA453" t="inlineStr">
        <is>
          <t>Yes</t>
        </is>
      </c>
      <c r="AB453" t="inlineStr"/>
      <c r="AC453" t="inlineStr"/>
    </row>
    <row r="454">
      <c r="A454" t="inlineStr">
        <is>
          <t>453</t>
        </is>
      </c>
      <c r="B454" t="inlineStr">
        <is>
          <t>Windshield Wiper Motor</t>
        </is>
      </c>
      <c r="C454" t="inlineStr">
        <is>
          <t>43-1423</t>
        </is>
      </c>
      <c r="D454" t="inlineStr">
        <is>
          <t>Windshield Wiper Motor - 43-1423</t>
        </is>
      </c>
      <c r="E454" t="inlineStr">
        <is>
          <t>CARDONE Reman</t>
        </is>
      </c>
      <c r="F454" t="inlineStr">
        <is>
          <t>76505SR3A01</t>
        </is>
      </c>
      <c r="G454" t="inlineStr">
        <is>
          <t>Acura Integra 1994-2001
Honda Civic 1992-1995
Honda Civic del Sol 1993-1997</t>
        </is>
      </c>
      <c r="H454" t="inlineStr">
        <is>
          <t>Acura Integra 1994-2001 1.8L L4 1797cc
Acura Integra 1994-2001 1.8L L4 1834cc
Honda Civic 1992-1995 1.5L L4 1493cc
Honda Civic 1992-1995 1.6L L4 98cid
Honda Civic del Sol 1993-1995 1.5L L4 1493cc
Honda Civic del Sol 1993-1997 1.6L L4 98cid
Honda Civic del Sol 1996-1997 1.6L L4 1595cc</t>
        </is>
      </c>
      <c r="I454" t="inlineStr">
        <is>
          <t>{"0": {"productDeskExternalKey": "CPCX|43-1423"}, "1": {"Package Contents": "Wiper Motor; Instruction Sheet"}, "2": {"E-Waste": "Yes"}, "3": {"Product Condition": "Remanufactured"}, "4": {"Mounting Hole Quantity": "3"}, "5": {"Terminal Type": "Blade"}, "6": {"Mounting Type": "Direct Bolt"}, "7": {"Weight PG": "2.5200"}, "8": {"Washer Pump Included": "No"}, "9": {"Part Type": "Windshield Wiper Motor"}, "10": {"Warranty Info": "1 Year/18,000 Mile"}, "11": {"Sustainable Choice": "Yes"}, "12": {"Lifecycle Status": "Available to Order"}, "13": {"Application Summary": "Acura Integra 2001-94; Honda Civic 1995-92, Civic del Sol 1997-93"}, "14": {"ItemLevelGTIN": "00082617377164"}, "15": {"_addonCardone": "43-1423::98268:110467:494"}, "16": {"Eligible for R&amp;R Service": "Yes"}}</t>
        </is>
      </c>
      <c r="J454" t="inlineStr">
        <is>
          <t>https://www.cardone.com/product/windshield-wiper-motor-43-1423</t>
        </is>
      </c>
      <c r="K454">
        <f>DISPIMG("ID_0A3E03CBA07B473492596910911BE704",1)</f>
        <v/>
      </c>
      <c r="L454" t="inlineStr">
        <is>
          <t>CPCX|43-1423</t>
        </is>
      </c>
      <c r="M454" t="inlineStr">
        <is>
          <t>Wiper Motor; Instruction Sheet</t>
        </is>
      </c>
      <c r="N454" t="inlineStr">
        <is>
          <t>Yes</t>
        </is>
      </c>
      <c r="O454" t="inlineStr">
        <is>
          <t>Remanufactured</t>
        </is>
      </c>
      <c r="P454" t="inlineStr">
        <is>
          <t>3</t>
        </is>
      </c>
      <c r="Q454" t="inlineStr">
        <is>
          <t>Blade</t>
        </is>
      </c>
      <c r="R454" t="inlineStr">
        <is>
          <t>Direct Bolt</t>
        </is>
      </c>
      <c r="S454" t="inlineStr">
        <is>
          <t>2.5200</t>
        </is>
      </c>
      <c r="T454" t="inlineStr">
        <is>
          <t>No</t>
        </is>
      </c>
      <c r="U454" t="inlineStr">
        <is>
          <t>1 Year/18,000 Mile</t>
        </is>
      </c>
      <c r="V454" t="inlineStr">
        <is>
          <t>Yes</t>
        </is>
      </c>
      <c r="W454" t="inlineStr">
        <is>
          <t>Available to Order</t>
        </is>
      </c>
      <c r="X454" t="inlineStr">
        <is>
          <t>Acura Integra 2001-94; Honda Civic 1995-92, Civic del Sol 1997-93</t>
        </is>
      </c>
      <c r="Y454" t="inlineStr">
        <is>
          <t>00082617377164</t>
        </is>
      </c>
      <c r="Z454" t="inlineStr">
        <is>
          <t>43-1423::98268:110467:494</t>
        </is>
      </c>
      <c r="AA454" t="inlineStr">
        <is>
          <t>Yes</t>
        </is>
      </c>
      <c r="AB454" t="inlineStr"/>
      <c r="AC454" t="inlineStr"/>
    </row>
    <row r="455">
      <c r="A455" t="inlineStr">
        <is>
          <t>454</t>
        </is>
      </c>
      <c r="B455" t="inlineStr">
        <is>
          <t>Windshield Wiper Motor</t>
        </is>
      </c>
      <c r="C455" t="inlineStr">
        <is>
          <t>43-1424</t>
        </is>
      </c>
      <c r="D455" t="inlineStr">
        <is>
          <t>Windshield Wiper Motor - 43-1424</t>
        </is>
      </c>
      <c r="E455" t="inlineStr">
        <is>
          <t>CARDONE Reman</t>
        </is>
      </c>
      <c r="F455" t="inlineStr">
        <is>
          <t>76505SP0A01;76505SZ3A01</t>
        </is>
      </c>
      <c r="G455" t="inlineStr">
        <is>
          <t>Acura Legend 1991-1995
Acura RL 1996-2004</t>
        </is>
      </c>
      <c r="H455" t="inlineStr">
        <is>
          <t>Acura Legend 1991-1995 3.2L V6 3206cc
Acura RL 1996-2004 3.5L V6 3475cc</t>
        </is>
      </c>
      <c r="I455" t="inlineStr">
        <is>
          <t>{"0": {"productDeskExternalKey": "CPCX|43-1424"},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"Acura Legend 1995-91, RL 2004-96"}, "14": {"ItemLevelGTIN": "00082617377140"}, "15": {"_addonCardone": "43-1424::98268:110483:494"}, "16": {"Eligible for R&amp;R Service": "Yes"}}</t>
        </is>
      </c>
      <c r="J455" t="inlineStr">
        <is>
          <t>https://www.cardone.com/product/windshield-wiper-motor-43-1424</t>
        </is>
      </c>
      <c r="K455">
        <f>DISPIMG("ID_5E6DDD2780E045CEB9DDF74DF712323F",1)</f>
        <v/>
      </c>
      <c r="L455" t="inlineStr">
        <is>
          <t>CPCX|43-1424</t>
        </is>
      </c>
      <c r="M455" t="inlineStr">
        <is>
          <t>Wiper Motor; Instruction Sheet</t>
        </is>
      </c>
      <c r="N455" t="inlineStr">
        <is>
          <t>Yes</t>
        </is>
      </c>
      <c r="O455" t="inlineStr">
        <is>
          <t>Remanufactured</t>
        </is>
      </c>
      <c r="P455" t="inlineStr">
        <is>
          <t>3</t>
        </is>
      </c>
      <c r="Q455" t="inlineStr">
        <is>
          <t>Blade</t>
        </is>
      </c>
      <c r="R455" t="inlineStr">
        <is>
          <t>Direct Bolt</t>
        </is>
      </c>
      <c r="S455" t="inlineStr">
        <is>
          <t>3.0000</t>
        </is>
      </c>
      <c r="T455" t="inlineStr">
        <is>
          <t>No</t>
        </is>
      </c>
      <c r="U455" t="inlineStr">
        <is>
          <t>1 Year/18,000 Mile</t>
        </is>
      </c>
      <c r="V455" t="inlineStr">
        <is>
          <t>Yes</t>
        </is>
      </c>
      <c r="W455" t="inlineStr">
        <is>
          <t>Available to Order</t>
        </is>
      </c>
      <c r="X455" t="inlineStr">
        <is>
          <t>Acura Legend 1995-91, RL 2004-96</t>
        </is>
      </c>
      <c r="Y455" t="inlineStr">
        <is>
          <t>00082617377140</t>
        </is>
      </c>
      <c r="Z455" t="inlineStr">
        <is>
          <t>43-1424::98268:110483:494</t>
        </is>
      </c>
      <c r="AA455" t="inlineStr">
        <is>
          <t>Yes</t>
        </is>
      </c>
      <c r="AB455" t="inlineStr"/>
      <c r="AC455" t="inlineStr"/>
    </row>
    <row r="456">
      <c r="A456" t="inlineStr">
        <is>
          <t>455</t>
        </is>
      </c>
      <c r="B456" t="inlineStr">
        <is>
          <t>Windshield Wiper Motor</t>
        </is>
      </c>
      <c r="C456" t="inlineStr">
        <is>
          <t>43-1427</t>
        </is>
      </c>
      <c r="D456" t="inlineStr">
        <is>
          <t>Windshield Wiper Motor - 43-1427</t>
        </is>
      </c>
      <c r="E456" t="inlineStr">
        <is>
          <t>CARDONE Reman</t>
        </is>
      </c>
      <c r="F456" t="inlineStr">
        <is>
          <t>76505SV4A01;76505SW5A01</t>
        </is>
      </c>
      <c r="G456" t="inlineStr">
        <is>
          <t>Acura CL 1997-1999
Acura TL 1995-1998
Honda Accord 1994-1997</t>
        </is>
      </c>
      <c r="H456" t="inlineStr">
        <is>
          <t>Acura CL 1997 2.2L L4 2156cc
Acura CL 1997-1999 3L V6 2997cc
Acura CL 1998-1999 2.3L L4 2254cc
Acura TL 1995-1998 2.5L L5 2451cc
Acura TL 1996-1998 3.2L V6 3206cc
Honda Accord 1994-1997 2.2L L4 2156cc
Honda Accord 1995-1997 2.7L V6 2675cc</t>
        </is>
      </c>
      <c r="I456" t="inlineStr">
        <is>
          <t>{"0": {"productDeskExternalKey": "CPCX|43-1427"}, "1": {"Package Contents": "Wiper Motor; Instruction Sheet"}, "2": {"E-Waste": "Yes"}, "3": {"Product Condition": "Remanufactured"}, "4": {"Mounting Hole Quantity": "3"}, "5": {"Terminal Type": "Blade"}, "6": {"Mounting Type": "Direct Bolt"}, "7": {"Weight PG": "3.0600"}, "8": {"Washer Pump Included": "No"}, "9": {"Part Type": "Windshield Wiper Motor"}, "10": {"Warranty Info": "1 Year/18,000 Mile"}, "11": {"Sustainable Choice": "Yes"}, "12": {"Lifecycle Status": "Available to Order"}, "13": {"Application Summary": "Acura CL 1999-97, TL 1998-95; Honda Accord 1997-94"}, "14": {"ItemLevelGTIN": "00082617377171"}, "15": {"_addonCardone": "43-1427::98268:110502:494"}, "16": {"Eligible for R&amp;R Service": "Yes"}}</t>
        </is>
      </c>
      <c r="J456" t="inlineStr">
        <is>
          <t>https://www.cardone.com/product/windshield-wiper-motor-43-1427</t>
        </is>
      </c>
      <c r="K456">
        <f>DISPIMG("ID_ED7055FE800546E6A4B8DD86DDF143CA",1)</f>
        <v/>
      </c>
      <c r="L456" t="inlineStr">
        <is>
          <t>CPCX|43-1427</t>
        </is>
      </c>
      <c r="M456" t="inlineStr">
        <is>
          <t>Wiper Motor; Instruction Sheet</t>
        </is>
      </c>
      <c r="N456" t="inlineStr">
        <is>
          <t>Yes</t>
        </is>
      </c>
      <c r="O456" t="inlineStr">
        <is>
          <t>Remanufactured</t>
        </is>
      </c>
      <c r="P456" t="inlineStr">
        <is>
          <t>3</t>
        </is>
      </c>
      <c r="Q456" t="inlineStr">
        <is>
          <t>Blade</t>
        </is>
      </c>
      <c r="R456" t="inlineStr">
        <is>
          <t>Direct Bolt</t>
        </is>
      </c>
      <c r="S456" t="inlineStr">
        <is>
          <t>3.0600</t>
        </is>
      </c>
      <c r="T456" t="inlineStr">
        <is>
          <t>No</t>
        </is>
      </c>
      <c r="U456" t="inlineStr">
        <is>
          <t>1 Year/18,000 Mile</t>
        </is>
      </c>
      <c r="V456" t="inlineStr">
        <is>
          <t>Yes</t>
        </is>
      </c>
      <c r="W456" t="inlineStr">
        <is>
          <t>Available to Order</t>
        </is>
      </c>
      <c r="X456" t="inlineStr">
        <is>
          <t>Acura CL 1999-97, TL 1998-95; Honda Accord 1997-94</t>
        </is>
      </c>
      <c r="Y456" t="inlineStr">
        <is>
          <t>00082617377171</t>
        </is>
      </c>
      <c r="Z456" t="inlineStr">
        <is>
          <t>43-1427::98268:110502:494</t>
        </is>
      </c>
      <c r="AA456" t="inlineStr">
        <is>
          <t>Yes</t>
        </is>
      </c>
      <c r="AB456" t="inlineStr"/>
      <c r="AC456" t="inlineStr"/>
    </row>
    <row r="457">
      <c r="A457" t="inlineStr">
        <is>
          <t>456</t>
        </is>
      </c>
      <c r="B457" t="inlineStr">
        <is>
          <t>Windshield Wiper Motor</t>
        </is>
      </c>
      <c r="C457" t="inlineStr">
        <is>
          <t>43-1428</t>
        </is>
      </c>
      <c r="D457" t="inlineStr">
        <is>
          <t>Windshield Wiper Motor - 43-1428</t>
        </is>
      </c>
      <c r="E457" t="inlineStr">
        <is>
          <t>CARDONE Reman</t>
        </is>
      </c>
      <c r="F457" t="inlineStr">
        <is>
          <t>76574S01A07;76505SR1A05</t>
        </is>
      </c>
      <c r="G457" t="inlineStr">
        <is>
          <t>Honda Civic 1992-2000</t>
        </is>
      </c>
      <c r="H457" t="inlineStr">
        <is>
          <t>Honda Civic 1992-1995 1.5L L4 1493cc
Honda Civic 1992-2000 1.6L L4 98cid
Honda Civic 1997-2000 1.6L L4 1590cc
Honda Civic 1999-2000 1.6L L4 1595cc</t>
        </is>
      </c>
      <c r="I457" t="inlineStr">
        <is>
          <t>{"0": {"productDeskExternalKey": "CPCX|43-1428"}, "1": {"Package Contents": "Wiper Motor; Instruction Sheet"}, "2": {"E-Waste": "Yes"}, "3": {"Product Condition": "Remanufactured"}, "4": {"Mounting Hole Quantity": "3"}, "5": {"Terminal Type": "Blade"}, "6": {"Mounting Type": "Direct Bolt; Grommet"}, "7": {"Weight PG": "2.9800"}, "8": {"Washer Pump Included": "No"}, "9": {"Part Type": "Windshield Wiper Motor"}, "10": {"Warranty Info": "1 Year/18,000 Mile"}, "11": {"Sustainable Choice": "Yes"}, "12": {"Lifecycle Status": "Available to Order"}, "13": {"Application Summary": "Honda Civic 2000-97 1995-92"}, "14": {"ItemLevelGTIN": "00082617377157"}, "15": {"_addonCardone": "43-1428::98268:110522:494"}, "16": {"Eligible for R&amp;R Service": "Yes"}}</t>
        </is>
      </c>
      <c r="J457" t="inlineStr">
        <is>
          <t>https://www.cardone.com/product/windshield-wiper-motor-43-1428</t>
        </is>
      </c>
      <c r="K457">
        <f>DISPIMG("ID_00B3793555524288BC67A3815B7ABBA6",1)</f>
        <v/>
      </c>
      <c r="L457" t="inlineStr">
        <is>
          <t>CPCX|43-1428</t>
        </is>
      </c>
      <c r="M457" t="inlineStr">
        <is>
          <t>Wiper Motor; Instruction Sheet</t>
        </is>
      </c>
      <c r="N457" t="inlineStr">
        <is>
          <t>Yes</t>
        </is>
      </c>
      <c r="O457" t="inlineStr">
        <is>
          <t>Remanufactured</t>
        </is>
      </c>
      <c r="P457" t="inlineStr">
        <is>
          <t>3</t>
        </is>
      </c>
      <c r="Q457" t="inlineStr">
        <is>
          <t>Blade</t>
        </is>
      </c>
      <c r="R457" t="inlineStr">
        <is>
          <t>Direct Bolt; Grommet</t>
        </is>
      </c>
      <c r="S457" t="inlineStr">
        <is>
          <t>2.9800</t>
        </is>
      </c>
      <c r="T457" t="inlineStr">
        <is>
          <t>No</t>
        </is>
      </c>
      <c r="U457" t="inlineStr">
        <is>
          <t>1 Year/18,000 Mile</t>
        </is>
      </c>
      <c r="V457" t="inlineStr">
        <is>
          <t>Yes</t>
        </is>
      </c>
      <c r="W457" t="inlineStr">
        <is>
          <t>Available to Order</t>
        </is>
      </c>
      <c r="X457" t="inlineStr">
        <is>
          <t>Honda Civic 2000-97 1995-92</t>
        </is>
      </c>
      <c r="Y457" t="inlineStr">
        <is>
          <t>00082617377157</t>
        </is>
      </c>
      <c r="Z457" t="inlineStr">
        <is>
          <t>43-1428::98268:110522:494</t>
        </is>
      </c>
      <c r="AA457" t="inlineStr">
        <is>
          <t>Yes</t>
        </is>
      </c>
      <c r="AB457" t="inlineStr"/>
      <c r="AC457" t="inlineStr"/>
    </row>
    <row r="458">
      <c r="A458" t="inlineStr">
        <is>
          <t>457</t>
        </is>
      </c>
      <c r="B458" t="inlineStr">
        <is>
          <t>Windshield Wiper Motor</t>
        </is>
      </c>
      <c r="C458" t="inlineStr">
        <is>
          <t>43-1429</t>
        </is>
      </c>
      <c r="D458" t="inlineStr">
        <is>
          <t>Windshield Wiper Motor - 43-1429</t>
        </is>
      </c>
      <c r="E458" t="inlineStr">
        <is>
          <t>CARDONE Reman</t>
        </is>
      </c>
      <c r="F458" t="inlineStr">
        <is>
          <t>76505SP0003</t>
        </is>
      </c>
      <c r="G458" t="inlineStr"/>
      <c r="H458" t="inlineStr"/>
      <c r="I458" t="inlineStr">
        <is>
          <t>{"0": {"productDeskExternalKey": "CPCX|43-1429"}, "1": {"Package Contents": "Wiper Motor; Instruction Sheet"}, "2": {"E-Waste": "Yes"}, "3": {"Product Condition": "Remanufactured"}, "4": {"Mounting Hole Quantity": "3"}, "5": {"Terminal Type": "Blade"}, "6": {"Mounting Type": "Direct Bolt"}, "7": {"Weight PG": "2.9800"}, "8": {"Washer Pump Included": "No"}, "9": {"Part Type": "Windshield Wiper Motor"}, "10": {"Warranty Info": "1 Year/18,000 Mile"}, "11": {"Sustainable Choice": "Yes"}, "12": {"Lifecycle Status": "Available to Order"}, "13": {"Application Summary": "Honda Prelude 1996-92"}, "14": {"ItemLevelGTIN": "00082617456098"}, "15": {"_addonCardone": "43-1429::98268:110541:494"}, "16": {"Eligible for R&amp;R Service": "Yes"}}</t>
        </is>
      </c>
      <c r="J458" t="inlineStr">
        <is>
          <t>https://www.cardone.com/product/windshield-wiper-motor-43-1429</t>
        </is>
      </c>
      <c r="K458">
        <f>DISPIMG("ID_EBBAF5AE89B9447CA49059E918CE69A9",1)</f>
        <v/>
      </c>
      <c r="L458" t="inlineStr">
        <is>
          <t>CPCX|43-1429</t>
        </is>
      </c>
      <c r="M458" t="inlineStr">
        <is>
          <t>Wiper Motor; Instruction Sheet</t>
        </is>
      </c>
      <c r="N458" t="inlineStr">
        <is>
          <t>Yes</t>
        </is>
      </c>
      <c r="O458" t="inlineStr">
        <is>
          <t>Remanufactured</t>
        </is>
      </c>
      <c r="P458" t="inlineStr">
        <is>
          <t>3</t>
        </is>
      </c>
      <c r="Q458" t="inlineStr">
        <is>
          <t>Blade</t>
        </is>
      </c>
      <c r="R458" t="inlineStr">
        <is>
          <t>Direct Bolt</t>
        </is>
      </c>
      <c r="S458" t="inlineStr">
        <is>
          <t>2.9800</t>
        </is>
      </c>
      <c r="T458" t="inlineStr">
        <is>
          <t>No</t>
        </is>
      </c>
      <c r="U458" t="inlineStr">
        <is>
          <t>1 Year/18,000 Mile</t>
        </is>
      </c>
      <c r="V458" t="inlineStr">
        <is>
          <t>Yes</t>
        </is>
      </c>
      <c r="W458" t="inlineStr">
        <is>
          <t>Available to Order</t>
        </is>
      </c>
      <c r="X458" t="inlineStr">
        <is>
          <t>Honda Prelude 1996-92</t>
        </is>
      </c>
      <c r="Y458" t="inlineStr">
        <is>
          <t>00082617456098</t>
        </is>
      </c>
      <c r="Z458" t="inlineStr">
        <is>
          <t>43-1429::98268:110541:494</t>
        </is>
      </c>
      <c r="AA458" t="inlineStr">
        <is>
          <t>Yes</t>
        </is>
      </c>
      <c r="AB458" t="inlineStr"/>
      <c r="AC458" t="inlineStr"/>
    </row>
    <row r="459">
      <c r="A459" t="inlineStr">
        <is>
          <t>458</t>
        </is>
      </c>
      <c r="B459" t="inlineStr">
        <is>
          <t>Windshield Wiper Motor</t>
        </is>
      </c>
      <c r="C459" t="inlineStr">
        <is>
          <t>43-1433</t>
        </is>
      </c>
      <c r="D459" t="inlineStr">
        <is>
          <t>Windshield Wiper Motor - 43-1433</t>
        </is>
      </c>
      <c r="E459" t="inlineStr">
        <is>
          <t>CARDONE Reman</t>
        </is>
      </c>
      <c r="F459" t="inlineStr">
        <is>
          <t>86511GA470</t>
        </is>
      </c>
      <c r="G459" t="inlineStr">
        <is>
          <t>Subaru XT 1986-1991</t>
        </is>
      </c>
      <c r="H459" t="inlineStr">
        <is>
          <t>Subaru XT 1986-1991 1.8L H4 1781cc
Subaru XT 1988-1991 2.7L H6 2672cc</t>
        </is>
      </c>
      <c r="I459" t="inlineStr">
        <is>
          <t>{"0": {"productDeskExternalKey": "CPCX|43-1433"}, "1": {"Package Contents": "Wiper Motor; Instruction Sheet"}, "2": {"E-Waste": "Yes"}, "3": {"Product Condition": "Remanufactured"}, "4": {"Mounting Hole Quantity": "4"}, "5": {"Terminal Type": "Blade"}, "6": {"Mounting Type": "Grommet"}, "7": {"Weight PG": "4.5000"}, "8": {"Washer Pump Included": "No"}, "9": {"Part Type": "Windshield Wiper Motor"}, "10": {"Warranty Info": "1 Year/18,000 Mile"}, "11": {"Sustainable Choice": "Yes"}, "12": {"Lifecycle Status": "Available to Order"}, "13": {"Application Summary": "Subaru XT 1991-86"}, "14": {"ItemLevelGTIN": "00082617142748"}, "15": {"_addonCardone": "43-1433::98268:110560:494"}, "16": {"Eligible for R&amp;R Service": "Yes"}}</t>
        </is>
      </c>
      <c r="J459" t="inlineStr">
        <is>
          <t>https://www.cardone.com/product/windshield-wiper-motor-43-1433</t>
        </is>
      </c>
      <c r="K459">
        <f>DISPIMG("ID_D4D5AB2451EE43799F17CB1D7D9B00E9",1)</f>
        <v/>
      </c>
      <c r="L459" t="inlineStr">
        <is>
          <t>CPCX|43-1433</t>
        </is>
      </c>
      <c r="M459" t="inlineStr">
        <is>
          <t>Wiper Motor; Instruction Sheet</t>
        </is>
      </c>
      <c r="N459" t="inlineStr">
        <is>
          <t>Yes</t>
        </is>
      </c>
      <c r="O459" t="inlineStr">
        <is>
          <t>Remanufactured</t>
        </is>
      </c>
      <c r="P459" t="inlineStr">
        <is>
          <t>4</t>
        </is>
      </c>
      <c r="Q459" t="inlineStr">
        <is>
          <t>Blade</t>
        </is>
      </c>
      <c r="R459" t="inlineStr">
        <is>
          <t>Grommet</t>
        </is>
      </c>
      <c r="S459" t="inlineStr">
        <is>
          <t>4.5000</t>
        </is>
      </c>
      <c r="T459" t="inlineStr">
        <is>
          <t>No</t>
        </is>
      </c>
      <c r="U459" t="inlineStr">
        <is>
          <t>1 Year/18,000 Mile</t>
        </is>
      </c>
      <c r="V459" t="inlineStr">
        <is>
          <t>Yes</t>
        </is>
      </c>
      <c r="W459" t="inlineStr">
        <is>
          <t>Available to Order</t>
        </is>
      </c>
      <c r="X459" t="inlineStr">
        <is>
          <t>Subaru XT 1991-86</t>
        </is>
      </c>
      <c r="Y459" t="inlineStr">
        <is>
          <t>00082617142748</t>
        </is>
      </c>
      <c r="Z459" t="inlineStr">
        <is>
          <t>43-1433::98268:110560:494</t>
        </is>
      </c>
      <c r="AA459" t="inlineStr">
        <is>
          <t>Yes</t>
        </is>
      </c>
      <c r="AB459" t="inlineStr"/>
      <c r="AC459" t="inlineStr"/>
    </row>
    <row r="460">
      <c r="A460" t="inlineStr">
        <is>
          <t>459</t>
        </is>
      </c>
      <c r="B460" t="inlineStr">
        <is>
          <t>Windshield Wiper Motor</t>
        </is>
      </c>
      <c r="C460" t="inlineStr">
        <is>
          <t>43-1435</t>
        </is>
      </c>
      <c r="D460" t="inlineStr">
        <is>
          <t>Windshield Wiper Motor - 43-1435</t>
        </is>
      </c>
      <c r="E460" t="inlineStr">
        <is>
          <t>CARDONE Reman</t>
        </is>
      </c>
      <c r="F460" t="inlineStr">
        <is>
          <t>786511530;786511010;786511430</t>
        </is>
      </c>
      <c r="G460" t="inlineStr">
        <is>
          <t>Subaru Brat 1982-1987
Subaru DL 1980-1984
Subaru GL 1980-1989
Subaru GLF 1980-1982
Subaru Justy 1987-1994
Subaru Standard 1980-1985</t>
        </is>
      </c>
      <c r="H460" t="inlineStr">
        <is>
          <t>Subaru Brat 1982-1987 1.8L H4 1781cc
Subaru DL 1980-1984 1.6L H4 1595cc
Subaru DL 1980-1984 1.8L H4 1781cc
Subaru GL 1980-1987 1.6L H4 1595cc
Subaru GL 1980-1989 1.8L H4 1781cc
Subaru GLF 1980 1.6L H4 1595cc
Subaru GLF 1980-1982 1.8L H4 1781cc
Subaru Justy 1987-1994 1.2L L3 1189cc
Subaru Standard 1980-1985 1.6L H4 1595cc
Subaru Standard 1981-1982 1.8L H4 1781cc</t>
        </is>
      </c>
      <c r="I460" t="inlineStr">
        <is>
          <t>{"0": {"productDeskExternalKey": "CPCX|43-1435"}, "1": {"Package Contents": "Wiper Motor; Instruction Sheet"}, "2": {"E-Waste": "Yes"}, "3": {"Product Condition": "Remanufactured"}, "4": {"Mounting Hole Quantity": "3"}, "5": {"Terminal Type": "Blade"}, "6": {"Mounting Type": "Direct Bolt"}, "7": {"Weight PG": "2.8200"}, "8": {"Washer Pump Included": "No"}, "9": {"Part Type": "Windshield Wiper Motor"}, "10": {"Warranty Info": "1 Year/18,000 Mile"}, "11": {"Sustainable Choice": "Yes"}, "12": {"Lifecycle Status": "Available to Order"}, "13": {"Application Summary": "Subaru Brat 1987-82, DL 1984-80, GL 1989-80, GLF 1982-80, Justy 1994-87, Standard 1985-80"}, "14": {"ItemLevelGTIN": "00082617042734"}, "15": {"_addonCardone": "43-1435::98268:110576:494"}, "16": {"Eligible for R&amp;R Service": "Yes"}}</t>
        </is>
      </c>
      <c r="J460" t="inlineStr">
        <is>
          <t>https://www.cardone.com/product/windshield-wiper-motor-43-1435</t>
        </is>
      </c>
      <c r="K460">
        <f>DISPIMG("ID_6963B0DE9C024B539BE0DD4CF8FD4D92",1)</f>
        <v/>
      </c>
      <c r="L460" t="inlineStr">
        <is>
          <t>CPCX|43-1435</t>
        </is>
      </c>
      <c r="M460" t="inlineStr">
        <is>
          <t>Wiper Motor; Instruction Sheet</t>
        </is>
      </c>
      <c r="N460" t="inlineStr">
        <is>
          <t>Yes</t>
        </is>
      </c>
      <c r="O460" t="inlineStr">
        <is>
          <t>Remanufactured</t>
        </is>
      </c>
      <c r="P460" t="inlineStr">
        <is>
          <t>3</t>
        </is>
      </c>
      <c r="Q460" t="inlineStr">
        <is>
          <t>Blade</t>
        </is>
      </c>
      <c r="R460" t="inlineStr">
        <is>
          <t>Direct Bolt</t>
        </is>
      </c>
      <c r="S460" t="inlineStr">
        <is>
          <t>2.8200</t>
        </is>
      </c>
      <c r="T460" t="inlineStr">
        <is>
          <t>No</t>
        </is>
      </c>
      <c r="U460" t="inlineStr">
        <is>
          <t>1 Year/18,000 Mile</t>
        </is>
      </c>
      <c r="V460" t="inlineStr">
        <is>
          <t>Yes</t>
        </is>
      </c>
      <c r="W460" t="inlineStr">
        <is>
          <t>Available to Order</t>
        </is>
      </c>
      <c r="X460" t="inlineStr">
        <is>
          <t>Subaru Brat 1987-82, DL 1984-80, GL 1989-80, GLF 1982-80, Justy 1994-87, Standard 1985-80</t>
        </is>
      </c>
      <c r="Y460" t="inlineStr">
        <is>
          <t>00082617042734</t>
        </is>
      </c>
      <c r="Z460" t="inlineStr">
        <is>
          <t>43-1435::98268:110576:494</t>
        </is>
      </c>
      <c r="AA460" t="inlineStr">
        <is>
          <t>Yes</t>
        </is>
      </c>
      <c r="AB460" t="inlineStr"/>
      <c r="AC460" t="inlineStr"/>
    </row>
    <row r="461">
      <c r="A461" t="inlineStr">
        <is>
          <t>460</t>
        </is>
      </c>
      <c r="B461" t="inlineStr">
        <is>
          <t>Windshield Wiper Motor</t>
        </is>
      </c>
      <c r="C461" t="inlineStr">
        <is>
          <t>43-1436</t>
        </is>
      </c>
      <c r="D461" t="inlineStr">
        <is>
          <t>Windshield Wiper Motor - 43-1436</t>
        </is>
      </c>
      <c r="E461" t="inlineStr">
        <is>
          <t>CARDONE Reman</t>
        </is>
      </c>
      <c r="F461" t="inlineStr">
        <is>
          <t>86511GA420;86511GA220</t>
        </is>
      </c>
      <c r="G461" t="inlineStr">
        <is>
          <t>Subaru DL 1985-1989
Subaru GL 1985-1989
Subaru GL-10 1985-1989
Subaru Loyale 1990-1994
Subaru RX 1986-1989
Subaru Standard 1986-1987</t>
        </is>
      </c>
      <c r="H461" t="inlineStr">
        <is>
          <t>Subaru DL 1985-1989 1.8L H4 1781cc
Subaru GL 1985-1989 1.8L H4 1781cc
Subaru GL 1986-1987 1.6L H4 1595cc
Subaru GL-10 1985-1989 1.8L H4 1781cc
Subaru Loyale 1990-1994 1.8L H4 1781cc
Subaru RX 1986-1989 1.8L H4 1781cc
Subaru Standard 1986-1987 1.6L H4 1595cc
Subaru Standard 1987 1.8L H4 1781cc</t>
        </is>
      </c>
      <c r="I461" t="inlineStr">
        <is>
          <t>{"0": {"productDeskExternalKey": "CPCX|43-1436"}, "1": {"Package Contents": "Wiper Motor; Instruction Sheet"}, "2": {"E-Waste": "Yes"}, "3": {"Product Condition": "Remanufactured"}, "4": {"Mounting Hole Quantity": "3"}, "5": {"Terminal Type": "Blade"}, "6": {"Mounting Type": "Direct Bolt"}, "7": {"Weight PG": "3.0600"}, "8": {"Washer Pump Included": "No"}, "9": {"Part Type": "Windshield Wiper Motor"}, "10": {"Warranty Info": "1 Year/18,000 Mile"}, "11": {"Sustainable Choice": "Yes"}, "12": {"Lifecycle Status": "Available to Order"}, "13": {"Application Summary": "Subaru DL 1989-85, GL 1989-85, GL-10 1989-85, Loyale 1994-90, RX 1989-86, Standard 1987-86"}, "14": {"ItemLevelGTIN": "00082617142755"}, "15": {"_addonCardone": "43-1436::98268:110594:494"}, "16": {"Eligible for R&amp;R Service": "Yes"}}</t>
        </is>
      </c>
      <c r="J461" t="inlineStr">
        <is>
          <t>https://www.cardone.com/product/windshield-wiper-motor-43-1436</t>
        </is>
      </c>
      <c r="K461">
        <f>DISPIMG("ID_916F7DD7F25B4798A9C3FE5B89E7B268",1)</f>
        <v/>
      </c>
      <c r="L461" t="inlineStr">
        <is>
          <t>CPCX|43-1436</t>
        </is>
      </c>
      <c r="M461" t="inlineStr">
        <is>
          <t>Wiper Motor; Instruction Sheet</t>
        </is>
      </c>
      <c r="N461" t="inlineStr">
        <is>
          <t>Yes</t>
        </is>
      </c>
      <c r="O461" t="inlineStr">
        <is>
          <t>Remanufactured</t>
        </is>
      </c>
      <c r="P461" t="inlineStr">
        <is>
          <t>3</t>
        </is>
      </c>
      <c r="Q461" t="inlineStr">
        <is>
          <t>Blade</t>
        </is>
      </c>
      <c r="R461" t="inlineStr">
        <is>
          <t>Direct Bolt</t>
        </is>
      </c>
      <c r="S461" t="inlineStr">
        <is>
          <t>3.0600</t>
        </is>
      </c>
      <c r="T461" t="inlineStr">
        <is>
          <t>No</t>
        </is>
      </c>
      <c r="U461" t="inlineStr">
        <is>
          <t>1 Year/18,000 Mile</t>
        </is>
      </c>
      <c r="V461" t="inlineStr">
        <is>
          <t>Yes</t>
        </is>
      </c>
      <c r="W461" t="inlineStr">
        <is>
          <t>Available to Order</t>
        </is>
      </c>
      <c r="X461" t="inlineStr">
        <is>
          <t>Subaru DL 1989-85, GL 1989-85, GL-10 1989-85, Loyale 1994-90, RX 1989-86, Standard 1987-86</t>
        </is>
      </c>
      <c r="Y461" t="inlineStr">
        <is>
          <t>00082617142755</t>
        </is>
      </c>
      <c r="Z461" t="inlineStr">
        <is>
          <t>43-1436::98268:110594:494</t>
        </is>
      </c>
      <c r="AA461" t="inlineStr">
        <is>
          <t>Yes</t>
        </is>
      </c>
      <c r="AB461" t="inlineStr"/>
      <c r="AC461" t="inlineStr"/>
    </row>
    <row r="462">
      <c r="A462" t="inlineStr">
        <is>
          <t>461</t>
        </is>
      </c>
      <c r="B462" t="inlineStr">
        <is>
          <t>Windshield Wiper Motor</t>
        </is>
      </c>
      <c r="C462" t="inlineStr">
        <is>
          <t>43-1437</t>
        </is>
      </c>
      <c r="D462" t="inlineStr">
        <is>
          <t>Windshield Wiper Motor - 43-1437</t>
        </is>
      </c>
      <c r="E462" t="inlineStr">
        <is>
          <t>CARDONE Reman</t>
        </is>
      </c>
      <c r="F462" t="inlineStr">
        <is>
          <t>86511GA380</t>
        </is>
      </c>
      <c r="G462" t="inlineStr">
        <is>
          <t>Subaru XT 1985</t>
        </is>
      </c>
      <c r="H462" t="inlineStr">
        <is>
          <t>Subaru XT 1985 1.8L H4 1781cc</t>
        </is>
      </c>
      <c r="I462" t="inlineStr">
        <is>
          <t>{"0": {"productDeskExternalKey": "CPCX|43-1437"}, "1": {"Package Contents": "Wiper Motor; Instruction Sheet"}, "2": {"E-Waste": "Yes"}, "3": {"Product Condition": "Remanufactured"}, "4": {"Mounting Hole Quantity": "4"}, "5": {"Terminal Type": "Blade"}, "6": {"Mounting Type": "Grommet"}, "7": {"Weight PG": "4.5000"}, "8": {"Washer Pump Included": "No"}, "9": {"Part Type": "Windshield Wiper Motor"}, "10": {"Warranty Info": "1 Year/18,000 Mile"}, "11": {"Sustainable Choice": "Yes"}, "12": {"Lifecycle Status": "Available to Order"}, "13": {"Application Summary": "Subaru XT 1985"}, "14": {"ItemLevelGTIN": "00082617142762"}, "15": {"_addonCardone": "43-1437::98268:110613:494"}, "16": {"Eligible for R&amp;R Service": "Yes"}}</t>
        </is>
      </c>
      <c r="J462" t="inlineStr">
        <is>
          <t>https://www.cardone.com/product/windshield-wiper-motor-43-1437</t>
        </is>
      </c>
      <c r="K462">
        <f>DISPIMG("ID_6871B52BDC144816B513BB5EFE4BBAB8",1)</f>
        <v/>
      </c>
      <c r="L462" t="inlineStr">
        <is>
          <t>CPCX|43-1437</t>
        </is>
      </c>
      <c r="M462" t="inlineStr">
        <is>
          <t>Wiper Motor; Instruction Sheet</t>
        </is>
      </c>
      <c r="N462" t="inlineStr">
        <is>
          <t>Yes</t>
        </is>
      </c>
      <c r="O462" t="inlineStr">
        <is>
          <t>Remanufactured</t>
        </is>
      </c>
      <c r="P462" t="inlineStr">
        <is>
          <t>4</t>
        </is>
      </c>
      <c r="Q462" t="inlineStr">
        <is>
          <t>Blade</t>
        </is>
      </c>
      <c r="R462" t="inlineStr">
        <is>
          <t>Grommet</t>
        </is>
      </c>
      <c r="S462" t="inlineStr">
        <is>
          <t>4.5000</t>
        </is>
      </c>
      <c r="T462" t="inlineStr">
        <is>
          <t>No</t>
        </is>
      </c>
      <c r="U462" t="inlineStr">
        <is>
          <t>1 Year/18,000 Mile</t>
        </is>
      </c>
      <c r="V462" t="inlineStr">
        <is>
          <t>Yes</t>
        </is>
      </c>
      <c r="W462" t="inlineStr">
        <is>
          <t>Available to Order</t>
        </is>
      </c>
      <c r="X462" t="inlineStr">
        <is>
          <t>Subaru XT 1985</t>
        </is>
      </c>
      <c r="Y462" t="inlineStr">
        <is>
          <t>00082617142762</t>
        </is>
      </c>
      <c r="Z462" t="inlineStr">
        <is>
          <t>43-1437::98268:110613:494</t>
        </is>
      </c>
      <c r="AA462" t="inlineStr">
        <is>
          <t>Yes</t>
        </is>
      </c>
      <c r="AB462" t="inlineStr"/>
      <c r="AC462" t="inlineStr"/>
    </row>
    <row r="463">
      <c r="A463" t="inlineStr">
        <is>
          <t>462</t>
        </is>
      </c>
      <c r="B463" t="inlineStr">
        <is>
          <t>Windshield Wiper Motor</t>
        </is>
      </c>
      <c r="C463" t="inlineStr">
        <is>
          <t>43-1438</t>
        </is>
      </c>
      <c r="D463" t="inlineStr">
        <is>
          <t>Windshield Wiper Motor - 43-1438</t>
        </is>
      </c>
      <c r="E463" t="inlineStr">
        <is>
          <t>CARDONE Reman</t>
        </is>
      </c>
      <c r="F463" t="inlineStr">
        <is>
          <t>86511AA050;86511FA070;86511FA010</t>
        </is>
      </c>
      <c r="G463" t="inlineStr">
        <is>
          <t>Subaru Impreza 1993-1997
Subaru Legacy 1990-1994</t>
        </is>
      </c>
      <c r="H463" t="inlineStr">
        <is>
          <t>Subaru Impreza 1993-1997 1.8L H4 1781cc
Subaru Impreza 1995-1997 2.2L H4 2212cc
Subaru Legacy 1990-1994 2.2L H4 2212cc</t>
        </is>
      </c>
      <c r="I463" t="inlineStr">
        <is>
          <t>{"0": {"productDeskExternalKey": "CPCX|43-1438"}, "1": {"Package Contents": "Wiper Motor; Instruction Sheet"}, "2": {"E-Waste": "Yes"}, "3": {"Product Condition": "Remanufactured"}, "4": {"Mounting Hole Quantity": "3"}, "5": {"Terminal Type": "Blade"}, "6": {"Mounting Type": "Grommet"}, "7": {"Weight PG": "2.8000"}, "8": {"Washer Pump Included": "No"}, "9": {"Part Type": "Windshield Wiper Motor"}, "10": {"Warranty Info": "1 Year/18,000 Mile"}, "11": {"Sustainable Choice": "Yes"}, "12": {"Lifecycle Status": "Available to Order"}, "13": {"Application Summary": "Subaru Impreza 1997-93, Legacy 1994-90"}, "14": {"ItemLevelGTIN": "00082617265775"}, "15": {"_addonCardone": "43-1438::98268:110635:494"}, "16": {"Eligible for R&amp;R Service": "Yes"}}</t>
        </is>
      </c>
      <c r="J463" t="inlineStr">
        <is>
          <t>https://www.cardone.com/product/windshield-wiper-motor-43-1438</t>
        </is>
      </c>
      <c r="K463">
        <f>DISPIMG("ID_9DAA4005238F4111B64A2C94DB4998EB",1)</f>
        <v/>
      </c>
      <c r="L463" t="inlineStr">
        <is>
          <t>CPCX|43-1438</t>
        </is>
      </c>
      <c r="M463" t="inlineStr">
        <is>
          <t>Wiper Motor; Instruction Sheet</t>
        </is>
      </c>
      <c r="N463" t="inlineStr">
        <is>
          <t>Yes</t>
        </is>
      </c>
      <c r="O463" t="inlineStr">
        <is>
          <t>Remanufactured</t>
        </is>
      </c>
      <c r="P463" t="inlineStr">
        <is>
          <t>3</t>
        </is>
      </c>
      <c r="Q463" t="inlineStr">
        <is>
          <t>Blade</t>
        </is>
      </c>
      <c r="R463" t="inlineStr">
        <is>
          <t>Grommet</t>
        </is>
      </c>
      <c r="S463" t="inlineStr">
        <is>
          <t>2.8000</t>
        </is>
      </c>
      <c r="T463" t="inlineStr">
        <is>
          <t>No</t>
        </is>
      </c>
      <c r="U463" t="inlineStr">
        <is>
          <t>1 Year/18,000 Mile</t>
        </is>
      </c>
      <c r="V463" t="inlineStr">
        <is>
          <t>Yes</t>
        </is>
      </c>
      <c r="W463" t="inlineStr">
        <is>
          <t>Available to Order</t>
        </is>
      </c>
      <c r="X463" t="inlineStr">
        <is>
          <t>Subaru Impreza 1997-93, Legacy 1994-90</t>
        </is>
      </c>
      <c r="Y463" t="inlineStr">
        <is>
          <t>00082617265775</t>
        </is>
      </c>
      <c r="Z463" t="inlineStr">
        <is>
          <t>43-1438::98268:110635:494</t>
        </is>
      </c>
      <c r="AA463" t="inlineStr">
        <is>
          <t>Yes</t>
        </is>
      </c>
      <c r="AB463" t="inlineStr"/>
      <c r="AC463" t="inlineStr"/>
    </row>
    <row r="464">
      <c r="A464" t="inlineStr">
        <is>
          <t>463</t>
        </is>
      </c>
      <c r="B464" t="inlineStr">
        <is>
          <t>Windshield Wiper Motor</t>
        </is>
      </c>
      <c r="C464" t="inlineStr">
        <is>
          <t>43-1467</t>
        </is>
      </c>
      <c r="D464" t="inlineStr">
        <is>
          <t>Windshield Wiper Motor - 43-1467</t>
        </is>
      </c>
      <c r="E464" t="inlineStr">
        <is>
          <t>CARDONE Reman</t>
        </is>
      </c>
      <c r="F464" t="inlineStr">
        <is>
          <t>GA9767345A;GA9767345</t>
        </is>
      </c>
      <c r="G464" t="inlineStr"/>
      <c r="H464" t="inlineStr"/>
      <c r="I464" t="inlineStr">
        <is>
          <t>{"0": {"productDeskExternalKey": "CPCX|43-1467"}, "1": {"Package Contents": "Wiper Motor; Instruction Sheet"}, "2": {"E-Waste": "Yes"}, "3": {"Product Condition": "Remanufactured"}, "4": {"Mounting Hole Quantity": "3"}, "5": {"Terminal Type": "Blade"}, "6": {"Mounting Type": "Direct Bolt"}, "7": {"Weight PG": "2.3600"}, "8": {"Washer Pump Included": "No"}, "9": {"Part Type": "Windshield Wiper Motor"}, "10": {"Warranty Info": "1 Year/18,000 Mile"}, "11": {"Sustainable Choice": "Yes"}, "12": {"Lifecycle Status": "Available to Order"}, "13": {"Application Summary": "Mazda 626 1987-83"}, "14": {"ItemLevelGTIN": "00082617081689"}, "15": {"_addonCardone": "43-1467::98268:110952:494"}, "16": {"Eligible for R&amp;R Service": "Yes"}}</t>
        </is>
      </c>
      <c r="J464" t="inlineStr">
        <is>
          <t>https://www.cardone.com/product/windshield-wiper-motor-43-1467</t>
        </is>
      </c>
      <c r="K464">
        <f>DISPIMG("ID_E39163DF05AD4C3681226EED12F21C4D",1)</f>
        <v/>
      </c>
      <c r="L464" t="inlineStr">
        <is>
          <t>CPCX|43-1467</t>
        </is>
      </c>
      <c r="M464" t="inlineStr">
        <is>
          <t>Wiper Motor; Instruction Sheet</t>
        </is>
      </c>
      <c r="N464" t="inlineStr">
        <is>
          <t>Yes</t>
        </is>
      </c>
      <c r="O464" t="inlineStr">
        <is>
          <t>Remanufactured</t>
        </is>
      </c>
      <c r="P464" t="inlineStr">
        <is>
          <t>3</t>
        </is>
      </c>
      <c r="Q464" t="inlineStr">
        <is>
          <t>Blade</t>
        </is>
      </c>
      <c r="R464" t="inlineStr">
        <is>
          <t>Direct Bolt</t>
        </is>
      </c>
      <c r="S464" t="inlineStr">
        <is>
          <t>2.3600</t>
        </is>
      </c>
      <c r="T464" t="inlineStr">
        <is>
          <t>No</t>
        </is>
      </c>
      <c r="U464" t="inlineStr">
        <is>
          <t>1 Year/18,000 Mile</t>
        </is>
      </c>
      <c r="V464" t="inlineStr">
        <is>
          <t>Yes</t>
        </is>
      </c>
      <c r="W464" t="inlineStr">
        <is>
          <t>Available to Order</t>
        </is>
      </c>
      <c r="X464" t="inlineStr">
        <is>
          <t>Mazda 626 1987-83</t>
        </is>
      </c>
      <c r="Y464" t="inlineStr">
        <is>
          <t>00082617081689</t>
        </is>
      </c>
      <c r="Z464" t="inlineStr">
        <is>
          <t>43-1467::98268:110952:494</t>
        </is>
      </c>
      <c r="AA464" t="inlineStr">
        <is>
          <t>Yes</t>
        </is>
      </c>
      <c r="AB464" t="inlineStr"/>
      <c r="AC464" t="inlineStr"/>
    </row>
    <row r="465">
      <c r="A465" t="inlineStr">
        <is>
          <t>464</t>
        </is>
      </c>
      <c r="B465" t="inlineStr">
        <is>
          <t>Windshield Wiper Motor</t>
        </is>
      </c>
      <c r="C465" t="inlineStr">
        <is>
          <t>43-1469</t>
        </is>
      </c>
      <c r="D465" t="inlineStr">
        <is>
          <t>Windshield Wiper Motor - 43-1469</t>
        </is>
      </c>
      <c r="E465" t="inlineStr">
        <is>
          <t>CARDONE Reman</t>
        </is>
      </c>
      <c r="F465" t="inlineStr">
        <is>
          <t>BA2967345</t>
        </is>
      </c>
      <c r="G465" t="inlineStr">
        <is>
          <t>Mazda GLC 1981-1985</t>
        </is>
      </c>
      <c r="H465" t="inlineStr">
        <is>
          <t>Mazda GLC 1981-1985 1.5L L4 1490cc</t>
        </is>
      </c>
      <c r="I465" t="inlineStr">
        <is>
          <t>{"0": {"productDeskExternalKey": "CPCX|43-1469"}, "1": {"Package Contents": "Wiper Motor; Instruction Sheet"}, "2": {"E-Waste": "Yes"}, "3": {"Product Condition": "Remanufactured"}, "4": {"Mounting Hole Quantity": "3"}, "5": {"Terminal Type": "Blade"}, "6": {"Mounting Type": "Direct Bolt"}, "7": {"Weight PG": "3.0900"}, "8": {"Washer Pump Included": "No"}, "9": {"Part Type": "Windshield Wiper Motor"}, "10": {"Warranty Info": "1 Year/18,000 Mile"}, "11": {"Sustainable Choice": "Yes"}, "12": {"Lifecycle Status": "Available to Order"}, "13": {"Application Summary": "Mazda GLC 1985-81"}, "14": {"ItemLevelGTIN": "00082617042826"}, "15": {"_addonCardone": "43-1469::98268:110971:494"}, "16": {"Eligible for R&amp;R Service": "Yes"}}</t>
        </is>
      </c>
      <c r="J465" t="inlineStr">
        <is>
          <t>https://www.cardone.com/product/windshield-wiper-motor-43-1469</t>
        </is>
      </c>
      <c r="K465">
        <f>DISPIMG("ID_B796313C612948B7AE28DB82A50C0AD8",1)</f>
        <v/>
      </c>
      <c r="L465" t="inlineStr">
        <is>
          <t>CPCX|43-1469</t>
        </is>
      </c>
      <c r="M465" t="inlineStr">
        <is>
          <t>Wiper Motor; Instruction Sheet</t>
        </is>
      </c>
      <c r="N465" t="inlineStr">
        <is>
          <t>Yes</t>
        </is>
      </c>
      <c r="O465" t="inlineStr">
        <is>
          <t>Remanufactured</t>
        </is>
      </c>
      <c r="P465" t="inlineStr">
        <is>
          <t>3</t>
        </is>
      </c>
      <c r="Q465" t="inlineStr">
        <is>
          <t>Blade</t>
        </is>
      </c>
      <c r="R465" t="inlineStr">
        <is>
          <t>Direct Bolt</t>
        </is>
      </c>
      <c r="S465" t="inlineStr">
        <is>
          <t>3.0900</t>
        </is>
      </c>
      <c r="T465" t="inlineStr">
        <is>
          <t>No</t>
        </is>
      </c>
      <c r="U465" t="inlineStr">
        <is>
          <t>1 Year/18,000 Mile</t>
        </is>
      </c>
      <c r="V465" t="inlineStr">
        <is>
          <t>Yes</t>
        </is>
      </c>
      <c r="W465" t="inlineStr">
        <is>
          <t>Available to Order</t>
        </is>
      </c>
      <c r="X465" t="inlineStr">
        <is>
          <t>Mazda GLC 1985-81</t>
        </is>
      </c>
      <c r="Y465" t="inlineStr">
        <is>
          <t>00082617042826</t>
        </is>
      </c>
      <c r="Z465" t="inlineStr">
        <is>
          <t>43-1469::98268:110971:494</t>
        </is>
      </c>
      <c r="AA465" t="inlineStr">
        <is>
          <t>Yes</t>
        </is>
      </c>
      <c r="AB465" t="inlineStr"/>
      <c r="AC465" t="inlineStr"/>
    </row>
    <row r="466">
      <c r="A466" t="inlineStr">
        <is>
          <t>465</t>
        </is>
      </c>
      <c r="B466" t="inlineStr">
        <is>
          <t>Windshield Wiper Motor</t>
        </is>
      </c>
      <c r="C466" t="inlineStr">
        <is>
          <t>43-1470</t>
        </is>
      </c>
      <c r="D466" t="inlineStr">
        <is>
          <t>Windshield Wiper Motor - 43-1470</t>
        </is>
      </c>
      <c r="E466" t="inlineStr">
        <is>
          <t>CARDONE Reman</t>
        </is>
      </c>
      <c r="F466" t="inlineStr">
        <is>
          <t>887167350B;887267350A;887267350</t>
        </is>
      </c>
      <c r="G466" t="inlineStr">
        <is>
          <t>Mazda RX-7 1979-1985</t>
        </is>
      </c>
      <c r="H466" t="inlineStr">
        <is>
          <t>Mazda RX-7 1979-1985 1.1L R2 1146cc
Mazda RX-7 1984-1985 1.3L R2 1308cc</t>
        </is>
      </c>
      <c r="I466" t="inlineStr">
        <is>
          <t>{"0": {"productDeskExternalKey": "CPCX|43-1470"}, "1": {"Package Contents": "Wiper Motor; Instruction Sheet"}, "2": {"E-Waste": "Yes"}, "3": {"Product Condition": "Remanufactured"}, "4": {"Mounting Hole Quantity": "3"}, "5": {"Terminal Type": "Blade"}, "6": {"Mounting Type": "Direct Bolt"}, "7": {"Weight PG": "2.4600"}, "8": {"Washer Pump Included": "No"}, "9": {"Part Type": "Windshield Wiper Motor"}, "10": {"Warranty Info": "1 Year/18,000 Mile"}, "11": {"Sustainable Choice": "Yes"}, "12": {"Lifecycle Status": "Available to Order"}, "13": {"Application Summary": "Mazda RX-7 1985-79"}, "14": {"ItemLevelGTIN": "00082617042833"}, "15": {"_addonCardone": "43-1470::98268:110985:494"}, "16": {"Eligible for R&amp;R Service": "Yes"}}</t>
        </is>
      </c>
      <c r="J466" t="inlineStr">
        <is>
          <t>https://www.cardone.com/product/windshield-wiper-motor-43-1470</t>
        </is>
      </c>
      <c r="K466">
        <f>DISPIMG("ID_D2C9EADE11E44A8494317FEC91BB06E7",1)</f>
        <v/>
      </c>
      <c r="L466" t="inlineStr">
        <is>
          <t>CPCX|43-1470</t>
        </is>
      </c>
      <c r="M466" t="inlineStr">
        <is>
          <t>Wiper Motor; Instruction Sheet</t>
        </is>
      </c>
      <c r="N466" t="inlineStr">
        <is>
          <t>Yes</t>
        </is>
      </c>
      <c r="O466" t="inlineStr">
        <is>
          <t>Remanufactured</t>
        </is>
      </c>
      <c r="P466" t="inlineStr">
        <is>
          <t>3</t>
        </is>
      </c>
      <c r="Q466" t="inlineStr">
        <is>
          <t>Blade</t>
        </is>
      </c>
      <c r="R466" t="inlineStr">
        <is>
          <t>Direct Bolt</t>
        </is>
      </c>
      <c r="S466" t="inlineStr">
        <is>
          <t>2.4600</t>
        </is>
      </c>
      <c r="T466" t="inlineStr">
        <is>
          <t>No</t>
        </is>
      </c>
      <c r="U466" t="inlineStr">
        <is>
          <t>1 Year/18,000 Mile</t>
        </is>
      </c>
      <c r="V466" t="inlineStr">
        <is>
          <t>Yes</t>
        </is>
      </c>
      <c r="W466" t="inlineStr">
        <is>
          <t>Available to Order</t>
        </is>
      </c>
      <c r="X466" t="inlineStr">
        <is>
          <t>Mazda RX-7 1985-79</t>
        </is>
      </c>
      <c r="Y466" t="inlineStr">
        <is>
          <t>00082617042833</t>
        </is>
      </c>
      <c r="Z466" t="inlineStr">
        <is>
          <t>43-1470::98268:110985:494</t>
        </is>
      </c>
      <c r="AA466" t="inlineStr">
        <is>
          <t>Yes</t>
        </is>
      </c>
      <c r="AB466" t="inlineStr"/>
      <c r="AC466" t="inlineStr"/>
    </row>
    <row r="467">
      <c r="A467" t="inlineStr">
        <is>
          <t>466</t>
        </is>
      </c>
      <c r="B467" t="inlineStr">
        <is>
          <t>Windshield Wiper Motor</t>
        </is>
      </c>
      <c r="C467" t="inlineStr">
        <is>
          <t>43-1472</t>
        </is>
      </c>
      <c r="D467" t="inlineStr">
        <is>
          <t>Windshield Wiper Motor - 43-1472</t>
        </is>
      </c>
      <c r="E467" t="inlineStr">
        <is>
          <t>CARDONE Reman</t>
        </is>
      </c>
      <c r="F467" t="inlineStr">
        <is>
          <t>UB3967345A</t>
        </is>
      </c>
      <c r="G467" t="inlineStr"/>
      <c r="H467" t="inlineStr"/>
      <c r="I467" t="inlineStr">
        <is>
          <t>{"0": {"productDeskExternalKey": "CPCX|43-1472"}, "1": {"Package Contents": "Wiper Motor; Instruction Sheet"}, "2": {"E-Waste": "Yes"}, "3": {"Product Condition": "Remanufactured"}, "4": {"Mounting Hole Quantity": "3"}, "5": {"Terminal Type": "Blade"}, "6": {"Mounting Type": "Direct Bolt"}, "7": {"Weight PG": "2.2400"}, "8": {"Washer Pump Included": "No"}, "9": {"Part Type": "Windshield Wiper Motor"}, "10": {"Warranty Info": "1 Year/18,000 Mile"}, "11": {"Sustainable Choice": "Yes"}, "12": {"Lifecycle Status": "Available to Order"}, "13": {"Application Summary": "Mazda B2000 1987-86, B2200 1990-87, B2600 1990-87"}, "14": {"ItemLevelGTIN": "00082617081702"}, "15": {"_addonCardone": "43-1472::98268:111004:494"}, "16": {"Eligible for R&amp;R Service": "Yes"}}</t>
        </is>
      </c>
      <c r="J467" t="inlineStr">
        <is>
          <t>https://www.cardone.com/product/windshield-wiper-motor-43-1472</t>
        </is>
      </c>
      <c r="K467">
        <f>DISPIMG("ID_888DF87B3CB64237A1D3FA8F65F203EB",1)</f>
        <v/>
      </c>
      <c r="L467" t="inlineStr">
        <is>
          <t>CPCX|43-1472</t>
        </is>
      </c>
      <c r="M467" t="inlineStr">
        <is>
          <t>Wiper Motor; Instruction Sheet</t>
        </is>
      </c>
      <c r="N467" t="inlineStr">
        <is>
          <t>Yes</t>
        </is>
      </c>
      <c r="O467" t="inlineStr">
        <is>
          <t>Remanufactured</t>
        </is>
      </c>
      <c r="P467" t="inlineStr">
        <is>
          <t>3</t>
        </is>
      </c>
      <c r="Q467" t="inlineStr">
        <is>
          <t>Blade</t>
        </is>
      </c>
      <c r="R467" t="inlineStr">
        <is>
          <t>Direct Bolt</t>
        </is>
      </c>
      <c r="S467" t="inlineStr">
        <is>
          <t>2.2400</t>
        </is>
      </c>
      <c r="T467" t="inlineStr">
        <is>
          <t>No</t>
        </is>
      </c>
      <c r="U467" t="inlineStr">
        <is>
          <t>1 Year/18,000 Mile</t>
        </is>
      </c>
      <c r="V467" t="inlineStr">
        <is>
          <t>Yes</t>
        </is>
      </c>
      <c r="W467" t="inlineStr">
        <is>
          <t>Available to Order</t>
        </is>
      </c>
      <c r="X467" t="inlineStr">
        <is>
          <t>Mazda B2000 1987-86, B2200 1990-87, B2600 1990-87</t>
        </is>
      </c>
      <c r="Y467" t="inlineStr">
        <is>
          <t>00082617081702</t>
        </is>
      </c>
      <c r="Z467" t="inlineStr">
        <is>
          <t>43-1472::98268:111004:494</t>
        </is>
      </c>
      <c r="AA467" t="inlineStr">
        <is>
          <t>Yes</t>
        </is>
      </c>
      <c r="AB467" t="inlineStr"/>
      <c r="AC467" t="inlineStr"/>
    </row>
    <row r="468">
      <c r="A468" t="inlineStr">
        <is>
          <t>467</t>
        </is>
      </c>
      <c r="B468" t="inlineStr">
        <is>
          <t>Windshield Wiper Motor</t>
        </is>
      </c>
      <c r="C468" t="inlineStr">
        <is>
          <t>43-1473</t>
        </is>
      </c>
      <c r="D468" t="inlineStr">
        <is>
          <t>Windshield Wiper Motor - 43-1473</t>
        </is>
      </c>
      <c r="E468" t="inlineStr">
        <is>
          <t>CARDONE Reman</t>
        </is>
      </c>
      <c r="F468" t="inlineStr">
        <is>
          <t>BF6767350;E7GZ17508A;BG6467350</t>
        </is>
      </c>
      <c r="G468" t="inlineStr">
        <is>
          <t>Mercury Tracer 1987</t>
        </is>
      </c>
      <c r="H468" t="inlineStr">
        <is>
          <t>Mercury Tracer 1987 1.6L L4 98cid</t>
        </is>
      </c>
      <c r="I468" t="inlineStr">
        <is>
          <t>{"0": {"productDeskExternalKey": "CPCX|43-1473"}, "1": {"Package Contents": "Wiper Motor; Instruction Sheet"}, "2": {"E-Waste": "Yes"}, "3": {"Product Condition": "Remanufactured"}, "4": {"Mounting Hole Quantity": "4"}, "5": {"Terminal Type": "Blade"}, "6": {"Mounting Type": "Grommet"}, "7": {"Weight PG": "2.5500"}, "8": {"Washer Pump Included": "No"}, "9": {"Part Type": "Windshield Wiper Motor"}, "10": {"Warranty Info": "1 Year/18,000 Mile"}, "11": {"Sustainable Choice": "Yes"}, "12": {"Lifecycle Status": "Available to Order"}, "13": {"Application Summary": "Mazda 323 1987-86; Mercury Tracer 1987"}, "14": {"ItemLevelGTIN": "00082617142779"}, "15": {"_addonCardone": "43-1473::98268:111020:494"}, "16": {"Eligible for R&amp;R Service": "Yes"}}</t>
        </is>
      </c>
      <c r="J468" t="inlineStr">
        <is>
          <t>https://www.cardone.com/product/windshield-wiper-motor-43-1473</t>
        </is>
      </c>
      <c r="K468">
        <f>DISPIMG("ID_E15EDCDE44FB470A99DAEEF75AD2BE08",1)</f>
        <v/>
      </c>
      <c r="L468" t="inlineStr">
        <is>
          <t>CPCX|43-1473</t>
        </is>
      </c>
      <c r="M468" t="inlineStr">
        <is>
          <t>Wiper Motor; Instruction Sheet</t>
        </is>
      </c>
      <c r="N468" t="inlineStr">
        <is>
          <t>Yes</t>
        </is>
      </c>
      <c r="O468" t="inlineStr">
        <is>
          <t>Remanufactured</t>
        </is>
      </c>
      <c r="P468" t="inlineStr">
        <is>
          <t>4</t>
        </is>
      </c>
      <c r="Q468" t="inlineStr">
        <is>
          <t>Blade</t>
        </is>
      </c>
      <c r="R468" t="inlineStr">
        <is>
          <t>Grommet</t>
        </is>
      </c>
      <c r="S468" t="inlineStr">
        <is>
          <t>2.5500</t>
        </is>
      </c>
      <c r="T468" t="inlineStr">
        <is>
          <t>No</t>
        </is>
      </c>
      <c r="U468" t="inlineStr">
        <is>
          <t>1 Year/18,000 Mile</t>
        </is>
      </c>
      <c r="V468" t="inlineStr">
        <is>
          <t>Yes</t>
        </is>
      </c>
      <c r="W468" t="inlineStr">
        <is>
          <t>Available to Order</t>
        </is>
      </c>
      <c r="X468" t="inlineStr">
        <is>
          <t>Mazda 323 1987-86; Mercury Tracer 1987</t>
        </is>
      </c>
      <c r="Y468" t="inlineStr">
        <is>
          <t>00082617142779</t>
        </is>
      </c>
      <c r="Z468" t="inlineStr">
        <is>
          <t>43-1473::98268:111020:494</t>
        </is>
      </c>
      <c r="AA468" t="inlineStr">
        <is>
          <t>Yes</t>
        </is>
      </c>
      <c r="AB468" t="inlineStr"/>
      <c r="AC468" t="inlineStr"/>
    </row>
    <row r="469">
      <c r="A469" t="inlineStr">
        <is>
          <t>468</t>
        </is>
      </c>
      <c r="B469" t="inlineStr">
        <is>
          <t>Windshield Wiper Motor</t>
        </is>
      </c>
      <c r="C469" t="inlineStr">
        <is>
          <t>43-1474</t>
        </is>
      </c>
      <c r="D469" t="inlineStr">
        <is>
          <t>Windshield Wiper Motor - 43-1474</t>
        </is>
      </c>
      <c r="E469" t="inlineStr">
        <is>
          <t>CARDONE Reman</t>
        </is>
      </c>
      <c r="F469" t="inlineStr">
        <is>
          <t>FB0167350A</t>
        </is>
      </c>
      <c r="G469" t="inlineStr">
        <is>
          <t>Mazda RX-7 1986-1987</t>
        </is>
      </c>
      <c r="H469" t="inlineStr">
        <is>
          <t>Mazda RX-7 1986-1987 1.3L R2 1308cc</t>
        </is>
      </c>
      <c r="I469" t="inlineStr">
        <is>
          <t>{"0": {"productDeskExternalKey": "CPCX|43-1474"}, "1": {"Package Contents": "Wiper Motor; Instruction Sheet"}, "2": {"E-Waste": "Yes"}, "3": {"Product Condition": "Remanufactured"}, "4": {"Mounting Hole Quantity": "4"}, "5": {"Terminal Type": "Blade"}, "6": {"Mounting Type": "Grommet"}, "7": {"Weight PG": "3.5000"}, "8": {"Washer Pump Included": "No"}, "9": {"Part Type": "Windshield Wiper Motor"}, "10": {"Warranty Info": "1 Year/18,000 Mile"}, "11": {"Sustainable Choice": "Yes"}, "12": {"Lifecycle Status": "Available to Order"}, "13": {"Application Summary": "Mazda RX-7 1987-86"}, "14": {"ItemLevelGTIN": "00082617142786"}, "15": {"_addonCardone": "43-1474::98268:111041:494"}, "16": {"Eligible for R&amp;R Service": "Yes"}}</t>
        </is>
      </c>
      <c r="J469" t="inlineStr">
        <is>
          <t>https://www.cardone.com/product/windshield-wiper-motor-43-1474</t>
        </is>
      </c>
      <c r="K469">
        <f>DISPIMG("ID_EAF29CAD8123470B82C22DFE546F85F5",1)</f>
        <v/>
      </c>
      <c r="L469" t="inlineStr">
        <is>
          <t>CPCX|43-1474</t>
        </is>
      </c>
      <c r="M469" t="inlineStr">
        <is>
          <t>Wiper Motor; Instruction Sheet</t>
        </is>
      </c>
      <c r="N469" t="inlineStr">
        <is>
          <t>Yes</t>
        </is>
      </c>
      <c r="O469" t="inlineStr">
        <is>
          <t>Remanufactured</t>
        </is>
      </c>
      <c r="P469" t="inlineStr">
        <is>
          <t>4</t>
        </is>
      </c>
      <c r="Q469" t="inlineStr">
        <is>
          <t>Blade</t>
        </is>
      </c>
      <c r="R469" t="inlineStr">
        <is>
          <t>Grommet</t>
        </is>
      </c>
      <c r="S469" t="inlineStr">
        <is>
          <t>3.5000</t>
        </is>
      </c>
      <c r="T469" t="inlineStr">
        <is>
          <t>No</t>
        </is>
      </c>
      <c r="U469" t="inlineStr">
        <is>
          <t>1 Year/18,000 Mile</t>
        </is>
      </c>
      <c r="V469" t="inlineStr">
        <is>
          <t>Yes</t>
        </is>
      </c>
      <c r="W469" t="inlineStr">
        <is>
          <t>Available to Order</t>
        </is>
      </c>
      <c r="X469" t="inlineStr">
        <is>
          <t>Mazda RX-7 1987-86</t>
        </is>
      </c>
      <c r="Y469" t="inlineStr">
        <is>
          <t>00082617142786</t>
        </is>
      </c>
      <c r="Z469" t="inlineStr">
        <is>
          <t>43-1474::98268:111041:494</t>
        </is>
      </c>
      <c r="AA469" t="inlineStr">
        <is>
          <t>Yes</t>
        </is>
      </c>
      <c r="AB469" t="inlineStr"/>
      <c r="AC469" t="inlineStr"/>
    </row>
    <row r="470">
      <c r="A470" t="inlineStr">
        <is>
          <t>469</t>
        </is>
      </c>
      <c r="B470" t="inlineStr">
        <is>
          <t>Windshield Wiper Motor</t>
        </is>
      </c>
      <c r="C470" t="inlineStr">
        <is>
          <t>43-1475</t>
        </is>
      </c>
      <c r="D470" t="inlineStr">
        <is>
          <t>Windshield Wiper Motor - 43-1475</t>
        </is>
      </c>
      <c r="E470" t="inlineStr">
        <is>
          <t>CARDONE Reman</t>
        </is>
      </c>
      <c r="F470" t="inlineStr">
        <is>
          <t>BL5967350;E7GZ17508A;BL5567350;BL5867350;BL5767350</t>
        </is>
      </c>
      <c r="G470" t="inlineStr">
        <is>
          <t>Mercury Tracer 1988-1989</t>
        </is>
      </c>
      <c r="H470" t="inlineStr">
        <is>
          <t>Mercury Tracer 1988-1989 1.6L L4 98cid</t>
        </is>
      </c>
      <c r="I470" t="inlineStr">
        <is>
          <t>{"0": {"productDeskExternalKey": "CPCX|43-1475"}, "1": {"Package Contents": "Wiper Motor; Instruction Sheet"}, "2": {"E-Waste": "Yes"}, "3": {"Product Condition": "Remanufactured"}, "4": {"Mounting Hole Quantity": "4"}, "5": {"Terminal Type": "Blade"}, "6": {"Mounting Type": "Grommet"}, "7": {"Weight PG": "2.2600"}, "8": {"Washer Pump Included": "No"}, "9": {"Part Type": "Windshield Wiper Motor"}, "10": {"Warranty Info": "1 Year/18,000 Mile"}, "11": {"Sustainable Choice": "Yes"}, "12": {"Lifecycle Status": "Available to Order"}, "13": {"Application Summary": "Mazda 323 1989-88; Mercury Tracer 1989-88"}, "14": {"ItemLevelGTIN": "00082617166546"}, "15": {"_addonCardone": "43-1475::98268:111052:494"}, "16": {"Eligible for R&amp;R Service": "Yes"}}</t>
        </is>
      </c>
      <c r="J470" t="inlineStr">
        <is>
          <t>https://www.cardone.com/product/windshield-wiper-motor-43-1475</t>
        </is>
      </c>
      <c r="K470">
        <f>DISPIMG("ID_C800E5EE18EE4C3C95AAACFBEB9410DB",1)</f>
        <v/>
      </c>
      <c r="L470" t="inlineStr">
        <is>
          <t>CPCX|43-1475</t>
        </is>
      </c>
      <c r="M470" t="inlineStr">
        <is>
          <t>Wiper Motor; Instruction Sheet</t>
        </is>
      </c>
      <c r="N470" t="inlineStr">
        <is>
          <t>Yes</t>
        </is>
      </c>
      <c r="O470" t="inlineStr">
        <is>
          <t>Remanufactured</t>
        </is>
      </c>
      <c r="P470" t="inlineStr">
        <is>
          <t>4</t>
        </is>
      </c>
      <c r="Q470" t="inlineStr">
        <is>
          <t>Blade</t>
        </is>
      </c>
      <c r="R470" t="inlineStr">
        <is>
          <t>Grommet</t>
        </is>
      </c>
      <c r="S470" t="inlineStr">
        <is>
          <t>2.2600</t>
        </is>
      </c>
      <c r="T470" t="inlineStr">
        <is>
          <t>No</t>
        </is>
      </c>
      <c r="U470" t="inlineStr">
        <is>
          <t>1 Year/18,000 Mile</t>
        </is>
      </c>
      <c r="V470" t="inlineStr">
        <is>
          <t>Yes</t>
        </is>
      </c>
      <c r="W470" t="inlineStr">
        <is>
          <t>Available to Order</t>
        </is>
      </c>
      <c r="X470" t="inlineStr">
        <is>
          <t>Mazda 323 1989-88; Mercury Tracer 1989-88</t>
        </is>
      </c>
      <c r="Y470" t="inlineStr">
        <is>
          <t>00082617166546</t>
        </is>
      </c>
      <c r="Z470" t="inlineStr">
        <is>
          <t>43-1475::98268:111052:494</t>
        </is>
      </c>
      <c r="AA470" t="inlineStr">
        <is>
          <t>Yes</t>
        </is>
      </c>
      <c r="AB470" t="inlineStr"/>
      <c r="AC470" t="inlineStr"/>
    </row>
    <row r="471">
      <c r="A471" t="inlineStr">
        <is>
          <t>470</t>
        </is>
      </c>
      <c r="B471" t="inlineStr">
        <is>
          <t>Windshield Wiper Motor</t>
        </is>
      </c>
      <c r="C471" t="inlineStr">
        <is>
          <t>43-1476</t>
        </is>
      </c>
      <c r="D471" t="inlineStr">
        <is>
          <t>Windshield Wiper Motor - 43-1476</t>
        </is>
      </c>
      <c r="E471" t="inlineStr">
        <is>
          <t>CARDONE Reman</t>
        </is>
      </c>
      <c r="F471" t="inlineStr">
        <is>
          <t>GJ2167340A</t>
        </is>
      </c>
      <c r="G471" t="inlineStr">
        <is>
          <t>Mazda MX-6 1988-1992</t>
        </is>
      </c>
      <c r="H471" t="inlineStr">
        <is>
          <t>Mazda MX-6 1988-1992 2.2L L4 2184cc</t>
        </is>
      </c>
      <c r="I471" t="inlineStr">
        <is>
          <t>{"0": {"productDeskExternalKey": "CPCX|43-1476"}, "1": {"Package Contents": "Wiper Motor; Instruction Sheet"}, "2": {"E-Waste": "Yes"}, "3": {"Product Condition": "Remanufactured"}, "4": {"Mounting Hole Quantity": "4"}, "5": {"Terminal Type": "Blade"}, "6": {"Mounting Type": "Grommet"}, "7": {"Weight PG": "2.4800"}, "8": {"Washer Pump Included": "No"}, "9": {"Part Type": "Windshield Wiper Motor"}, "10": {"Warranty Info": "1 Year/18,000 Mile"}, "11": {"Sustainable Choice": "Yes"}, "12": {"Lifecycle Status": "Available to Order"}, "13": {"Application Summary": "Mazda 626 1992-88, MX-6 1992-88"}, "14": {"ItemLevelGTIN": "00082617166553"}, "15": {"_addonCardone": "43-1476::98268:111065:494"}, "16": {"Eligible for R&amp;R Service": "Yes"}}</t>
        </is>
      </c>
      <c r="J471" t="inlineStr">
        <is>
          <t>https://www.cardone.com/product/windshield-wiper-motor-43-1476</t>
        </is>
      </c>
      <c r="K471">
        <f>DISPIMG("ID_6FDD35B565B44CB0B046E0B58BBC58A4",1)</f>
        <v/>
      </c>
      <c r="L471" t="inlineStr">
        <is>
          <t>CPCX|43-1476</t>
        </is>
      </c>
      <c r="M471" t="inlineStr">
        <is>
          <t>Wiper Motor; Instruction Sheet</t>
        </is>
      </c>
      <c r="N471" t="inlineStr">
        <is>
          <t>Yes</t>
        </is>
      </c>
      <c r="O471" t="inlineStr">
        <is>
          <t>Remanufactured</t>
        </is>
      </c>
      <c r="P471" t="inlineStr">
        <is>
          <t>4</t>
        </is>
      </c>
      <c r="Q471" t="inlineStr">
        <is>
          <t>Blade</t>
        </is>
      </c>
      <c r="R471" t="inlineStr">
        <is>
          <t>Grommet</t>
        </is>
      </c>
      <c r="S471" t="inlineStr">
        <is>
          <t>2.4800</t>
        </is>
      </c>
      <c r="T471" t="inlineStr">
        <is>
          <t>No</t>
        </is>
      </c>
      <c r="U471" t="inlineStr">
        <is>
          <t>1 Year/18,000 Mile</t>
        </is>
      </c>
      <c r="V471" t="inlineStr">
        <is>
          <t>Yes</t>
        </is>
      </c>
      <c r="W471" t="inlineStr">
        <is>
          <t>Available to Order</t>
        </is>
      </c>
      <c r="X471" t="inlineStr">
        <is>
          <t>Mazda 626 1992-88, MX-6 1992-88</t>
        </is>
      </c>
      <c r="Y471" t="inlineStr">
        <is>
          <t>00082617166553</t>
        </is>
      </c>
      <c r="Z471" t="inlineStr">
        <is>
          <t>43-1476::98268:111065:494</t>
        </is>
      </c>
      <c r="AA471" t="inlineStr">
        <is>
          <t>Yes</t>
        </is>
      </c>
      <c r="AB471" t="inlineStr"/>
      <c r="AC471" t="inlineStr"/>
    </row>
    <row r="472">
      <c r="A472" t="inlineStr">
        <is>
          <t>471</t>
        </is>
      </c>
      <c r="B472" t="inlineStr">
        <is>
          <t>Windshield Wiper Motor</t>
        </is>
      </c>
      <c r="C472" t="inlineStr">
        <is>
          <t>43-1477</t>
        </is>
      </c>
      <c r="D472" t="inlineStr">
        <is>
          <t>Windshield Wiper Motor - 43-1477</t>
        </is>
      </c>
      <c r="E472" t="inlineStr">
        <is>
          <t>CARDONE Reman</t>
        </is>
      </c>
      <c r="F472" t="inlineStr">
        <is>
          <t>HE0167340A</t>
        </is>
      </c>
      <c r="G472" t="inlineStr"/>
      <c r="H472" t="inlineStr"/>
      <c r="I472" t="inlineStr">
        <is>
          <t>{"0": {"productDeskExternalKey": "CPCX|43-1477"}, "1": {"Package Contents": "Wiper Motor; Instruction Sheet"}, "2": {"E-Waste": "Yes"}, "3": {"Product Condition": "Remanufactured"}, "4": {"Mounting Hole Quantity": "4"}, "5": {"Terminal Type": "Blade"}, "6": {"Mounting Type": "Grommet"}, "7": {"Weight PG": "3.3800"}, "8": {"Washer Pump Included": "No"}, "9": {"Part Type": "Windshield Wiper Motor"}, "10": {"Warranty Info": "1 Year/18,000 Mile"}, "11": {"Sustainable Choice": "Yes"}, "12": {"Lifecycle Status": "Available to Order"}, "13": {"Application Summary": "Mazda 929 1991-88"}, "14": {"ItemLevelGTIN": "00082617166560"}, "15": {"_addonCardone": "43-1477::98268:111080:494"}, "16": {"Eligible for R&amp;R Service": "Yes"}}</t>
        </is>
      </c>
      <c r="J472" t="inlineStr">
        <is>
          <t>https://www.cardone.com/product/windshield-wiper-motor-43-1477</t>
        </is>
      </c>
      <c r="K472">
        <f>DISPIMG("ID_32DBEDD30F0E4AA2A8B9567034026DB2",1)</f>
        <v/>
      </c>
      <c r="L472" t="inlineStr">
        <is>
          <t>CPCX|43-1477</t>
        </is>
      </c>
      <c r="M472" t="inlineStr">
        <is>
          <t>Wiper Motor; Instruction Sheet</t>
        </is>
      </c>
      <c r="N472" t="inlineStr">
        <is>
          <t>Yes</t>
        </is>
      </c>
      <c r="O472" t="inlineStr">
        <is>
          <t>Remanufactured</t>
        </is>
      </c>
      <c r="P472" t="inlineStr">
        <is>
          <t>4</t>
        </is>
      </c>
      <c r="Q472" t="inlineStr">
        <is>
          <t>Blade</t>
        </is>
      </c>
      <c r="R472" t="inlineStr">
        <is>
          <t>Grommet</t>
        </is>
      </c>
      <c r="S472" t="inlineStr">
        <is>
          <t>3.3800</t>
        </is>
      </c>
      <c r="T472" t="inlineStr">
        <is>
          <t>No</t>
        </is>
      </c>
      <c r="U472" t="inlineStr">
        <is>
          <t>1 Year/18,000 Mile</t>
        </is>
      </c>
      <c r="V472" t="inlineStr">
        <is>
          <t>Yes</t>
        </is>
      </c>
      <c r="W472" t="inlineStr">
        <is>
          <t>Available to Order</t>
        </is>
      </c>
      <c r="X472" t="inlineStr">
        <is>
          <t>Mazda 929 1991-88</t>
        </is>
      </c>
      <c r="Y472" t="inlineStr">
        <is>
          <t>00082617166560</t>
        </is>
      </c>
      <c r="Z472" t="inlineStr">
        <is>
          <t>43-1477::98268:111080:494</t>
        </is>
      </c>
      <c r="AA472" t="inlineStr">
        <is>
          <t>Yes</t>
        </is>
      </c>
      <c r="AB472" t="inlineStr"/>
      <c r="AC472" t="inlineStr"/>
    </row>
    <row r="473">
      <c r="A473" t="inlineStr">
        <is>
          <t>472</t>
        </is>
      </c>
      <c r="B473" t="inlineStr">
        <is>
          <t>Windshield Wiper Motor</t>
        </is>
      </c>
      <c r="C473" t="inlineStr">
        <is>
          <t>43-1478</t>
        </is>
      </c>
      <c r="D473" t="inlineStr">
        <is>
          <t>Windshield Wiper Motor - 43-1478</t>
        </is>
      </c>
      <c r="E473" t="inlineStr">
        <is>
          <t>CARDONE Reman</t>
        </is>
      </c>
      <c r="F473" t="inlineStr">
        <is>
          <t>HF0567340</t>
        </is>
      </c>
      <c r="G473" t="inlineStr"/>
      <c r="H473" t="inlineStr"/>
      <c r="I473" t="inlineStr">
        <is>
          <t>{"0": {"productDeskExternalKey": "CPCX|43-1478"}, "1": {"Package Contents": "Wiper Motor; Instruction Sheet"}, "2": {"E-Waste": "Yes"}, "3": {"Product Condition": "Remanufactured"}, "4": {"Mounting Hole Quantity": "4"}, "5": {"Terminal Type": "Blade"}, "6": {"Mounting Type": "Grommet"}, "7": {"Weight PG": "3.5000"}, "8": {"Washer Pump Included": "No"}, "9": {"Part Type": "Windshield Wiper Motor"}, "10": {"Warranty Info": "1 Year/18,000 Mile"}, "11": {"Sustainable Choice": "Yes"}, "12": {"Lifecycle Status": "Available to Order"}, "13": {"Application Summary": "Mazda 929 1991-88"}, "14": {"ItemLevelGTIN": "00082617166577"}, "15": {"_addonCardone": "43-1478::98268:111096:494"}, "16": {"Eligible for R&amp;R Service": "Yes"}}</t>
        </is>
      </c>
      <c r="J473" t="inlineStr">
        <is>
          <t>https://www.cardone.com/product/windshield-wiper-motor-43-1478</t>
        </is>
      </c>
      <c r="K473">
        <f>DISPIMG("ID_8A5EC54C42E34CF995A5A096D9B28C5E",1)</f>
        <v/>
      </c>
      <c r="L473" t="inlineStr">
        <is>
          <t>CPCX|43-1478</t>
        </is>
      </c>
      <c r="M473" t="inlineStr">
        <is>
          <t>Wiper Motor; Instruction Sheet</t>
        </is>
      </c>
      <c r="N473" t="inlineStr">
        <is>
          <t>Yes</t>
        </is>
      </c>
      <c r="O473" t="inlineStr">
        <is>
          <t>Remanufactured</t>
        </is>
      </c>
      <c r="P473" t="inlineStr">
        <is>
          <t>4</t>
        </is>
      </c>
      <c r="Q473" t="inlineStr">
        <is>
          <t>Blade</t>
        </is>
      </c>
      <c r="R473" t="inlineStr">
        <is>
          <t>Grommet</t>
        </is>
      </c>
      <c r="S473" t="inlineStr">
        <is>
          <t>3.5000</t>
        </is>
      </c>
      <c r="T473" t="inlineStr">
        <is>
          <t>No</t>
        </is>
      </c>
      <c r="U473" t="inlineStr">
        <is>
          <t>1 Year/18,000 Mile</t>
        </is>
      </c>
      <c r="V473" t="inlineStr">
        <is>
          <t>Yes</t>
        </is>
      </c>
      <c r="W473" t="inlineStr">
        <is>
          <t>Available to Order</t>
        </is>
      </c>
      <c r="X473" t="inlineStr">
        <is>
          <t>Mazda 929 1991-88</t>
        </is>
      </c>
      <c r="Y473" t="inlineStr">
        <is>
          <t>00082617166577</t>
        </is>
      </c>
      <c r="Z473" t="inlineStr">
        <is>
          <t>43-1478::98268:111096:494</t>
        </is>
      </c>
      <c r="AA473" t="inlineStr">
        <is>
          <t>Yes</t>
        </is>
      </c>
      <c r="AB473" t="inlineStr"/>
      <c r="AC473" t="inlineStr"/>
    </row>
    <row r="474">
      <c r="A474" t="inlineStr">
        <is>
          <t>473</t>
        </is>
      </c>
      <c r="B474" t="inlineStr">
        <is>
          <t>Windshield Wiper Motor</t>
        </is>
      </c>
      <c r="C474" t="inlineStr">
        <is>
          <t>43-1479</t>
        </is>
      </c>
      <c r="D474" t="inlineStr">
        <is>
          <t>Windshield Wiper Motor - 43-1479</t>
        </is>
      </c>
      <c r="E474" t="inlineStr">
        <is>
          <t>CARDONE Reman</t>
        </is>
      </c>
      <c r="F474" t="inlineStr">
        <is>
          <t>FB0567350A;FB0567350;FB0667350</t>
        </is>
      </c>
      <c r="G474" t="inlineStr">
        <is>
          <t>Mazda RX-7 1987-1991</t>
        </is>
      </c>
      <c r="H474" t="inlineStr">
        <is>
          <t>Mazda RX-7 1987-1991 1.3L R2 1308cc</t>
        </is>
      </c>
      <c r="I474" t="inlineStr">
        <is>
          <t>{"0": {"productDeskExternalKey": "CPCX|43-1479"}, "1": {"Package Contents": "Wiper Motor; Instruction Sheet"}, "2": {"E-Waste": "Yes"}, "3": {"Product Condition": "Remanufactured"}, "4": {"Mounting Hole Quantity": "4"}, "5": {"Terminal Type": "Blade"}, "6": {"Mounting Type": "Grommet"}, "7": {"Weight PG": "2.6800"}, "8": {"Washer Pump Included": "No"}, "9": {"Part Type": "Windshield Wiper Motor"}, "10": {"Warranty Info": "1 Year/18,000 Mile"}, "11": {"Sustainable Choice": "Yes"}, "12": {"Lifecycle Status": "Available to Order"}, "13": {"Application Summary": "Mazda RX-7 1991-87"}, "14": {"ItemLevelGTIN": "00082617264464"}, "15": {"_addonCardone": "43-1479::98268:111111:494"}, "16": {"Eligible for R&amp;R Service": "Yes"}}</t>
        </is>
      </c>
      <c r="J474" t="inlineStr">
        <is>
          <t>https://www.cardone.com/product/windshield-wiper-motor-43-1479</t>
        </is>
      </c>
      <c r="K474">
        <f>DISPIMG("ID_EF9CEA91979B4DEEAE8A8A5391A973A4",1)</f>
        <v/>
      </c>
      <c r="L474" t="inlineStr">
        <is>
          <t>CPCX|43-1479</t>
        </is>
      </c>
      <c r="M474" t="inlineStr">
        <is>
          <t>Wiper Motor; Instruction Sheet</t>
        </is>
      </c>
      <c r="N474" t="inlineStr">
        <is>
          <t>Yes</t>
        </is>
      </c>
      <c r="O474" t="inlineStr">
        <is>
          <t>Remanufactured</t>
        </is>
      </c>
      <c r="P474" t="inlineStr">
        <is>
          <t>4</t>
        </is>
      </c>
      <c r="Q474" t="inlineStr">
        <is>
          <t>Blade</t>
        </is>
      </c>
      <c r="R474" t="inlineStr">
        <is>
          <t>Grommet</t>
        </is>
      </c>
      <c r="S474" t="inlineStr">
        <is>
          <t>2.6800</t>
        </is>
      </c>
      <c r="T474" t="inlineStr">
        <is>
          <t>No</t>
        </is>
      </c>
      <c r="U474" t="inlineStr">
        <is>
          <t>1 Year/18,000 Mile</t>
        </is>
      </c>
      <c r="V474" t="inlineStr">
        <is>
          <t>Yes</t>
        </is>
      </c>
      <c r="W474" t="inlineStr">
        <is>
          <t>Available to Order</t>
        </is>
      </c>
      <c r="X474" t="inlineStr">
        <is>
          <t>Mazda RX-7 1991-87</t>
        </is>
      </c>
      <c r="Y474" t="inlineStr">
        <is>
          <t>00082617264464</t>
        </is>
      </c>
      <c r="Z474" t="inlineStr">
        <is>
          <t>43-1479::98268:111111:494</t>
        </is>
      </c>
      <c r="AA474" t="inlineStr">
        <is>
          <t>Yes</t>
        </is>
      </c>
      <c r="AB474" t="inlineStr"/>
      <c r="AC474" t="inlineStr"/>
    </row>
    <row r="475">
      <c r="A475" t="inlineStr">
        <is>
          <t>474</t>
        </is>
      </c>
      <c r="B475" t="inlineStr">
        <is>
          <t>Windshield Wiper Motor</t>
        </is>
      </c>
      <c r="C475" t="inlineStr">
        <is>
          <t>43-1480</t>
        </is>
      </c>
      <c r="D475" t="inlineStr">
        <is>
          <t>Windshield Wiper Motor - 43-1480</t>
        </is>
      </c>
      <c r="E475" t="inlineStr">
        <is>
          <t>CARDONE Reman</t>
        </is>
      </c>
      <c r="F475" t="inlineStr">
        <is>
          <t>NA0467340;NA0167340A</t>
        </is>
      </c>
      <c r="G475" t="inlineStr">
        <is>
          <t>Mazda Miata 1990</t>
        </is>
      </c>
      <c r="H475" t="inlineStr">
        <is>
          <t>Mazda Miata 1990 1.6L L4 1597cc</t>
        </is>
      </c>
      <c r="I475" t="inlineStr">
        <is>
          <t>{"0": {"productDeskExternalKey": "CPCX|43-1480"}, "1": {"Package Contents": "Wiper Motor; Instruction Sheet"}, "2": {"E-Waste": "Yes"}, "3": {"Product Condition": "Remanufactured"}, "4": {"Mounting Hole Quantity": "3"}, "5": {"Terminal Type": "Blade"}, "6": {"Mounting Type": "Direct Bolt"}, "7": {"Weight PG": "2.0000"}, "8": {"Washer Pump Included": "No"}, "9": {"Part Type": "Windshield Wiper Motor"}, "10": {"Warranty Info": "1 Year/18,000 Mile"}, "11": {"Sustainable Choice": "Yes"}, "12": {"Lifecycle Status": "Available to Order"}, "13": {"Application Summary": "Mazda Miata 1990"}, "14": {"ItemLevelGTIN": "00082617571029"}, "15": {"_addonCardone": "43-1480::98268:111125:494"}, "16": {"Eligible for R&amp;R Service": "Yes"}}</t>
        </is>
      </c>
      <c r="J475" t="inlineStr">
        <is>
          <t>https://www.cardone.com/product/windshield-wiper-motor-43-1480</t>
        </is>
      </c>
      <c r="K475">
        <f>DISPIMG("ID_FD79E13E7ECE4C36A2DCC3CD4776BE22",1)</f>
        <v/>
      </c>
      <c r="L475" t="inlineStr">
        <is>
          <t>CPCX|43-1480</t>
        </is>
      </c>
      <c r="M475" t="inlineStr">
        <is>
          <t>Wiper Motor; Instruction Sheet</t>
        </is>
      </c>
      <c r="N475" t="inlineStr">
        <is>
          <t>Yes</t>
        </is>
      </c>
      <c r="O475" t="inlineStr">
        <is>
          <t>Remanufactured</t>
        </is>
      </c>
      <c r="P475" t="inlineStr">
        <is>
          <t>3</t>
        </is>
      </c>
      <c r="Q475" t="inlineStr">
        <is>
          <t>Blade</t>
        </is>
      </c>
      <c r="R475" t="inlineStr">
        <is>
          <t>Direct Bolt</t>
        </is>
      </c>
      <c r="S475" t="inlineStr">
        <is>
          <t>2.0000</t>
        </is>
      </c>
      <c r="T475" t="inlineStr">
        <is>
          <t>No</t>
        </is>
      </c>
      <c r="U475" t="inlineStr">
        <is>
          <t>1 Year/18,000 Mile</t>
        </is>
      </c>
      <c r="V475" t="inlineStr">
        <is>
          <t>Yes</t>
        </is>
      </c>
      <c r="W475" t="inlineStr">
        <is>
          <t>Available to Order</t>
        </is>
      </c>
      <c r="X475" t="inlineStr">
        <is>
          <t>Mazda Miata 1990</t>
        </is>
      </c>
      <c r="Y475" t="inlineStr">
        <is>
          <t>00082617571029</t>
        </is>
      </c>
      <c r="Z475" t="inlineStr">
        <is>
          <t>43-1480::98268:111125:494</t>
        </is>
      </c>
      <c r="AA475" t="inlineStr">
        <is>
          <t>Yes</t>
        </is>
      </c>
      <c r="AB475" t="inlineStr"/>
      <c r="AC475" t="inlineStr"/>
    </row>
    <row r="476">
      <c r="A476" t="inlineStr">
        <is>
          <t>475</t>
        </is>
      </c>
      <c r="B476" t="inlineStr">
        <is>
          <t>Windshield Wiper Motor</t>
        </is>
      </c>
      <c r="C476" t="inlineStr">
        <is>
          <t>43-1481</t>
        </is>
      </c>
      <c r="D476" t="inlineStr">
        <is>
          <t>Windshield Wiper Motor - 43-1481</t>
        </is>
      </c>
      <c r="E476" t="inlineStr">
        <is>
          <t>CARDONE Reman</t>
        </is>
      </c>
      <c r="F476" t="inlineStr">
        <is>
          <t>LA0267340;LA0167340</t>
        </is>
      </c>
      <c r="G476" t="inlineStr">
        <is>
          <t>Mazda MPV 1989-1998</t>
        </is>
      </c>
      <c r="H476" t="inlineStr">
        <is>
          <t>Mazda MPV 1989-1994 2.6L L4 2606cc
Mazda MPV 1989-1998 3L V6 180cid</t>
        </is>
      </c>
      <c r="I476" t="inlineStr">
        <is>
          <t>{"0": {"productDeskExternalKey": "CPCX|43-1481"}, "1": {"Package Contents": "Wiper Motor; Instruction Sheet"}, "2": {"E-Waste": "Yes"}, "3": {"Product Condition": "Remanufactured"}, "4": {"Mounting Hole Quantity": "4"}, "5": {"Terminal Type": "Blade"}, "6": {"Mounting Type": "Grommet"}, "7": {"Weight PG": "2.8200"}, "8": {"Washer Pump Included": "No"}, "9": {"Part Type": "Windshield Wiper Motor"}, "10": {"Warranty Info": "1 Year/18,000 Mile"}, "11": {"Sustainable Choice": "Yes"}, "12": {"Lifecycle Status": "Available to Order"}, "13": {"Application Summary": "Mazda MPV 1998-89"}, "14": {"ItemLevelGTIN": "00082617377300"}, "15": {"_addonCardone": "43-1481::98268:111135:494"}, "16": {"Eligible for R&amp;R Service": "Yes"}}</t>
        </is>
      </c>
      <c r="J476" t="inlineStr">
        <is>
          <t>https://www.cardone.com/product/windshield-wiper-motor-43-1481</t>
        </is>
      </c>
      <c r="K476">
        <f>DISPIMG("ID_3EB3BB74E0DD4E8D9127BF838C9835A9",1)</f>
        <v/>
      </c>
      <c r="L476" t="inlineStr">
        <is>
          <t>CPCX|43-1481</t>
        </is>
      </c>
      <c r="M476" t="inlineStr">
        <is>
          <t>Wiper Motor; Instruction Sheet</t>
        </is>
      </c>
      <c r="N476" t="inlineStr">
        <is>
          <t>Yes</t>
        </is>
      </c>
      <c r="O476" t="inlineStr">
        <is>
          <t>Remanufactured</t>
        </is>
      </c>
      <c r="P476" t="inlineStr">
        <is>
          <t>4</t>
        </is>
      </c>
      <c r="Q476" t="inlineStr">
        <is>
          <t>Blade</t>
        </is>
      </c>
      <c r="R476" t="inlineStr">
        <is>
          <t>Grommet</t>
        </is>
      </c>
      <c r="S476" t="inlineStr">
        <is>
          <t>2.8200</t>
        </is>
      </c>
      <c r="T476" t="inlineStr">
        <is>
          <t>No</t>
        </is>
      </c>
      <c r="U476" t="inlineStr">
        <is>
          <t>1 Year/18,000 Mile</t>
        </is>
      </c>
      <c r="V476" t="inlineStr">
        <is>
          <t>Yes</t>
        </is>
      </c>
      <c r="W476" t="inlineStr">
        <is>
          <t>Available to Order</t>
        </is>
      </c>
      <c r="X476" t="inlineStr">
        <is>
          <t>Mazda MPV 1998-89</t>
        </is>
      </c>
      <c r="Y476" t="inlineStr">
        <is>
          <t>00082617377300</t>
        </is>
      </c>
      <c r="Z476" t="inlineStr">
        <is>
          <t>43-1481::98268:111135:494</t>
        </is>
      </c>
      <c r="AA476" t="inlineStr">
        <is>
          <t>Yes</t>
        </is>
      </c>
      <c r="AB476" t="inlineStr"/>
      <c r="AC476" t="inlineStr"/>
    </row>
    <row r="477">
      <c r="A477" t="inlineStr">
        <is>
          <t>476</t>
        </is>
      </c>
      <c r="B477" t="inlineStr">
        <is>
          <t>Windshield Wiper Motor</t>
        </is>
      </c>
      <c r="C477" t="inlineStr">
        <is>
          <t>43-1482</t>
        </is>
      </c>
      <c r="D477" t="inlineStr">
        <is>
          <t>Windshield Wiper Motor - 43-1482</t>
        </is>
      </c>
      <c r="E477" t="inlineStr">
        <is>
          <t>CARDONE Reman</t>
        </is>
      </c>
      <c r="F477" t="inlineStr">
        <is>
          <t>BR7067340;BR7167340;EA0167340C</t>
        </is>
      </c>
      <c r="G477" t="inlineStr">
        <is>
          <t>Mazda MX-3 1992-1995
Mazda Protege 1990-1994</t>
        </is>
      </c>
      <c r="H477" t="inlineStr">
        <is>
          <t>Mazda MX-3 1992-1995 1.6L L4 1597cc
Mazda MX-3 1992-1995 1.8L V6 1845cc
Mazda MX-3 1995 1.6L L4 97cid
Mazda Protege 1990-1994 1.8L L4 1839cc</t>
        </is>
      </c>
      <c r="I477" t="inlineStr">
        <is>
          <t>{"0": {"productDeskExternalKey": "CPCX|43-1482"},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"Mazda 323 1994-90, MX-3 1995-92, Protege 1994-90"}, "14": {"ItemLevelGTIN": "00082617351799"}, "15": {"_addonCardone": "43-1482::98268:111146:494"}, "16": {"Eligible for R&amp;R Service": "Yes"}}</t>
        </is>
      </c>
      <c r="J477" t="inlineStr">
        <is>
          <t>https://www.cardone.com/product/windshield-wiper-motor-43-1482</t>
        </is>
      </c>
      <c r="K477">
        <f>DISPIMG("ID_443CF5E9E1F84F289D84011232B16083",1)</f>
        <v/>
      </c>
      <c r="L477" t="inlineStr">
        <is>
          <t>CPCX|43-1482</t>
        </is>
      </c>
      <c r="M477" t="inlineStr">
        <is>
          <t>Wiper Motor; Instruction Sheet</t>
        </is>
      </c>
      <c r="N477" t="inlineStr">
        <is>
          <t>Yes</t>
        </is>
      </c>
      <c r="O477" t="inlineStr">
        <is>
          <t>Remanufactured</t>
        </is>
      </c>
      <c r="P477" t="inlineStr">
        <is>
          <t>3</t>
        </is>
      </c>
      <c r="Q477" t="inlineStr">
        <is>
          <t>Blade</t>
        </is>
      </c>
      <c r="R477" t="inlineStr">
        <is>
          <t>Direct Bolt</t>
        </is>
      </c>
      <c r="S477" t="inlineStr">
        <is>
          <t>2.7500</t>
        </is>
      </c>
      <c r="T477" t="inlineStr">
        <is>
          <t>No</t>
        </is>
      </c>
      <c r="U477" t="inlineStr">
        <is>
          <t>1 Year/18,000 Mile</t>
        </is>
      </c>
      <c r="V477" t="inlineStr">
        <is>
          <t>Yes</t>
        </is>
      </c>
      <c r="W477" t="inlineStr">
        <is>
          <t>Available to Order</t>
        </is>
      </c>
      <c r="X477" t="inlineStr">
        <is>
          <t>Mazda 323 1994-90, MX-3 1995-92, Protege 1994-90</t>
        </is>
      </c>
      <c r="Y477" t="inlineStr">
        <is>
          <t>00082617351799</t>
        </is>
      </c>
      <c r="Z477" t="inlineStr">
        <is>
          <t>43-1482::98268:111146:494</t>
        </is>
      </c>
      <c r="AA477" t="inlineStr">
        <is>
          <t>Yes</t>
        </is>
      </c>
      <c r="AB477" t="inlineStr"/>
      <c r="AC477" t="inlineStr"/>
    </row>
    <row r="478">
      <c r="A478" t="inlineStr">
        <is>
          <t>477</t>
        </is>
      </c>
      <c r="B478" t="inlineStr">
        <is>
          <t>Windshield Wiper Motor</t>
        </is>
      </c>
      <c r="C478" t="inlineStr">
        <is>
          <t>43-1483</t>
        </is>
      </c>
      <c r="D478" t="inlineStr">
        <is>
          <t>Windshield Wiper Motor - 43-1483</t>
        </is>
      </c>
      <c r="E478" t="inlineStr">
        <is>
          <t>CARDONE Reman</t>
        </is>
      </c>
      <c r="F478" t="inlineStr">
        <is>
          <t>UB3967345B</t>
        </is>
      </c>
      <c r="G478" t="inlineStr"/>
      <c r="H478" t="inlineStr"/>
      <c r="I478" t="inlineStr">
        <is>
          <t>{"0": {"productDeskExternalKey": "CPCX|43-1483"}, "1": {"Package Contents": "Wiper Motor; Instruction Sheet"}, "2": {"E-Waste": "Yes"}, "3": {"Product Condition": "Remanufactured"}, "4": {"Mounting Hole Quantity": "3"}, "5": {"Terminal Type": "Blade"}, "6": {"Mounting Type": "Direct Bolt"}, "7": {"Weight PG": "2.4200"}, "8": {"Washer Pump Included": "No"}, "9": {"Part Type": "Windshield Wiper Motor"}, "10": {"Warranty Info": "1 Year/18,000 Mile"}, "11": {"Sustainable Choice": "Yes"}, "12": {"Lifecycle Status": "Available to Order"}, "13": {"Application Summary": "Mazda B2200 1993-90, B2600 1993-90"}, "14": {"ItemLevelGTIN": "00082617377355"}, "15": {"_addonCardone": "43-1483::98268:111154:494"}, "16": {"Eligible for R&amp;R Service": "Yes"}}</t>
        </is>
      </c>
      <c r="J478" t="inlineStr">
        <is>
          <t>https://www.cardone.com/product/windshield-wiper-motor-43-1483</t>
        </is>
      </c>
      <c r="K478">
        <f>DISPIMG("ID_6A33D0A538684E1C996A1AEC5A36A45E",1)</f>
        <v/>
      </c>
      <c r="L478" t="inlineStr">
        <is>
          <t>CPCX|43-1483</t>
        </is>
      </c>
      <c r="M478" t="inlineStr">
        <is>
          <t>Wiper Motor; Instruction Sheet</t>
        </is>
      </c>
      <c r="N478" t="inlineStr">
        <is>
          <t>Yes</t>
        </is>
      </c>
      <c r="O478" t="inlineStr">
        <is>
          <t>Remanufactured</t>
        </is>
      </c>
      <c r="P478" t="inlineStr">
        <is>
          <t>3</t>
        </is>
      </c>
      <c r="Q478" t="inlineStr">
        <is>
          <t>Blade</t>
        </is>
      </c>
      <c r="R478" t="inlineStr">
        <is>
          <t>Direct Bolt</t>
        </is>
      </c>
      <c r="S478" t="inlineStr">
        <is>
          <t>2.4200</t>
        </is>
      </c>
      <c r="T478" t="inlineStr">
        <is>
          <t>No</t>
        </is>
      </c>
      <c r="U478" t="inlineStr">
        <is>
          <t>1 Year/18,000 Mile</t>
        </is>
      </c>
      <c r="V478" t="inlineStr">
        <is>
          <t>Yes</t>
        </is>
      </c>
      <c r="W478" t="inlineStr">
        <is>
          <t>Available to Order</t>
        </is>
      </c>
      <c r="X478" t="inlineStr">
        <is>
          <t>Mazda B2200 1993-90, B2600 1993-90</t>
        </is>
      </c>
      <c r="Y478" t="inlineStr">
        <is>
          <t>00082617377355</t>
        </is>
      </c>
      <c r="Z478" t="inlineStr">
        <is>
          <t>43-1483::98268:111154:494</t>
        </is>
      </c>
      <c r="AA478" t="inlineStr">
        <is>
          <t>Yes</t>
        </is>
      </c>
      <c r="AB478" t="inlineStr"/>
      <c r="AC478" t="inlineStr"/>
    </row>
    <row r="479">
      <c r="A479" t="inlineStr">
        <is>
          <t>478</t>
        </is>
      </c>
      <c r="B479" t="inlineStr">
        <is>
          <t>Windshield Wiper Motor</t>
        </is>
      </c>
      <c r="C479" t="inlineStr">
        <is>
          <t>43-1484</t>
        </is>
      </c>
      <c r="D479" t="inlineStr">
        <is>
          <t>Windshield Wiper Motor - 43-1484</t>
        </is>
      </c>
      <c r="E479" t="inlineStr">
        <is>
          <t>CARDONE Reman</t>
        </is>
      </c>
      <c r="F479" t="inlineStr">
        <is>
          <t>NA0167340B;NA0467340D;NA0167340E;NA0167340C;NA0167340D</t>
        </is>
      </c>
      <c r="G479" t="inlineStr">
        <is>
          <t>Mazda Miata 1991-2005</t>
        </is>
      </c>
      <c r="H479" t="inlineStr">
        <is>
          <t>Mazda Miata 1991-1993 1.6L L4 1597cc
Mazda Miata 1994-2005 1.8L L4 1839cc</t>
        </is>
      </c>
      <c r="I479" t="inlineStr">
        <is>
          <t>{"0": {"productDeskExternalKey": "CPCX|43-1484"}, "1": {"Package Contents": "Wiper Motor; Instruction Sheet"}, "2": {"E-Waste": "Yes"}, "3": {"Product Condition": "Remanufactured"}, "4": {"Mounting Hole Quantity": "3"}, "5": {"Terminal Type": "Blade"}, "6": {"Mounting Type": "Direct Bolt"}, "7": {"Weight PG": "2.0000"}, "8": {"Washer Pump Included": "No"}, "9": {"Part Type": "Windshield Wiper Motor"}, "10": {"Warranty Info": "1 Year/18,000 Mile"}, "11": {"Sustainable Choice": "Yes"}, "12": {"Lifecycle Status": "Available to Order"}, "13": {"Application Summary": "Mazda Miata 2005-99 1997-91"}, "14": {"ItemLevelGTIN": "00082617377348"}, "15": {"_addonCardone": "43-1484::98268:111167:494"}, "16": {"Eligible for R&amp;R Service": "Yes"}}</t>
        </is>
      </c>
      <c r="J479" t="inlineStr">
        <is>
          <t>https://www.cardone.com/product/windshield-wiper-motor-43-1484</t>
        </is>
      </c>
      <c r="K479">
        <f>DISPIMG("ID_57E5BA362D714D7DBA3E937B9BA7C9CD",1)</f>
        <v/>
      </c>
      <c r="L479" t="inlineStr">
        <is>
          <t>CPCX|43-1484</t>
        </is>
      </c>
      <c r="M479" t="inlineStr">
        <is>
          <t>Wiper Motor; Instruction Sheet</t>
        </is>
      </c>
      <c r="N479" t="inlineStr">
        <is>
          <t>Yes</t>
        </is>
      </c>
      <c r="O479" t="inlineStr">
        <is>
          <t>Remanufactured</t>
        </is>
      </c>
      <c r="P479" t="inlineStr">
        <is>
          <t>3</t>
        </is>
      </c>
      <c r="Q479" t="inlineStr">
        <is>
          <t>Blade</t>
        </is>
      </c>
      <c r="R479" t="inlineStr">
        <is>
          <t>Direct Bolt</t>
        </is>
      </c>
      <c r="S479" t="inlineStr">
        <is>
          <t>2.0000</t>
        </is>
      </c>
      <c r="T479" t="inlineStr">
        <is>
          <t>No</t>
        </is>
      </c>
      <c r="U479" t="inlineStr">
        <is>
          <t>1 Year/18,000 Mile</t>
        </is>
      </c>
      <c r="V479" t="inlineStr">
        <is>
          <t>Yes</t>
        </is>
      </c>
      <c r="W479" t="inlineStr">
        <is>
          <t>Available to Order</t>
        </is>
      </c>
      <c r="X479" t="inlineStr">
        <is>
          <t>Mazda Miata 2005-99 1997-91</t>
        </is>
      </c>
      <c r="Y479" t="inlineStr">
        <is>
          <t>00082617377348</t>
        </is>
      </c>
      <c r="Z479" t="inlineStr">
        <is>
          <t>43-1484::98268:111167:494</t>
        </is>
      </c>
      <c r="AA479" t="inlineStr">
        <is>
          <t>Yes</t>
        </is>
      </c>
      <c r="AB479" t="inlineStr"/>
      <c r="AC479" t="inlineStr"/>
    </row>
    <row r="480">
      <c r="A480" t="inlineStr">
        <is>
          <t>479</t>
        </is>
      </c>
      <c r="B480" t="inlineStr">
        <is>
          <t>Windshield Wiper Motor</t>
        </is>
      </c>
      <c r="C480" t="inlineStr">
        <is>
          <t>43-1485</t>
        </is>
      </c>
      <c r="D480" t="inlineStr">
        <is>
          <t>Windshield Wiper Motor - 43-1485</t>
        </is>
      </c>
      <c r="E480" t="inlineStr">
        <is>
          <t>CARDONE Reman</t>
        </is>
      </c>
      <c r="F480" t="inlineStr">
        <is>
          <t>GA2L67340D;GA2A67340C;GA2K67340C;F32Z17508A</t>
        </is>
      </c>
      <c r="G480" t="inlineStr">
        <is>
          <t>Ford Probe 1993-1997
Mazda MX-6 1993-1997</t>
        </is>
      </c>
      <c r="H480" t="inlineStr">
        <is>
          <t>Ford Probe 1993-1997 2.5L V6 2497cc
Ford Probe 1993-1997 2L L4 122cid
Mazda MX-6 1993-1997 2.5L V6 2497cc
Mazda MX-6 1993-1997 2L L4 1991cc</t>
        </is>
      </c>
      <c r="I480" t="inlineStr">
        <is>
          <t>{"0": {"productDeskExternalKey": "CPCX|43-1485"}, "1": {"Package Contents": "Wiper Motor; Instruction Sheet"}, "2": {"E-Waste": "Yes"}, "3": {"Product Condition": "Remanufactured"}, "4": {"Mounting Hole Quantity": "3"}, "5": {"Terminal Type": "Blade"}, "6": {"Mounting Type": "Direct Bolt"}, "7": {"Weight PG": "2.4600"}, "8": {"Washer Pump Included": "No"}, "9": {"Part Type": "Windshield Wiper Motor"}, "10": {"Warranty Info": "1 Year/18,000 Mile"}, "11": {"Sustainable Choice": "Yes"}, "12": {"Lifecycle Status": "Available to Order"}, "13": {"Application Summary": "Ford Probe 1997-93; Mazda 626 1997-93, MX-6 1997-93"}, "14": {"ItemLevelGTIN": "00082617377287"}, "15": {"_addonCardone": "43-1485::98268:111177:494"}, "16": {"Eligible for R&amp;R Service": "Yes"}}</t>
        </is>
      </c>
      <c r="J480" t="inlineStr">
        <is>
          <t>https://www.cardone.com/product/windshield-wiper-motor-43-1485</t>
        </is>
      </c>
      <c r="K480">
        <f>DISPIMG("ID_AE6E5D0F89434D82AAE2808B949ED23F",1)</f>
        <v/>
      </c>
      <c r="L480" t="inlineStr">
        <is>
          <t>CPCX|43-1485</t>
        </is>
      </c>
      <c r="M480" t="inlineStr">
        <is>
          <t>Wiper Motor; Instruction Sheet</t>
        </is>
      </c>
      <c r="N480" t="inlineStr">
        <is>
          <t>Yes</t>
        </is>
      </c>
      <c r="O480" t="inlineStr">
        <is>
          <t>Remanufactured</t>
        </is>
      </c>
      <c r="P480" t="inlineStr">
        <is>
          <t>3</t>
        </is>
      </c>
      <c r="Q480" t="inlineStr">
        <is>
          <t>Blade</t>
        </is>
      </c>
      <c r="R480" t="inlineStr">
        <is>
          <t>Direct Bolt</t>
        </is>
      </c>
      <c r="S480" t="inlineStr">
        <is>
          <t>2.4600</t>
        </is>
      </c>
      <c r="T480" t="inlineStr">
        <is>
          <t>No</t>
        </is>
      </c>
      <c r="U480" t="inlineStr">
        <is>
          <t>1 Year/18,000 Mile</t>
        </is>
      </c>
      <c r="V480" t="inlineStr">
        <is>
          <t>Yes</t>
        </is>
      </c>
      <c r="W480" t="inlineStr">
        <is>
          <t>Available to Order</t>
        </is>
      </c>
      <c r="X480" t="inlineStr">
        <is>
          <t>Ford Probe 1997-93; Mazda 626 1997-93, MX-6 1997-93</t>
        </is>
      </c>
      <c r="Y480" t="inlineStr">
        <is>
          <t>00082617377287</t>
        </is>
      </c>
      <c r="Z480" t="inlineStr">
        <is>
          <t>43-1485::98268:111177:494</t>
        </is>
      </c>
      <c r="AA480" t="inlineStr">
        <is>
          <t>Yes</t>
        </is>
      </c>
      <c r="AB480" t="inlineStr"/>
      <c r="AC480" t="inlineStr"/>
    </row>
    <row r="481">
      <c r="A481" t="inlineStr">
        <is>
          <t>480</t>
        </is>
      </c>
      <c r="B481" t="inlineStr">
        <is>
          <t>Windshield Wiper Motor</t>
        </is>
      </c>
      <c r="C481" t="inlineStr">
        <is>
          <t>43-1486</t>
        </is>
      </c>
      <c r="D481" t="inlineStr">
        <is>
          <t>Windshield Wiper Motor - 43-1486</t>
        </is>
      </c>
      <c r="E481" t="inlineStr">
        <is>
          <t>CARDONE Reman</t>
        </is>
      </c>
      <c r="F481" t="inlineStr">
        <is>
          <t>HG3067340</t>
        </is>
      </c>
      <c r="G481" t="inlineStr"/>
      <c r="H481" t="inlineStr"/>
      <c r="I481" t="inlineStr">
        <is>
          <t>{"0": {"productDeskExternalKey": "CPCX|43-1486"}, "1": {"Package Contents": "Wiper Motor; Instruction Sheet"}, "2": {"E-Waste": "Yes"}, "3": {"Product Condition": "Remanufactured"}, "4": {"Mounting Hole Quantity": "4"}, "5": {"Terminal Type": "Blade"}, "6": {"Mounting Type": "Grommet"}, "7": {"Weight PG": "2.4000"}, "8": {"Washer Pump Included": "No"}, "9": {"Part Type": "Windshield Wiper Motor"}, "10": {"Warranty Info": "1 Year/18,000 Mile"}, "11": {"Sustainable Choice": "Yes"}, "12": {"Lifecycle Status": "Available to Order"}, "13": {"Application Summary": "Mazda 929 1995-92"}, "14": {"ItemLevelGTIN": "00082617377294"}, "15": {"_addonCardone": "43-1486::98268:111188:494"}, "16": {"Eligible for R&amp;R Service": "Yes"}}</t>
        </is>
      </c>
      <c r="J481" t="inlineStr">
        <is>
          <t>https://www.cardone.com/product/windshield-wiper-motor-43-1486</t>
        </is>
      </c>
      <c r="K481">
        <f>DISPIMG("ID_04CB62910516442583A2AD1E13B079D3",1)</f>
        <v/>
      </c>
      <c r="L481" t="inlineStr">
        <is>
          <t>CPCX|43-1486</t>
        </is>
      </c>
      <c r="M481" t="inlineStr">
        <is>
          <t>Wiper Motor; Instruction Sheet</t>
        </is>
      </c>
      <c r="N481" t="inlineStr">
        <is>
          <t>Yes</t>
        </is>
      </c>
      <c r="O481" t="inlineStr">
        <is>
          <t>Remanufactured</t>
        </is>
      </c>
      <c r="P481" t="inlineStr">
        <is>
          <t>4</t>
        </is>
      </c>
      <c r="Q481" t="inlineStr">
        <is>
          <t>Blade</t>
        </is>
      </c>
      <c r="R481" t="inlineStr">
        <is>
          <t>Grommet</t>
        </is>
      </c>
      <c r="S481" t="inlineStr">
        <is>
          <t>2.4000</t>
        </is>
      </c>
      <c r="T481" t="inlineStr">
        <is>
          <t>No</t>
        </is>
      </c>
      <c r="U481" t="inlineStr">
        <is>
          <t>1 Year/18,000 Mile</t>
        </is>
      </c>
      <c r="V481" t="inlineStr">
        <is>
          <t>Yes</t>
        </is>
      </c>
      <c r="W481" t="inlineStr">
        <is>
          <t>Available to Order</t>
        </is>
      </c>
      <c r="X481" t="inlineStr">
        <is>
          <t>Mazda 929 1995-92</t>
        </is>
      </c>
      <c r="Y481" t="inlineStr">
        <is>
          <t>00082617377294</t>
        </is>
      </c>
      <c r="Z481" t="inlineStr">
        <is>
          <t>43-1486::98268:111188:494</t>
        </is>
      </c>
      <c r="AA481" t="inlineStr">
        <is>
          <t>Yes</t>
        </is>
      </c>
      <c r="AB481" t="inlineStr"/>
      <c r="AC481" t="inlineStr"/>
    </row>
    <row r="482">
      <c r="A482" t="inlineStr">
        <is>
          <t>481</t>
        </is>
      </c>
      <c r="B482" t="inlineStr">
        <is>
          <t>Windshield Wiper Motor</t>
        </is>
      </c>
      <c r="C482" t="inlineStr">
        <is>
          <t>43-1487</t>
        </is>
      </c>
      <c r="D482" t="inlineStr">
        <is>
          <t>Windshield Wiper Motor - 43-1487</t>
        </is>
      </c>
      <c r="E482" t="inlineStr">
        <is>
          <t>CARDONE Reman</t>
        </is>
      </c>
      <c r="F482" t="inlineStr">
        <is>
          <t>TA0267340B;TA0267340A;TA0267340;TA0167340A;TA0167340;TA0167340B</t>
        </is>
      </c>
      <c r="G482" t="inlineStr">
        <is>
          <t>Mazda Millenia 1995-2002</t>
        </is>
      </c>
      <c r="H482" t="inlineStr">
        <is>
          <t>Mazda Millenia 1995-2001 2.5L V6 2497cc
Mazda Millenia 1995-2002 2.3L V6 2254cc
Mazda Millenia 2002 2.5L V6 155cid</t>
        </is>
      </c>
      <c r="I482" t="inlineStr">
        <is>
          <t>{"0": {"productDeskExternalKey": "CPCX|43-1487"},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"Mazda Millenia 2002-95"}, "14": {"ItemLevelGTIN": "00082617571036"}, "15": {"_addonCardone": "43-1487::98268:111199:494"}, "16": {"Eligible for R&amp;R Service": "Yes"}}</t>
        </is>
      </c>
      <c r="J482" t="inlineStr">
        <is>
          <t>https://www.cardone.com/product/windshield-wiper-motor-43-1487</t>
        </is>
      </c>
      <c r="K482">
        <f>DISPIMG("ID_2E134AB23BF5475AAA5AAE20243E3446",1)</f>
        <v/>
      </c>
      <c r="L482" t="inlineStr">
        <is>
          <t>CPCX|43-1487</t>
        </is>
      </c>
      <c r="M482" t="inlineStr">
        <is>
          <t>Wiper Motor; Instruction Sheet</t>
        </is>
      </c>
      <c r="N482" t="inlineStr">
        <is>
          <t>Yes</t>
        </is>
      </c>
      <c r="O482" t="inlineStr">
        <is>
          <t>Remanufactured</t>
        </is>
      </c>
      <c r="P482" t="inlineStr">
        <is>
          <t>3</t>
        </is>
      </c>
      <c r="Q482" t="inlineStr">
        <is>
          <t>Blade</t>
        </is>
      </c>
      <c r="R482" t="inlineStr">
        <is>
          <t>Direct Bolt</t>
        </is>
      </c>
      <c r="S482" t="inlineStr">
        <is>
          <t>2.5000</t>
        </is>
      </c>
      <c r="T482" t="inlineStr">
        <is>
          <t>No</t>
        </is>
      </c>
      <c r="U482" t="inlineStr">
        <is>
          <t>1 Year/18,000 Mile</t>
        </is>
      </c>
      <c r="V482" t="inlineStr">
        <is>
          <t>Yes</t>
        </is>
      </c>
      <c r="W482" t="inlineStr">
        <is>
          <t>Available to Order</t>
        </is>
      </c>
      <c r="X482" t="inlineStr">
        <is>
          <t>Mazda Millenia 2002-95</t>
        </is>
      </c>
      <c r="Y482" t="inlineStr">
        <is>
          <t>00082617571036</t>
        </is>
      </c>
      <c r="Z482" t="inlineStr">
        <is>
          <t>43-1487::98268:111199:494</t>
        </is>
      </c>
      <c r="AA482" t="inlineStr">
        <is>
          <t>Yes</t>
        </is>
      </c>
      <c r="AB482" t="inlineStr"/>
      <c r="AC482" t="inlineStr"/>
    </row>
    <row r="483">
      <c r="A483" t="inlineStr">
        <is>
          <t>482</t>
        </is>
      </c>
      <c r="B483" t="inlineStr">
        <is>
          <t>Windshield Wiper Motor</t>
        </is>
      </c>
      <c r="C483" t="inlineStr">
        <is>
          <t>43-1504</t>
        </is>
      </c>
      <c r="D483" t="inlineStr">
        <is>
          <t>Windshield Wiper Motor - 43-1504</t>
        </is>
      </c>
      <c r="E483" t="inlineStr">
        <is>
          <t>CARDONE Reman</t>
        </is>
      </c>
      <c r="F483" t="inlineStr"/>
      <c r="G483" t="inlineStr">
        <is>
          <t>Mercedes-Benz 380SL 1981-1985
Mercedes-Benz 380SLC 1981
Mercedes-Benz 450SL 1973-1980
Mercedes-Benz 450SLC 1976-1980
Mercedes-Benz 560SL 1986-1989</t>
        </is>
      </c>
      <c r="H483" t="inlineStr">
        <is>
          <t>Mercedes-Benz 380SL 1981-1985 3.8L V8 3839cc
Mercedes-Benz 380SLC 1981 3.8L V8 3839cc
Mercedes-Benz 450SL 1973-1980 4.5L V8 4520cc
Mercedes-Benz 450SLC 1976-1980 4.5L V8 4520cc
Mercedes-Benz 560SL 1986-1989 5.6L V8 5547cc</t>
        </is>
      </c>
      <c r="I483" t="inlineStr">
        <is>
          <t>{"0": {"productDeskExternalKey": "CPCX|43-1504"}, "1": {"Package Contents": "Wiper Motor; Instruction Sheet"}, "2": {"E-Waste": "Yes"}, "3": {"Product Condition": "Remanufactured"}, "4": {"Mounting Hole Quantity": "3"}, "5": {"Terminal Type": "Bullet"}, "6": {"Mounting Type": "Direct Bolt"}, "7": {"Weight PG": "4.3500"}, "8": {"Washer Pump Included": "No"}, "9": {"Part Type": "Windshield Wiper Motor"}, "10": {"Warranty Info": "1 Year/18,000 Mile"}, "11": {"Sustainable Choice": "Yes"}, "12": {"Lifecycle Status": "Available to Order"}, "13": {"Application Summary": "Mercedes-Benz 380SL 1985-81, 380SLC 1981, 450SL 1980-73, 450SLC 1980-76, 560SL 1989-86"}, "14": {"ItemLevelGTIN": "00082617042888"}, "15": {"_addonCardone": "43-1504::98268:111212:494"}, "16": {"Eligible for R&amp;R Service": "Yes"}}</t>
        </is>
      </c>
      <c r="J483" t="inlineStr">
        <is>
          <t>https://www.cardone.com/product/windshield-wiper-motor-43-1504</t>
        </is>
      </c>
      <c r="K483">
        <f>DISPIMG("ID_345303B132CB432C9AC7FBE7E2CF4736",1)</f>
        <v/>
      </c>
      <c r="L483" t="inlineStr">
        <is>
          <t>CPCX|43-1504</t>
        </is>
      </c>
      <c r="M483" t="inlineStr">
        <is>
          <t>Wiper Motor; Instruction Sheet</t>
        </is>
      </c>
      <c r="N483" t="inlineStr">
        <is>
          <t>Yes</t>
        </is>
      </c>
      <c r="O483" t="inlineStr">
        <is>
          <t>Remanufactured</t>
        </is>
      </c>
      <c r="P483" t="inlineStr">
        <is>
          <t>3</t>
        </is>
      </c>
      <c r="Q483" t="inlineStr">
        <is>
          <t>Bullet</t>
        </is>
      </c>
      <c r="R483" t="inlineStr">
        <is>
          <t>Direct Bolt</t>
        </is>
      </c>
      <c r="S483" t="inlineStr">
        <is>
          <t>4.3500</t>
        </is>
      </c>
      <c r="T483" t="inlineStr">
        <is>
          <t>No</t>
        </is>
      </c>
      <c r="U483" t="inlineStr">
        <is>
          <t>1 Year/18,000 Mile</t>
        </is>
      </c>
      <c r="V483" t="inlineStr">
        <is>
          <t>Yes</t>
        </is>
      </c>
      <c r="W483" t="inlineStr">
        <is>
          <t>Available to Order</t>
        </is>
      </c>
      <c r="X483" t="inlineStr">
        <is>
          <t>Mercedes-Benz 380SL 1985-81, 380SLC 1981, 450SL 1980-73, 450SLC 1980-76, 560SL 1989-86</t>
        </is>
      </c>
      <c r="Y483" t="inlineStr">
        <is>
          <t>00082617042888</t>
        </is>
      </c>
      <c r="Z483" t="inlineStr">
        <is>
          <t>43-1504::98268:111212:494</t>
        </is>
      </c>
      <c r="AA483" t="inlineStr">
        <is>
          <t>Yes</t>
        </is>
      </c>
      <c r="AB483" t="inlineStr"/>
      <c r="AC483" t="inlineStr"/>
    </row>
    <row r="484">
      <c r="A484" t="inlineStr">
        <is>
          <t>483</t>
        </is>
      </c>
      <c r="B484" t="inlineStr">
        <is>
          <t>Windshield Wiper Motor</t>
        </is>
      </c>
      <c r="C484" t="inlineStr">
        <is>
          <t>43-1505</t>
        </is>
      </c>
      <c r="D484" t="inlineStr">
        <is>
          <t>Windshield Wiper Motor - 43-1505</t>
        </is>
      </c>
      <c r="E484" t="inlineStr">
        <is>
          <t>CARDONE Reman</t>
        </is>
      </c>
      <c r="F484" t="inlineStr"/>
      <c r="G484" t="inlineStr">
        <is>
          <t>Mercedes-Benz 230 1977-1978
Mercedes-Benz 240D 1977-1983
Mercedes-Benz 300TD 1979-1981</t>
        </is>
      </c>
      <c r="H484" t="inlineStr">
        <is>
          <t>Mercedes-Benz 230 1977-1978 2.3L L4 2307cc
Mercedes-Benz 240D 1977-1983 2.4L L4 2404cc
Mercedes-Benz 300TD 1979-1981 3L L5 3005cc</t>
        </is>
      </c>
      <c r="I484" t="inlineStr">
        <is>
          <t>{"0": {"productDeskExternalKey": "CPCX|43-1505"}, "1": {"Package Contents": "Wiper Motor; Instruction Sheet"}, "2": {"E-Waste": "Yes"}, "3": {"Product Condition": "Remanufactured"}, "4": {"Mounting Hole Quantity": "3"}, "5": {"Terminal Type": "Bullet"}, "6": {"Mounting Type": "Direct Bolt"}, "7": {"Weight PG": "4.3700"}, "8": {"Washer Pump Included": "No"}, "9": {"Part Type": "Windshield Wiper Motor"}, "10": {"Warranty Info": "1 Year/18,000 Mile"}, "11": {"Sustainable Choice": "Yes"}, "12": {"Lifecycle Status": "Available to Order"}, "13": {"Application Summary": "Mercedes-Benz 230 1978-77, 240D 1983-77, 280CE 1981-78, 280E 1981-77, 300CD 1981-78, 300D 1981-77, 300TD 1981-79"}, "14": {"ItemLevelGTIN": "00082617042895"}, "15": {"_addonCardone": "43-1505::98268:111225:494"}, "16": {"Eligible for R&amp;R Service": "Yes"}}</t>
        </is>
      </c>
      <c r="J484" t="inlineStr">
        <is>
          <t>https://www.cardone.com/product/windshield-wiper-motor-43-1505</t>
        </is>
      </c>
      <c r="K484">
        <f>DISPIMG("ID_B96713793D484896BC4DCC2D44A044B7",1)</f>
        <v/>
      </c>
      <c r="L484" t="inlineStr">
        <is>
          <t>CPCX|43-1505</t>
        </is>
      </c>
      <c r="M484" t="inlineStr">
        <is>
          <t>Wiper Motor; Instruction Sheet</t>
        </is>
      </c>
      <c r="N484" t="inlineStr">
        <is>
          <t>Yes</t>
        </is>
      </c>
      <c r="O484" t="inlineStr">
        <is>
          <t>Remanufactured</t>
        </is>
      </c>
      <c r="P484" t="inlineStr">
        <is>
          <t>3</t>
        </is>
      </c>
      <c r="Q484" t="inlineStr">
        <is>
          <t>Bullet</t>
        </is>
      </c>
      <c r="R484" t="inlineStr">
        <is>
          <t>Direct Bolt</t>
        </is>
      </c>
      <c r="S484" t="inlineStr">
        <is>
          <t>4.3700</t>
        </is>
      </c>
      <c r="T484" t="inlineStr">
        <is>
          <t>No</t>
        </is>
      </c>
      <c r="U484" t="inlineStr">
        <is>
          <t>1 Year/18,000 Mile</t>
        </is>
      </c>
      <c r="V484" t="inlineStr">
        <is>
          <t>Yes</t>
        </is>
      </c>
      <c r="W484" t="inlineStr">
        <is>
          <t>Available to Order</t>
        </is>
      </c>
      <c r="X484" t="inlineStr">
        <is>
          <t>Mercedes-Benz 230 1978-77, 240D 1983-77, 280CE 1981-78, 280E 1981-77, 300CD 1981-78, 300D 1981-77, 300TD 1981-79</t>
        </is>
      </c>
      <c r="Y484" t="inlineStr">
        <is>
          <t>00082617042895</t>
        </is>
      </c>
      <c r="Z484" t="inlineStr">
        <is>
          <t>43-1505::98268:111225:494</t>
        </is>
      </c>
      <c r="AA484" t="inlineStr">
        <is>
          <t>Yes</t>
        </is>
      </c>
      <c r="AB484" t="inlineStr"/>
      <c r="AC484" t="inlineStr"/>
    </row>
    <row r="485">
      <c r="A485" t="inlineStr">
        <is>
          <t>484</t>
        </is>
      </c>
      <c r="B485" t="inlineStr">
        <is>
          <t>Windshield Wiper Motor</t>
        </is>
      </c>
      <c r="C485" t="inlineStr">
        <is>
          <t>43-1511</t>
        </is>
      </c>
      <c r="D485" t="inlineStr">
        <is>
          <t>Windshield Wiper Motor - 43-1511</t>
        </is>
      </c>
      <c r="E485" t="inlineStr">
        <is>
          <t>CARDONE Reman</t>
        </is>
      </c>
      <c r="F485" t="inlineStr">
        <is>
          <t>1298202242;1268209342</t>
        </is>
      </c>
      <c r="G485" t="inlineStr">
        <is>
          <t>Mercedes-Benz 300SD 1981-1985
Mercedes-Benz 300SDL 1986-1987
Mercedes-Benz 300SE 1988-1991
Mercedes-Benz 300SEL 1988-1991
Mercedes-Benz 350SD 1991
Mercedes-Benz 380SE 1984-1985
Mercedes-Benz 380SEC 1982-1983
Mercedes-Benz 380SEL 1981-1983
Mercedes-Benz 420SEL 1986-1991
Mercedes-Benz 500SEC 1984-1985
Mercedes-Benz 500SEL 1984-1985
Mercedes-Benz 560SEC 1986-1991
Mercedes-Benz 560SEL 1986-1991</t>
        </is>
      </c>
      <c r="H485" t="inlineStr">
        <is>
          <t>Mercedes-Benz 300SD 1981-1982 3L L5 3005cc
Mercedes-Benz 300SD 1983-1985 3L L5 2998cc
Mercedes-Benz 300SDL 1986-1987 3L L6 2998cc
Mercedes-Benz 300SE 1988-1991 3L L6 2962cc
Mercedes-Benz 300SEL 1988-1991 3L L6 2962cc
Mercedes-Benz 350SD 1991 3.4L L6 3449cc
Mercedes-Benz 380SE 1984-1985 3.8L V8 3839cc
Mercedes-Benz 380SEC 1982-1983 3.8L V8 3839cc
Mercedes-Benz 380SEL 1981-1983 3.8L V8 3839cc
Mercedes-Benz 420SEL 1986-1991 4.2L V8 4196cc
Mercedes-Benz 500SEC 1984-1985 5L V8 4973cc
Mercedes-Benz 500SEL 1984-1985 5L V8 4973cc
Mercedes-Benz 560SEC 1986-1991 5.6L V8 5547cc
Mercedes-Benz 560SEL 1986-1991 5.6L V8 5547cc</t>
        </is>
      </c>
      <c r="I485" t="inlineStr">
        <is>
          <t>{"0": {"productDeskExternalKey": "CPCX|43-1511"}, "1": {"Package Contents": "Wiper Motor; Instruction Sheet"}, "2": {"E-Waste": "Yes"}, "3": {"Product Condition": "Remanufactured"}, "4": {"Mounting Hole Quantity": "3"}, "5": {"Terminal Type": "Bullet"}, "6": {"Mounting Type": "Direct Bolt"}, "7": {"Weight PG": "4.7100"}, "8": {"Washer Pump Included": "No"}, "9": {"Part Type": "Windshield Wiper Motor"}, "10": {"Warranty Info": "1 Year/18,000 Mile"}, "11": {"Sustainable Choice": "Yes"}, "12": {"Lifecycle Status": "Available to Order"}, "13": {"Application Summary": "Mercedes-Benz 300SD 1985-81, 300SDL 1987-86, 300SE 1991-88, 300SEL 1991-88, 350SD 1991, 380SE 1985-84, 380SEC 1983-82, 380SEL 1983-81, 420SEL 1991-86, 500SEC 1985-84, 500SEL 1985-84, 560SEC 1991-86, 560SEL 1991-86"}, "14": {"ItemLevelGTIN": "00082617142793"}, "15": {"_addonCardone": "43-1511::98268:111235:494"}, "16": {"Eligible for R&amp;R Service": "Yes"}}</t>
        </is>
      </c>
      <c r="J485" t="inlineStr">
        <is>
          <t>https://www.cardone.com/product/windshield-wiper-motor-43-1511</t>
        </is>
      </c>
      <c r="K485">
        <f>DISPIMG("ID_601CBCB2B9A94E29B81FBBE8CF905E62",1)</f>
        <v/>
      </c>
      <c r="L485" t="inlineStr">
        <is>
          <t>CPCX|43-1511</t>
        </is>
      </c>
      <c r="M485" t="inlineStr">
        <is>
          <t>Wiper Motor; Instruction Sheet</t>
        </is>
      </c>
      <c r="N485" t="inlineStr">
        <is>
          <t>Yes</t>
        </is>
      </c>
      <c r="O485" t="inlineStr">
        <is>
          <t>Remanufactured</t>
        </is>
      </c>
      <c r="P485" t="inlineStr">
        <is>
          <t>3</t>
        </is>
      </c>
      <c r="Q485" t="inlineStr">
        <is>
          <t>Bullet</t>
        </is>
      </c>
      <c r="R485" t="inlineStr">
        <is>
          <t>Direct Bolt</t>
        </is>
      </c>
      <c r="S485" t="inlineStr">
        <is>
          <t>4.7100</t>
        </is>
      </c>
      <c r="T485" t="inlineStr">
        <is>
          <t>No</t>
        </is>
      </c>
      <c r="U485" t="inlineStr">
        <is>
          <t>1 Year/18,000 Mile</t>
        </is>
      </c>
      <c r="V485" t="inlineStr">
        <is>
          <t>Yes</t>
        </is>
      </c>
      <c r="W485" t="inlineStr">
        <is>
          <t>Available to Order</t>
        </is>
      </c>
      <c r="X485" t="inlineStr">
        <is>
          <t>Mercedes-Benz 300SD 1985-81, 300SDL 1987-86, 300SE 1991-88, 300SEL 1991-88, 350SD 1991, 380SE 1985-84, 380SEC 1983-82, 380SEL 1983-81, 420SEL 1991-86, 500SEC 1985-84, 500SEL 1985-84, 560SEC 1991-86, 560SEL 1991-86</t>
        </is>
      </c>
      <c r="Y485" t="inlineStr">
        <is>
          <t>00082617142793</t>
        </is>
      </c>
      <c r="Z485" t="inlineStr">
        <is>
          <t>43-1511::98268:111235:494</t>
        </is>
      </c>
      <c r="AA485" t="inlineStr">
        <is>
          <t>Yes</t>
        </is>
      </c>
      <c r="AB485" t="inlineStr"/>
      <c r="AC485" t="inlineStr"/>
    </row>
    <row r="486">
      <c r="A486" t="inlineStr">
        <is>
          <t>485</t>
        </is>
      </c>
      <c r="B486" t="inlineStr">
        <is>
          <t>Windshield Wiper Motor</t>
        </is>
      </c>
      <c r="C486" t="inlineStr">
        <is>
          <t>43-1512</t>
        </is>
      </c>
      <c r="D486" t="inlineStr">
        <is>
          <t>Windshield Wiper Motor - 43-1512</t>
        </is>
      </c>
      <c r="E486" t="inlineStr">
        <is>
          <t>CARDONE Reman</t>
        </is>
      </c>
      <c r="F486" t="inlineStr">
        <is>
          <t>2018206142;2018203642</t>
        </is>
      </c>
      <c r="G486" t="inlineStr">
        <is>
          <t>Mercedes-Benz 190D 1984-1989
Mercedes-Benz 190E 1984-1993</t>
        </is>
      </c>
      <c r="H486" t="inlineStr">
        <is>
          <t>Mercedes-Benz 190D 1984-1985 2.2L L4 2197cc
Mercedes-Benz 190D 1986-1989 2.5L L5 2497cc
Mercedes-Benz 190E 1984-1993 2.3L L4 2299cc
Mercedes-Benz 190E 1987-1993 2.6L L6 2599cc</t>
        </is>
      </c>
      <c r="I486" t="inlineStr">
        <is>
          <t>{"0": {"productDeskExternalKey": "CPCX|43-1512"}, "1": {"Package Contents": "Wiper Motor; Instruction Sheet"}, "2": {"E-Waste": "Yes"}, "3": {"Product Condition": "Remanufactured"}, "4": {"Mounting Hole Quantity": "3"}, "5": {"Terminal Type": "Bullet"}, "6": {"Mounting Type": "Direct Bolt"}, "7": {"Weight PG": "3.9000"}, "8": {"Washer Pump Included": "No"}, "9": {"Part Type": "Windshield Wiper Motor"}, "10": {"Warranty Info": "1 Year/18,000 Mile"}, "11": {"Sustainable Choice": "Yes"}, "12": {"Lifecycle Status": "Available to Order"}, "13": {"Application Summary": "Mercedes-Benz 190D 1989-84, 190E 1993-84"}, "14": {"ItemLevelGTIN": "00082617571074"}, "15": {"_addonCardone": "43-1512::98268:111251:494"}, "16": {"Eligible for R&amp;R Service": "Yes"}}</t>
        </is>
      </c>
      <c r="J486" t="inlineStr">
        <is>
          <t>https://www.cardone.com/product/windshield-wiper-motor-43-1512</t>
        </is>
      </c>
      <c r="K486">
        <f>DISPIMG("ID_D31FA5FAEA4B4931A45FC223D6F31B46",1)</f>
        <v/>
      </c>
      <c r="L486" t="inlineStr">
        <is>
          <t>CPCX|43-1512</t>
        </is>
      </c>
      <c r="M486" t="inlineStr">
        <is>
          <t>Wiper Motor; Instruction Sheet</t>
        </is>
      </c>
      <c r="N486" t="inlineStr">
        <is>
          <t>Yes</t>
        </is>
      </c>
      <c r="O486" t="inlineStr">
        <is>
          <t>Remanufactured</t>
        </is>
      </c>
      <c r="P486" t="inlineStr">
        <is>
          <t>3</t>
        </is>
      </c>
      <c r="Q486" t="inlineStr">
        <is>
          <t>Bullet</t>
        </is>
      </c>
      <c r="R486" t="inlineStr">
        <is>
          <t>Direct Bolt</t>
        </is>
      </c>
      <c r="S486" t="inlineStr">
        <is>
          <t>3.9000</t>
        </is>
      </c>
      <c r="T486" t="inlineStr">
        <is>
          <t>No</t>
        </is>
      </c>
      <c r="U486" t="inlineStr">
        <is>
          <t>1 Year/18,000 Mile</t>
        </is>
      </c>
      <c r="V486" t="inlineStr">
        <is>
          <t>Yes</t>
        </is>
      </c>
      <c r="W486" t="inlineStr">
        <is>
          <t>Available to Order</t>
        </is>
      </c>
      <c r="X486" t="inlineStr">
        <is>
          <t>Mercedes-Benz 190D 1989-84, 190E 1993-84</t>
        </is>
      </c>
      <c r="Y486" t="inlineStr">
        <is>
          <t>00082617571074</t>
        </is>
      </c>
      <c r="Z486" t="inlineStr">
        <is>
          <t>43-1512::98268:111251:494</t>
        </is>
      </c>
      <c r="AA486" t="inlineStr">
        <is>
          <t>Yes</t>
        </is>
      </c>
      <c r="AB486" t="inlineStr"/>
      <c r="AC486" t="inlineStr"/>
    </row>
    <row r="487">
      <c r="A487" t="inlineStr">
        <is>
          <t>486</t>
        </is>
      </c>
      <c r="B487" t="inlineStr">
        <is>
          <t>Windshield Wiper Motor</t>
        </is>
      </c>
      <c r="C487" t="inlineStr">
        <is>
          <t>43-1513</t>
        </is>
      </c>
      <c r="D487" t="inlineStr">
        <is>
          <t>Windshield Wiper Motor - 43-1513</t>
        </is>
      </c>
      <c r="E487" t="inlineStr">
        <is>
          <t>CARDONE Reman</t>
        </is>
      </c>
      <c r="F487" t="inlineStr">
        <is>
          <t>1248200708</t>
        </is>
      </c>
      <c r="G487" t="inlineStr">
        <is>
          <t>Mercedes-Benz 300E 1986-1993
Mercedes-Benz 300TE 1988-1993
Mercedes-Benz 400E 1992-1993
Mercedes-Benz 500E 1992-1993
Mercedes-Benz E300 1995
Mercedes-Benz E320 1994-1995
Mercedes-Benz E420 1994-1995
Mercedes-Benz E500 1994</t>
        </is>
      </c>
      <c r="H487" t="inlineStr">
        <is>
          <t>Mercedes-Benz 300E 1986-1993 3L L6 2962cc
Mercedes-Benz 300E 1990-1992 2.6L L6 2599cc
Mercedes-Benz 300E 1993 2.8L L6 2799cc
Mercedes-Benz 300E 1993 3.2L L6 3199cc
Mercedes-Benz 300TE 1988-1993 3L L6 2962cc
Mercedes-Benz 300TE 1993 3.2L L6 3199cc
Mercedes-Benz 400E 1992-1993 4.2L V8 4196cc
Mercedes-Benz 500E 1992-1993 5L V8 4973cc
Mercedes-Benz E300 1995 3L L6 2996cc
Mercedes-Benz E320 1994-1995 3.2L L6 3199cc
Mercedes-Benz E420 1994-1995 4.2L V8 4196cc
Mercedes-Benz E500 1994 5L V8 4973cc</t>
        </is>
      </c>
      <c r="I487" t="inlineStr">
        <is>
          <t>{"0": {"productDeskExternalKey": "CPCX|43-1513"}, "1": {"Package Contents": "Wiper Motor; Instruction Sheet"}, "2": {"E-Waste": "Yes"}, "3": {"Product Condition": "Remanufactured"}, "4": {"Mounting Hole Quantity": "3"}, "5": {"Terminal Type": "Bullet"}, "6": {"Mounting Type": "Direct Bolt"}, "7": {"Weight PG": "3.4500"}, "8": {"Washer Pump Included": "No"}, "9": {"Part Type": "Windshield Wiper Motor"}, "10": {"Warranty Info": "1 Year/18,000 Mile"}, "11": {"Sustainable Choice": "Yes"}, "12": {"Lifecycle Status": "Available to Order"}, "13": {"Application Summary": "Mercedes-Benz 260E 1989-87, 300CE 1993-88, 300D 1993-90 1987, 300E 1993-86, 300TE 1993-88, 400E 1993-92, 500E 1993-92, E300 1995, E320 1995-94, E420 1995-94, E500 1994"}, "14": {"ItemLevelGTIN": "00082617572552"}, "15": {"_addonCardone": "43-1513::98268:111267:494"}, "16": {"Eligible for R&amp;R Service": "Yes"}}</t>
        </is>
      </c>
      <c r="J487" t="inlineStr">
        <is>
          <t>https://www.cardone.com/product/windshield-wiper-motor-43-1513</t>
        </is>
      </c>
      <c r="K487">
        <f>DISPIMG("ID_99ECF36FB428441DA57BC27C31928588",1)</f>
        <v/>
      </c>
      <c r="L487" t="inlineStr">
        <is>
          <t>CPCX|43-1513</t>
        </is>
      </c>
      <c r="M487" t="inlineStr">
        <is>
          <t>Wiper Motor; Instruction Sheet</t>
        </is>
      </c>
      <c r="N487" t="inlineStr">
        <is>
          <t>Yes</t>
        </is>
      </c>
      <c r="O487" t="inlineStr">
        <is>
          <t>Remanufactured</t>
        </is>
      </c>
      <c r="P487" t="inlineStr">
        <is>
          <t>3</t>
        </is>
      </c>
      <c r="Q487" t="inlineStr">
        <is>
          <t>Bullet</t>
        </is>
      </c>
      <c r="R487" t="inlineStr">
        <is>
          <t>Direct Bolt</t>
        </is>
      </c>
      <c r="S487" t="inlineStr">
        <is>
          <t>3.4500</t>
        </is>
      </c>
      <c r="T487" t="inlineStr">
        <is>
          <t>No</t>
        </is>
      </c>
      <c r="U487" t="inlineStr">
        <is>
          <t>1 Year/18,000 Mile</t>
        </is>
      </c>
      <c r="V487" t="inlineStr">
        <is>
          <t>Yes</t>
        </is>
      </c>
      <c r="W487" t="inlineStr">
        <is>
          <t>Available to Order</t>
        </is>
      </c>
      <c r="X487" t="inlineStr">
        <is>
          <t>Mercedes-Benz 260E 1989-87, 300CE 1993-88, 300D 1993-90 1987, 300E 1993-86, 300TE 1993-88, 400E 1993-92, 500E 1993-92, E300 1995, E320 1995-94, E420 1995-94, E500 1994</t>
        </is>
      </c>
      <c r="Y487" t="inlineStr">
        <is>
          <t>00082617572552</t>
        </is>
      </c>
      <c r="Z487" t="inlineStr">
        <is>
          <t>43-1513::98268:111267:494</t>
        </is>
      </c>
      <c r="AA487" t="inlineStr">
        <is>
          <t>Yes</t>
        </is>
      </c>
      <c r="AB487" t="inlineStr"/>
      <c r="AC487" t="inlineStr"/>
    </row>
    <row r="488">
      <c r="A488" t="inlineStr">
        <is>
          <t>487</t>
        </is>
      </c>
      <c r="B488" t="inlineStr">
        <is>
          <t>Windshield Wiper Motor</t>
        </is>
      </c>
      <c r="C488" t="inlineStr">
        <is>
          <t>43-1514</t>
        </is>
      </c>
      <c r="D488" t="inlineStr">
        <is>
          <t>Windshield Wiper Motor - 43-1514</t>
        </is>
      </c>
      <c r="E488" t="inlineStr">
        <is>
          <t>CARDONE Reman</t>
        </is>
      </c>
      <c r="F488" t="inlineStr">
        <is>
          <t>2028205342</t>
        </is>
      </c>
      <c r="G488" t="inlineStr">
        <is>
          <t>Mercedes-Benz C220 1994-1996
Mercedes-Benz C230 1997
Mercedes-Benz C280 1994-1997</t>
        </is>
      </c>
      <c r="H488" t="inlineStr">
        <is>
          <t>Mercedes-Benz C220 1994-1996 2.2L L4 2199cc
Mercedes-Benz C230 1997 2.3L L4 2295cc
Mercedes-Benz C280 1994-1997 2.8L L6 2799cc</t>
        </is>
      </c>
      <c r="I488" t="inlineStr">
        <is>
          <t>{"0": {"productDeskExternalKey": "CPCX|43-1514"}, "1": {"Package Contents": "Wiper Motor; Instruction Sheet"}, "2": {"E-Waste": "Yes"}, "3": {"Product Condition": "Remanufactured"}, "4": {"Mounting Hole Quantity": "3"}, "5": {"Terminal Type": "Bullet"}, "6": {"Mounting Type": "Direct Bolt"}, "7": {"Weight PG": "3.9000"}, "8": {"Washer Pump Included": "No"}, "9": {"Part Type": "Windshield Wiper Motor"}, "10": {"Warranty Info": "1 Year/18,000 Mile"}, "11": {"Sustainable Choice": "Yes"}, "12": {"Lifecycle Status": "Available to Order"}, "13": {"Application Summary": "Mercedes-Benz C220 1996-94, C230 1997, C280 1997-94, C36 AMG 1997-95"}, "14": {"ItemLevelGTIN": "00082617572545"}, "15": {"_addonCardone": "43-1514::98268:111284:494"}, "16": {"Eligible for R&amp;R Service": "Yes"}}</t>
        </is>
      </c>
      <c r="J488" t="inlineStr">
        <is>
          <t>https://www.cardone.com/product/windshield-wiper-motor-43-1514</t>
        </is>
      </c>
      <c r="K488">
        <f>DISPIMG("ID_9F61D29636D54CFC8442A208122827A5",1)</f>
        <v/>
      </c>
      <c r="L488" t="inlineStr">
        <is>
          <t>CPCX|43-1514</t>
        </is>
      </c>
      <c r="M488" t="inlineStr">
        <is>
          <t>Wiper Motor; Instruction Sheet</t>
        </is>
      </c>
      <c r="N488" t="inlineStr">
        <is>
          <t>Yes</t>
        </is>
      </c>
      <c r="O488" t="inlineStr">
        <is>
          <t>Remanufactured</t>
        </is>
      </c>
      <c r="P488" t="inlineStr">
        <is>
          <t>3</t>
        </is>
      </c>
      <c r="Q488" t="inlineStr">
        <is>
          <t>Bullet</t>
        </is>
      </c>
      <c r="R488" t="inlineStr">
        <is>
          <t>Direct Bolt</t>
        </is>
      </c>
      <c r="S488" t="inlineStr">
        <is>
          <t>3.9000</t>
        </is>
      </c>
      <c r="T488" t="inlineStr">
        <is>
          <t>No</t>
        </is>
      </c>
      <c r="U488" t="inlineStr">
        <is>
          <t>1 Year/18,000 Mile</t>
        </is>
      </c>
      <c r="V488" t="inlineStr">
        <is>
          <t>Yes</t>
        </is>
      </c>
      <c r="W488" t="inlineStr">
        <is>
          <t>Available to Order</t>
        </is>
      </c>
      <c r="X488" t="inlineStr">
        <is>
          <t>Mercedes-Benz C220 1996-94, C230 1997, C280 1997-94, C36 AMG 1997-95</t>
        </is>
      </c>
      <c r="Y488" t="inlineStr">
        <is>
          <t>00082617572545</t>
        </is>
      </c>
      <c r="Z488" t="inlineStr">
        <is>
          <t>43-1514::98268:111284:494</t>
        </is>
      </c>
      <c r="AA488" t="inlineStr">
        <is>
          <t>Yes</t>
        </is>
      </c>
      <c r="AB488" t="inlineStr"/>
      <c r="AC488" t="inlineStr"/>
    </row>
    <row r="489">
      <c r="A489" t="inlineStr">
        <is>
          <t>488</t>
        </is>
      </c>
      <c r="B489" t="inlineStr">
        <is>
          <t>Windshield Wiper Motor</t>
        </is>
      </c>
      <c r="C489" t="inlineStr">
        <is>
          <t>43-1516</t>
        </is>
      </c>
      <c r="D489" t="inlineStr">
        <is>
          <t>Windshield Wiper Motor - 43-1516</t>
        </is>
      </c>
      <c r="E489" t="inlineStr">
        <is>
          <t>CARDONE Reman</t>
        </is>
      </c>
      <c r="F489" t="inlineStr">
        <is>
          <t>1248200808</t>
        </is>
      </c>
      <c r="G489" t="inlineStr">
        <is>
          <t>Mercedes-Benz 300E 1991-1993
Mercedes-Benz 300TE 1988-1993
Mercedes-Benz E300 1995
Mercedes-Benz E320 1994-1995
Mercedes-Benz E420 1994-1995
Mercedes-Benz E500 1994</t>
        </is>
      </c>
      <c r="H489" t="inlineStr">
        <is>
          <t>Mercedes-Benz 300E 1991-1992 2.6L L6 2599cc
Mercedes-Benz 300E 1991-1993 3L L6 2962cc
Mercedes-Benz 300E 1993 2.8L L6 2799cc
Mercedes-Benz 300E 1993 3.2L L6 3199cc
Mercedes-Benz 300TE 1988-1993 3L L6 2962cc
Mercedes-Benz 300TE 1993 3.2L L6 3199cc
Mercedes-Benz E300 1995 3L L6 2996cc
Mercedes-Benz E320 1994-1995 3.2L L6 3199cc
Mercedes-Benz E420 1994-1995 4.2L V8 4196cc
Mercedes-Benz E500 1994 5L V8 4973cc</t>
        </is>
      </c>
      <c r="I489" t="inlineStr">
        <is>
          <t>{"0": {"productDeskExternalKey": "CPCX|43-1516"}, "1": {"Package Contents": "Wiper Motor; Instruction Sheet"}, "2": {"E-Waste": "Yes"}, "3": {"Product Condition": "Remanufactured"}, "4": {"Mounting Hole Quantity": "3"}, "5": {"Terminal Type": "Bullet"}, "6": {"Mounting Type": "Direct Bolt"}, "7": {"Weight PG": "3.9000"}, "8": {"Washer Pump Included": "No"}, "9": {"Part Type": "Windshield Wiper Motor"}, "10": {"Warranty Info": "1 Year/18,000 Mile"}, "11": {"Sustainable Choice": "Yes"}, "12": {"Lifecycle Status": "Available to Order"}, "13": {"Application Summary": "Mercedes-Benz 260E 1989-87, 300D 1993-91, 300E 1993-91, 300TE 1993-88, E300 1995, E320 1995-94, E420 1995-94, E500 1994"}, "14": {"ItemLevelGTIN": "00082617572521"}, "15": {"_addonCardone": "43-1516::98268:111299:494"}, "16": {"Eligible for R&amp;R Service": "Yes"}}</t>
        </is>
      </c>
      <c r="J489" t="inlineStr">
        <is>
          <t>https://www.cardone.com/product/windshield-wiper-motor-43-1516</t>
        </is>
      </c>
      <c r="K489">
        <f>DISPIMG("ID_2491F38B8B414B2F8EA4D4F0F92CF28D",1)</f>
        <v/>
      </c>
      <c r="L489" t="inlineStr">
        <is>
          <t>CPCX|43-1516</t>
        </is>
      </c>
      <c r="M489" t="inlineStr">
        <is>
          <t>Wiper Motor; Instruction Sheet</t>
        </is>
      </c>
      <c r="N489" t="inlineStr">
        <is>
          <t>Yes</t>
        </is>
      </c>
      <c r="O489" t="inlineStr">
        <is>
          <t>Remanufactured</t>
        </is>
      </c>
      <c r="P489" t="inlineStr">
        <is>
          <t>3</t>
        </is>
      </c>
      <c r="Q489" t="inlineStr">
        <is>
          <t>Bullet</t>
        </is>
      </c>
      <c r="R489" t="inlineStr">
        <is>
          <t>Direct Bolt</t>
        </is>
      </c>
      <c r="S489" t="inlineStr">
        <is>
          <t>3.9000</t>
        </is>
      </c>
      <c r="T489" t="inlineStr">
        <is>
          <t>No</t>
        </is>
      </c>
      <c r="U489" t="inlineStr">
        <is>
          <t>1 Year/18,000 Mile</t>
        </is>
      </c>
      <c r="V489" t="inlineStr">
        <is>
          <t>Yes</t>
        </is>
      </c>
      <c r="W489" t="inlineStr">
        <is>
          <t>Available to Order</t>
        </is>
      </c>
      <c r="X489" t="inlineStr">
        <is>
          <t>Mercedes-Benz 260E 1989-87, 300D 1993-91, 300E 1993-91, 300TE 1993-88, E300 1995, E320 1995-94, E420 1995-94, E500 1994</t>
        </is>
      </c>
      <c r="Y489" t="inlineStr">
        <is>
          <t>00082617572521</t>
        </is>
      </c>
      <c r="Z489" t="inlineStr">
        <is>
          <t>43-1516::98268:111299:494</t>
        </is>
      </c>
      <c r="AA489" t="inlineStr">
        <is>
          <t>Yes</t>
        </is>
      </c>
      <c r="AB489" t="inlineStr"/>
      <c r="AC489" t="inlineStr"/>
    </row>
    <row r="490">
      <c r="A490" t="inlineStr">
        <is>
          <t>489</t>
        </is>
      </c>
      <c r="B490" t="inlineStr">
        <is>
          <t>Windshield Wiper Motor</t>
        </is>
      </c>
      <c r="C490" t="inlineStr">
        <is>
          <t>43-1561</t>
        </is>
      </c>
      <c r="D490" t="inlineStr">
        <is>
          <t>Windshield Wiper Motor - 43-1561</t>
        </is>
      </c>
      <c r="E490" t="inlineStr">
        <is>
          <t>CARDONE Reman</t>
        </is>
      </c>
      <c r="F490" t="inlineStr">
        <is>
          <t>8942342320</t>
        </is>
      </c>
      <c r="G490" t="inlineStr">
        <is>
          <t>Isuzu I-Mark 1981</t>
        </is>
      </c>
      <c r="H490" t="inlineStr">
        <is>
          <t>Isuzu I-Mark 1981 1.8L L4 1817cc</t>
        </is>
      </c>
      <c r="I490" t="inlineStr">
        <is>
          <t>{"0": {"productDeskExternalKey": "CPCX|43-1561"}, "1": {"Package Contents": "Wiper Motor; Instruction Sheet"}, "2": {"E-Waste": "Yes"}, "3": {"Product Condition": "Remanufactured"}, "4": {"Mounting Hole Quantity": "3"}, "5": {"Terminal Type": "Bullet"}, "6": {"Mounting Type": "Direct Bolt"}, "7": {"Weight PG": "2.4300"}, "8": {"Washer Pump Included": "No"}, "9": {"Part Type": "Windshield Wiper Motor"}, "10": {"Warranty Info": "1 Year/18,000 Mile"}, "11": {"Sustainable Choice": "Yes"}, "12": {"Lifecycle Status": "Available to Order"}, "13": {"Application Summary": "Isuzu I-Mark 1981"}, "14": {"ItemLevelGTIN": "00082617264471"}, "15": {"_addonCardone": "43-1561::98268:111559:494"}, "16": {"Eligible for R&amp;R Service": "Yes"}}</t>
        </is>
      </c>
      <c r="J490" t="inlineStr">
        <is>
          <t>https://www.cardone.com/product/windshield-wiper-motor-43-1561</t>
        </is>
      </c>
      <c r="K490">
        <f>DISPIMG("ID_0A6C04DE9D9F4A7D9FD198D31E1CB85A",1)</f>
        <v/>
      </c>
      <c r="L490" t="inlineStr">
        <is>
          <t>CPCX|43-1561</t>
        </is>
      </c>
      <c r="M490" t="inlineStr">
        <is>
          <t>Wiper Motor; Instruction Sheet</t>
        </is>
      </c>
      <c r="N490" t="inlineStr">
        <is>
          <t>Yes</t>
        </is>
      </c>
      <c r="O490" t="inlineStr">
        <is>
          <t>Remanufactured</t>
        </is>
      </c>
      <c r="P490" t="inlineStr">
        <is>
          <t>3</t>
        </is>
      </c>
      <c r="Q490" t="inlineStr">
        <is>
          <t>Bullet</t>
        </is>
      </c>
      <c r="R490" t="inlineStr">
        <is>
          <t>Direct Bolt</t>
        </is>
      </c>
      <c r="S490" t="inlineStr">
        <is>
          <t>2.4300</t>
        </is>
      </c>
      <c r="T490" t="inlineStr">
        <is>
          <t>No</t>
        </is>
      </c>
      <c r="U490" t="inlineStr">
        <is>
          <t>1 Year/18,000 Mile</t>
        </is>
      </c>
      <c r="V490" t="inlineStr">
        <is>
          <t>Yes</t>
        </is>
      </c>
      <c r="W490" t="inlineStr">
        <is>
          <t>Available to Order</t>
        </is>
      </c>
      <c r="X490" t="inlineStr">
        <is>
          <t>Isuzu I-Mark 1981</t>
        </is>
      </c>
      <c r="Y490" t="inlineStr">
        <is>
          <t>00082617264471</t>
        </is>
      </c>
      <c r="Z490" t="inlineStr">
        <is>
          <t>43-1561::98268:111559:494</t>
        </is>
      </c>
      <c r="AA490" t="inlineStr">
        <is>
          <t>Yes</t>
        </is>
      </c>
      <c r="AB490" t="inlineStr"/>
      <c r="AC490" t="inlineStr"/>
    </row>
    <row r="491">
      <c r="A491" t="inlineStr">
        <is>
          <t>490</t>
        </is>
      </c>
      <c r="B491" t="inlineStr">
        <is>
          <t>Windshield Wiper Motor</t>
        </is>
      </c>
      <c r="C491" t="inlineStr">
        <is>
          <t>43-1562</t>
        </is>
      </c>
      <c r="D491" t="inlineStr">
        <is>
          <t>Windshield Wiper Motor - 43-1562</t>
        </is>
      </c>
      <c r="E491" t="inlineStr">
        <is>
          <t>CARDONE Reman</t>
        </is>
      </c>
      <c r="F491" t="inlineStr">
        <is>
          <t>8941148360</t>
        </is>
      </c>
      <c r="G491" t="inlineStr">
        <is>
          <t>Isuzu Impulse 1983-1989</t>
        </is>
      </c>
      <c r="H491" t="inlineStr">
        <is>
          <t>Isuzu Impulse 1983-1987 1.9L L4 1949cc
Isuzu Impulse 1985-1989 2L L4 1994cc
Isuzu Impulse 1988-1989 2.3L L4 2254cc</t>
        </is>
      </c>
      <c r="I491" t="inlineStr">
        <is>
          <t>{"0": {"productDeskExternalKey": "CPCX|43-1562"}, "1": {"Package Contents": "Wiper Motor; Instruction Sheet"}, "2": {"E-Waste": "Yes"}, "3": {"Product Condition": "Remanufactured"}, "4": {"Mounting Hole Quantity": "3"}, "5": {"Terminal Type": "Blade"}, "6": {"Mounting Type": "Direct Bolt"}, "7": {"Weight PG": "3.4700"}, "8": {"Washer Pump Included": "No"}, "9": {"Part Type": "Windshield Wiper Motor"}, "10": {"Warranty Info": "1 Year/18,000 Mile"}, "11": {"Sustainable Choice": "Yes"}, "12": {"Lifecycle Status": "Available to Order"}, "13": {"Application Summary": "Isuzu Impulse 1989-83"}, "14": {"ItemLevelGTIN": "00082617143196"}, "15": {"_addonCardone": "43-1562::98268:111570:494"}, "16": {"Eligible for R&amp;R Service": "Yes"}}</t>
        </is>
      </c>
      <c r="J491" t="inlineStr">
        <is>
          <t>https://www.cardone.com/product/windshield-wiper-motor-43-1562</t>
        </is>
      </c>
      <c r="K491">
        <f>DISPIMG("ID_FE6B92311A9043AD984997D45A3E7DE8",1)</f>
        <v/>
      </c>
      <c r="L491" t="inlineStr">
        <is>
          <t>CPCX|43-1562</t>
        </is>
      </c>
      <c r="M491" t="inlineStr">
        <is>
          <t>Wiper Motor; Instruction Sheet</t>
        </is>
      </c>
      <c r="N491" t="inlineStr">
        <is>
          <t>Yes</t>
        </is>
      </c>
      <c r="O491" t="inlineStr">
        <is>
          <t>Remanufactured</t>
        </is>
      </c>
      <c r="P491" t="inlineStr">
        <is>
          <t>3</t>
        </is>
      </c>
      <c r="Q491" t="inlineStr">
        <is>
          <t>Blade</t>
        </is>
      </c>
      <c r="R491" t="inlineStr">
        <is>
          <t>Direct Bolt</t>
        </is>
      </c>
      <c r="S491" t="inlineStr">
        <is>
          <t>3.4700</t>
        </is>
      </c>
      <c r="T491" t="inlineStr">
        <is>
          <t>No</t>
        </is>
      </c>
      <c r="U491" t="inlineStr">
        <is>
          <t>1 Year/18,000 Mile</t>
        </is>
      </c>
      <c r="V491" t="inlineStr">
        <is>
          <t>Yes</t>
        </is>
      </c>
      <c r="W491" t="inlineStr">
        <is>
          <t>Available to Order</t>
        </is>
      </c>
      <c r="X491" t="inlineStr">
        <is>
          <t>Isuzu Impulse 1989-83</t>
        </is>
      </c>
      <c r="Y491" t="inlineStr">
        <is>
          <t>00082617143196</t>
        </is>
      </c>
      <c r="Z491" t="inlineStr">
        <is>
          <t>43-1562::98268:111570:494</t>
        </is>
      </c>
      <c r="AA491" t="inlineStr">
        <is>
          <t>Yes</t>
        </is>
      </c>
      <c r="AB491" t="inlineStr"/>
      <c r="AC491" t="inlineStr"/>
    </row>
    <row r="492">
      <c r="A492" t="inlineStr">
        <is>
          <t>491</t>
        </is>
      </c>
      <c r="B492" t="inlineStr">
        <is>
          <t>Windshield Wiper Motor</t>
        </is>
      </c>
      <c r="C492" t="inlineStr">
        <is>
          <t>43-1563</t>
        </is>
      </c>
      <c r="D492" t="inlineStr">
        <is>
          <t>Windshield Wiper Motor - 43-1563</t>
        </is>
      </c>
      <c r="E492" t="inlineStr">
        <is>
          <t>CARDONE Reman</t>
        </is>
      </c>
      <c r="F492" t="inlineStr">
        <is>
          <t>8971249570;8943188061;8943188060;8971462930;8973657480</t>
        </is>
      </c>
      <c r="G492" t="inlineStr">
        <is>
          <t>Isuzu Axiom 2002-2004
Isuzu Pickup 1988-1995
Isuzu Rodeo 1991-2004
Isuzu Rodeo Sport 2001-2003</t>
        </is>
      </c>
      <c r="H492" t="inlineStr">
        <is>
          <t>Isuzu Axiom 2002 3.5L V6 3475cc
Isuzu Axiom 2003 3.5L V6 3491cc
Isuzu Axiom 2004 3.5L V6 3494cc
Isuzu Pickup 1988-1995 2.3L L4 2254cc
Isuzu Pickup 1988-1995 2.6L L4 2559cc
Isuzu Pickup 1991-1994 3.1L V6 3137cc
Isuzu Rodeo 1991-1992 3.1L V6 3137cc
Isuzu Rodeo 1991-1997 2.6L L4 2559cc
Isuzu Rodeo 1993-2004 3.2L V6 3165cc
Isuzu Rodeo 1998-2003 2.2L L4 2180cc
Isuzu Rodeo 2004 3.5L V6 3494cc
Isuzu Rodeo Sport 2001-2003 2.2L L4 2180cc
Isuzu Rodeo Sport 2001-2003 3.2L V6 3165cc</t>
        </is>
      </c>
      <c r="I492" t="inlineStr">
        <is>
          <t>{"0": {"productDeskExternalKey": "CPCX|43-1563"}, "1": {"Package Contents": "Wiper Motor; Instruction Sheet"}, "2": {"E-Waste": "Yes"}, "3": {"Product Condition": "Remanufactured"}, "4": {"Mounting Hole Quantity": "3"}, "5": {"Terminal Type": "Blade"}, "6": {"Mounting Type": "Direct Bolt"}, "7": {"Weight PG": "2.3800"}, "8": {"Washer Pump Included": "No"}, "9": {"Part Type": "Windshield Wiper Motor"}, "10": {"Warranty Info": "1 Year/18,000 Mile"}, "11": {"Sustainable Choice": "Yes"}, "12": {"Lifecycle Status": "Available to Order"}, "13": {"Application Summary": "Honda Passport 2002-94; Isuzu Amigo 2000-98 1994-89, Axiom 2004-02, Pickup 1995-88, Rodeo 2004-91, Rodeo Sport 2003-01"}, "14": {"ItemLevelGTIN": "00082617265782"}, "15": {"_addonCardone": "43-1563::98268:111881:494"}, "16": {"Eligible for R&amp;R Service": "Yes"}}</t>
        </is>
      </c>
      <c r="J492" t="inlineStr">
        <is>
          <t>https://www.cardone.com/product/windshield-wiper-motor-43-1563</t>
        </is>
      </c>
      <c r="K492">
        <f>DISPIMG("ID_B8E705D98B914110B2F94D56A736E9AB",1)</f>
        <v/>
      </c>
      <c r="L492" t="inlineStr">
        <is>
          <t>CPCX|43-1563</t>
        </is>
      </c>
      <c r="M492" t="inlineStr">
        <is>
          <t>Wiper Motor; Instruction Sheet</t>
        </is>
      </c>
      <c r="N492" t="inlineStr">
        <is>
          <t>Yes</t>
        </is>
      </c>
      <c r="O492" t="inlineStr">
        <is>
          <t>Remanufactured</t>
        </is>
      </c>
      <c r="P492" t="inlineStr">
        <is>
          <t>3</t>
        </is>
      </c>
      <c r="Q492" t="inlineStr">
        <is>
          <t>Blade</t>
        </is>
      </c>
      <c r="R492" t="inlineStr">
        <is>
          <t>Direct Bolt</t>
        </is>
      </c>
      <c r="S492" t="inlineStr">
        <is>
          <t>2.3800</t>
        </is>
      </c>
      <c r="T492" t="inlineStr">
        <is>
          <t>No</t>
        </is>
      </c>
      <c r="U492" t="inlineStr">
        <is>
          <t>1 Year/18,000 Mile</t>
        </is>
      </c>
      <c r="V492" t="inlineStr">
        <is>
          <t>Yes</t>
        </is>
      </c>
      <c r="W492" t="inlineStr">
        <is>
          <t>Available to Order</t>
        </is>
      </c>
      <c r="X492" t="inlineStr">
        <is>
          <t>Honda Passport 2002-94; Isuzu Amigo 2000-98 1994-89, Axiom 2004-02, Pickup 1995-88, Rodeo 2004-91, Rodeo Sport 2003-01</t>
        </is>
      </c>
      <c r="Y492" t="inlineStr">
        <is>
          <t>00082617265782</t>
        </is>
      </c>
      <c r="Z492" t="inlineStr">
        <is>
          <t>43-1563::98268:111881:494</t>
        </is>
      </c>
      <c r="AA492" t="inlineStr">
        <is>
          <t>Yes</t>
        </is>
      </c>
      <c r="AB492" t="inlineStr"/>
      <c r="AC492" t="inlineStr"/>
    </row>
    <row r="493">
      <c r="A493" t="inlineStr">
        <is>
          <t>492</t>
        </is>
      </c>
      <c r="B493" t="inlineStr">
        <is>
          <t>Windshield Wiper Motor</t>
        </is>
      </c>
      <c r="C493" t="inlineStr">
        <is>
          <t>43-1565</t>
        </is>
      </c>
      <c r="D493" t="inlineStr">
        <is>
          <t>Windshield Wiper Motor - 43-1565</t>
        </is>
      </c>
      <c r="E493" t="inlineStr">
        <is>
          <t>CARDONE Reman</t>
        </is>
      </c>
      <c r="F493" t="inlineStr">
        <is>
          <t>E9BZ17508A;E8BZ17508A;E8BZ17508B</t>
        </is>
      </c>
      <c r="G493" t="inlineStr">
        <is>
          <t>Ford Festiva 1988-1993</t>
        </is>
      </c>
      <c r="H493" t="inlineStr">
        <is>
          <t>Ford Festiva 1988-1993 1.3L L4 1295cc</t>
        </is>
      </c>
      <c r="I493" t="inlineStr">
        <is>
          <t>{"0": {"productDeskExternalKey": "CPCX|43-1565"}, "1": {"Package Contents": "Wiper Motor; Instruction Sheet"}, "2": {"E-Waste": "Yes"}, "3": {"Product Condition": "Remanufactured"}, "4": {"Mounting Hole Quantity": "4"}, "5": {"Terminal Type": "Blade"}, "6": {"Mounting Type": "Grommet"}, "7": {"Weight PG": "2.2200"}, "8": {"Washer Pump Included": "No"}, "9": {"Part Type": "Windshield Wiper Motor"}, "10": {"Warranty Info": "1 Year/18,000 Mile"}, "11": {"Sustainable Choice": "Yes"}, "12": {"Lifecycle Status": "Available to Order"}, "13": {"Application Summary": "Ford Festiva 1993-88"}, "14": {"ItemLevelGTIN": "00082617166591"}, "15": {"_addonCardone": "43-1565::98268:111903:494"}, "16": {"Eligible for R&amp;R Service": "Yes"}}</t>
        </is>
      </c>
      <c r="J493" t="inlineStr">
        <is>
          <t>https://www.cardone.com/product/windshield-wiper-motor-43-1565</t>
        </is>
      </c>
      <c r="K493">
        <f>DISPIMG("ID_D6E9B84510934645A620ECB7AF0BA8E2",1)</f>
        <v/>
      </c>
      <c r="L493" t="inlineStr">
        <is>
          <t>CPCX|43-1565</t>
        </is>
      </c>
      <c r="M493" t="inlineStr">
        <is>
          <t>Wiper Motor; Instruction Sheet</t>
        </is>
      </c>
      <c r="N493" t="inlineStr">
        <is>
          <t>Yes</t>
        </is>
      </c>
      <c r="O493" t="inlineStr">
        <is>
          <t>Remanufactured</t>
        </is>
      </c>
      <c r="P493" t="inlineStr">
        <is>
          <t>4</t>
        </is>
      </c>
      <c r="Q493" t="inlineStr">
        <is>
          <t>Blade</t>
        </is>
      </c>
      <c r="R493" t="inlineStr">
        <is>
          <t>Grommet</t>
        </is>
      </c>
      <c r="S493" t="inlineStr">
        <is>
          <t>2.2200</t>
        </is>
      </c>
      <c r="T493" t="inlineStr">
        <is>
          <t>No</t>
        </is>
      </c>
      <c r="U493" t="inlineStr">
        <is>
          <t>1 Year/18,000 Mile</t>
        </is>
      </c>
      <c r="V493" t="inlineStr">
        <is>
          <t>Yes</t>
        </is>
      </c>
      <c r="W493" t="inlineStr">
        <is>
          <t>Available to Order</t>
        </is>
      </c>
      <c r="X493" t="inlineStr">
        <is>
          <t>Ford Festiva 1993-88</t>
        </is>
      </c>
      <c r="Y493" t="inlineStr">
        <is>
          <t>00082617166591</t>
        </is>
      </c>
      <c r="Z493" t="inlineStr">
        <is>
          <t>43-1565::98268:111903:494</t>
        </is>
      </c>
      <c r="AA493" t="inlineStr">
        <is>
          <t>Yes</t>
        </is>
      </c>
      <c r="AB493" t="inlineStr"/>
      <c r="AC493" t="inlineStr"/>
    </row>
    <row r="494">
      <c r="A494" t="inlineStr">
        <is>
          <t>493</t>
        </is>
      </c>
      <c r="B494" t="inlineStr">
        <is>
          <t>Windshield Wiper Motor</t>
        </is>
      </c>
      <c r="C494" t="inlineStr">
        <is>
          <t>43-1611</t>
        </is>
      </c>
      <c r="D494" t="inlineStr">
        <is>
          <t>Windshield Wiper Motor - 43-1611</t>
        </is>
      </c>
      <c r="E494" t="inlineStr">
        <is>
          <t>CARDONE Reman</t>
        </is>
      </c>
      <c r="F494" t="inlineStr">
        <is>
          <t>7701028238</t>
        </is>
      </c>
      <c r="G494" t="inlineStr">
        <is>
          <t>Renault Fuego 1982-1985</t>
        </is>
      </c>
      <c r="H494" t="inlineStr">
        <is>
          <t>Renault Fuego 1982-1983 1.6L L4 100cid
Renault Fuego 1982-1984 1.6L L4 96cid
Renault Fuego 1984-1985 2.2L L4 131cid</t>
        </is>
      </c>
      <c r="I494" t="inlineStr">
        <is>
          <t>{"0": {"productDeskExternalKey": "CPCX|43-1611"}, "1": {"Package Contents": "Wiper Motor; Instruction Sheet"}, "2": {"E-Waste": "Yes"}, "3": {"Product Condition": "Remanufactured"}, "4": {"Mounting Hole Quantity": "3"}, "5": {"Terminal Type": "Blade"}, "6": {"Mounting Type": "Direct Bolt"}, "7": {"Weight PG": "2.9600"}, "8": {"Washer Pump Included": "No"}, "9": {"Part Type": "Windshield Wiper Motor"}, "10": {"Warranty Info": "1 Year/18,000 Mile"}, "11": {"Sustainable Choice": "Yes"}, "12": {"Lifecycle Status": "Available to Order"}, "13": {"Application Summary": "Renault Fuego 1985-82"}, "14": {"ItemLevelGTIN": "00082617043045"}, "15": {"_addonCardone": "43-1611::98268:111926:494"}, "16": {"Eligible for R&amp;R Service": "Yes"}}</t>
        </is>
      </c>
      <c r="J494" t="inlineStr">
        <is>
          <t>https://www.cardone.com/product/windshield-wiper-motor-43-1611</t>
        </is>
      </c>
      <c r="K494">
        <f>DISPIMG("ID_886E24258E4845E9A865587CC51F827A",1)</f>
        <v/>
      </c>
      <c r="L494" t="inlineStr">
        <is>
          <t>CPCX|43-1611</t>
        </is>
      </c>
      <c r="M494" t="inlineStr">
        <is>
          <t>Wiper Motor; Instruction Sheet</t>
        </is>
      </c>
      <c r="N494" t="inlineStr">
        <is>
          <t>Yes</t>
        </is>
      </c>
      <c r="O494" t="inlineStr">
        <is>
          <t>Remanufactured</t>
        </is>
      </c>
      <c r="P494" t="inlineStr">
        <is>
          <t>3</t>
        </is>
      </c>
      <c r="Q494" t="inlineStr">
        <is>
          <t>Blade</t>
        </is>
      </c>
      <c r="R494" t="inlineStr">
        <is>
          <t>Direct Bolt</t>
        </is>
      </c>
      <c r="S494" t="inlineStr">
        <is>
          <t>2.9600</t>
        </is>
      </c>
      <c r="T494" t="inlineStr">
        <is>
          <t>No</t>
        </is>
      </c>
      <c r="U494" t="inlineStr">
        <is>
          <t>1 Year/18,000 Mile</t>
        </is>
      </c>
      <c r="V494" t="inlineStr">
        <is>
          <t>Yes</t>
        </is>
      </c>
      <c r="W494" t="inlineStr">
        <is>
          <t>Available to Order</t>
        </is>
      </c>
      <c r="X494" t="inlineStr">
        <is>
          <t>Renault Fuego 1985-82</t>
        </is>
      </c>
      <c r="Y494" t="inlineStr">
        <is>
          <t>00082617043045</t>
        </is>
      </c>
      <c r="Z494" t="inlineStr">
        <is>
          <t>43-1611::98268:111926:494</t>
        </is>
      </c>
      <c r="AA494" t="inlineStr">
        <is>
          <t>Yes</t>
        </is>
      </c>
      <c r="AB494" t="inlineStr"/>
      <c r="AC494" t="inlineStr"/>
    </row>
    <row r="495">
      <c r="A495" t="inlineStr">
        <is>
          <t>494</t>
        </is>
      </c>
      <c r="B495" t="inlineStr">
        <is>
          <t>Windshield Wiper Motor</t>
        </is>
      </c>
      <c r="C495" t="inlineStr">
        <is>
          <t>43-1617</t>
        </is>
      </c>
      <c r="D495" t="inlineStr">
        <is>
          <t>Windshield Wiper Motor - 43-1617</t>
        </is>
      </c>
      <c r="E495" t="inlineStr">
        <is>
          <t>CARDONE Reman</t>
        </is>
      </c>
      <c r="F495" t="inlineStr">
        <is>
          <t>T1032062</t>
        </is>
      </c>
      <c r="G495" t="inlineStr">
        <is>
          <t>Eagle Medallion 1988-1989</t>
        </is>
      </c>
      <c r="H495" t="inlineStr">
        <is>
          <t>Eagle Medallion 1988-1989 2.2L L4 132cid</t>
        </is>
      </c>
      <c r="I495" t="inlineStr">
        <is>
          <t>{"0": {"productDeskExternalKey": "CPCX|43-1617"}, "1": {"Package Contents": "Wiper Motor; Instruction Sheet"}, "2": {"E-Waste": "Yes"}, "3": {"Product Condition": "Remanufactured"}, "4": {"Mounting Hole Quantity": "3"}, "5": {"Terminal Type": "Blade"}, "6": {"Mounting Type": "Direct Bolt"}, "7": {"Weight PG": "2.4500"}, "8": {"Washer Pump Included": "No"}, "9": {"Part Type": "Windshield Wiper Motor"}, "10": {"Warranty Info": "1 Year/18,000 Mile"}, "11": {"Sustainable Choice": "Yes"}, "12": {"Lifecycle Status": "Available to Order"}, "13": {"Application Summary": "Eagle Medallion 1989-88"}, "14": {"ItemLevelGTIN": "00082617166607"}, "15": {"_addonCardone": "43-1617::98268:111953:494"}, "16": {"Eligible for R&amp;R Service": "Yes"}}</t>
        </is>
      </c>
      <c r="J495" t="inlineStr">
        <is>
          <t>https://www.cardone.com/product/windshield-wiper-motor-43-1617</t>
        </is>
      </c>
      <c r="K495">
        <f>DISPIMG("ID_802E9367CAA04CA3B4BF31DC9ADEB84E",1)</f>
        <v/>
      </c>
      <c r="L495" t="inlineStr">
        <is>
          <t>CPCX|43-1617</t>
        </is>
      </c>
      <c r="M495" t="inlineStr">
        <is>
          <t>Wiper Motor; Instruction Sheet</t>
        </is>
      </c>
      <c r="N495" t="inlineStr">
        <is>
          <t>Yes</t>
        </is>
      </c>
      <c r="O495" t="inlineStr">
        <is>
          <t>Remanufactured</t>
        </is>
      </c>
      <c r="P495" t="inlineStr">
        <is>
          <t>3</t>
        </is>
      </c>
      <c r="Q495" t="inlineStr">
        <is>
          <t>Blade</t>
        </is>
      </c>
      <c r="R495" t="inlineStr">
        <is>
          <t>Direct Bolt</t>
        </is>
      </c>
      <c r="S495" t="inlineStr">
        <is>
          <t>2.4500</t>
        </is>
      </c>
      <c r="T495" t="inlineStr">
        <is>
          <t>No</t>
        </is>
      </c>
      <c r="U495" t="inlineStr">
        <is>
          <t>1 Year/18,000 Mile</t>
        </is>
      </c>
      <c r="V495" t="inlineStr">
        <is>
          <t>Yes</t>
        </is>
      </c>
      <c r="W495" t="inlineStr">
        <is>
          <t>Available to Order</t>
        </is>
      </c>
      <c r="X495" t="inlineStr">
        <is>
          <t>Eagle Medallion 1989-88</t>
        </is>
      </c>
      <c r="Y495" t="inlineStr">
        <is>
          <t>00082617166607</t>
        </is>
      </c>
      <c r="Z495" t="inlineStr">
        <is>
          <t>43-1617::98268:111953:494</t>
        </is>
      </c>
      <c r="AA495" t="inlineStr">
        <is>
          <t>Yes</t>
        </is>
      </c>
      <c r="AB495" t="inlineStr"/>
      <c r="AC495" t="inlineStr"/>
    </row>
    <row r="496">
      <c r="A496" t="inlineStr">
        <is>
          <t>495</t>
        </is>
      </c>
      <c r="B496" t="inlineStr">
        <is>
          <t>Windshield Wiper Motor</t>
        </is>
      </c>
      <c r="C496" t="inlineStr">
        <is>
          <t>43-1651</t>
        </is>
      </c>
      <c r="D496" t="inlineStr">
        <is>
          <t>Windshield Wiper Motor - 43-1651</t>
        </is>
      </c>
      <c r="E496" t="inlineStr">
        <is>
          <t>CARDONE Reman</t>
        </is>
      </c>
      <c r="F496" t="inlineStr">
        <is>
          <t>8511087714000</t>
        </is>
      </c>
      <c r="G496" t="inlineStr">
        <is>
          <t>Daihatsu Charade 1988-1992</t>
        </is>
      </c>
      <c r="H496" t="inlineStr">
        <is>
          <t>Daihatsu Charade 1988-1992 1L L3 61cid
Daihatsu Charade 1989-1992 1.3L L4 1295cc</t>
        </is>
      </c>
      <c r="I496" t="inlineStr">
        <is>
          <t>{"0": {"productDeskExternalKey": "CPCX|43-1651"}, "1": {"Package Contents": "Wiper Motor; Instruction Sheet"}, "2": {"E-Waste": "Yes"}, "3": {"Product Condition": "Remanufactured"}, "4": {"Mounting Hole Quantity": "4"}, "5": {"Terminal Type": "Blade"}, "6": {"Mounting Type": "Grommet"}, "7": {"Weight PG": "2.4500"}, "8": {"Washer Pump Included": "No"}, "9": {"Part Type": "Windshield Wiper Motor"}, "10": {"Warranty Info": "1 Year/18,000 Mile"}, "11": {"Sustainable Choice": "Yes"}, "12": {"Lifecycle Status": "Available to Order"}, "13": {"Application Summary": "Daihatsu Charade 1992-88"}, "14": {"ItemLevelGTIN": "00082617572491"}, "15": {"_addonCardone": "43-1651::98268:111970:494"}, "16": {"Eligible for R&amp;R Service": "Yes"}}</t>
        </is>
      </c>
      <c r="J496" t="inlineStr">
        <is>
          <t>https://www.cardone.com/product/windshield-wiper-motor-43-1651</t>
        </is>
      </c>
      <c r="K496">
        <f>DISPIMG("ID_8383830C55B24CDA82D48F48BDD46CEF",1)</f>
        <v/>
      </c>
      <c r="L496" t="inlineStr">
        <is>
          <t>CPCX|43-1651</t>
        </is>
      </c>
      <c r="M496" t="inlineStr">
        <is>
          <t>Wiper Motor; Instruction Sheet</t>
        </is>
      </c>
      <c r="N496" t="inlineStr">
        <is>
          <t>Yes</t>
        </is>
      </c>
      <c r="O496" t="inlineStr">
        <is>
          <t>Remanufactured</t>
        </is>
      </c>
      <c r="P496" t="inlineStr">
        <is>
          <t>4</t>
        </is>
      </c>
      <c r="Q496" t="inlineStr">
        <is>
          <t>Blade</t>
        </is>
      </c>
      <c r="R496" t="inlineStr">
        <is>
          <t>Grommet</t>
        </is>
      </c>
      <c r="S496" t="inlineStr">
        <is>
          <t>2.4500</t>
        </is>
      </c>
      <c r="T496" t="inlineStr">
        <is>
          <t>No</t>
        </is>
      </c>
      <c r="U496" t="inlineStr">
        <is>
          <t>1 Year/18,000 Mile</t>
        </is>
      </c>
      <c r="V496" t="inlineStr">
        <is>
          <t>Yes</t>
        </is>
      </c>
      <c r="W496" t="inlineStr">
        <is>
          <t>Available to Order</t>
        </is>
      </c>
      <c r="X496" t="inlineStr">
        <is>
          <t>Daihatsu Charade 1992-88</t>
        </is>
      </c>
      <c r="Y496" t="inlineStr">
        <is>
          <t>00082617572491</t>
        </is>
      </c>
      <c r="Z496" t="inlineStr">
        <is>
          <t>43-1651::98268:111970:494</t>
        </is>
      </c>
      <c r="AA496" t="inlineStr">
        <is>
          <t>Yes</t>
        </is>
      </c>
      <c r="AB496" t="inlineStr"/>
      <c r="AC496" t="inlineStr"/>
    </row>
    <row r="497">
      <c r="A497" t="inlineStr">
        <is>
          <t>496</t>
        </is>
      </c>
      <c r="B497" t="inlineStr">
        <is>
          <t>Windshield Wiper Motor</t>
        </is>
      </c>
      <c r="C497" t="inlineStr">
        <is>
          <t>43-1710</t>
        </is>
      </c>
      <c r="D497" t="inlineStr">
        <is>
          <t>Windshield Wiper Motor - 43-1710</t>
        </is>
      </c>
      <c r="E497" t="inlineStr">
        <is>
          <t>CARDONE Reman</t>
        </is>
      </c>
      <c r="F497" t="inlineStr">
        <is>
          <t>8511089133;8511032120;8511001010;8511022170;8511012251;8511012250;8511012330;8511014030;8511012370;8511012240;8511012380;8511012320;8511089134;8511014220</t>
        </is>
      </c>
      <c r="G497" t="inlineStr">
        <is>
          <t>Toyota 4Runner 1984-1985
Toyota Camry 1985-1986
Toyota Celica 1978-1985
Toyota Corolla 1980-1988
Toyota Cressida 1981-1982
Toyota Pickup 1984-1985</t>
        </is>
      </c>
      <c r="H497" t="inlineStr">
        <is>
          <t>Toyota 4Runner 1984-1985 2.4L L4 2366cc
Toyota Camry 1985-1986 1.8L L4 1839cc
Toyota Camry 1985-1986 2L L4 122cid
Toyota Camry 1986 2L L4 1974cc
Toyota Celica 1978-1980 2.2L L4 2189cc
Toyota Celica 1981-1985 2.4L L4 2366cc
Toyota Corolla 1980-1982 1.8L L4 1770cc
Toyota Corolla 1983-1988 1.6L L4 1587cc
Toyota Corolla 1984-1985 1.8L L4 1839cc
Toyota Cressida 1981-1982 2.8L L6 2759cc
Toyota Pickup 1984-1985 2.4L L4 2366cc
Toyota Pickup 1984-1985 2.4L L4 2446cc</t>
        </is>
      </c>
      <c r="I497" t="inlineStr">
        <is>
          <t>{"0": {"productDeskExternalKey": "CPCX|43-1710"}, "1": {"Package Contents": "Wiper Motor; Instruction Sheet"}, "2": {"E-Waste": "Yes"}, "3": {"Product Condition": "Remanufactured"}, "4": {"Mounting Hole Quantity": "4"}, "5": {"Terminal Type": "Blade"}, "6": {"Mounting Type": "Grommet"}, "7": {"Weight PG": "3.4600"}, "8": {"Washer Pump Included": "No"}, "9": {"Part Type": "Windshield Wiper Motor"}, "10": {"Warranty Info": "1 Year/18,000 Mile"}, "11": {"Sustainable Choice": "Yes"}, "12": {"Lifecycle Status": "Available to Order"}, "13": {"Application Summary": "Toyota 4Runner 1985-84, Camry 1986-85, Celica 1985-78, Corolla 1988-87 1985-80, Cressida 1982-81, Pickup 1985-84"}, "14": {"ItemLevelGTIN": "00082617043175"}, "15": {"_addonCardone": "43-1710::98268:111992:494"}, "16": {"Eligible for R&amp;R Service": "Yes"}}</t>
        </is>
      </c>
      <c r="J497" t="inlineStr">
        <is>
          <t>https://www.cardone.com/product/windshield-wiper-motor-43-1710</t>
        </is>
      </c>
      <c r="K497">
        <f>DISPIMG("ID_4AA4FF927F0F4751801DB7B229AA9D66",1)</f>
        <v/>
      </c>
      <c r="L497" t="inlineStr">
        <is>
          <t>CPCX|43-1710</t>
        </is>
      </c>
      <c r="M497" t="inlineStr">
        <is>
          <t>Wiper Motor; Instruction Sheet</t>
        </is>
      </c>
      <c r="N497" t="inlineStr">
        <is>
          <t>Yes</t>
        </is>
      </c>
      <c r="O497" t="inlineStr">
        <is>
          <t>Remanufactured</t>
        </is>
      </c>
      <c r="P497" t="inlineStr">
        <is>
          <t>4</t>
        </is>
      </c>
      <c r="Q497" t="inlineStr">
        <is>
          <t>Blade</t>
        </is>
      </c>
      <c r="R497" t="inlineStr">
        <is>
          <t>Grommet</t>
        </is>
      </c>
      <c r="S497" t="inlineStr">
        <is>
          <t>3.4600</t>
        </is>
      </c>
      <c r="T497" t="inlineStr">
        <is>
          <t>No</t>
        </is>
      </c>
      <c r="U497" t="inlineStr">
        <is>
          <t>1 Year/18,000 Mile</t>
        </is>
      </c>
      <c r="V497" t="inlineStr">
        <is>
          <t>Yes</t>
        </is>
      </c>
      <c r="W497" t="inlineStr">
        <is>
          <t>Available to Order</t>
        </is>
      </c>
      <c r="X497" t="inlineStr">
        <is>
          <t>Toyota 4Runner 1985-84, Camry 1986-85, Celica 1985-78, Corolla 1988-87 1985-80, Cressida 1982-81, Pickup 1985-84</t>
        </is>
      </c>
      <c r="Y497" t="inlineStr">
        <is>
          <t>00082617043175</t>
        </is>
      </c>
      <c r="Z497" t="inlineStr">
        <is>
          <t>43-1710::98268:111992:494</t>
        </is>
      </c>
      <c r="AA497" t="inlineStr">
        <is>
          <t>Yes</t>
        </is>
      </c>
      <c r="AB497" t="inlineStr"/>
      <c r="AC497" t="inlineStr"/>
    </row>
    <row r="498">
      <c r="A498" t="inlineStr">
        <is>
          <t>497</t>
        </is>
      </c>
      <c r="B498" t="inlineStr">
        <is>
          <t>Windshield Wiper Motor</t>
        </is>
      </c>
      <c r="C498" t="inlineStr">
        <is>
          <t>43-1711</t>
        </is>
      </c>
      <c r="D498" t="inlineStr">
        <is>
          <t>Windshield Wiper Motor - 43-1711</t>
        </is>
      </c>
      <c r="E498" t="inlineStr">
        <is>
          <t>CARDONE Reman</t>
        </is>
      </c>
      <c r="F498" t="inlineStr">
        <is>
          <t>8512089115;8512089114</t>
        </is>
      </c>
      <c r="G498" t="inlineStr">
        <is>
          <t>Toyota Pickup 1979-1981</t>
        </is>
      </c>
      <c r="H498" t="inlineStr">
        <is>
          <t>Toyota Pickup 1979-1980 2.2L L4 2189cc
Toyota Pickup 1981 2.4L L4 2366cc</t>
        </is>
      </c>
      <c r="I498" t="inlineStr">
        <is>
          <t>{"0": {"productDeskExternalKey": "CPCX|43-1711"}, "1": {"Package Contents": "Wiper Motor; Instruction Sheet"}, "2": {"E-Waste": "Yes"}, "3": {"Product Condition": "Remanufactured"}, "4": {"Mounting Hole Quantity": "3"}, "5": {"Terminal Type": "Blade"}, "6": {"Mounting Type": "Direct Bolt"}, "7": {"Weight PG": "3.1500"}, "8": {"Washer Pump Included": "No"}, "9": {"Part Type": "Windshield Wiper Motor"}, "10": {"Warranty Info": "1 Year/18,000 Mile"}, "11": {"Sustainable Choice": "Yes"}, "12": {"Lifecycle Status": "Available to Order"}, "13": {"Application Summary": "Toyota Pickup 1981-79"}, "14": {"ItemLevelGTIN": "00082617043182"}, "15": {"_addonCardone": "43-1711::98268:112013:494"}, "16": {"Eligible for R&amp;R Service": "Yes"}}</t>
        </is>
      </c>
      <c r="J498" t="inlineStr">
        <is>
          <t>https://www.cardone.com/product/windshield-wiper-motor-43-1711</t>
        </is>
      </c>
      <c r="K498">
        <f>DISPIMG("ID_55B6CB0C79F34F718D33BFFC1BB5A773",1)</f>
        <v/>
      </c>
      <c r="L498" t="inlineStr">
        <is>
          <t>CPCX|43-1711</t>
        </is>
      </c>
      <c r="M498" t="inlineStr">
        <is>
          <t>Wiper Motor; Instruction Sheet</t>
        </is>
      </c>
      <c r="N498" t="inlineStr">
        <is>
          <t>Yes</t>
        </is>
      </c>
      <c r="O498" t="inlineStr">
        <is>
          <t>Remanufactured</t>
        </is>
      </c>
      <c r="P498" t="inlineStr">
        <is>
          <t>3</t>
        </is>
      </c>
      <c r="Q498" t="inlineStr">
        <is>
          <t>Blade</t>
        </is>
      </c>
      <c r="R498" t="inlineStr">
        <is>
          <t>Direct Bolt</t>
        </is>
      </c>
      <c r="S498" t="inlineStr">
        <is>
          <t>3.1500</t>
        </is>
      </c>
      <c r="T498" t="inlineStr">
        <is>
          <t>No</t>
        </is>
      </c>
      <c r="U498" t="inlineStr">
        <is>
          <t>1 Year/18,000 Mile</t>
        </is>
      </c>
      <c r="V498" t="inlineStr">
        <is>
          <t>Yes</t>
        </is>
      </c>
      <c r="W498" t="inlineStr">
        <is>
          <t>Available to Order</t>
        </is>
      </c>
      <c r="X498" t="inlineStr">
        <is>
          <t>Toyota Pickup 1981-79</t>
        </is>
      </c>
      <c r="Y498" t="inlineStr">
        <is>
          <t>00082617043182</t>
        </is>
      </c>
      <c r="Z498" t="inlineStr">
        <is>
          <t>43-1711::98268:112013:494</t>
        </is>
      </c>
      <c r="AA498" t="inlineStr">
        <is>
          <t>Yes</t>
        </is>
      </c>
      <c r="AB498" t="inlineStr"/>
      <c r="AC498" t="inlineStr"/>
    </row>
    <row r="499">
      <c r="A499" t="inlineStr">
        <is>
          <t>498</t>
        </is>
      </c>
      <c r="B499" t="inlineStr">
        <is>
          <t>Windshield Wiper Motor</t>
        </is>
      </c>
      <c r="C499" t="inlineStr">
        <is>
          <t>43-1721</t>
        </is>
      </c>
      <c r="D499" t="inlineStr">
        <is>
          <t>Windshield Wiper Motor - 43-1721</t>
        </is>
      </c>
      <c r="E499" t="inlineStr">
        <is>
          <t>CARDONE Reman</t>
        </is>
      </c>
      <c r="F499" t="inlineStr">
        <is>
          <t>8512016050;8512016060</t>
        </is>
      </c>
      <c r="G499" t="inlineStr">
        <is>
          <t>Toyota Tercel 1981-1982</t>
        </is>
      </c>
      <c r="H499" t="inlineStr">
        <is>
          <t>Toyota Tercel 1981-1982 1.5L L4 1452cc</t>
        </is>
      </c>
      <c r="I499" t="inlineStr">
        <is>
          <t>{"0": {"productDeskExternalKey": "CPCX|43-1721"}, "1": {"Package Contents": "Wiper Motor; Instruction Sheet"}, "2": {"E-Waste": "Yes"}, "3": {"Product Condition": "Remanufactured"}, "4": {"Mounting Hole Quantity": "3"}, "5": {"Terminal Type": "Blade"}, "6": {"Mounting Type": "Direct Bolt"}, "7": {"Weight PG": "3.7300"}, "8": {"Washer Pump Included": "No"}, "9": {"Part Type": "Windshield Wiper Motor"}, "10": {"Warranty Info": "1 Year/18,000 Mile"}, "11": {"Sustainable Choice": "Yes"}, "12": {"Lifecycle Status": "Available to Order"}, "13": {"Application Summary": "Toyota Tercel 1982-81"}, "14": {"ItemLevelGTIN": "00082617043267"}, "15": {"_addonCardone": "43-1721::98268:112034:494"}, "16": {"Eligible for R&amp;R Service": "Yes"}}</t>
        </is>
      </c>
      <c r="J499" t="inlineStr">
        <is>
          <t>https://www.cardone.com/product/windshield-wiper-motor-43-1721</t>
        </is>
      </c>
      <c r="K499">
        <f>DISPIMG("ID_214EF4B806284F2BBC82F00DDB561D4F",1)</f>
        <v/>
      </c>
      <c r="L499" t="inlineStr">
        <is>
          <t>CPCX|43-1721</t>
        </is>
      </c>
      <c r="M499" t="inlineStr">
        <is>
          <t>Wiper Motor; Instruction Sheet</t>
        </is>
      </c>
      <c r="N499" t="inlineStr">
        <is>
          <t>Yes</t>
        </is>
      </c>
      <c r="O499" t="inlineStr">
        <is>
          <t>Remanufactured</t>
        </is>
      </c>
      <c r="P499" t="inlineStr">
        <is>
          <t>3</t>
        </is>
      </c>
      <c r="Q499" t="inlineStr">
        <is>
          <t>Blade</t>
        </is>
      </c>
      <c r="R499" t="inlineStr">
        <is>
          <t>Direct Bolt</t>
        </is>
      </c>
      <c r="S499" t="inlineStr">
        <is>
          <t>3.7300</t>
        </is>
      </c>
      <c r="T499" t="inlineStr">
        <is>
          <t>No</t>
        </is>
      </c>
      <c r="U499" t="inlineStr">
        <is>
          <t>1 Year/18,000 Mile</t>
        </is>
      </c>
      <c r="V499" t="inlineStr">
        <is>
          <t>Yes</t>
        </is>
      </c>
      <c r="W499" t="inlineStr">
        <is>
          <t>Available to Order</t>
        </is>
      </c>
      <c r="X499" t="inlineStr">
        <is>
          <t>Toyota Tercel 1982-81</t>
        </is>
      </c>
      <c r="Y499" t="inlineStr">
        <is>
          <t>00082617043267</t>
        </is>
      </c>
      <c r="Z499" t="inlineStr">
        <is>
          <t>43-1721::98268:112034:494</t>
        </is>
      </c>
      <c r="AA499" t="inlineStr">
        <is>
          <t>Yes</t>
        </is>
      </c>
      <c r="AB499" t="inlineStr"/>
      <c r="AC499" t="inlineStr"/>
    </row>
    <row r="500">
      <c r="A500" t="inlineStr">
        <is>
          <t>499</t>
        </is>
      </c>
      <c r="B500" t="inlineStr">
        <is>
          <t>Windshield Wiper Motor</t>
        </is>
      </c>
      <c r="C500" t="inlineStr">
        <is>
          <t>43-1722</t>
        </is>
      </c>
      <c r="D500" t="inlineStr">
        <is>
          <t>Windshield Wiper Motor - 43-1722</t>
        </is>
      </c>
      <c r="E500" t="inlineStr">
        <is>
          <t>CARDONE Reman</t>
        </is>
      </c>
      <c r="F500" t="inlineStr">
        <is>
          <t>8511014240</t>
        </is>
      </c>
      <c r="G500" t="inlineStr">
        <is>
          <t>Toyota Celica 1982-1985</t>
        </is>
      </c>
      <c r="H500" t="inlineStr">
        <is>
          <t>Toyota Celica 1982-1985 2.8L L6 2754cc</t>
        </is>
      </c>
      <c r="I500" t="inlineStr">
        <is>
          <t>{"0": {"productDeskExternalKey": "CPCX|43-1722"}, "1": {"Package Contents": "Wiper Motor; Instruction Sheet"}, "2": {"E-Waste": "Yes"}, "3": {"Product Condition": "Remanufactured"}, "4": {"Mounting Hole Quantity": "4"}, "5": {"Terminal Type": "Blade"}, "6": {"Mounting Type": "Grommet"}, "7": {"Weight PG": "5.4800"}, "8": {"Washer Pump Included": "No"}, "9": {"Part Type": "Windshield Wiper Motor"}, "10": {"Warranty Info": "1 Year/18,000 Mile"}, "11": {"Sustainable Choice": "Yes"}, "12": {"Lifecycle Status": "Available to Order"}, "13": {"Application Summary": "Toyota Celica 1985-82"}, "14": {"ItemLevelGTIN": "00082617166614"}, "15": {"_addonCardone": "43-1722::98268:112049:494"}, "16": {"Eligible for R&amp;R Service": "Yes"}}</t>
        </is>
      </c>
      <c r="J500" t="inlineStr">
        <is>
          <t>https://www.cardone.com/product/windshield-wiper-motor-43-1722</t>
        </is>
      </c>
      <c r="K500">
        <f>DISPIMG("ID_DB79A3BB178E418EA6C3FA645C6F3818",1)</f>
        <v/>
      </c>
      <c r="L500" t="inlineStr">
        <is>
          <t>CPCX|43-1722</t>
        </is>
      </c>
      <c r="M500" t="inlineStr">
        <is>
          <t>Wiper Motor; Instruction Sheet</t>
        </is>
      </c>
      <c r="N500" t="inlineStr">
        <is>
          <t>Yes</t>
        </is>
      </c>
      <c r="O500" t="inlineStr">
        <is>
          <t>Remanufactured</t>
        </is>
      </c>
      <c r="P500" t="inlineStr">
        <is>
          <t>4</t>
        </is>
      </c>
      <c r="Q500" t="inlineStr">
        <is>
          <t>Blade</t>
        </is>
      </c>
      <c r="R500" t="inlineStr">
        <is>
          <t>Grommet</t>
        </is>
      </c>
      <c r="S500" t="inlineStr">
        <is>
          <t>5.4800</t>
        </is>
      </c>
      <c r="T500" t="inlineStr">
        <is>
          <t>No</t>
        </is>
      </c>
      <c r="U500" t="inlineStr">
        <is>
          <t>1 Year/18,000 Mile</t>
        </is>
      </c>
      <c r="V500" t="inlineStr">
        <is>
          <t>Yes</t>
        </is>
      </c>
      <c r="W500" t="inlineStr">
        <is>
          <t>Available to Order</t>
        </is>
      </c>
      <c r="X500" t="inlineStr">
        <is>
          <t>Toyota Celica 1985-82</t>
        </is>
      </c>
      <c r="Y500" t="inlineStr">
        <is>
          <t>00082617166614</t>
        </is>
      </c>
      <c r="Z500" t="inlineStr">
        <is>
          <t>43-1722::98268:112049:494</t>
        </is>
      </c>
      <c r="AA500" t="inlineStr">
        <is>
          <t>Yes</t>
        </is>
      </c>
      <c r="AB500" t="inlineStr"/>
      <c r="AC500" t="inlineStr"/>
    </row>
    <row r="501">
      <c r="A501" t="inlineStr">
        <is>
          <t>500</t>
        </is>
      </c>
      <c r="B501" t="inlineStr">
        <is>
          <t>Windshield Wiper Motor</t>
        </is>
      </c>
      <c r="C501" t="inlineStr">
        <is>
          <t>43-1726</t>
        </is>
      </c>
      <c r="D501" t="inlineStr">
        <is>
          <t>Windshield Wiper Motor - 43-1726</t>
        </is>
      </c>
      <c r="E501" t="inlineStr">
        <is>
          <t>CARDONE Reman</t>
        </is>
      </c>
      <c r="F501" t="inlineStr">
        <is>
          <t>8512016131;8512016133;8512016132;8512016130</t>
        </is>
      </c>
      <c r="G501" t="inlineStr">
        <is>
          <t>Toyota Tercel 1983-1988</t>
        </is>
      </c>
      <c r="H501" t="inlineStr">
        <is>
          <t>Toyota Tercel 1983-1988 1.5L L4 1452cc
Toyota Tercel 1987-1988 1.5L L4 1456cc</t>
        </is>
      </c>
      <c r="I501" t="inlineStr">
        <is>
          <t>{"0": {"productDeskExternalKey": "CPCX|43-1726"}, "1": {"Package Contents": "Wiper Motor; Instruction Sheet"}, "2": {"E-Waste": "Yes"}, "3": {"Product Condition": "Remanufactured"}, "4": {"Mounting Hole Quantity": "3"}, "5": {"Terminal Type": "Blade"}, "6": {"Mounting Type": "Direct Bolt"}, "7": {"Weight PG": "3.3000"}, "8": {"Washer Pump Included": "No"}, "9": {"Part Type": "Windshield Wiper Motor"}, "10": {"Warranty Info": "1 Year/18,000 Mile"}, "11": {"Sustainable Choice": "Yes"}, "12": {"Lifecycle Status": "Available to Order"}, "13": {"Application Summary": "Toyota Tercel 1988-83"}, "14": {"ItemLevelGTIN": "00082617081764"}, "15": {"_addonCardone": "43-1726::98268:112068:494"}, "16": {"Eligible for R&amp;R Service": "Yes"}}</t>
        </is>
      </c>
      <c r="J501" t="inlineStr">
        <is>
          <t>https://www.cardone.com/product/windshield-wiper-motor-43-1726</t>
        </is>
      </c>
      <c r="K501">
        <f>DISPIMG("ID_8E8B3CE148E040DB8F574901CECB21E6",1)</f>
        <v/>
      </c>
      <c r="L501" t="inlineStr">
        <is>
          <t>CPCX|43-1726</t>
        </is>
      </c>
      <c r="M501" t="inlineStr">
        <is>
          <t>Wiper Motor; Instruction Sheet</t>
        </is>
      </c>
      <c r="N501" t="inlineStr">
        <is>
          <t>Yes</t>
        </is>
      </c>
      <c r="O501" t="inlineStr">
        <is>
          <t>Remanufactured</t>
        </is>
      </c>
      <c r="P501" t="inlineStr">
        <is>
          <t>3</t>
        </is>
      </c>
      <c r="Q501" t="inlineStr">
        <is>
          <t>Blade</t>
        </is>
      </c>
      <c r="R501" t="inlineStr">
        <is>
          <t>Direct Bolt</t>
        </is>
      </c>
      <c r="S501" t="inlineStr">
        <is>
          <t>3.3000</t>
        </is>
      </c>
      <c r="T501" t="inlineStr">
        <is>
          <t>No</t>
        </is>
      </c>
      <c r="U501" t="inlineStr">
        <is>
          <t>1 Year/18,000 Mile</t>
        </is>
      </c>
      <c r="V501" t="inlineStr">
        <is>
          <t>Yes</t>
        </is>
      </c>
      <c r="W501" t="inlineStr">
        <is>
          <t>Available to Order</t>
        </is>
      </c>
      <c r="X501" t="inlineStr">
        <is>
          <t>Toyota Tercel 1988-83</t>
        </is>
      </c>
      <c r="Y501" t="inlineStr">
        <is>
          <t>00082617081764</t>
        </is>
      </c>
      <c r="Z501" t="inlineStr">
        <is>
          <t>43-1726::98268:112068:494</t>
        </is>
      </c>
      <c r="AA501" t="inlineStr">
        <is>
          <t>Yes</t>
        </is>
      </c>
      <c r="AB501" t="inlineStr"/>
      <c r="AC501" t="inlineStr"/>
    </row>
    <row r="502">
      <c r="A502" t="inlineStr">
        <is>
          <t>501</t>
        </is>
      </c>
      <c r="B502" t="inlineStr">
        <is>
          <t>Windshield Wiper Motor</t>
        </is>
      </c>
      <c r="C502" t="inlineStr">
        <is>
          <t>43-1727</t>
        </is>
      </c>
      <c r="D502" t="inlineStr">
        <is>
          <t>Windshield Wiper Motor - 43-1727</t>
        </is>
      </c>
      <c r="E502" t="inlineStr">
        <is>
          <t>CARDONE Reman</t>
        </is>
      </c>
      <c r="F502" t="inlineStr">
        <is>
          <t>8512016120</t>
        </is>
      </c>
      <c r="G502" t="inlineStr">
        <is>
          <t>Toyota Tercel 1983-1988</t>
        </is>
      </c>
      <c r="H502" t="inlineStr">
        <is>
          <t>Toyota Tercel 1983-1988 1.5L L4 1452cc
Toyota Tercel 1987-1988 1.5L L4 1456cc</t>
        </is>
      </c>
      <c r="I502" t="inlineStr">
        <is>
          <t>{"0": {"productDeskExternalKey": "CPCX|43-1727"}, "1": {"Package Contents": "Wiper Motor; Instruction Sheet"}, "2": {"E-Waste": "Yes"}, "3": {"Product Condition": "Remanufactured"}, "4": {"Mounting Hole Quantity": "3"}, "5": {"Terminal Type": "Blade"}, "6": {"Mounting Type": "Direct Bolt"}, "7": {"Weight PG": "3.1600"}, "8": {"Washer Pump Included": "No"}, "9": {"Part Type": "Windshield Wiper Motor"}, "10": {"Warranty Info": "1 Year/18,000 Mile"}, "11": {"Sustainable Choice": "Yes"}, "12": {"Lifecycle Status": "Available to Order"}, "13": {"Application Summary": "Toyota Tercel 1988-83"}, "14": {"ItemLevelGTIN": "00082617081771"}, "15": {"_addonCardone": "43-1727::98268:112083:494"}, "16": {"Eligible for R&amp;R Service": "Yes"}}</t>
        </is>
      </c>
      <c r="J502" t="inlineStr">
        <is>
          <t>https://www.cardone.com/product/windshield-wiper-motor-43-1727</t>
        </is>
      </c>
      <c r="K502">
        <f>DISPIMG("ID_B621FAFBC60E4CC681273F34C412CD95",1)</f>
        <v/>
      </c>
      <c r="L502" t="inlineStr">
        <is>
          <t>CPCX|43-1727</t>
        </is>
      </c>
      <c r="M502" t="inlineStr">
        <is>
          <t>Wiper Motor; Instruction Sheet</t>
        </is>
      </c>
      <c r="N502" t="inlineStr">
        <is>
          <t>Yes</t>
        </is>
      </c>
      <c r="O502" t="inlineStr">
        <is>
          <t>Remanufactured</t>
        </is>
      </c>
      <c r="P502" t="inlineStr">
        <is>
          <t>3</t>
        </is>
      </c>
      <c r="Q502" t="inlineStr">
        <is>
          <t>Blade</t>
        </is>
      </c>
      <c r="R502" t="inlineStr">
        <is>
          <t>Direct Bolt</t>
        </is>
      </c>
      <c r="S502" t="inlineStr">
        <is>
          <t>3.1600</t>
        </is>
      </c>
      <c r="T502" t="inlineStr">
        <is>
          <t>No</t>
        </is>
      </c>
      <c r="U502" t="inlineStr">
        <is>
          <t>1 Year/18,000 Mile</t>
        </is>
      </c>
      <c r="V502" t="inlineStr">
        <is>
          <t>Yes</t>
        </is>
      </c>
      <c r="W502" t="inlineStr">
        <is>
          <t>Available to Order</t>
        </is>
      </c>
      <c r="X502" t="inlineStr">
        <is>
          <t>Toyota Tercel 1988-83</t>
        </is>
      </c>
      <c r="Y502" t="inlineStr">
        <is>
          <t>00082617081771</t>
        </is>
      </c>
      <c r="Z502" t="inlineStr">
        <is>
          <t>43-1727::98268:112083:494</t>
        </is>
      </c>
      <c r="AA502" t="inlineStr">
        <is>
          <t>Yes</t>
        </is>
      </c>
      <c r="AB502" t="inlineStr"/>
      <c r="AC502" t="inlineStr"/>
    </row>
    <row r="503">
      <c r="A503" t="inlineStr">
        <is>
          <t>502</t>
        </is>
      </c>
      <c r="B503" t="inlineStr">
        <is>
          <t>Windshield Wiper Motor</t>
        </is>
      </c>
      <c r="C503" t="inlineStr">
        <is>
          <t>43-1728</t>
        </is>
      </c>
      <c r="D503" t="inlineStr">
        <is>
          <t>Windshield Wiper Motor - 43-1728</t>
        </is>
      </c>
      <c r="E503" t="inlineStr">
        <is>
          <t>CARDONE Reman</t>
        </is>
      </c>
      <c r="F503" t="inlineStr">
        <is>
          <t>8511014153</t>
        </is>
      </c>
      <c r="G503" t="inlineStr">
        <is>
          <t>Toyota Celica 1981</t>
        </is>
      </c>
      <c r="H503" t="inlineStr">
        <is>
          <t>Toyota Celica 1981 2.8L L6 2759cc</t>
        </is>
      </c>
      <c r="I503" t="inlineStr">
        <is>
          <t>{"0": {"productDeskExternalKey": "CPCX|43-1728"}, "1": {"Package Contents": "Wiper Motor; Instruction Sheet"}, "2": {"E-Waste": "Yes"}, "3": {"Product Condition": "Remanufactured"}, "4": {"Mounting Hole Quantity": "4"}, "5": {"Terminal Type": "Blade"}, "6": {"Mounting Type": "Grommet"}, "7": {"Weight PG": "4.9500"}, "8": {"Washer Pump Included": "No"}, "9": {"Part Type": "Windshield Wiper Motor"}, "10": {"Warranty Info": "1 Year/18,000 Mile"}, "11": {"Sustainable Choice": "Yes"}, "12": {"Lifecycle Status": "Available to Order"}, "13": {"Application Summary": "Toyota Celica 1981"}, "14": {"ItemLevelGTIN": "00082617166621"}, "15": {"_addonCardone": "43-1728::98268:112097:494"}, "16": {"Eligible for R&amp;R Service": "Yes"}}</t>
        </is>
      </c>
      <c r="J503" t="inlineStr">
        <is>
          <t>https://www.cardone.com/product/windshield-wiper-motor-43-1728</t>
        </is>
      </c>
      <c r="K503">
        <f>DISPIMG("ID_9B306FC37ADD413B85A86E3E71DE39C1",1)</f>
        <v/>
      </c>
      <c r="L503" t="inlineStr">
        <is>
          <t>CPCX|43-1728</t>
        </is>
      </c>
      <c r="M503" t="inlineStr">
        <is>
          <t>Wiper Motor; Instruction Sheet</t>
        </is>
      </c>
      <c r="N503" t="inlineStr">
        <is>
          <t>Yes</t>
        </is>
      </c>
      <c r="O503" t="inlineStr">
        <is>
          <t>Remanufactured</t>
        </is>
      </c>
      <c r="P503" t="inlineStr">
        <is>
          <t>4</t>
        </is>
      </c>
      <c r="Q503" t="inlineStr">
        <is>
          <t>Blade</t>
        </is>
      </c>
      <c r="R503" t="inlineStr">
        <is>
          <t>Grommet</t>
        </is>
      </c>
      <c r="S503" t="inlineStr">
        <is>
          <t>4.9500</t>
        </is>
      </c>
      <c r="T503" t="inlineStr">
        <is>
          <t>No</t>
        </is>
      </c>
      <c r="U503" t="inlineStr">
        <is>
          <t>1 Year/18,000 Mile</t>
        </is>
      </c>
      <c r="V503" t="inlineStr">
        <is>
          <t>Yes</t>
        </is>
      </c>
      <c r="W503" t="inlineStr">
        <is>
          <t>Available to Order</t>
        </is>
      </c>
      <c r="X503" t="inlineStr">
        <is>
          <t>Toyota Celica 1981</t>
        </is>
      </c>
      <c r="Y503" t="inlineStr">
        <is>
          <t>00082617166621</t>
        </is>
      </c>
      <c r="Z503" t="inlineStr">
        <is>
          <t>43-1728::98268:112097:494</t>
        </is>
      </c>
      <c r="AA503" t="inlineStr">
        <is>
          <t>Yes</t>
        </is>
      </c>
      <c r="AB503" t="inlineStr"/>
      <c r="AC503" t="inlineStr"/>
    </row>
    <row r="504">
      <c r="A504" t="inlineStr">
        <is>
          <t>503</t>
        </is>
      </c>
      <c r="B504" t="inlineStr">
        <is>
          <t>Windshield Wiper Motor</t>
        </is>
      </c>
      <c r="C504" t="inlineStr">
        <is>
          <t>43-1732</t>
        </is>
      </c>
      <c r="D504" t="inlineStr">
        <is>
          <t>Windshield Wiper Motor - 43-1732</t>
        </is>
      </c>
      <c r="E504" t="inlineStr">
        <is>
          <t>CARDONE Reman</t>
        </is>
      </c>
      <c r="F504" t="inlineStr">
        <is>
          <t>8511016250;8511022380;8511020260;8511012501;8511028030;8511016262;8511089135;8511020470;8511089136;8511012490;8511012581;8511012500;8511020261;8511012580;8511089139;8511016252;8511016260;8511012570</t>
        </is>
      </c>
      <c r="G504" t="inlineStr">
        <is>
          <t>Toyota 4Runner 1986-1989
Toyota Celica 1986-1989
Toyota Corolla 1986-1987
Toyota Cressida 1985-1988
Toyota Pickup 1986-1988
Toyota Tercel 1987-1988
Toyota Van 1984-1989
Toyota Van Wagon 1988</t>
        </is>
      </c>
      <c r="H504" t="inlineStr">
        <is>
          <t>Toyota 4Runner 1986-1989 2.4L L4 2366cc
Toyota 4Runner 1988-1989 3L V6 2959cc
Toyota Celica 1986 2L L4 1998cc
Toyota Celica 1986-1989 2L L4 122cid
Toyota Corolla 1986-1987 1.6L L4 1587cc
Toyota Cressida 1985-1988 2.8L L6 2754cc
Toyota Pickup 1986-1987 2.4L L4 2466cc
Toyota Pickup 1986-1988 2.4L L4 2366cc
Toyota Pickup 1988 3L V6 2959cc
Toyota Tercel 1987-1988 1.5L L4 1452cc
Toyota Tercel 1987-1988 1.5L L4 1456cc
Toyota Van 1984-1985 2L L4 122cid
Toyota Van 1986-1989 2.2L L4 2237cc
Toyota Van Wagon 1988 2.2L L4 2237cc</t>
        </is>
      </c>
      <c r="I504" t="inlineStr">
        <is>
          <t>{"0": {"productDeskExternalKey": "CPCX|43-1732"}, "1": {"Package Contents": "Wiper Motor; Instruction Sheet"}, "2": {"E-Waste": "Yes"}, "3": {"Product Condition": "Remanufactured"}, "4": {"Mounting Hole Quantity": "4"}, "5": {"Terminal Type": "Blade"}, "6": {"Mounting Type": "Grommet"}, "7": {"Weight PG": "3.1400"}, "8": {"Washer Pump Included": "No"}, "9": {"Part Type": "Windshield Wiper Motor"}, "10": {"Warranty Info": "1 Year/18,000 Mile"}, "11": {"Sustainable Choice": "Yes"}, "12": {"Lifecycle Status": "Available to Order"}, "13": {"Application Summary": "Toyota 4Runner 1989-86, Celica 1989-86, Corolla 1987-86, Cressida 1988-85, Pickup 1988-86, Tercel 1988-87, Van 1989-84, Van Wagon 1988"}, "14": {"ItemLevelGTIN": "00082617142823"}, "15": {"_addonCardone": "43-1732::98268:112112:494"}, "16": {"Eligible for R&amp;R Service": "Yes"}}</t>
        </is>
      </c>
      <c r="J504" t="inlineStr">
        <is>
          <t>https://www.cardone.com/product/windshield-wiper-motor-43-1732</t>
        </is>
      </c>
      <c r="K504">
        <f>DISPIMG("ID_CC386684284A4ED1B4EC08ACFED6FA4D",1)</f>
        <v/>
      </c>
      <c r="L504" t="inlineStr">
        <is>
          <t>CPCX|43-1732</t>
        </is>
      </c>
      <c r="M504" t="inlineStr">
        <is>
          <t>Wiper Motor; Instruction Sheet</t>
        </is>
      </c>
      <c r="N504" t="inlineStr">
        <is>
          <t>Yes</t>
        </is>
      </c>
      <c r="O504" t="inlineStr">
        <is>
          <t>Remanufactured</t>
        </is>
      </c>
      <c r="P504" t="inlineStr">
        <is>
          <t>4</t>
        </is>
      </c>
      <c r="Q504" t="inlineStr">
        <is>
          <t>Blade</t>
        </is>
      </c>
      <c r="R504" t="inlineStr">
        <is>
          <t>Grommet</t>
        </is>
      </c>
      <c r="S504" t="inlineStr">
        <is>
          <t>3.1400</t>
        </is>
      </c>
      <c r="T504" t="inlineStr">
        <is>
          <t>No</t>
        </is>
      </c>
      <c r="U504" t="inlineStr">
        <is>
          <t>1 Year/18,000 Mile</t>
        </is>
      </c>
      <c r="V504" t="inlineStr">
        <is>
          <t>Yes</t>
        </is>
      </c>
      <c r="W504" t="inlineStr">
        <is>
          <t>Available to Order</t>
        </is>
      </c>
      <c r="X504" t="inlineStr">
        <is>
          <t>Toyota 4Runner 1989-86, Celica 1989-86, Corolla 1987-86, Cressida 1988-85, Pickup 1988-86, Tercel 1988-87, Van 1989-84, Van Wagon 1988</t>
        </is>
      </c>
      <c r="Y504" t="inlineStr">
        <is>
          <t>00082617142823</t>
        </is>
      </c>
      <c r="Z504" t="inlineStr">
        <is>
          <t>43-1732::98268:112112:494</t>
        </is>
      </c>
      <c r="AA504" t="inlineStr">
        <is>
          <t>Yes</t>
        </is>
      </c>
      <c r="AB504" t="inlineStr"/>
      <c r="AC504" t="inlineStr"/>
    </row>
    <row r="505">
      <c r="A505" t="inlineStr">
        <is>
          <t>504</t>
        </is>
      </c>
      <c r="B505" t="inlineStr">
        <is>
          <t>Windshield Wiper Motor</t>
        </is>
      </c>
      <c r="C505" t="inlineStr">
        <is>
          <t>43-1733</t>
        </is>
      </c>
      <c r="D505" t="inlineStr">
        <is>
          <t>Windshield Wiper Motor - 43-1733</t>
        </is>
      </c>
      <c r="E505" t="inlineStr">
        <is>
          <t>CARDONE Reman</t>
        </is>
      </c>
      <c r="F505" t="inlineStr">
        <is>
          <t>8511022240</t>
        </is>
      </c>
      <c r="G505" t="inlineStr">
        <is>
          <t>Toyota Cressida 1983</t>
        </is>
      </c>
      <c r="H505" t="inlineStr">
        <is>
          <t>Toyota Cressida 1983 2.8L L6 2754cc</t>
        </is>
      </c>
      <c r="I505" t="inlineStr">
        <is>
          <t>{"0": {"productDeskExternalKey": "CPCX|43-1733"}, "1": {"Package Contents": "Wiper Motor; Instruction Sheet"}, "2": {"E-Waste": "Yes"}, "3": {"Product Condition": "Remanufactured"}, "4": {"Mounting Hole Quantity": "4"}, "5": {"Terminal Type": "Blade"}, "6": {"Mounting Type": "Grommet"}, "7": {"Weight PG": "3.4000"}, "8": {"Washer Pump Included": "No"}, "9": {"Part Type": "Windshield Wiper Motor"}, "10": {"Warranty Info": "1 Year/18,000 Mile"}, "11": {"Sustainable Choice": "Yes"}, "12": {"Lifecycle Status": "Available to Order"}, "13": {"Application Summary": "Toyota Cressida 1983"}, "14": {"ItemLevelGTIN": "00082617142830"}, "15": {"_addonCardone": "43-1733::98268:112128:494"}, "16": {"Eligible for R&amp;R Service": "Yes"}}</t>
        </is>
      </c>
      <c r="J505" t="inlineStr">
        <is>
          <t>https://www.cardone.com/product/windshield-wiper-motor-43-1733</t>
        </is>
      </c>
      <c r="K505">
        <f>DISPIMG("ID_19430F8EC8534B278D6A012D2CE666E1",1)</f>
        <v/>
      </c>
      <c r="L505" t="inlineStr">
        <is>
          <t>CPCX|43-1733</t>
        </is>
      </c>
      <c r="M505" t="inlineStr">
        <is>
          <t>Wiper Motor; Instruction Sheet</t>
        </is>
      </c>
      <c r="N505" t="inlineStr">
        <is>
          <t>Yes</t>
        </is>
      </c>
      <c r="O505" t="inlineStr">
        <is>
          <t>Remanufactured</t>
        </is>
      </c>
      <c r="P505" t="inlineStr">
        <is>
          <t>4</t>
        </is>
      </c>
      <c r="Q505" t="inlineStr">
        <is>
          <t>Blade</t>
        </is>
      </c>
      <c r="R505" t="inlineStr">
        <is>
          <t>Grommet</t>
        </is>
      </c>
      <c r="S505" t="inlineStr">
        <is>
          <t>3.4000</t>
        </is>
      </c>
      <c r="T505" t="inlineStr">
        <is>
          <t>No</t>
        </is>
      </c>
      <c r="U505" t="inlineStr">
        <is>
          <t>1 Year/18,000 Mile</t>
        </is>
      </c>
      <c r="V505" t="inlineStr">
        <is>
          <t>Yes</t>
        </is>
      </c>
      <c r="W505" t="inlineStr">
        <is>
          <t>Available to Order</t>
        </is>
      </c>
      <c r="X505" t="inlineStr">
        <is>
          <t>Toyota Cressida 1983</t>
        </is>
      </c>
      <c r="Y505" t="inlineStr">
        <is>
          <t>00082617142830</t>
        </is>
      </c>
      <c r="Z505" t="inlineStr">
        <is>
          <t>43-1733::98268:112128:494</t>
        </is>
      </c>
      <c r="AA505" t="inlineStr">
        <is>
          <t>Yes</t>
        </is>
      </c>
      <c r="AB505" t="inlineStr"/>
      <c r="AC505" t="inlineStr"/>
    </row>
    <row r="506">
      <c r="A506" t="inlineStr">
        <is>
          <t>505</t>
        </is>
      </c>
      <c r="B506" t="inlineStr">
        <is>
          <t>Windshield Wiper Motor</t>
        </is>
      </c>
      <c r="C506" t="inlineStr">
        <is>
          <t>43-1734</t>
        </is>
      </c>
      <c r="D506" t="inlineStr">
        <is>
          <t>Windshield Wiper Motor - 43-1734</t>
        </is>
      </c>
      <c r="E506" t="inlineStr">
        <is>
          <t>CARDONE Reman</t>
        </is>
      </c>
      <c r="F506" t="inlineStr">
        <is>
          <t>8511022241</t>
        </is>
      </c>
      <c r="G506" t="inlineStr">
        <is>
          <t>Toyota Cressida 1984</t>
        </is>
      </c>
      <c r="H506" t="inlineStr">
        <is>
          <t>Toyota Cressida 1984 2.8L L6 2754cc</t>
        </is>
      </c>
      <c r="I506" t="inlineStr">
        <is>
          <t>{"0": {"productDeskExternalKey": "CPCX|43-1734"}, "1": {"Package Contents": "Wiper Motor; Instruction Sheet"}, "2": {"E-Waste": "Yes"}, "3": {"Product Condition": "Remanufactured"}, "4": {"Mounting Hole Quantity": "4"}, "5": {"Terminal Type": "Blade"}, "6": {"Mounting Type": "Grommet"}, "7": {"Weight PG": "3.1900"}, "8": {"Washer Pump Included": "No"}, "9": {"Part Type": "Windshield Wiper Motor"}, "10": {"Warranty Info": "1 Year/18,000 Mile"}, "11": {"Sustainable Choice": "Yes"}, "12": {"Lifecycle Status": "Available to Order"}, "13": {"Application Summary": "Toyota Cressida 1984"}, "14": {"ItemLevelGTIN": "00082617142847"}, "15": {"_addonCardone": "43-1734::98268:112144:494"}, "16": {"Eligible for R&amp;R Service": "Yes"}}</t>
        </is>
      </c>
      <c r="J506" t="inlineStr">
        <is>
          <t>https://www.cardone.com/product/windshield-wiper-motor-43-1734</t>
        </is>
      </c>
      <c r="K506">
        <f>DISPIMG("ID_29FB7F102919458A83B57CB226FC06EC",1)</f>
        <v/>
      </c>
      <c r="L506" t="inlineStr">
        <is>
          <t>CPCX|43-1734</t>
        </is>
      </c>
      <c r="M506" t="inlineStr">
        <is>
          <t>Wiper Motor; Instruction Sheet</t>
        </is>
      </c>
      <c r="N506" t="inlineStr">
        <is>
          <t>Yes</t>
        </is>
      </c>
      <c r="O506" t="inlineStr">
        <is>
          <t>Remanufactured</t>
        </is>
      </c>
      <c r="P506" t="inlineStr">
        <is>
          <t>4</t>
        </is>
      </c>
      <c r="Q506" t="inlineStr">
        <is>
          <t>Blade</t>
        </is>
      </c>
      <c r="R506" t="inlineStr">
        <is>
          <t>Grommet</t>
        </is>
      </c>
      <c r="S506" t="inlineStr">
        <is>
          <t>3.1900</t>
        </is>
      </c>
      <c r="T506" t="inlineStr">
        <is>
          <t>No</t>
        </is>
      </c>
      <c r="U506" t="inlineStr">
        <is>
          <t>1 Year/18,000 Mile</t>
        </is>
      </c>
      <c r="V506" t="inlineStr">
        <is>
          <t>Yes</t>
        </is>
      </c>
      <c r="W506" t="inlineStr">
        <is>
          <t>Available to Order</t>
        </is>
      </c>
      <c r="X506" t="inlineStr">
        <is>
          <t>Toyota Cressida 1984</t>
        </is>
      </c>
      <c r="Y506" t="inlineStr">
        <is>
          <t>00082617142847</t>
        </is>
      </c>
      <c r="Z506" t="inlineStr">
        <is>
          <t>43-1734::98268:112144:494</t>
        </is>
      </c>
      <c r="AA506" t="inlineStr">
        <is>
          <t>Yes</t>
        </is>
      </c>
      <c r="AB506" t="inlineStr"/>
      <c r="AC506" t="inlineStr"/>
    </row>
    <row r="507">
      <c r="A507" t="inlineStr">
        <is>
          <t>506</t>
        </is>
      </c>
      <c r="B507" t="inlineStr">
        <is>
          <t>Windshield Wiper Motor</t>
        </is>
      </c>
      <c r="C507" t="inlineStr">
        <is>
          <t>43-1735</t>
        </is>
      </c>
      <c r="D507" t="inlineStr">
        <is>
          <t>Windshield Wiper Motor - 43-1735</t>
        </is>
      </c>
      <c r="E507" t="inlineStr">
        <is>
          <t>CARDONE Reman</t>
        </is>
      </c>
      <c r="F507" t="inlineStr">
        <is>
          <t>8511089143;8511035090;8511016262;8511016430;8511035130;8511016460;8511035100;8511032242;8511016370;8511016420;8511032270;8511089144;8511032271;8511014230;8511016371;8511032241;8511035280;8511014232</t>
        </is>
      </c>
      <c r="G507" t="inlineStr">
        <is>
          <t>Lexus ES250 1990-1991
Toyota 4Runner 1989-2002
Toyota Camry 1987-1991
Toyota Celica 1986
Toyota Paseo 1992
Toyota Pickup 1989-1995
Toyota Supra 1986-1993
Toyota Tercel 1989-1992</t>
        </is>
      </c>
      <c r="H507" t="inlineStr">
        <is>
          <t>Lexus ES250 1990-1991 2.5L V6 2508cc
Toyota 4Runner 1989-1995 2.4L L4 2366cc
Toyota 4Runner 1989-1995 3L V6 2959cc
Toyota 4Runner 2001-2002 3.4L V6 3378cc
Toyota Camry 1987-1991 2L L4 122cid
Toyota Camry 1988-1991 2.5L V6 2508cc
Toyota Celica 1986 2.8L L6 2754cc
Toyota Paseo 1992 1.5L L4 1497cc
Toyota Pickup 1989-1995 2.4L L4 2366cc
Toyota Pickup 1989-1995 3L V6 2959cc
Toyota Supra 1986-1992 3L L6 2954cc
Toyota Supra 1993 3L L6 2997cc
Toyota Tercel 1989-1992 1.5L L4 1456cc</t>
        </is>
      </c>
      <c r="I507" t="inlineStr">
        <is>
          <t>{"0": {"productDeskExternalKey": "CPCX|43-1735"}, "1": {"Package Contents": "Wiper Motor; Instruction Sheet"}, "2": {"E-Waste": "Yes"}, "3": {"Product Condition": "Remanufactured"}, "4": {"Mounting Hole Quantity": "4"}, "5": {"Terminal Type": "Blade"}, "6": {"Mounting Type": "Grommet"}, "7": {"Weight PG": "2.4000"}, "8": {"Washer Pump Included": "No"}, "9": {"Part Type": "Windshield Wiper Motor"}, "10": {"Warranty Info": "1 Year/18,000 Mile"}, "11": {"Sustainable Choice": "Yes"}, "12": {"Lifecycle Status": "Available to Order"}, "13": {"Application Summary": "Lexus ES250 1991-90; Toyota 4Runner 2002-01 1995-89, Camry 1991-87, Celica 1986, Paseo 1992, Pickup 1995-89, Supra 1993-86, Tercel 1992-89"}, "14": {"ItemLevelGTIN": "00082617143202"}, "15": {"_addonCardone": "43-1735::98268:112157:494"}, "16": {"Eligible for R&amp;R Service": "Yes"}}</t>
        </is>
      </c>
      <c r="J507" t="inlineStr">
        <is>
          <t>https://www.cardone.com/product/windshield-wiper-motor-43-1735</t>
        </is>
      </c>
      <c r="K507">
        <f>DISPIMG("ID_9190B7594E4A4A4680F7CAD0BC742483",1)</f>
        <v/>
      </c>
      <c r="L507" t="inlineStr">
        <is>
          <t>CPCX|43-1735</t>
        </is>
      </c>
      <c r="M507" t="inlineStr">
        <is>
          <t>Wiper Motor; Instruction Sheet</t>
        </is>
      </c>
      <c r="N507" t="inlineStr">
        <is>
          <t>Yes</t>
        </is>
      </c>
      <c r="O507" t="inlineStr">
        <is>
          <t>Remanufactured</t>
        </is>
      </c>
      <c r="P507" t="inlineStr">
        <is>
          <t>4</t>
        </is>
      </c>
      <c r="Q507" t="inlineStr">
        <is>
          <t>Blade</t>
        </is>
      </c>
      <c r="R507" t="inlineStr">
        <is>
          <t>Grommet</t>
        </is>
      </c>
      <c r="S507" t="inlineStr">
        <is>
          <t>2.4000</t>
        </is>
      </c>
      <c r="T507" t="inlineStr">
        <is>
          <t>No</t>
        </is>
      </c>
      <c r="U507" t="inlineStr">
        <is>
          <t>1 Year/18,000 Mile</t>
        </is>
      </c>
      <c r="V507" t="inlineStr">
        <is>
          <t>Yes</t>
        </is>
      </c>
      <c r="W507" t="inlineStr">
        <is>
          <t>Available to Order</t>
        </is>
      </c>
      <c r="X507" t="inlineStr">
        <is>
          <t>Lexus ES250 1991-90; Toyota 4Runner 2002-01 1995-89, Camry 1991-87, Celica 1986, Paseo 1992, Pickup 1995-89, Supra 1993-86, Tercel 1992-89</t>
        </is>
      </c>
      <c r="Y507" t="inlineStr">
        <is>
          <t>00082617143202</t>
        </is>
      </c>
      <c r="Z507" t="inlineStr">
        <is>
          <t>43-1735::98268:112157:494</t>
        </is>
      </c>
      <c r="AA507" t="inlineStr">
        <is>
          <t>Yes</t>
        </is>
      </c>
      <c r="AB507" t="inlineStr"/>
      <c r="AC507" t="inlineStr"/>
    </row>
    <row r="508">
      <c r="A508" t="inlineStr">
        <is>
          <t>507</t>
        </is>
      </c>
      <c r="B508" t="inlineStr">
        <is>
          <t>Windshield Wiper Motor</t>
        </is>
      </c>
      <c r="C508" t="inlineStr">
        <is>
          <t>43-1736</t>
        </is>
      </c>
      <c r="D508" t="inlineStr">
        <is>
          <t>Windshield Wiper Motor - 43-1736</t>
        </is>
      </c>
      <c r="E508" t="inlineStr">
        <is>
          <t>CARDONE Reman</t>
        </is>
      </c>
      <c r="F508" t="inlineStr">
        <is>
          <t>8511012671;8511001031;8511012661;8511012662;8511012672</t>
        </is>
      </c>
      <c r="G508" t="inlineStr">
        <is>
          <t>Geo Prizm 1989-1992
Toyota Corolla 1988-1992</t>
        </is>
      </c>
      <c r="H508" t="inlineStr">
        <is>
          <t>Geo Prizm 1989 1.6L L4 98cid
Geo Prizm 1990-1992 1.6L L4 1587cc
Toyota Corolla 1988-1992 1.6L L4 1587cc</t>
        </is>
      </c>
      <c r="I508" t="inlineStr">
        <is>
          <t>{"0": {"productDeskExternalKey": "CPCX|43-1736"}, "1": {"Package Contents": "Wiper Motor; Instruction Sheet"}, "2": {"E-Waste": "Yes"}, "3": {"Product Condition": "Remanufactured"}, "4": {"Mounting Hole Quantity": "3"}, "5": {"Terminal Type": "Blade"}, "6": {"Mounting Type": "Grommet"}, "7": {"Weight PG": "2.7600"}, "8": {"Washer Pump Included": "No"}, "9": {"Part Type": "Windshield Wiper Motor"}, "10": {"Warranty Info": "1 Year/18,000 Mile"}, "11": {"Sustainable Choice": "Yes"}, "12": {"Lifecycle Status": "Available to Order"}, "13": {"Application Summary": "Geo Prizm 1992-89; Toyota Corolla 1992-88"}, "14": {"ItemLevelGTIN": "00082617172530"}, "15": {"_addonCardone": "43-1736::98268:112172:494"}, "16": {"Eligible for R&amp;R Service": "Yes"}}</t>
        </is>
      </c>
      <c r="J508" t="inlineStr">
        <is>
          <t>https://www.cardone.com/product/windshield-wiper-motor-43-1736</t>
        </is>
      </c>
      <c r="K508">
        <f>DISPIMG("ID_9273888D44D6415CACD88E4614257AFB",1)</f>
        <v/>
      </c>
      <c r="L508" t="inlineStr">
        <is>
          <t>CPCX|43-1736</t>
        </is>
      </c>
      <c r="M508" t="inlineStr">
        <is>
          <t>Wiper Motor; Instruction Sheet</t>
        </is>
      </c>
      <c r="N508" t="inlineStr">
        <is>
          <t>Yes</t>
        </is>
      </c>
      <c r="O508" t="inlineStr">
        <is>
          <t>Remanufactured</t>
        </is>
      </c>
      <c r="P508" t="inlineStr">
        <is>
          <t>3</t>
        </is>
      </c>
      <c r="Q508" t="inlineStr">
        <is>
          <t>Blade</t>
        </is>
      </c>
      <c r="R508" t="inlineStr">
        <is>
          <t>Grommet</t>
        </is>
      </c>
      <c r="S508" t="inlineStr">
        <is>
          <t>2.7600</t>
        </is>
      </c>
      <c r="T508" t="inlineStr">
        <is>
          <t>No</t>
        </is>
      </c>
      <c r="U508" t="inlineStr">
        <is>
          <t>1 Year/18,000 Mile</t>
        </is>
      </c>
      <c r="V508" t="inlineStr">
        <is>
          <t>Yes</t>
        </is>
      </c>
      <c r="W508" t="inlineStr">
        <is>
          <t>Available to Order</t>
        </is>
      </c>
      <c r="X508" t="inlineStr">
        <is>
          <t>Geo Prizm 1992-89; Toyota Corolla 1992-88</t>
        </is>
      </c>
      <c r="Y508" t="inlineStr">
        <is>
          <t>00082617172530</t>
        </is>
      </c>
      <c r="Z508" t="inlineStr">
        <is>
          <t>43-1736::98268:112172:494</t>
        </is>
      </c>
      <c r="AA508" t="inlineStr">
        <is>
          <t>Yes</t>
        </is>
      </c>
      <c r="AB508" t="inlineStr"/>
      <c r="AC508" t="inlineStr"/>
    </row>
    <row r="509">
      <c r="A509" t="inlineStr">
        <is>
          <t>508</t>
        </is>
      </c>
      <c r="B509" t="inlineStr">
        <is>
          <t>Windshield Wiper Motor</t>
        </is>
      </c>
      <c r="C509" t="inlineStr">
        <is>
          <t>43-1737</t>
        </is>
      </c>
      <c r="D509" t="inlineStr">
        <is>
          <t>Windshield Wiper Motor - 43-1737</t>
        </is>
      </c>
      <c r="E509" t="inlineStr">
        <is>
          <t>CARDONE Reman</t>
        </is>
      </c>
      <c r="F509" t="inlineStr">
        <is>
          <t>8511022450</t>
        </is>
      </c>
      <c r="G509" t="inlineStr">
        <is>
          <t>Toyota Cressida 1989-1992</t>
        </is>
      </c>
      <c r="H509" t="inlineStr">
        <is>
          <t>Toyota Cressida 1989-1992 3L L6 2954cc</t>
        </is>
      </c>
      <c r="I509" t="inlineStr">
        <is>
          <t>{"0": {"productDeskExternalKey": "CPCX|43-1737"}, "1": {"Package Contents": "Wiper Motor; Instruction Sheet"}, "2": {"E-Waste": "Yes"}, "3": {"Product Condition": "Remanufactured"}, "4": {"Mounting Hole Quantity": "4"}, "5": {"Terminal Type": "Blade"}, "6": {"Mounting Type": "Grommet"}, "7": {"Weight PG": "2.7300"}, "8": {"Washer Pump Included": "No"}, "9": {"Part Type": "Windshield Wiper Motor"}, "10": {"Warranty Info": "1 Year/18,000 Mile"}, "11": {"Sustainable Choice": "Yes"}, "12": {"Lifecycle Status": "Available to Order"}, "13": {"Application Summary": "Toyota Cressida 1992-89"}, "14": {"ItemLevelGTIN": "00082617166638"}, "15": {"_addonCardone": "43-1737::98268:112187:494"}, "16": {"Eligible for R&amp;R Service": "Yes"}}</t>
        </is>
      </c>
      <c r="J509" t="inlineStr">
        <is>
          <t>https://www.cardone.com/product/windshield-wiper-motor-43-1737</t>
        </is>
      </c>
      <c r="K509">
        <f>DISPIMG("ID_B3F0C38B641A4348BF832DD9E2C35BCA",1)</f>
        <v/>
      </c>
      <c r="L509" t="inlineStr">
        <is>
          <t>CPCX|43-1737</t>
        </is>
      </c>
      <c r="M509" t="inlineStr">
        <is>
          <t>Wiper Motor; Instruction Sheet</t>
        </is>
      </c>
      <c r="N509" t="inlineStr">
        <is>
          <t>Yes</t>
        </is>
      </c>
      <c r="O509" t="inlineStr">
        <is>
          <t>Remanufactured</t>
        </is>
      </c>
      <c r="P509" t="inlineStr">
        <is>
          <t>4</t>
        </is>
      </c>
      <c r="Q509" t="inlineStr">
        <is>
          <t>Blade</t>
        </is>
      </c>
      <c r="R509" t="inlineStr">
        <is>
          <t>Grommet</t>
        </is>
      </c>
      <c r="S509" t="inlineStr">
        <is>
          <t>2.7300</t>
        </is>
      </c>
      <c r="T509" t="inlineStr">
        <is>
          <t>No</t>
        </is>
      </c>
      <c r="U509" t="inlineStr">
        <is>
          <t>1 Year/18,000 Mile</t>
        </is>
      </c>
      <c r="V509" t="inlineStr">
        <is>
          <t>Yes</t>
        </is>
      </c>
      <c r="W509" t="inlineStr">
        <is>
          <t>Available to Order</t>
        </is>
      </c>
      <c r="X509" t="inlineStr">
        <is>
          <t>Toyota Cressida 1992-89</t>
        </is>
      </c>
      <c r="Y509" t="inlineStr">
        <is>
          <t>00082617166638</t>
        </is>
      </c>
      <c r="Z509" t="inlineStr">
        <is>
          <t>43-1737::98268:112187:494</t>
        </is>
      </c>
      <c r="AA509" t="inlineStr">
        <is>
          <t>Yes</t>
        </is>
      </c>
      <c r="AB509" t="inlineStr"/>
      <c r="AC509" t="inlineStr"/>
    </row>
    <row r="510">
      <c r="A510" t="inlineStr">
        <is>
          <t>509</t>
        </is>
      </c>
      <c r="B510" t="inlineStr">
        <is>
          <t>Windshield Wiper Motor</t>
        </is>
      </c>
      <c r="C510" t="inlineStr">
        <is>
          <t>43-1738</t>
        </is>
      </c>
      <c r="D510" t="inlineStr">
        <is>
          <t>Windshield Wiper Motor - 43-1738</t>
        </is>
      </c>
      <c r="E510" t="inlineStr">
        <is>
          <t>CARDONE Reman</t>
        </is>
      </c>
      <c r="F510" t="inlineStr">
        <is>
          <t>8512017030;8512017021</t>
        </is>
      </c>
      <c r="G510" t="inlineStr">
        <is>
          <t>Toyota MR2 1985-1989</t>
        </is>
      </c>
      <c r="H510" t="inlineStr">
        <is>
          <t>Toyota MR2 1985-1989 1.6L L4 1587cc</t>
        </is>
      </c>
      <c r="I510" t="inlineStr">
        <is>
          <t>{"0": {"productDeskExternalKey": "CPCX|43-1738"}, "1": {"Package Contents": "Wiper Motor; Instruction Sheet"}, "2": {"E-Waste": "Yes"}, "3": {"Product Condition": "Remanufactured"}, "4": {"Mounting Hole Quantity": "3"}, "5": {"Terminal Type": "Blade"}, "6": {"Mounting Type": "Direct Bolt"}, "7": {"Weight PG": "3.1700"}, "8": {"Washer Pump Included": "No"}, "9": {"Part Type": "Windshield Wiper Motor"}, "10": {"Warranty Info": "1 Year/18,000 Mile"}, "11": {"Sustainable Choice": "Yes"}, "12": {"Lifecycle Status": "Available to Order"}, "13": {"Application Summary": "Toyota MR2 1989-85"}, "14": {"ItemLevelGTIN": "00082617142854"}, "15": {"_addonCardone": "43-1738::98268:112206:494"}, "16": {"Eligible for R&amp;R Service": "Yes"}}</t>
        </is>
      </c>
      <c r="J510" t="inlineStr">
        <is>
          <t>https://www.cardone.com/product/windshield-wiper-motor-43-1738</t>
        </is>
      </c>
      <c r="K510">
        <f>DISPIMG("ID_8657A4911CAE4868BB6774715F65CD43",1)</f>
        <v/>
      </c>
      <c r="L510" t="inlineStr">
        <is>
          <t>CPCX|43-1738</t>
        </is>
      </c>
      <c r="M510" t="inlineStr">
        <is>
          <t>Wiper Motor; Instruction Sheet</t>
        </is>
      </c>
      <c r="N510" t="inlineStr">
        <is>
          <t>Yes</t>
        </is>
      </c>
      <c r="O510" t="inlineStr">
        <is>
          <t>Remanufactured</t>
        </is>
      </c>
      <c r="P510" t="inlineStr">
        <is>
          <t>3</t>
        </is>
      </c>
      <c r="Q510" t="inlineStr">
        <is>
          <t>Blade</t>
        </is>
      </c>
      <c r="R510" t="inlineStr">
        <is>
          <t>Direct Bolt</t>
        </is>
      </c>
      <c r="S510" t="inlineStr">
        <is>
          <t>3.1700</t>
        </is>
      </c>
      <c r="T510" t="inlineStr">
        <is>
          <t>No</t>
        </is>
      </c>
      <c r="U510" t="inlineStr">
        <is>
          <t>1 Year/18,000 Mile</t>
        </is>
      </c>
      <c r="V510" t="inlineStr">
        <is>
          <t>Yes</t>
        </is>
      </c>
      <c r="W510" t="inlineStr">
        <is>
          <t>Available to Order</t>
        </is>
      </c>
      <c r="X510" t="inlineStr">
        <is>
          <t>Toyota MR2 1989-85</t>
        </is>
      </c>
      <c r="Y510" t="inlineStr">
        <is>
          <t>00082617142854</t>
        </is>
      </c>
      <c r="Z510" t="inlineStr">
        <is>
          <t>43-1738::98268:112206:494</t>
        </is>
      </c>
      <c r="AA510" t="inlineStr">
        <is>
          <t>Yes</t>
        </is>
      </c>
      <c r="AB510" t="inlineStr"/>
      <c r="AC510" t="inlineStr"/>
    </row>
    <row r="511">
      <c r="A511" t="inlineStr">
        <is>
          <t>510</t>
        </is>
      </c>
      <c r="B511" t="inlineStr">
        <is>
          <t>Windshield Wiper Motor</t>
        </is>
      </c>
      <c r="C511" t="inlineStr">
        <is>
          <t>43-1739</t>
        </is>
      </c>
      <c r="D511" t="inlineStr">
        <is>
          <t>Windshield Wiper Motor - 43-1739</t>
        </is>
      </c>
      <c r="E511" t="inlineStr">
        <is>
          <t>CARDONE Reman</t>
        </is>
      </c>
      <c r="F511" t="inlineStr">
        <is>
          <t>8511020610</t>
        </is>
      </c>
      <c r="G511" t="inlineStr">
        <is>
          <t>Toyota Celica 1990-1993</t>
        </is>
      </c>
      <c r="H511" t="inlineStr">
        <is>
          <t>Toyota Celica 1990-1993 1.6L L4 1587cc
Toyota Celica 1990-1993 2.2L L4 2164cc
Toyota Celica 1990-1993 2L L4 122cid</t>
        </is>
      </c>
      <c r="I511" t="inlineStr">
        <is>
          <t>{"0": {"productDeskExternalKey": "CPCX|43-1739"}, "1": {"Package Contents": "Wiper Motor; Instruction Sheet"}, "2": {"E-Waste": "Yes"}, "3": {"Product Condition": "Remanufactured"}, "4": {"Mounting Hole Quantity": "4"}, "5": {"Terminal Type": "Blade"}, "6": {"Mounting Type": "Grommet"}, "7": {"Weight PG": "2.9800"}, "8": {"Washer Pump Included": "No"}, "9": {"Part Type": "Windshield Wiper Motor"}, "10": {"Warranty Info": "1 Year/18,000 Mile"}, "11": {"Sustainable Choice": "Yes"}, "12": {"Lifecycle Status": "Available to Order"}, "13": {"Application Summary": "Toyota Celica 1993-90"}, "14": {"ItemLevelGTIN": "00082617377218"}, "15": {"_addonCardone": "43-1739::98268:112221:494"}, "16": {"Eligible for R&amp;R Service": "Yes"}}</t>
        </is>
      </c>
      <c r="J511" t="inlineStr">
        <is>
          <t>https://www.cardone.com/product/windshield-wiper-motor-43-1739</t>
        </is>
      </c>
      <c r="K511">
        <f>DISPIMG("ID_C314552CEA584ABEBE2B4AB587BF5DAA",1)</f>
        <v/>
      </c>
      <c r="L511" t="inlineStr">
        <is>
          <t>CPCX|43-1739</t>
        </is>
      </c>
      <c r="M511" t="inlineStr">
        <is>
          <t>Wiper Motor; Instruction Sheet</t>
        </is>
      </c>
      <c r="N511" t="inlineStr">
        <is>
          <t>Yes</t>
        </is>
      </c>
      <c r="O511" t="inlineStr">
        <is>
          <t>Remanufactured</t>
        </is>
      </c>
      <c r="P511" t="inlineStr">
        <is>
          <t>4</t>
        </is>
      </c>
      <c r="Q511" t="inlineStr">
        <is>
          <t>Blade</t>
        </is>
      </c>
      <c r="R511" t="inlineStr">
        <is>
          <t>Grommet</t>
        </is>
      </c>
      <c r="S511" t="inlineStr">
        <is>
          <t>2.9800</t>
        </is>
      </c>
      <c r="T511" t="inlineStr">
        <is>
          <t>No</t>
        </is>
      </c>
      <c r="U511" t="inlineStr">
        <is>
          <t>1 Year/18,000 Mile</t>
        </is>
      </c>
      <c r="V511" t="inlineStr">
        <is>
          <t>Yes</t>
        </is>
      </c>
      <c r="W511" t="inlineStr">
        <is>
          <t>Available to Order</t>
        </is>
      </c>
      <c r="X511" t="inlineStr">
        <is>
          <t>Toyota Celica 1993-90</t>
        </is>
      </c>
      <c r="Y511" t="inlineStr">
        <is>
          <t>00082617377218</t>
        </is>
      </c>
      <c r="Z511" t="inlineStr">
        <is>
          <t>43-1739::98268:112221:494</t>
        </is>
      </c>
      <c r="AA511" t="inlineStr">
        <is>
          <t>Yes</t>
        </is>
      </c>
      <c r="AB511" t="inlineStr"/>
      <c r="AC511" t="inlineStr"/>
    </row>
    <row r="512">
      <c r="A512" t="inlineStr">
        <is>
          <t>511</t>
        </is>
      </c>
      <c r="B512" t="inlineStr">
        <is>
          <t>Windshield Wiper Motor</t>
        </is>
      </c>
      <c r="C512" t="inlineStr">
        <is>
          <t>43-1740</t>
        </is>
      </c>
      <c r="D512" t="inlineStr">
        <is>
          <t>Windshield Wiper Motor - 43-1740</t>
        </is>
      </c>
      <c r="E512" t="inlineStr">
        <is>
          <t>CARDONE Reman</t>
        </is>
      </c>
      <c r="F512" t="inlineStr">
        <is>
          <t>8507017100;8507017080</t>
        </is>
      </c>
      <c r="G512" t="inlineStr">
        <is>
          <t>Toyota MR2 1991-1995</t>
        </is>
      </c>
      <c r="H512" t="inlineStr">
        <is>
          <t>Toyota MR2 1991-1995 2.2L L4 2164cc
Toyota MR2 1991-1995 2L L4 122cid</t>
        </is>
      </c>
      <c r="I512" t="inlineStr">
        <is>
          <t>{"0": {"productDeskExternalKey": "CPCX|43-1740"}, "1": {"Package Contents": "Wiper Motor; Instruction Sheet"}, "2": {"E-Waste": "Yes"}, "3": {"Product Condition": "Remanufactured"}, "4": {"Mounting Hole Quantity": "3"}, "5": {"Terminal Type": "Blade"}, "6": {"Mounting Type": "Direct Bolt"}, "7": {"Weight PG": "2.4500"}, "8": {"Washer Pump Included": "No"}, "9": {"Part Type": "Windshield Wiper Motor"}, "10": {"Warranty Info": "1 Year/18,000 Mile"}, "11": {"Sustainable Choice": "Yes"}, "12": {"Lifecycle Status": "Available to Order"}, "13": {"Application Summary": "Toyota MR2 1995-91"}, "14": {"ItemLevelGTIN": "00082617572477"}, "15": {"_addonCardone": "43-1740::98268:112236:494"}, "16": {"Eligible for R&amp;R Service": "Yes"}}</t>
        </is>
      </c>
      <c r="J512" t="inlineStr">
        <is>
          <t>https://www.cardone.com/product/windshield-wiper-motor-43-1740</t>
        </is>
      </c>
      <c r="K512">
        <f>DISPIMG("ID_E37B79DEACEB4FC38858DE5C574D4A28",1)</f>
        <v/>
      </c>
      <c r="L512" t="inlineStr">
        <is>
          <t>CPCX|43-1740</t>
        </is>
      </c>
      <c r="M512" t="inlineStr">
        <is>
          <t>Wiper Motor; Instruction Sheet</t>
        </is>
      </c>
      <c r="N512" t="inlineStr">
        <is>
          <t>Yes</t>
        </is>
      </c>
      <c r="O512" t="inlineStr">
        <is>
          <t>Remanufactured</t>
        </is>
      </c>
      <c r="P512" t="inlineStr">
        <is>
          <t>3</t>
        </is>
      </c>
      <c r="Q512" t="inlineStr">
        <is>
          <t>Blade</t>
        </is>
      </c>
      <c r="R512" t="inlineStr">
        <is>
          <t>Direct Bolt</t>
        </is>
      </c>
      <c r="S512" t="inlineStr">
        <is>
          <t>2.4500</t>
        </is>
      </c>
      <c r="T512" t="inlineStr">
        <is>
          <t>No</t>
        </is>
      </c>
      <c r="U512" t="inlineStr">
        <is>
          <t>1 Year/18,000 Mile</t>
        </is>
      </c>
      <c r="V512" t="inlineStr">
        <is>
          <t>Yes</t>
        </is>
      </c>
      <c r="W512" t="inlineStr">
        <is>
          <t>Available to Order</t>
        </is>
      </c>
      <c r="X512" t="inlineStr">
        <is>
          <t>Toyota MR2 1995-91</t>
        </is>
      </c>
      <c r="Y512" t="inlineStr">
        <is>
          <t>00082617572477</t>
        </is>
      </c>
      <c r="Z512" t="inlineStr">
        <is>
          <t>43-1740::98268:112236:494</t>
        </is>
      </c>
      <c r="AA512" t="inlineStr">
        <is>
          <t>Yes</t>
        </is>
      </c>
      <c r="AB512" t="inlineStr"/>
      <c r="AC512" t="inlineStr"/>
    </row>
    <row r="513">
      <c r="A513" t="inlineStr">
        <is>
          <t>512</t>
        </is>
      </c>
      <c r="B513" t="inlineStr">
        <is>
          <t>Windshield Wiper Motor</t>
        </is>
      </c>
      <c r="C513" t="inlineStr">
        <is>
          <t>43-1741</t>
        </is>
      </c>
      <c r="D513" t="inlineStr">
        <is>
          <t>Windshield Wiper Motor - 43-1741</t>
        </is>
      </c>
      <c r="E513" t="inlineStr">
        <is>
          <t>CARDONE Reman</t>
        </is>
      </c>
      <c r="F513" t="inlineStr">
        <is>
          <t>8511028090;8511028100</t>
        </is>
      </c>
      <c r="G513" t="inlineStr">
        <is>
          <t>Toyota Previa 1991-1997</t>
        </is>
      </c>
      <c r="H513" t="inlineStr">
        <is>
          <t>Toyota Previa 1991-1997 2.4L L4 2438cc</t>
        </is>
      </c>
      <c r="I513" t="inlineStr">
        <is>
          <t>{"0": {"productDeskExternalKey": "CPCX|43-1741"}, "1": {"Package Contents": "Wiper Motor; Instruction Sheet"}, "2": {"E-Waste": "Yes"}, "3": {"Product Condition": "Remanufactured"}, "4": {"Mounting Hole Quantity": "3"}, "5": {"Terminal Type": "Blade"}, "6": {"Mounting Type": "Direct Bolt"}, "7": {"Weight PG": "3.5500"}, "8": {"Washer Pump Included": "No"}, "9": {"Part Type": "Windshield Wiper Motor"}, "10": {"Warranty Info": "1 Year/18,000 Mile"}, "11": {"Sustainable Choice": "Yes"}, "12": {"Lifecycle Status": "Available to Order"}, "13": {"Application Summary": "Toyota Previa 1997-91"}, "14": {"ItemLevelGTIN": "00082617377225"}, "15": {"_addonCardone": "43-1741::98268:112254:494"}, "16": {"Eligible for R&amp;R Service": "Yes"}}</t>
        </is>
      </c>
      <c r="J513" t="inlineStr">
        <is>
          <t>https://www.cardone.com/product/windshield-wiper-motor-43-1741</t>
        </is>
      </c>
      <c r="K513">
        <f>DISPIMG("ID_9742EB42AE47452D943CBDC4C4256B13",1)</f>
        <v/>
      </c>
      <c r="L513" t="inlineStr">
        <is>
          <t>CPCX|43-1741</t>
        </is>
      </c>
      <c r="M513" t="inlineStr">
        <is>
          <t>Wiper Motor; Instruction Sheet</t>
        </is>
      </c>
      <c r="N513" t="inlineStr">
        <is>
          <t>Yes</t>
        </is>
      </c>
      <c r="O513" t="inlineStr">
        <is>
          <t>Remanufactured</t>
        </is>
      </c>
      <c r="P513" t="inlineStr">
        <is>
          <t>3</t>
        </is>
      </c>
      <c r="Q513" t="inlineStr">
        <is>
          <t>Blade</t>
        </is>
      </c>
      <c r="R513" t="inlineStr">
        <is>
          <t>Direct Bolt</t>
        </is>
      </c>
      <c r="S513" t="inlineStr">
        <is>
          <t>3.5500</t>
        </is>
      </c>
      <c r="T513" t="inlineStr">
        <is>
          <t>No</t>
        </is>
      </c>
      <c r="U513" t="inlineStr">
        <is>
          <t>1 Year/18,000 Mile</t>
        </is>
      </c>
      <c r="V513" t="inlineStr">
        <is>
          <t>Yes</t>
        </is>
      </c>
      <c r="W513" t="inlineStr">
        <is>
          <t>Available to Order</t>
        </is>
      </c>
      <c r="X513" t="inlineStr">
        <is>
          <t>Toyota Previa 1997-91</t>
        </is>
      </c>
      <c r="Y513" t="inlineStr">
        <is>
          <t>00082617377225</t>
        </is>
      </c>
      <c r="Z513" t="inlineStr">
        <is>
          <t>43-1741::98268:112254:494</t>
        </is>
      </c>
      <c r="AA513" t="inlineStr">
        <is>
          <t>Yes</t>
        </is>
      </c>
      <c r="AB513" t="inlineStr"/>
      <c r="AC513" t="inlineStr"/>
    </row>
    <row r="514">
      <c r="A514" t="inlineStr">
        <is>
          <t>513</t>
        </is>
      </c>
      <c r="B514" t="inlineStr">
        <is>
          <t>Windshield Wiper Motor</t>
        </is>
      </c>
      <c r="C514" t="inlineStr">
        <is>
          <t>43-1742</t>
        </is>
      </c>
      <c r="D514" t="inlineStr">
        <is>
          <t>Windshield Wiper Motor - 43-1742</t>
        </is>
      </c>
      <c r="E514" t="inlineStr">
        <is>
          <t>CARDONE Reman</t>
        </is>
      </c>
      <c r="F514" t="inlineStr">
        <is>
          <t>8511012820;8511012830</t>
        </is>
      </c>
      <c r="G514" t="inlineStr">
        <is>
          <t>Toyota Corolla 1993-1997</t>
        </is>
      </c>
      <c r="H514" t="inlineStr">
        <is>
          <t>Toyota Corolla 1993-1997 1.6L L4 1587cc
Toyota Corolla 1993-1997 1.8L L4 107cid</t>
        </is>
      </c>
      <c r="I514" t="inlineStr">
        <is>
          <t>{"0": {"productDeskExternalKey": "CPCX|43-1742"}, "1": {"Package Contents": "Wiper Motor; Instruction Sheet"}, "2": {"E-Waste": "Yes"}, "3": {"Product Condition": "Remanufactured"}, "4": {"Mounting Hole Quantity": "4"}, "5": {"Terminal Type": "Blade"}, "6": {"Mounting Type": "Grommet"}, "7": {"Weight PG": "3.1400"}, "8": {"Washer Pump Included": "No"}, "9": {"Part Type": "Windshield Wiper Motor"}, "10": {"Warranty Info": "1 Year/18,000 Mile"}, "11": {"Sustainable Choice": "Yes"}, "12": {"Lifecycle Status": "Available to Order"}, "13": {"Application Summary": "Toyota Corolla 1997-93"}, "14": {"ItemLevelGTIN": "00082617377195"}, "15": {"_addonCardone": "43-1742::98268:112270:494"}, "16": {"Eligible for R&amp;R Service": "Yes"}}</t>
        </is>
      </c>
      <c r="J514" t="inlineStr">
        <is>
          <t>https://www.cardone.com/product/windshield-wiper-motor-43-1742</t>
        </is>
      </c>
      <c r="K514">
        <f>DISPIMG("ID_5C53BC7F82CE43749B2579E95BBB288A",1)</f>
        <v/>
      </c>
      <c r="L514" t="inlineStr">
        <is>
          <t>CPCX|43-1742</t>
        </is>
      </c>
      <c r="M514" t="inlineStr">
        <is>
          <t>Wiper Motor; Instruction Sheet</t>
        </is>
      </c>
      <c r="N514" t="inlineStr">
        <is>
          <t>Yes</t>
        </is>
      </c>
      <c r="O514" t="inlineStr">
        <is>
          <t>Remanufactured</t>
        </is>
      </c>
      <c r="P514" t="inlineStr">
        <is>
          <t>4</t>
        </is>
      </c>
      <c r="Q514" t="inlineStr">
        <is>
          <t>Blade</t>
        </is>
      </c>
      <c r="R514" t="inlineStr">
        <is>
          <t>Grommet</t>
        </is>
      </c>
      <c r="S514" t="inlineStr">
        <is>
          <t>3.1400</t>
        </is>
      </c>
      <c r="T514" t="inlineStr">
        <is>
          <t>No</t>
        </is>
      </c>
      <c r="U514" t="inlineStr">
        <is>
          <t>1 Year/18,000 Mile</t>
        </is>
      </c>
      <c r="V514" t="inlineStr">
        <is>
          <t>Yes</t>
        </is>
      </c>
      <c r="W514" t="inlineStr">
        <is>
          <t>Available to Order</t>
        </is>
      </c>
      <c r="X514" t="inlineStr">
        <is>
          <t>Toyota Corolla 1997-93</t>
        </is>
      </c>
      <c r="Y514" t="inlineStr">
        <is>
          <t>00082617377195</t>
        </is>
      </c>
      <c r="Z514" t="inlineStr">
        <is>
          <t>43-1742::98268:112270:494</t>
        </is>
      </c>
      <c r="AA514" t="inlineStr">
        <is>
          <t>Yes</t>
        </is>
      </c>
      <c r="AB514" t="inlineStr"/>
      <c r="AC514" t="inlineStr"/>
    </row>
    <row r="515">
      <c r="A515" t="inlineStr">
        <is>
          <t>514</t>
        </is>
      </c>
      <c r="B515" t="inlineStr">
        <is>
          <t>Windshield Wiper Motor</t>
        </is>
      </c>
      <c r="C515" t="inlineStr">
        <is>
          <t>43-1743</t>
        </is>
      </c>
      <c r="D515" t="inlineStr">
        <is>
          <t>Windshield Wiper Motor - 43-1743</t>
        </is>
      </c>
      <c r="E515" t="inlineStr">
        <is>
          <t>CARDONE Reman</t>
        </is>
      </c>
      <c r="F515" t="inlineStr">
        <is>
          <t>8511006020;8511033111;8511033020;8511006010;8511033030</t>
        </is>
      </c>
      <c r="G515" t="inlineStr">
        <is>
          <t>Toyota Camry 1992-1996</t>
        </is>
      </c>
      <c r="H515" t="inlineStr">
        <is>
          <t>Toyota Camry 1992-1993 3L V6 2959cc
Toyota Camry 1992-1996 2.2L L4 2164cc
Toyota Camry 1994-1996 3L V6 2995cc</t>
        </is>
      </c>
      <c r="I515" t="inlineStr">
        <is>
          <t>{"0": {"productDeskExternalKey": "CPCX|43-1743"}, "1": {"Package Contents": "Wiper Motor; Instruction Sheet"}, "2": {"E-Waste": "Yes"}, "3": {"Product Condition": "Remanufactured"}, "4": {"Mounting Hole Quantity": "4"}, "5": {"Terminal Type": "Blade"}, "6": {"Mounting Type": "Eyelet; Grommet"}, "7": {"Weight PG": "3.2400"}, "8": {"Washer Pump Included": "No"}, "9": {"Part Type": "Windshield Wiper Motor"}, "10": {"Warranty Info": "1 Year/18,000 Mile"}, "11": {"Sustainable Choice": "Yes"}, "12": {"Lifecycle Status": "Available to Order"}, "13": {"Application Summary": "Toyota Camry 1996-92"}, "14": {"ItemLevelGTIN": "00082617377188"}, "15": {"_addonCardone": "43-1743::98268:112289:494"}, "16": {"Eligible for R&amp;R Service": "Yes"}}</t>
        </is>
      </c>
      <c r="J515" t="inlineStr">
        <is>
          <t>https://www.cardone.com/product/windshield-wiper-motor-43-1743</t>
        </is>
      </c>
      <c r="K515">
        <f>DISPIMG("ID_F90D239E9BCB4F4EB9B70CE3E96BB781",1)</f>
        <v/>
      </c>
      <c r="L515" t="inlineStr">
        <is>
          <t>CPCX|43-1743</t>
        </is>
      </c>
      <c r="M515" t="inlineStr">
        <is>
          <t>Wiper Motor; Instruction Sheet</t>
        </is>
      </c>
      <c r="N515" t="inlineStr">
        <is>
          <t>Yes</t>
        </is>
      </c>
      <c r="O515" t="inlineStr">
        <is>
          <t>Remanufactured</t>
        </is>
      </c>
      <c r="P515" t="inlineStr">
        <is>
          <t>4</t>
        </is>
      </c>
      <c r="Q515" t="inlineStr">
        <is>
          <t>Blade</t>
        </is>
      </c>
      <c r="R515" t="inlineStr">
        <is>
          <t>Eyelet; Grommet</t>
        </is>
      </c>
      <c r="S515" t="inlineStr">
        <is>
          <t>3.2400</t>
        </is>
      </c>
      <c r="T515" t="inlineStr">
        <is>
          <t>No</t>
        </is>
      </c>
      <c r="U515" t="inlineStr">
        <is>
          <t>1 Year/18,000 Mile</t>
        </is>
      </c>
      <c r="V515" t="inlineStr">
        <is>
          <t>Yes</t>
        </is>
      </c>
      <c r="W515" t="inlineStr">
        <is>
          <t>Available to Order</t>
        </is>
      </c>
      <c r="X515" t="inlineStr">
        <is>
          <t>Toyota Camry 1996-92</t>
        </is>
      </c>
      <c r="Y515" t="inlineStr">
        <is>
          <t>00082617377188</t>
        </is>
      </c>
      <c r="Z515" t="inlineStr">
        <is>
          <t>43-1743::98268:112289:494</t>
        </is>
      </c>
      <c r="AA515" t="inlineStr">
        <is>
          <t>Yes</t>
        </is>
      </c>
      <c r="AB515" t="inlineStr"/>
      <c r="AC515" t="inlineStr"/>
    </row>
    <row r="516">
      <c r="A516" t="inlineStr">
        <is>
          <t>515</t>
        </is>
      </c>
      <c r="B516" t="inlineStr">
        <is>
          <t>Windshield Wiper Motor</t>
        </is>
      </c>
      <c r="C516" t="inlineStr">
        <is>
          <t>43-1744</t>
        </is>
      </c>
      <c r="D516" t="inlineStr">
        <is>
          <t>Windshield Wiper Motor - 43-1744</t>
        </is>
      </c>
      <c r="E516" t="inlineStr">
        <is>
          <t>CARDONE Reman</t>
        </is>
      </c>
      <c r="F516" t="inlineStr">
        <is>
          <t>8511016640;8511016520;8511016550;8511016511;8511016620</t>
        </is>
      </c>
      <c r="G516" t="inlineStr">
        <is>
          <t>Toyota Paseo 1993-1997
Toyota Tercel 1993-1996</t>
        </is>
      </c>
      <c r="H516" t="inlineStr">
        <is>
          <t>Toyota Paseo 1993-1997 1.5L L4 1497cc
Toyota Tercel 1993-1994 1.5L L4 1456cc
Toyota Tercel 1995-1996 1.5L L4 1497cc</t>
        </is>
      </c>
      <c r="I516" t="inlineStr">
        <is>
          <t>{"0": {"productDeskExternalKey": "CPCX|43-1744"}, "1": {"Package Contents": "Wiper Motor; Instruction Sheet"}, "2": {"E-Waste": "Yes"}, "3": {"Product Condition": "Remanufactured"}, "4": {"Mounting Hole Quantity": "4"}, "5": {"Terminal Type": "Blade"}, "6": {"Mounting Type": "Grommet"}, "7": {"Weight PG": "2.8000"}, "8": {"Washer Pump Included": "No"}, "9": {"Part Type": "Windshield Wiper Motor"}, "10": {"Warranty Info": "1 Year/18,000 Mile"}, "11": {"Sustainable Choice": "Yes"}, "12": {"Lifecycle Status": "Available to Order"}, "13": {"Application Summary": "Toyota Paseo 1997-93, Tercel 1996-93"}, "14": {"ItemLevelGTIN": "00082617377201"}, "15": {"_addonCardone": "43-1744::98268:112302:494"}, "16": {"Eligible for R&amp;R Service": "Yes"}}</t>
        </is>
      </c>
      <c r="J516" t="inlineStr">
        <is>
          <t>https://www.cardone.com/product/windshield-wiper-motor-43-1744</t>
        </is>
      </c>
      <c r="K516">
        <f>DISPIMG("ID_BE4C0004F40B4A32A7B3D11E69D0E770",1)</f>
        <v/>
      </c>
      <c r="L516" t="inlineStr">
        <is>
          <t>CPCX|43-1744</t>
        </is>
      </c>
      <c r="M516" t="inlineStr">
        <is>
          <t>Wiper Motor; Instruction Sheet</t>
        </is>
      </c>
      <c r="N516" t="inlineStr">
        <is>
          <t>Yes</t>
        </is>
      </c>
      <c r="O516" t="inlineStr">
        <is>
          <t>Remanufactured</t>
        </is>
      </c>
      <c r="P516" t="inlineStr">
        <is>
          <t>4</t>
        </is>
      </c>
      <c r="Q516" t="inlineStr">
        <is>
          <t>Blade</t>
        </is>
      </c>
      <c r="R516" t="inlineStr">
        <is>
          <t>Grommet</t>
        </is>
      </c>
      <c r="S516" t="inlineStr">
        <is>
          <t>2.8000</t>
        </is>
      </c>
      <c r="T516" t="inlineStr">
        <is>
          <t>No</t>
        </is>
      </c>
      <c r="U516" t="inlineStr">
        <is>
          <t>1 Year/18,000 Mile</t>
        </is>
      </c>
      <c r="V516" t="inlineStr">
        <is>
          <t>Yes</t>
        </is>
      </c>
      <c r="W516" t="inlineStr">
        <is>
          <t>Available to Order</t>
        </is>
      </c>
      <c r="X516" t="inlineStr">
        <is>
          <t>Toyota Paseo 1997-93, Tercel 1996-93</t>
        </is>
      </c>
      <c r="Y516" t="inlineStr">
        <is>
          <t>00082617377201</t>
        </is>
      </c>
      <c r="Z516" t="inlineStr">
        <is>
          <t>43-1744::98268:112302:494</t>
        </is>
      </c>
      <c r="AA516" t="inlineStr">
        <is>
          <t>Yes</t>
        </is>
      </c>
      <c r="AB516" t="inlineStr"/>
      <c r="AC516" t="inlineStr"/>
    </row>
    <row r="517">
      <c r="A517" t="inlineStr">
        <is>
          <t>516</t>
        </is>
      </c>
      <c r="B517" t="inlineStr">
        <is>
          <t>Windshield Wiper Motor</t>
        </is>
      </c>
      <c r="C517" t="inlineStr">
        <is>
          <t>43-1745</t>
        </is>
      </c>
      <c r="D517" t="inlineStr">
        <is>
          <t>Windshield Wiper Motor - 43-1745</t>
        </is>
      </c>
      <c r="E517" t="inlineStr">
        <is>
          <t>CARDONE Reman</t>
        </is>
      </c>
      <c r="F517" t="inlineStr">
        <is>
          <t>8511033010</t>
        </is>
      </c>
      <c r="G517" t="inlineStr">
        <is>
          <t>Lexus ES300 1992-1996</t>
        </is>
      </c>
      <c r="H517" t="inlineStr">
        <is>
          <t>Lexus ES300 1992-1993 3L V6 2959cc
Lexus ES300 1994-1996 3L V6 2995cc</t>
        </is>
      </c>
      <c r="I517" t="inlineStr">
        <is>
          <t>{"0": {"productDeskExternalKey": "CPCX|43-1745"}, "1": {"Package Contents": "Wiper Motor; Instruction Sheet"}, "2": {"E-Waste": "Yes"}, "3": {"Product Condition": "Remanufactured"}, "4": {"Mounting Hole Quantity": "4"}, "5": {"Terminal Type": "Blade"}, "6": {"Mounting Type": "Grommet"}, "7": {"Weight PG": "3.3500"}, "8": {"Washer Pump Included": "No"}, "9": {"Part Type": "Windshield Wiper Motor"}, "10": {"Warranty Info": "1 Year/18,000 Mile"}, "11": {"Sustainable Choice": "Yes"}, "12": {"Lifecycle Status": "Available to Order"}, "13": {"Application Summary": "Lexus ES300 1996-92"}, "14": {"ItemLevelGTIN": "00082617377232"}, "15": {"_addonCardone": "43-1745::98268:112319:494"}, "16": {"Eligible for R&amp;R Service": "Yes"}}</t>
        </is>
      </c>
      <c r="J517" t="inlineStr">
        <is>
          <t>https://www.cardone.com/product/windshield-wiper-motor-43-1745</t>
        </is>
      </c>
      <c r="K517">
        <f>DISPIMG("ID_590F05ADFA444AF28D907B2E511CE347",1)</f>
        <v/>
      </c>
      <c r="L517" t="inlineStr">
        <is>
          <t>CPCX|43-1745</t>
        </is>
      </c>
      <c r="M517" t="inlineStr">
        <is>
          <t>Wiper Motor; Instruction Sheet</t>
        </is>
      </c>
      <c r="N517" t="inlineStr">
        <is>
          <t>Yes</t>
        </is>
      </c>
      <c r="O517" t="inlineStr">
        <is>
          <t>Remanufactured</t>
        </is>
      </c>
      <c r="P517" t="inlineStr">
        <is>
          <t>4</t>
        </is>
      </c>
      <c r="Q517" t="inlineStr">
        <is>
          <t>Blade</t>
        </is>
      </c>
      <c r="R517" t="inlineStr">
        <is>
          <t>Grommet</t>
        </is>
      </c>
      <c r="S517" t="inlineStr">
        <is>
          <t>3.3500</t>
        </is>
      </c>
      <c r="T517" t="inlineStr">
        <is>
          <t>No</t>
        </is>
      </c>
      <c r="U517" t="inlineStr">
        <is>
          <t>1 Year/18,000 Mile</t>
        </is>
      </c>
      <c r="V517" t="inlineStr">
        <is>
          <t>Yes</t>
        </is>
      </c>
      <c r="W517" t="inlineStr">
        <is>
          <t>Available to Order</t>
        </is>
      </c>
      <c r="X517" t="inlineStr">
        <is>
          <t>Lexus ES300 1996-92</t>
        </is>
      </c>
      <c r="Y517" t="inlineStr">
        <is>
          <t>00082617377232</t>
        </is>
      </c>
      <c r="Z517" t="inlineStr">
        <is>
          <t>43-1745::98268:112319:494</t>
        </is>
      </c>
      <c r="AA517" t="inlineStr">
        <is>
          <t>Yes</t>
        </is>
      </c>
      <c r="AB517" t="inlineStr"/>
      <c r="AC517" t="inlineStr"/>
    </row>
    <row r="518">
      <c r="A518" t="inlineStr">
        <is>
          <t>517</t>
        </is>
      </c>
      <c r="B518" t="inlineStr">
        <is>
          <t>Windshield Wiper Motor</t>
        </is>
      </c>
      <c r="C518" t="inlineStr">
        <is>
          <t>43-1746</t>
        </is>
      </c>
      <c r="D518" t="inlineStr">
        <is>
          <t>Windshield Wiper Motor - 43-1746</t>
        </is>
      </c>
      <c r="E518" t="inlineStr">
        <is>
          <t>CARDONE Reman</t>
        </is>
      </c>
      <c r="F518" t="inlineStr">
        <is>
          <t>8511030362;8511014330</t>
        </is>
      </c>
      <c r="G518" t="inlineStr">
        <is>
          <t>Lexus GS300 1994-1997
Toyota Supra 1994-1998</t>
        </is>
      </c>
      <c r="H518" t="inlineStr">
        <is>
          <t>Lexus GS300 1994-1997 3L L6 2997cc
Toyota Supra 1994-1998 3L L6 2997cc</t>
        </is>
      </c>
      <c r="I518" t="inlineStr">
        <is>
          <t>{"0": {"productDeskExternalKey": "CPCX|43-1746"}, "1": {"Package Contents": "Wiper Motor; Instruction Sheet"}, "2": {"E-Waste": "Yes"}, "3": {"Product Condition": "Remanufactured"}, "4": {"Mounting Hole Quantity": "3"}, "5": {"Terminal Type": "Blade"}, "6": {"Mounting Type": "Direct Bolt"}, "7": {"Weight PG": "2.9600"}, "8": {"Washer Pump Included": "No"}, "9": {"Part Type": "Windshield Wiper Motor"}, "10": {"Warranty Info": "1 Year/18,000 Mile"}, "11": {"Sustainable Choice": "Yes"}, "12": {"Lifecycle Status": "Available to Order"}, "13": {"Application Summary": "Lexus GS300 1997-94; Toyota Supra 1998-94"}, "14": {"ItemLevelGTIN": "00082617571142"}, "15": {"_addonCardone": "43-1746::98268:112336:494"}, "16": {"Eligible for R&amp;R Service": "Yes"}}</t>
        </is>
      </c>
      <c r="J518" t="inlineStr">
        <is>
          <t>https://www.cardone.com/product/windshield-wiper-motor-43-1746</t>
        </is>
      </c>
      <c r="K518">
        <f>DISPIMG("ID_DAA39B80FFCA43EDB569663BDA8DDD92",1)</f>
        <v/>
      </c>
      <c r="L518" t="inlineStr">
        <is>
          <t>CPCX|43-1746</t>
        </is>
      </c>
      <c r="M518" t="inlineStr">
        <is>
          <t>Wiper Motor; Instruction Sheet</t>
        </is>
      </c>
      <c r="N518" t="inlineStr">
        <is>
          <t>Yes</t>
        </is>
      </c>
      <c r="O518" t="inlineStr">
        <is>
          <t>Remanufactured</t>
        </is>
      </c>
      <c r="P518" t="inlineStr">
        <is>
          <t>3</t>
        </is>
      </c>
      <c r="Q518" t="inlineStr">
        <is>
          <t>Blade</t>
        </is>
      </c>
      <c r="R518" t="inlineStr">
        <is>
          <t>Direct Bolt</t>
        </is>
      </c>
      <c r="S518" t="inlineStr">
        <is>
          <t>2.9600</t>
        </is>
      </c>
      <c r="T518" t="inlineStr">
        <is>
          <t>No</t>
        </is>
      </c>
      <c r="U518" t="inlineStr">
        <is>
          <t>1 Year/18,000 Mile</t>
        </is>
      </c>
      <c r="V518" t="inlineStr">
        <is>
          <t>Yes</t>
        </is>
      </c>
      <c r="W518" t="inlineStr">
        <is>
          <t>Available to Order</t>
        </is>
      </c>
      <c r="X518" t="inlineStr">
        <is>
          <t>Lexus GS300 1997-94; Toyota Supra 1998-94</t>
        </is>
      </c>
      <c r="Y518" t="inlineStr">
        <is>
          <t>00082617571142</t>
        </is>
      </c>
      <c r="Z518" t="inlineStr">
        <is>
          <t>43-1746::98268:112336:494</t>
        </is>
      </c>
      <c r="AA518" t="inlineStr">
        <is>
          <t>Yes</t>
        </is>
      </c>
      <c r="AB518" t="inlineStr"/>
      <c r="AC518" t="inlineStr"/>
    </row>
    <row r="519">
      <c r="A519" t="inlineStr">
        <is>
          <t>518</t>
        </is>
      </c>
      <c r="B519" t="inlineStr">
        <is>
          <t>Windshield Wiper Motor</t>
        </is>
      </c>
      <c r="C519" t="inlineStr">
        <is>
          <t>43-1747</t>
        </is>
      </c>
      <c r="D519" t="inlineStr">
        <is>
          <t>Windshield Wiper Motor - 43-1747</t>
        </is>
      </c>
      <c r="E519" t="inlineStr">
        <is>
          <t>CARDONE Reman</t>
        </is>
      </c>
      <c r="F519" t="inlineStr">
        <is>
          <t>8511050010</t>
        </is>
      </c>
      <c r="G519" t="inlineStr">
        <is>
          <t>Lexus LS400 1990-1992</t>
        </is>
      </c>
      <c r="H519" t="inlineStr">
        <is>
          <t>Lexus LS400 1990-1992 4L V8 3969cc</t>
        </is>
      </c>
      <c r="I519" t="inlineStr">
        <is>
          <t>{"0": {"productDeskExternalKey": "CPCX|43-1747"}, "1": {"Package Contents": "Wiper Motor; Instruction Sheet"}, "2": {"E-Waste": "Yes"}, "3": {"Product Condition": "Remanufactured"}, "4": {"Mounting Hole Quantity": "3"}, "5": {"Terminal Type": "Blade"}, "6": {"Mounting Type": "Direct Bolt"}, "7": {"Weight PG": "2.9200"}, "8": {"Washer Pump Included": "No"}, "9": {"Part Type": "Windshield Wiper Motor"}, "10": {"Warranty Info": "1 Year/18,000 Mile"}, "11": {"Sustainable Choice": "Yes"}, "12": {"Lifecycle Status": "Available to Order"}, "13": {"Application Summary": "Lexus LS400 1992-90"}, "14": {"ItemLevelGTIN": "00082617377249"}, "15": {"_addonCardone": "43-1747::98268:112356:494"}, "16": {"Eligible for R&amp;R Service": "Yes"}}</t>
        </is>
      </c>
      <c r="J519" t="inlineStr">
        <is>
          <t>https://www.cardone.com/product/windshield-wiper-motor-43-1747</t>
        </is>
      </c>
      <c r="K519">
        <f>DISPIMG("ID_7290F6086FCF4690AC92DFA570ED7836",1)</f>
        <v/>
      </c>
      <c r="L519" t="inlineStr">
        <is>
          <t>CPCX|43-1747</t>
        </is>
      </c>
      <c r="M519" t="inlineStr">
        <is>
          <t>Wiper Motor; Instruction Sheet</t>
        </is>
      </c>
      <c r="N519" t="inlineStr">
        <is>
          <t>Yes</t>
        </is>
      </c>
      <c r="O519" t="inlineStr">
        <is>
          <t>Remanufactured</t>
        </is>
      </c>
      <c r="P519" t="inlineStr">
        <is>
          <t>3</t>
        </is>
      </c>
      <c r="Q519" t="inlineStr">
        <is>
          <t>Blade</t>
        </is>
      </c>
      <c r="R519" t="inlineStr">
        <is>
          <t>Direct Bolt</t>
        </is>
      </c>
      <c r="S519" t="inlineStr">
        <is>
          <t>2.9200</t>
        </is>
      </c>
      <c r="T519" t="inlineStr">
        <is>
          <t>No</t>
        </is>
      </c>
      <c r="U519" t="inlineStr">
        <is>
          <t>1 Year/18,000 Mile</t>
        </is>
      </c>
      <c r="V519" t="inlineStr">
        <is>
          <t>Yes</t>
        </is>
      </c>
      <c r="W519" t="inlineStr">
        <is>
          <t>Available to Order</t>
        </is>
      </c>
      <c r="X519" t="inlineStr">
        <is>
          <t>Lexus LS400 1992-90</t>
        </is>
      </c>
      <c r="Y519" t="inlineStr">
        <is>
          <t>00082617377249</t>
        </is>
      </c>
      <c r="Z519" t="inlineStr">
        <is>
          <t>43-1747::98268:112356:494</t>
        </is>
      </c>
      <c r="AA519" t="inlineStr">
        <is>
          <t>Yes</t>
        </is>
      </c>
      <c r="AB519" t="inlineStr"/>
      <c r="AC519" t="inlineStr"/>
    </row>
    <row r="520">
      <c r="A520" t="inlineStr">
        <is>
          <t>519</t>
        </is>
      </c>
      <c r="B520" t="inlineStr">
        <is>
          <t>Windshield Wiper Motor</t>
        </is>
      </c>
      <c r="C520" t="inlineStr">
        <is>
          <t>43-1750</t>
        </is>
      </c>
      <c r="D520" t="inlineStr">
        <is>
          <t>Windshield Wiper Motor - 43-1750</t>
        </is>
      </c>
      <c r="E520" t="inlineStr">
        <is>
          <t>CARDONE Reman</t>
        </is>
      </c>
      <c r="F520" t="inlineStr">
        <is>
          <t>8507017090;8507017111;8507017110</t>
        </is>
      </c>
      <c r="G520" t="inlineStr">
        <is>
          <t>Toyota MR2 1991-1995</t>
        </is>
      </c>
      <c r="H520" t="inlineStr">
        <is>
          <t>Toyota MR2 1991-1995 2.2L L4 2164cc
Toyota MR2 1991-1995 2L L4 122cid</t>
        </is>
      </c>
      <c r="I520" t="inlineStr">
        <is>
          <t>{"0": {"productDeskExternalKey": "CPCX|43-1750"}, "1": {"Package Contents": "Wiper Motor; Instruction Sheet"}, "2": {"E-Waste": "Yes"}, "3": {"Product Condition": "Remanufactured"}, "4": {"Mounting Hole Quantity": "3"}, "5": {"Terminal Type": "Blade"}, "6": {"Mounting Type": "Direct Bolt"}, "7": {"Weight PG": "2.4500"}, "8": {"Washer Pump Included": "No"}, "9": {"Part Type": "Windshield Wiper Motor"}, "10": {"Warranty Info": "1 Year/18,000 Mile"}, "11": {"Sustainable Choice": "Yes"}, "12": {"Lifecycle Status": "Available to Order"}, "13": {"Application Summary": "Toyota MR2 1995-91"}, "14": {"ItemLevelGTIN": "00082617571135"}, "15": {"_addonCardone": "43-1750::98268:112374:494"}, "16": {"Eligible for R&amp;R Service": "Yes"}}</t>
        </is>
      </c>
      <c r="J520" t="inlineStr">
        <is>
          <t>https://www.cardone.com/product/windshield-wiper-motor-43-1750</t>
        </is>
      </c>
      <c r="K520">
        <f>DISPIMG("ID_C9CDF1CD69DC476AA5EDC10CFFA6D7B3",1)</f>
        <v/>
      </c>
      <c r="L520" t="inlineStr">
        <is>
          <t>CPCX|43-1750</t>
        </is>
      </c>
      <c r="M520" t="inlineStr">
        <is>
          <t>Wiper Motor; Instruction Sheet</t>
        </is>
      </c>
      <c r="N520" t="inlineStr">
        <is>
          <t>Yes</t>
        </is>
      </c>
      <c r="O520" t="inlineStr">
        <is>
          <t>Remanufactured</t>
        </is>
      </c>
      <c r="P520" t="inlineStr">
        <is>
          <t>3</t>
        </is>
      </c>
      <c r="Q520" t="inlineStr">
        <is>
          <t>Blade</t>
        </is>
      </c>
      <c r="R520" t="inlineStr">
        <is>
          <t>Direct Bolt</t>
        </is>
      </c>
      <c r="S520" t="inlineStr">
        <is>
          <t>2.4500</t>
        </is>
      </c>
      <c r="T520" t="inlineStr">
        <is>
          <t>No</t>
        </is>
      </c>
      <c r="U520" t="inlineStr">
        <is>
          <t>1 Year/18,000 Mile</t>
        </is>
      </c>
      <c r="V520" t="inlineStr">
        <is>
          <t>Yes</t>
        </is>
      </c>
      <c r="W520" t="inlineStr">
        <is>
          <t>Available to Order</t>
        </is>
      </c>
      <c r="X520" t="inlineStr">
        <is>
          <t>Toyota MR2 1995-91</t>
        </is>
      </c>
      <c r="Y520" t="inlineStr">
        <is>
          <t>00082617571135</t>
        </is>
      </c>
      <c r="Z520" t="inlineStr">
        <is>
          <t>43-1750::98268:112374:494</t>
        </is>
      </c>
      <c r="AA520" t="inlineStr">
        <is>
          <t>Yes</t>
        </is>
      </c>
      <c r="AB520" t="inlineStr"/>
      <c r="AC520" t="inlineStr"/>
    </row>
    <row r="521">
      <c r="A521" t="inlineStr">
        <is>
          <t>520</t>
        </is>
      </c>
      <c r="B521" t="inlineStr">
        <is>
          <t>Windshield Wiper Motor</t>
        </is>
      </c>
      <c r="C521" t="inlineStr">
        <is>
          <t>43-1813</t>
        </is>
      </c>
      <c r="D521" t="inlineStr">
        <is>
          <t>Windshield Wiper Motor - 43-1813</t>
        </is>
      </c>
      <c r="E521" t="inlineStr">
        <is>
          <t>CARDONE Reman</t>
        </is>
      </c>
      <c r="F521" t="inlineStr"/>
      <c r="G521" t="inlineStr">
        <is>
          <t>Volkswagen Beetle 1972-1979
Volkswagen Super Beetle 1972</t>
        </is>
      </c>
      <c r="H521" t="inlineStr">
        <is>
          <t>Volkswagen Beetle 1972-1979 1.6L H4 97cid
Volkswagen Super Beetle 1972 1.6L H4 97cid</t>
        </is>
      </c>
      <c r="I521" t="inlineStr">
        <is>
          <t>{"0": {"productDeskExternalKey": "CPCX|43-1813"}, "1": {"Package Contents": "Wiper Motor; Instruction Sheet"}, "2": {"E-Waste": "Yes"}, "3": {"Product Condition": "Remanufactured"}, "4": {"Mounting Hole Quantity": "3"}, "5": {"Terminal Type": "Blade"}, "6": {"Mounting Type": "Direct Bolt"}, "7": {"Weight PG": "2.6300"}, "8": {"Washer Pump Included": "No"}, "9": {"Part Type": "Windshield Wiper Motor"}, "10": {"Warranty Info": "1 Year/18,000 Mile"}, "11": {"Sustainable Choice": "Yes"}, "12": {"Lifecycle Status": "Available to Order"}, "13": {"Application Summary": "Volkswagen Beetle 1979-72, Super Beetle 1972"}, "14": {"ItemLevelGTIN": "00082617043342"}, "15": {"_addonCardone": "43-1813::98268:112698:494"}, "16": {"Eligible for R&amp;R Service": "Yes"}}</t>
        </is>
      </c>
      <c r="J521" t="inlineStr">
        <is>
          <t>https://www.cardone.com/product/windshield-wiper-motor-43-1813</t>
        </is>
      </c>
      <c r="K521">
        <f>DISPIMG("ID_AECF3304594D415B8B16BEC0511C524A",1)</f>
        <v/>
      </c>
      <c r="L521" t="inlineStr">
        <is>
          <t>CPCX|43-1813</t>
        </is>
      </c>
      <c r="M521" t="inlineStr">
        <is>
          <t>Wiper Motor; Instruction Sheet</t>
        </is>
      </c>
      <c r="N521" t="inlineStr">
        <is>
          <t>Yes</t>
        </is>
      </c>
      <c r="O521" t="inlineStr">
        <is>
          <t>Remanufactured</t>
        </is>
      </c>
      <c r="P521" t="inlineStr">
        <is>
          <t>3</t>
        </is>
      </c>
      <c r="Q521" t="inlineStr">
        <is>
          <t>Blade</t>
        </is>
      </c>
      <c r="R521" t="inlineStr">
        <is>
          <t>Direct Bolt</t>
        </is>
      </c>
      <c r="S521" t="inlineStr">
        <is>
          <t>2.6300</t>
        </is>
      </c>
      <c r="T521" t="inlineStr">
        <is>
          <t>No</t>
        </is>
      </c>
      <c r="U521" t="inlineStr">
        <is>
          <t>1 Year/18,000 Mile</t>
        </is>
      </c>
      <c r="V521" t="inlineStr">
        <is>
          <t>Yes</t>
        </is>
      </c>
      <c r="W521" t="inlineStr">
        <is>
          <t>Available to Order</t>
        </is>
      </c>
      <c r="X521" t="inlineStr">
        <is>
          <t>Volkswagen Beetle 1979-72, Super Beetle 1972</t>
        </is>
      </c>
      <c r="Y521" t="inlineStr">
        <is>
          <t>00082617043342</t>
        </is>
      </c>
      <c r="Z521" t="inlineStr">
        <is>
          <t>43-1813::98268:112698:494</t>
        </is>
      </c>
      <c r="AA521" t="inlineStr">
        <is>
          <t>Yes</t>
        </is>
      </c>
      <c r="AB521" t="inlineStr"/>
      <c r="AC521" t="inlineStr"/>
    </row>
    <row r="522">
      <c r="A522" t="inlineStr">
        <is>
          <t>521</t>
        </is>
      </c>
      <c r="B522" t="inlineStr">
        <is>
          <t>Windshield Wiper Motor</t>
        </is>
      </c>
      <c r="C522" t="inlineStr">
        <is>
          <t>43-1831</t>
        </is>
      </c>
      <c r="D522" t="inlineStr">
        <is>
          <t>Windshield Wiper Motor - 43-1831</t>
        </is>
      </c>
      <c r="E522" t="inlineStr">
        <is>
          <t>CARDONE Reman</t>
        </is>
      </c>
      <c r="F522" t="inlineStr">
        <is>
          <t>171955113A</t>
        </is>
      </c>
      <c r="G522" t="inlineStr">
        <is>
          <t>Volkswagen Atlantic 1981-1984
Volkswagen Cabriolet 1985-1993
Volkswagen Caribe 1979-1984
Volkswagen Jetta 1980-1984
Volkswagen Rabbit 1975-1984
Volkswagen Rabbit Convertible 1980-1984
Volkswagen Rabbit Pickup 1980-1983</t>
        </is>
      </c>
      <c r="H522" t="inlineStr">
        <is>
          <t>Volkswagen Atlantic 1981 1.6L L4 97cid
Volkswagen Atlantic 1981-1984 1.7L L4 105cid
Volkswagen Atlantic 1984 1.8L L4 1781cc
Volkswagen Cabriolet 1985-1993 1.8L L4 1781cc
Volkswagen Caribe 1979-1983 1.6L L4 97cid
Volkswagen Caribe 1981-1984 1.7L L4 1715cc
Volkswagen Caribe 1984 1.8L L4 1781cc
Volkswagen Jetta 1980-1984 1.6L L4 97cid
Volkswagen Jetta 1981-1984 1.7L L4 1715cc
Volkswagen Jetta 1984 1.8L L4 1781cc
Volkswagen Rabbit 1975-1980 1.5L L4 1471cc
Volkswagen Rabbit 1976-1984 1.6L L4 97cid
Volkswagen Rabbit 1978-1980 1.5L L4 1457cc
Volkswagen Rabbit 1981-1984 1.7L L4 1715cc
Volkswagen Rabbit 1983-1984 1.8L L4 1781cc
Volkswagen Rabbit Convertible 1980 1.6L L4 97cid
Volkswagen Rabbit Convertible 1981-1983 1.7L L4 1715cc
Volkswagen Rabbit Convertible 1984 1.8L L4 1781cc
Volkswagen Rabbit Pickup 1980 1.5L L4 1457cc
Volkswagen Rabbit Pickup 1980-1983 1.6L L4 97cid
Volkswagen Rabbit Pickup 1981-1983 1.7L L4 1715cc</t>
        </is>
      </c>
      <c r="I522" t="inlineStr">
        <is>
          <t>{"0": {"productDeskExternalKey": "CPCX|43-1831"}, "1": {"Package Contents": "Wiper Motor; Instruction Sheet"}, "2": {"E-Waste": "Yes"}, "3": {"Product Condition": "Remanufactured"}, "4": {"Mounting Hole Quantity": "3"}, "5": {"Terminal Type": "Blade"}, "6": {"Mounting Type": "Direct Bolt"}, "7": {"Weight PG": "2.7600"}, "8": {"Washer Pump Included": "No"}, "9": {"Part Type": "Windshield Wiper Motor"}, "10": {"Warranty Info": "1 Year/18,000 Mile"}, "11": {"Sustainable Choice": "Yes"}, "12": {"Lifecycle Status": "Available to Order"}, "13": {"Application Summary": "Volkswagen Atlantic 1984-81, Cabriolet 1993-85, Caribe 1984-79, Jetta 1984-80, Rabbit 1984-75, Rabbit Convertible 1984-80, Rabbit Pickup 1983-80"}, "14": {"ItemLevelGTIN": "00082617043519"}, "15": {"_addonCardone": "43-1831::98268:112715:494"}, "16": {"Eligible for R&amp;R Service": "Yes"}}</t>
        </is>
      </c>
      <c r="J522" t="inlineStr">
        <is>
          <t>https://www.cardone.com/product/windshield-wiper-motor-43-1831</t>
        </is>
      </c>
      <c r="K522">
        <f>DISPIMG("ID_75F79AFD14694130B745BADDD68993AB",1)</f>
        <v/>
      </c>
      <c r="L522" t="inlineStr">
        <is>
          <t>CPCX|43-1831</t>
        </is>
      </c>
      <c r="M522" t="inlineStr">
        <is>
          <t>Wiper Motor; Instruction Sheet</t>
        </is>
      </c>
      <c r="N522" t="inlineStr">
        <is>
          <t>Yes</t>
        </is>
      </c>
      <c r="O522" t="inlineStr">
        <is>
          <t>Remanufactured</t>
        </is>
      </c>
      <c r="P522" t="inlineStr">
        <is>
          <t>3</t>
        </is>
      </c>
      <c r="Q522" t="inlineStr">
        <is>
          <t>Blade</t>
        </is>
      </c>
      <c r="R522" t="inlineStr">
        <is>
          <t>Direct Bolt</t>
        </is>
      </c>
      <c r="S522" t="inlineStr">
        <is>
          <t>2.7600</t>
        </is>
      </c>
      <c r="T522" t="inlineStr">
        <is>
          <t>No</t>
        </is>
      </c>
      <c r="U522" t="inlineStr">
        <is>
          <t>1 Year/18,000 Mile</t>
        </is>
      </c>
      <c r="V522" t="inlineStr">
        <is>
          <t>Yes</t>
        </is>
      </c>
      <c r="W522" t="inlineStr">
        <is>
          <t>Available to Order</t>
        </is>
      </c>
      <c r="X522" t="inlineStr">
        <is>
          <t>Volkswagen Atlantic 1984-81, Cabriolet 1993-85, Caribe 1984-79, Jetta 1984-80, Rabbit 1984-75, Rabbit Convertible 1984-80, Rabbit Pickup 1983-80</t>
        </is>
      </c>
      <c r="Y522" t="inlineStr">
        <is>
          <t>00082617043519</t>
        </is>
      </c>
      <c r="Z522" t="inlineStr">
        <is>
          <t>43-1831::98268:112715:494</t>
        </is>
      </c>
      <c r="AA522" t="inlineStr">
        <is>
          <t>Yes</t>
        </is>
      </c>
      <c r="AB522" t="inlineStr"/>
      <c r="AC522" t="inlineStr"/>
    </row>
    <row r="523">
      <c r="A523" t="inlineStr">
        <is>
          <t>522</t>
        </is>
      </c>
      <c r="B523" t="inlineStr">
        <is>
          <t>Windshield Wiper Motor</t>
        </is>
      </c>
      <c r="C523" t="inlineStr">
        <is>
          <t>43-1834</t>
        </is>
      </c>
      <c r="D523" t="inlineStr">
        <is>
          <t>Windshield Wiper Motor - 43-1834</t>
        </is>
      </c>
      <c r="E523" t="inlineStr">
        <is>
          <t>CARDONE Reman</t>
        </is>
      </c>
      <c r="F523" t="inlineStr">
        <is>
          <t>191955113AX;321955119A;251955119C;191955113A;533955113C;251955119</t>
        </is>
      </c>
      <c r="G523" t="inlineStr">
        <is>
          <t>Volkswagen Corsar 1984-1988
Volkswagen Fox 1987-1993
Volkswagen Golf 1985-1992
Volkswagen Jetta 1985-1992
Volkswagen Lupo 2005-2009
Volkswagen Quantum 1982-1988
Volkswagen Scirocco 1982-1989
Volkswagen Vanagon 1980-1991</t>
        </is>
      </c>
      <c r="H523" t="inlineStr">
        <is>
          <t>Volkswagen Corsar 1984-1988 1.8L L4 1781cc
Volkswagen Fox 1987-1993 1.8L L4 1781cc
Volkswagen Golf 1985-1992 1.6L L4 97cid
Volkswagen Golf 1985-1992 1.8L L4 1781cc
Volkswagen Golf 1990-1992 2L L4 121cid
Volkswagen Jetta 1985-1992 1.6L L4 97cid
Volkswagen Jetta 1985-1992 1.8L L4 1781cc
Volkswagen Jetta 1990-1992 2L L4 121cid
Volkswagen Lupo 2005-2009 1.6L L4 98cid
Volkswagen Quantum 1982-1983 1.7L L4 1715cc
Volkswagen Quantum 1982-1985 1.6L L4 97cid
Volkswagen Quantum 1983-1984 2.2L L5 2144cc
Volkswagen Quantum 1984-1985 1.8L L4 1781cc
Volkswagen Quantum 1985-1988 2.2L L5 2226cc
Volkswagen Scirocco 1982-1983 1.7L L4 1715cc
Volkswagen Scirocco 1984-1989 1.8L L4 1781cc
Volkswagen Vanagon 1980-1983 2L H4 1970cc
Volkswagen Vanagon 1982-1984 1.6L L4 97cid
Volkswagen Vanagon 1983-1985 1.9L H4 1915cc
Volkswagen Vanagon 1986-1991 2.1L H4 2109cc</t>
        </is>
      </c>
      <c r="I523" t="inlineStr">
        <is>
          <t>{"0": {"productDeskExternalKey": "CPCX|43-1834"}, "1": {"Package Contents": "Wiper Motor; Instruction Sheet"}, "2": {"E-Waste": "Yes"}, "3": {"Product Condition": "Remanufactured"}, "4": {"Mounting Hole Quantity": "3"}, "5": {"Terminal Type": "Blade"}, "6": {"Mounting Type": "Direct Bolt"}, "7": {"Weight PG": "2.3600"}, "8": {"Washer Pump Included": "No"}, "9": {"Part Type": "Windshield Wiper Motor"}, "10": {"Warranty Info": "1 Year/18,000 Mile"}, "11": {"Sustainable Choice": "Yes"}, "12": {"Lifecycle Status": "Available to Order"}, "13": {"Application Summary": "Volkswagen Corsar 1988-84, Fox 1993-87, Golf 1992-85, Jetta 1992-85, Lupo 2009-05, Quantum 1988-82, Scirocco 1989-82, Vanagon 1991-80"}, "14": {"ItemLevelGTIN": "00082617043540"}, "15": {"_addonCardone": "43-1834::98268:112725:494"}, "16": {"Eligible for R&amp;R Service": "Yes"}}</t>
        </is>
      </c>
      <c r="J523" t="inlineStr">
        <is>
          <t>https://www.cardone.com/product/windshield-wiper-motor-43-1834</t>
        </is>
      </c>
      <c r="K523">
        <f>DISPIMG("ID_A1ECFA60389749AB979FD8806B01862A",1)</f>
        <v/>
      </c>
      <c r="L523" t="inlineStr">
        <is>
          <t>CPCX|43-1834</t>
        </is>
      </c>
      <c r="M523" t="inlineStr">
        <is>
          <t>Wiper Motor; Instruction Sheet</t>
        </is>
      </c>
      <c r="N523" t="inlineStr">
        <is>
          <t>Yes</t>
        </is>
      </c>
      <c r="O523" t="inlineStr">
        <is>
          <t>Remanufactured</t>
        </is>
      </c>
      <c r="P523" t="inlineStr">
        <is>
          <t>3</t>
        </is>
      </c>
      <c r="Q523" t="inlineStr">
        <is>
          <t>Blade</t>
        </is>
      </c>
      <c r="R523" t="inlineStr">
        <is>
          <t>Direct Bolt</t>
        </is>
      </c>
      <c r="S523" t="inlineStr">
        <is>
          <t>2.3600</t>
        </is>
      </c>
      <c r="T523" t="inlineStr">
        <is>
          <t>No</t>
        </is>
      </c>
      <c r="U523" t="inlineStr">
        <is>
          <t>1 Year/18,000 Mile</t>
        </is>
      </c>
      <c r="V523" t="inlineStr">
        <is>
          <t>Yes</t>
        </is>
      </c>
      <c r="W523" t="inlineStr">
        <is>
          <t>Available to Order</t>
        </is>
      </c>
      <c r="X523" t="inlineStr">
        <is>
          <t>Volkswagen Corsar 1988-84, Fox 1993-87, Golf 1992-85, Jetta 1992-85, Lupo 2009-05, Quantum 1988-82, Scirocco 1989-82, Vanagon 1991-80</t>
        </is>
      </c>
      <c r="Y523" t="inlineStr">
        <is>
          <t>00082617043540</t>
        </is>
      </c>
      <c r="Z523" t="inlineStr">
        <is>
          <t>43-1834::98268:112725:494</t>
        </is>
      </c>
      <c r="AA523" t="inlineStr">
        <is>
          <t>Yes</t>
        </is>
      </c>
      <c r="AB523" t="inlineStr"/>
      <c r="AC523" t="inlineStr"/>
    </row>
    <row r="524">
      <c r="A524" t="inlineStr">
        <is>
          <t>523</t>
        </is>
      </c>
      <c r="B524" t="inlineStr">
        <is>
          <t>Windshield Wiper Motor</t>
        </is>
      </c>
      <c r="C524" t="inlineStr">
        <is>
          <t>43-1835</t>
        </is>
      </c>
      <c r="D524" t="inlineStr">
        <is>
          <t>Windshield Wiper Motor - 43-1835</t>
        </is>
      </c>
      <c r="E524" t="inlineStr">
        <is>
          <t>CARDONE Reman</t>
        </is>
      </c>
      <c r="F524" t="inlineStr">
        <is>
          <t>535955119A;1J0955119;1H0955119;535955119C;1HM955113C;1H1955119;1C0955119;535955119</t>
        </is>
      </c>
      <c r="G524" t="inlineStr">
        <is>
          <t>Volkswagen Beetle 1998-2010
Volkswagen Beetle Cabrio 2010
Volkswagen Cabrio 1995-2002
Volkswagen Corrado 1990-1994
Volkswagen EuroVan 1993-2003
Volkswagen Golf 1991-2001
Volkswagen Jetta 1993-2001
Volkswagen Passat 1990-1997</t>
        </is>
      </c>
      <c r="H524" t="inlineStr">
        <is>
          <t>Volkswagen Beetle 1998-2006 1.9L L4 116cid
Volkswagen Beetle 1998-2010 2L L4 121cid
Volkswagen Beetle 1999-2005 1.8L L4 1781cc
Volkswagen Beetle 2006-2010 2.5L L5 151cid
Volkswagen Beetle Cabrio 2010 2.5L L5 151cid
Volkswagen Cabrio 1995-2002 2L L4 121cid
Volkswagen Corrado 1990-1992 1.8L L4 1781cc
Volkswagen Corrado 1992-1994 2.8L V6 2771cc
Volkswagen EuroVan 1993-1996 2.4L L5 144cid
Volkswagen EuroVan 1993-2003 2.5L L5 150cid
Volkswagen EuroVan 1997 2.4L L5 146cid
Volkswagen EuroVan 1997-2003 2.8L V6 2771cc
Volkswagen Golf 1991-2001 1.8L L4 1781cc
Volkswagen Golf 1993 1.8L L4 109cid
Volkswagen Golf 1993-2001 1.9L L4 116cid
Volkswagen Golf 1993-2001 2L L4 121cid
Volkswagen Golf 1996-2001 2.8L V6 2771cc
Volkswagen Jetta 1993-1995 1.8L L4 109cid
Volkswagen Jetta 1993-2001 1.8L L4 1781cc
Volkswagen Jetta 1993-2001 1.9L L4 116cid
Volkswagen Jetta 1993-2001 2L L4 121cid
Volkswagen Jetta 1994-2001 2.8L V6 2771cc
Volkswagen Passat 1990-1996 2L L4 121cid
Volkswagen Passat 1991-1993 1.8L L4 1781cc
Volkswagen Passat 1993-1997 1.9L L4 116cid
Volkswagen Passat 1993-1997 2.8L V6 2771cc</t>
        </is>
      </c>
      <c r="I524" t="inlineStr">
        <is>
          <t>{"0": {"productDeskExternalKey": "CPCX|43-1835"},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"Volkswagen Beetle 2010-98, Beetle Cabrio 2010, Cabrio 2002-00 1997-95, Corrado 1994-90, EuroVan 2003-99 1997-93, Golf 2001-00 1997-91, Jetta 2001-93, Passat 1997-90"}, "14": {"ItemLevelGTIN": "00082617377126"}, "15": {"_addonCardone": "43-1835::98268:112742:494"}, "16": {"Eligible for R&amp;R Service": "Yes"}}</t>
        </is>
      </c>
      <c r="J524" t="inlineStr">
        <is>
          <t>https://www.cardone.com/product/windshield-wiper-motor-43-1835</t>
        </is>
      </c>
      <c r="K524">
        <f>DISPIMG("ID_CEDD75FB3C0D4E11A8DB213B4AA2868C",1)</f>
        <v/>
      </c>
      <c r="L524" t="inlineStr">
        <is>
          <t>CPCX|43-1835</t>
        </is>
      </c>
      <c r="M524" t="inlineStr">
        <is>
          <t>Wiper Motor; Instruction Sheet</t>
        </is>
      </c>
      <c r="N524" t="inlineStr">
        <is>
          <t>Yes</t>
        </is>
      </c>
      <c r="O524" t="inlineStr">
        <is>
          <t>Remanufactured</t>
        </is>
      </c>
      <c r="P524" t="inlineStr">
        <is>
          <t>3</t>
        </is>
      </c>
      <c r="Q524" t="inlineStr">
        <is>
          <t>Blade</t>
        </is>
      </c>
      <c r="R524" t="inlineStr">
        <is>
          <t>Direct Bolt</t>
        </is>
      </c>
      <c r="S524" t="inlineStr">
        <is>
          <t>2.7000</t>
        </is>
      </c>
      <c r="T524" t="inlineStr">
        <is>
          <t>No</t>
        </is>
      </c>
      <c r="U524" t="inlineStr">
        <is>
          <t>1 Year/18,000 Mile</t>
        </is>
      </c>
      <c r="V524" t="inlineStr">
        <is>
          <t>Yes</t>
        </is>
      </c>
      <c r="W524" t="inlineStr">
        <is>
          <t>Available to Order</t>
        </is>
      </c>
      <c r="X524" t="inlineStr">
        <is>
          <t>Volkswagen Beetle 2010-98, Beetle Cabrio 2010, Cabrio 2002-00 1997-95, Corrado 1994-90, EuroVan 2003-99 1997-93, Golf 2001-00 1997-91, Jetta 2001-93, Passat 1997-90</t>
        </is>
      </c>
      <c r="Y524" t="inlineStr">
        <is>
          <t>00082617377126</t>
        </is>
      </c>
      <c r="Z524" t="inlineStr">
        <is>
          <t>43-1835::98268:112742:494</t>
        </is>
      </c>
      <c r="AA524" t="inlineStr">
        <is>
          <t>Yes</t>
        </is>
      </c>
      <c r="AB524" t="inlineStr"/>
      <c r="AC524" t="inlineStr"/>
    </row>
    <row r="525">
      <c r="A525" t="inlineStr">
        <is>
          <t>524</t>
        </is>
      </c>
      <c r="B525" t="inlineStr">
        <is>
          <t>Windshield Wiper Motor</t>
        </is>
      </c>
      <c r="C525" t="inlineStr">
        <is>
          <t>43-1836</t>
        </is>
      </c>
      <c r="D525" t="inlineStr">
        <is>
          <t>Windshield Wiper Motor - 43-1836</t>
        </is>
      </c>
      <c r="E525" t="inlineStr">
        <is>
          <t>CARDONE Reman</t>
        </is>
      </c>
      <c r="F525" t="inlineStr">
        <is>
          <t>1HM955113;1638201042;1HM955113A</t>
        </is>
      </c>
      <c r="G525" t="inlineStr">
        <is>
          <t>Mercedes-Benz ML430 1999
Volkswagen Cabrio 1998-1999
Volkswagen Golf 1994-1999
Volkswagen Jetta 1993-1997</t>
        </is>
      </c>
      <c r="H525" t="inlineStr">
        <is>
          <t>Mercedes-Benz ML430 1999 4.3L V8 4266cc
Volkswagen Cabrio 1998-1999 2L L4 121cid
Volkswagen Golf 1994-1998 1.8L L4 109cid
Volkswagen Golf 1994-1999 1.9L L4 116cid
Volkswagen Golf 1994-1999 2L L4 121cid
Volkswagen Golf 1995-1999 2.8L V6 2771cc
Volkswagen Jetta 1993-1995 1.8L L4 109cid
Volkswagen Jetta 1993-1997 1.8L L4 1781cc
Volkswagen Jetta 1993-1997 1.9L L4 116cid
Volkswagen Jetta 1993-1997 2L L4 121cid
Volkswagen Jetta 1994-1997 2.8L V6 2771cc</t>
        </is>
      </c>
      <c r="I525" t="inlineStr">
        <is>
          <t>{"0": {"productDeskExternalKey": "CPCX|43-1836"},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"Mercedes-Benz ML320 1998, ML430 1999; Volkswagen Cabrio 1999-98, Golf 1999-94, Jetta 1997-93"}, "14": {"ItemLevelGTIN": "00082617377058"}, "15": {"_addonCardone": "43-1836::98268:112759:494"}, "16": {"Eligible for R&amp;R Service": "Yes"}}</t>
        </is>
      </c>
      <c r="J525" t="inlineStr">
        <is>
          <t>https://www.cardone.com/product/windshield-wiper-motor-43-1836</t>
        </is>
      </c>
      <c r="K525">
        <f>DISPIMG("ID_7679B48F77054F93B554F433C9CA7415",1)</f>
        <v/>
      </c>
      <c r="L525" t="inlineStr">
        <is>
          <t>CPCX|43-1836</t>
        </is>
      </c>
      <c r="M525" t="inlineStr">
        <is>
          <t>Wiper Motor; Instruction Sheet</t>
        </is>
      </c>
      <c r="N525" t="inlineStr">
        <is>
          <t>Yes</t>
        </is>
      </c>
      <c r="O525" t="inlineStr">
        <is>
          <t>Remanufactured</t>
        </is>
      </c>
      <c r="P525" t="inlineStr">
        <is>
          <t>3</t>
        </is>
      </c>
      <c r="Q525" t="inlineStr">
        <is>
          <t>Blade</t>
        </is>
      </c>
      <c r="R525" t="inlineStr">
        <is>
          <t>Direct Bolt</t>
        </is>
      </c>
      <c r="S525" t="inlineStr">
        <is>
          <t>2.7000</t>
        </is>
      </c>
      <c r="T525" t="inlineStr">
        <is>
          <t>No</t>
        </is>
      </c>
      <c r="U525" t="inlineStr">
        <is>
          <t>1 Year/18,000 Mile</t>
        </is>
      </c>
      <c r="V525" t="inlineStr">
        <is>
          <t>Yes</t>
        </is>
      </c>
      <c r="W525" t="inlineStr">
        <is>
          <t>Available to Order</t>
        </is>
      </c>
      <c r="X525" t="inlineStr">
        <is>
          <t>Mercedes-Benz ML320 1998, ML430 1999; Volkswagen Cabrio 1999-98, Golf 1999-94, Jetta 1997-93</t>
        </is>
      </c>
      <c r="Y525" t="inlineStr">
        <is>
          <t>00082617377058</t>
        </is>
      </c>
      <c r="Z525" t="inlineStr">
        <is>
          <t>43-1836::98268:112759:494</t>
        </is>
      </c>
      <c r="AA525" t="inlineStr">
        <is>
          <t>Yes</t>
        </is>
      </c>
      <c r="AB525" t="inlineStr"/>
      <c r="AC525" t="inlineStr"/>
    </row>
    <row r="526">
      <c r="A526" t="inlineStr">
        <is>
          <t>525</t>
        </is>
      </c>
      <c r="B526" t="inlineStr">
        <is>
          <t>Windshield Wiper Motor</t>
        </is>
      </c>
      <c r="C526" t="inlineStr">
        <is>
          <t>43-1863</t>
        </is>
      </c>
      <c r="D526" t="inlineStr">
        <is>
          <t>Windshield Wiper Motor - 43-1863</t>
        </is>
      </c>
      <c r="E526" t="inlineStr">
        <is>
          <t>CARDONE Reman</t>
        </is>
      </c>
      <c r="F526" t="inlineStr">
        <is>
          <t>477955113B</t>
        </is>
      </c>
      <c r="G526" t="inlineStr">
        <is>
          <t>Porsche 924 1977-1988
Porsche 944 1983-1985</t>
        </is>
      </c>
      <c r="H526" t="inlineStr">
        <is>
          <t>Porsche 924 1977-1982 2L L4 1983cc
Porsche 924 1987-1988 2.5L L4 2475cc
Porsche 944 1983-1985 2.5L L4 2475cc</t>
        </is>
      </c>
      <c r="I526" t="inlineStr">
        <is>
          <t>{"0": {"productDeskExternalKey": "CPCX|43-1863"}, "1": {"Package Contents": "Wiper Motor; Instruction Sheet"}, "2": {"E-Waste": "Yes"}, "3": {"Product Condition": "Remanufactured"}, "4": {"Mounting Hole Quantity": "3"}, "5": {"Terminal Type": "Blade"}, "6": {"Mounting Type": "Direct Bolt"}, "7": {"Weight PG": "4.3000"}, "8": {"Washer Pump Included": "No"}, "9": {"Part Type": "Windshield Wiper Motor"}, "10": {"Warranty Info": "1 Year/18,000 Mile"}, "11": {"Sustainable Choice": "Yes"}, "12": {"Lifecycle Status": "Available to Order"}, "13": {"Application Summary": "Porsche 924 1988-87 1982-77, 944 1985-83"}, "14": {"ItemLevelGTIN": "00082617043571"}, "15": {"_addonCardone": "43-1863::98268:112783:494"}, "16": {"Eligible for R&amp;R Service": "Yes"}}</t>
        </is>
      </c>
      <c r="J526" t="inlineStr">
        <is>
          <t>https://www.cardone.com/product/windshield-wiper-motor-43-1863</t>
        </is>
      </c>
      <c r="K526">
        <f>DISPIMG("ID_27EFC989BCAE44039F7DD5F79A4C867E",1)</f>
        <v/>
      </c>
      <c r="L526" t="inlineStr">
        <is>
          <t>CPCX|43-1863</t>
        </is>
      </c>
      <c r="M526" t="inlineStr">
        <is>
          <t>Wiper Motor; Instruction Sheet</t>
        </is>
      </c>
      <c r="N526" t="inlineStr">
        <is>
          <t>Yes</t>
        </is>
      </c>
      <c r="O526" t="inlineStr">
        <is>
          <t>Remanufactured</t>
        </is>
      </c>
      <c r="P526" t="inlineStr">
        <is>
          <t>3</t>
        </is>
      </c>
      <c r="Q526" t="inlineStr">
        <is>
          <t>Blade</t>
        </is>
      </c>
      <c r="R526" t="inlineStr">
        <is>
          <t>Direct Bolt</t>
        </is>
      </c>
      <c r="S526" t="inlineStr">
        <is>
          <t>4.3000</t>
        </is>
      </c>
      <c r="T526" t="inlineStr">
        <is>
          <t>No</t>
        </is>
      </c>
      <c r="U526" t="inlineStr">
        <is>
          <t>1 Year/18,000 Mile</t>
        </is>
      </c>
      <c r="V526" t="inlineStr">
        <is>
          <t>Yes</t>
        </is>
      </c>
      <c r="W526" t="inlineStr">
        <is>
          <t>Available to Order</t>
        </is>
      </c>
      <c r="X526" t="inlineStr">
        <is>
          <t>Porsche 924 1988-87 1982-77, 944 1985-83</t>
        </is>
      </c>
      <c r="Y526" t="inlineStr">
        <is>
          <t>00082617043571</t>
        </is>
      </c>
      <c r="Z526" t="inlineStr">
        <is>
          <t>43-1863::98268:112783:494</t>
        </is>
      </c>
      <c r="AA526" t="inlineStr">
        <is>
          <t>Yes</t>
        </is>
      </c>
      <c r="AB526" t="inlineStr"/>
      <c r="AC526" t="inlineStr"/>
    </row>
    <row r="527">
      <c r="A527" t="inlineStr">
        <is>
          <t>526</t>
        </is>
      </c>
      <c r="B527" t="inlineStr">
        <is>
          <t>Windshield Wiper Motor</t>
        </is>
      </c>
      <c r="C527" t="inlineStr">
        <is>
          <t>43-1901</t>
        </is>
      </c>
      <c r="D527" t="inlineStr">
        <is>
          <t>Windshield Wiper Motor - 43-1901</t>
        </is>
      </c>
      <c r="E527" t="inlineStr">
        <is>
          <t>CARDONE Reman</t>
        </is>
      </c>
      <c r="F527" t="inlineStr">
        <is>
          <t>1247542;13123468;3540626;12555280;12475422;1312346;1255528</t>
        </is>
      </c>
      <c r="G527" t="inlineStr">
        <is>
          <t>Volvo 164 1973-1975
Volvo 240 1990-1993
Volvo 242 1975-1984
Volvo 244 1975-1989
Volvo 245 1975-1989
Volvo 262 1976-1981
Volvo 264 1976-1982
Volvo 265 1976-1981</t>
        </is>
      </c>
      <c r="H527" t="inlineStr">
        <is>
          <t>Volvo 164 1973-1974 3L L6 182cid
Volvo 164 1973-1975 3L L6 2980cc
Volvo 240 1990-1993 2.3L L4 2316cc
Volvo 242 1975 2L L4 121cid
Volvo 242 1976-1984 2.1L L4 2127cc
Volvo 242 1981-1984 2.3L L4 2316cc
Volvo 244 1975 2L L4 121cid
Volvo 244 1976-1985 2.1L L4 2127cc
Volvo 244 1981-1989 2.3L L4 2316cc
Volvo 244 1982-1984 2.4L L6 2383cc
Volvo 245 1975 2L L4 121cid
Volvo 245 1976-1985 2.1L L4 2127cc
Volvo 245 1981-1989 2.3L L4 2316cc
Volvo 245 1982-1984 2.4L L6 2383cc
Volvo 262 1976-1979 2.7L V6 2673cc
Volvo 262 1980-1981 2.8L V6 2849cc
Volvo 264 1976-1979 2.7L V6 2673cc
Volvo 264 1980-1981 2.1L L4 2127cc
Volvo 264 1980-1981 2.4L L6 2383cc
Volvo 264 1980-1982 2.8L V6 2849cc
Volvo 265 1976-1979 2.7L V6 2673cc
Volvo 265 1980 2.4L L6 2383cc
Volvo 265 1980-1981 2.8L V6 2849cc</t>
        </is>
      </c>
      <c r="I527" t="inlineStr">
        <is>
          <t>{"0": {"productDeskExternalKey": "CPCX|43-1901"}, "1": {"Package Contents": "Wiper Motor; Instruction Sheet"}, "2": {"E-Waste": "Yes"}, "3": {"Product Condition": "Remanufactured"}, "4": {"Mounting Hole Quantity": "3"}, "5": {"Terminal Type": "Blade"}, "6": {"Mounting Type": "Direct Bolt"}, "7": {"Weight PG": "4.3600"}, "8": {"Washer Pump Included": "No"}, "9": {"Part Type": "Windshield Wiper Motor"}, "10": {"Warranty Info": "1 Year/18,000 Mile"}, "11": {"Sustainable Choice": "Yes"}, "12": {"Lifecycle Status": "Available to Order"}, "13": {"Application Summary": "Volvo 164 1975-73, 240 1993-90, 242 1984-75, 244 1989-75, 245 1989-75, 262 1981-78 1976, 264 1982-76, 265 1981-76"}, "14": {"ItemLevelGTIN": "00082617043588"}, "15": {"_addonCardone": "43-1901::98268:112800:494"}, "16": {"Eligible for R&amp;R Service": "Yes"}}</t>
        </is>
      </c>
      <c r="J527" t="inlineStr">
        <is>
          <t>https://www.cardone.com/product/windshield-wiper-motor-43-1901</t>
        </is>
      </c>
      <c r="K527">
        <f>DISPIMG("ID_67C0B252B8DA401F8B67952E7E41EB0F",1)</f>
        <v/>
      </c>
      <c r="L527" t="inlineStr">
        <is>
          <t>CPCX|43-1901</t>
        </is>
      </c>
      <c r="M527" t="inlineStr">
        <is>
          <t>Wiper Motor; Instruction Sheet</t>
        </is>
      </c>
      <c r="N527" t="inlineStr">
        <is>
          <t>Yes</t>
        </is>
      </c>
      <c r="O527" t="inlineStr">
        <is>
          <t>Remanufactured</t>
        </is>
      </c>
      <c r="P527" t="inlineStr">
        <is>
          <t>3</t>
        </is>
      </c>
      <c r="Q527" t="inlineStr">
        <is>
          <t>Blade</t>
        </is>
      </c>
      <c r="R527" t="inlineStr">
        <is>
          <t>Direct Bolt</t>
        </is>
      </c>
      <c r="S527" t="inlineStr">
        <is>
          <t>4.3600</t>
        </is>
      </c>
      <c r="T527" t="inlineStr">
        <is>
          <t>No</t>
        </is>
      </c>
      <c r="U527" t="inlineStr">
        <is>
          <t>1 Year/18,000 Mile</t>
        </is>
      </c>
      <c r="V527" t="inlineStr">
        <is>
          <t>Yes</t>
        </is>
      </c>
      <c r="W527" t="inlineStr">
        <is>
          <t>Available to Order</t>
        </is>
      </c>
      <c r="X527" t="inlineStr">
        <is>
          <t>Volvo 164 1975-73, 240 1993-90, 242 1984-75, 244 1989-75, 245 1989-75, 262 1981-78 1976, 264 1982-76, 265 1981-76</t>
        </is>
      </c>
      <c r="Y527" t="inlineStr">
        <is>
          <t>00082617043588</t>
        </is>
      </c>
      <c r="Z527" t="inlineStr">
        <is>
          <t>43-1901::98268:112800:494</t>
        </is>
      </c>
      <c r="AA527" t="inlineStr">
        <is>
          <t>Yes</t>
        </is>
      </c>
      <c r="AB527" t="inlineStr"/>
      <c r="AC527" t="inlineStr"/>
    </row>
    <row r="528">
      <c r="A528" t="inlineStr">
        <is>
          <t>527</t>
        </is>
      </c>
      <c r="B528" t="inlineStr">
        <is>
          <t>Windshield Wiper Motor</t>
        </is>
      </c>
      <c r="C528" t="inlineStr">
        <is>
          <t>43-1906</t>
        </is>
      </c>
      <c r="D528" t="inlineStr">
        <is>
          <t>Windshield Wiper Motor - 43-1906</t>
        </is>
      </c>
      <c r="E528" t="inlineStr">
        <is>
          <t>CARDONE Reman</t>
        </is>
      </c>
      <c r="F528" t="inlineStr">
        <is>
          <t>9519448</t>
        </is>
      </c>
      <c r="G528" t="inlineStr">
        <is>
          <t>Saab 9000 1986-1989</t>
        </is>
      </c>
      <c r="H528" t="inlineStr">
        <is>
          <t>Saab 9000 1986-1989 2L L4 1985cc</t>
        </is>
      </c>
      <c r="I528" t="inlineStr">
        <is>
          <t>{"0": {"productDeskExternalKey": "CPCX|43-1906"}, "1": {"Package Contents": "Wiper Motor; Instruction Sheet"}, "2": {"E-Waste": "Yes"}, "3": {"Product Condition": "Remanufactured"}, "4": {"Mounting Hole Quantity": "3"}, "5": {"Terminal Type": "Bullet"}, "6": {"Mounting Type": "Direct Bolt"}, "7": {"Weight PG": "3.4500"}, "8": {"Washer Pump Included": "No"}, "9": {"Part Type": "Windshield Wiper Motor"}, "10": {"Warranty Info": "1 Year/18,000 Mile"}, "11": {"Sustainable Choice": "Yes"}, "12": {"Lifecycle Status": "Available to Order"}, "13": {"Application Summary": "Saab 9000 1989-86"}, "14": {"ItemLevelGTIN": "00082617572385"}, "15": {"_addonCardone": "43-1906::98268:112817:494"}, "16": {"Eligible for R&amp;R Service": "Yes"}}</t>
        </is>
      </c>
      <c r="J528" t="inlineStr">
        <is>
          <t>https://www.cardone.com/product/windshield-wiper-motor-43-1906</t>
        </is>
      </c>
      <c r="K528">
        <f>DISPIMG("ID_E24FE0C1FA4A4B31AC52A37E86E795B2",1)</f>
        <v/>
      </c>
      <c r="L528" t="inlineStr">
        <is>
          <t>CPCX|43-1906</t>
        </is>
      </c>
      <c r="M528" t="inlineStr">
        <is>
          <t>Wiper Motor; Instruction Sheet</t>
        </is>
      </c>
      <c r="N528" t="inlineStr">
        <is>
          <t>Yes</t>
        </is>
      </c>
      <c r="O528" t="inlineStr">
        <is>
          <t>Remanufactured</t>
        </is>
      </c>
      <c r="P528" t="inlineStr">
        <is>
          <t>3</t>
        </is>
      </c>
      <c r="Q528" t="inlineStr">
        <is>
          <t>Bullet</t>
        </is>
      </c>
      <c r="R528" t="inlineStr">
        <is>
          <t>Direct Bolt</t>
        </is>
      </c>
      <c r="S528" t="inlineStr">
        <is>
          <t>3.4500</t>
        </is>
      </c>
      <c r="T528" t="inlineStr">
        <is>
          <t>No</t>
        </is>
      </c>
      <c r="U528" t="inlineStr">
        <is>
          <t>1 Year/18,000 Mile</t>
        </is>
      </c>
      <c r="V528" t="inlineStr">
        <is>
          <t>Yes</t>
        </is>
      </c>
      <c r="W528" t="inlineStr">
        <is>
          <t>Available to Order</t>
        </is>
      </c>
      <c r="X528" t="inlineStr">
        <is>
          <t>Saab 9000 1989-86</t>
        </is>
      </c>
      <c r="Y528" t="inlineStr">
        <is>
          <t>00082617572385</t>
        </is>
      </c>
      <c r="Z528" t="inlineStr">
        <is>
          <t>43-1906::98268:112817:494</t>
        </is>
      </c>
      <c r="AA528" t="inlineStr">
        <is>
          <t>Yes</t>
        </is>
      </c>
      <c r="AB528" t="inlineStr"/>
      <c r="AC528" t="inlineStr"/>
    </row>
    <row r="529">
      <c r="A529" t="inlineStr">
        <is>
          <t>528</t>
        </is>
      </c>
      <c r="B529" t="inlineStr">
        <is>
          <t>Windshield Wiper Motor</t>
        </is>
      </c>
      <c r="C529" t="inlineStr">
        <is>
          <t>43-1909</t>
        </is>
      </c>
      <c r="D529" t="inlineStr">
        <is>
          <t>Windshield Wiper Motor - 43-1909</t>
        </is>
      </c>
      <c r="E529" t="inlineStr">
        <is>
          <t>CARDONE Reman</t>
        </is>
      </c>
      <c r="F529" t="inlineStr">
        <is>
          <t>1321989;3518133;35181338</t>
        </is>
      </c>
      <c r="G529" t="inlineStr">
        <is>
          <t>Volvo 740 1985-1992
Volvo 745 1985
Volvo 760 1983-1987
Volvo 780 1987-1991
Volvo 940 1991-1995</t>
        </is>
      </c>
      <c r="H529" t="inlineStr">
        <is>
          <t>Volvo 740 1985-1986 2.4L L6 2377cc
Volvo 740 1985-1992 2.3L L4 2316cc
Volvo 745 1985 2.3L L4 2316cc
Volvo 745 1985 2.4L L6 2383cc
Volvo 760 1983-1984 2.4L L6 2383cc
Volvo 760 1983-1987 2.8L V6 2849cc
Volvo 760 1984-1987 2.3L L4 2316cc
Volvo 760 1985 2.4L L6 2377cc
Volvo 780 1987-1990 2.8L V6 2849cc
Volvo 780 1989-1991 2.3L L4 2316cc
Volvo 940 1991-1995 2.3L L4 2316cc</t>
        </is>
      </c>
      <c r="I529" t="inlineStr">
        <is>
          <t>{"0": {"productDeskExternalKey": "CPCX|43-1909"}, "1": {"Package Contents": "Wiper Motor; Instruction Sheet"}, "2": {"E-Waste": "Yes"}, "3": {"Product Condition": "Remanufactured"}, "4": {"Mounting Hole Quantity": "3"}, "5": {"Terminal Type": "Bullet"}, "6": {"Mounting Type": "Direct Bolt"}, "7": {"Weight PG": "2.7800"}, "8": {"Washer Pump Included": "No"}, "9": {"Part Type": "Windshield Wiper Motor"}, "10": {"Warranty Info": "1 Year/18,000 Mile"}, "11": {"Sustainable Choice": "Yes"}, "12": {"Lifecycle Status": "Available to Order"}, "13": {"Application Summary": "Volvo 740 1992-85, 745 1985, 760 1987-83, 780 1991-87, 940 1995-91"}, "14": {"ItemLevelGTIN": "00082617377034"}, "15": {"_addonCardone": "43-1909::98268:112835:494"}, "16": {"Eligible for R&amp;R Service": "Yes"}}</t>
        </is>
      </c>
      <c r="J529" t="inlineStr">
        <is>
          <t>https://www.cardone.com/product/windshield-wiper-motor-43-1909</t>
        </is>
      </c>
      <c r="K529">
        <f>DISPIMG("ID_3DF53DCE02BE418ABB034257FDDCBEE0",1)</f>
        <v/>
      </c>
      <c r="L529" t="inlineStr">
        <is>
          <t>CPCX|43-1909</t>
        </is>
      </c>
      <c r="M529" t="inlineStr">
        <is>
          <t>Wiper Motor; Instruction Sheet</t>
        </is>
      </c>
      <c r="N529" t="inlineStr">
        <is>
          <t>Yes</t>
        </is>
      </c>
      <c r="O529" t="inlineStr">
        <is>
          <t>Remanufactured</t>
        </is>
      </c>
      <c r="P529" t="inlineStr">
        <is>
          <t>3</t>
        </is>
      </c>
      <c r="Q529" t="inlineStr">
        <is>
          <t>Bullet</t>
        </is>
      </c>
      <c r="R529" t="inlineStr">
        <is>
          <t>Direct Bolt</t>
        </is>
      </c>
      <c r="S529" t="inlineStr">
        <is>
          <t>2.7800</t>
        </is>
      </c>
      <c r="T529" t="inlineStr">
        <is>
          <t>No</t>
        </is>
      </c>
      <c r="U529" t="inlineStr">
        <is>
          <t>1 Year/18,000 Mile</t>
        </is>
      </c>
      <c r="V529" t="inlineStr">
        <is>
          <t>Yes</t>
        </is>
      </c>
      <c r="W529" t="inlineStr">
        <is>
          <t>Available to Order</t>
        </is>
      </c>
      <c r="X529" t="inlineStr">
        <is>
          <t>Volvo 740 1992-85, 745 1985, 760 1987-83, 780 1991-87, 940 1995-91</t>
        </is>
      </c>
      <c r="Y529" t="inlineStr">
        <is>
          <t>00082617377034</t>
        </is>
      </c>
      <c r="Z529" t="inlineStr">
        <is>
          <t>43-1909::98268:112835:494</t>
        </is>
      </c>
      <c r="AA529" t="inlineStr">
        <is>
          <t>Yes</t>
        </is>
      </c>
      <c r="AB529" t="inlineStr"/>
      <c r="AC529" t="inlineStr"/>
    </row>
    <row r="530">
      <c r="A530" t="inlineStr">
        <is>
          <t>529</t>
        </is>
      </c>
      <c r="B530" t="inlineStr">
        <is>
          <t>Windshield Wiper Motor</t>
        </is>
      </c>
      <c r="C530" t="inlineStr">
        <is>
          <t>43-1910</t>
        </is>
      </c>
      <c r="D530" t="inlineStr">
        <is>
          <t>Windshield Wiper Motor - 43-1910</t>
        </is>
      </c>
      <c r="E530" t="inlineStr">
        <is>
          <t>CARDONE Reman</t>
        </is>
      </c>
      <c r="F530" t="inlineStr">
        <is>
          <t>1392140;1342858;13428586;13921408</t>
        </is>
      </c>
      <c r="G530" t="inlineStr">
        <is>
          <t>Volvo 740 1985-1987
Volvo 745 1985
Volvo 760 1985-1990
Volvo 940 1991-1993
Volvo 960 1992-1997
Volvo S90 1997-1998
Volvo V90 1997-1998</t>
        </is>
      </c>
      <c r="H530" t="inlineStr">
        <is>
          <t>Volvo 740 1985-1986 2.4L L6 2377cc
Volvo 740 1985-1987 2.3L L4 2316cc
Volvo 745 1985 2.3L L4 2316cc
Volvo 745 1985 2.4L L6 2383cc
Volvo 760 1985 2.4L L6 2377cc
Volvo 760 1985-1990 2.3L L4 2316cc
Volvo 760 1985-1990 2.8L V6 2849cc
Volvo 940 1991-1993 2.3L L4 2316cc
Volvo 960 1992-1997 2.9L L6 2922cc
Volvo S90 1997-1998 2.9L L6 2917cc
Volvo V90 1997-1998 2.9L L6 2917cc</t>
        </is>
      </c>
      <c r="I530" t="inlineStr">
        <is>
          <t>{"0": {"productDeskExternalKey": "CPCX|43-1910"}, "1": {"Package Contents": "Wiper Motor; Instruction Sheet"}, "2": {"E-Waste": "Yes"}, "3": {"Product Condition": "Remanufactured"}, "4": {"Mounting Hole Quantity": "3"}, "5": {"Terminal Type": "Bullet"}, "6": {"Mounting Type": "Direct Bolt"}, "7": {"Weight PG": "2.7000"}, "8": {"Washer Pump Included": "No"}, "9": {"Part Type": "Windshield Wiper Motor"}, "10": {"Warranty Info": "1 Year/18,000 Mile"}, "11": {"Sustainable Choice": "Yes"}, "12": {"Lifecycle Status": "Available to Order"}, "13": {"Application Summary": "Volvo 740 1987-85, 745 1985, 760 1990-85, 940 1993-91, 960 1997-92, S90 1998-97, V90 1998-97"}, "14": {"ItemLevelGTIN": "00082617377041"}, "15": {"_addonCardone": "43-1910::98268:112854:494"}, "16": {"Eligible for R&amp;R Service": "Yes"}}</t>
        </is>
      </c>
      <c r="J530" t="inlineStr">
        <is>
          <t>https://www.cardone.com/product/windshield-wiper-motor-43-1910</t>
        </is>
      </c>
      <c r="K530">
        <f>DISPIMG("ID_0D0FBFD249444993ADEC194B560DE6FF",1)</f>
        <v/>
      </c>
      <c r="L530" t="inlineStr">
        <is>
          <t>CPCX|43-1910</t>
        </is>
      </c>
      <c r="M530" t="inlineStr">
        <is>
          <t>Wiper Motor; Instruction Sheet</t>
        </is>
      </c>
      <c r="N530" t="inlineStr">
        <is>
          <t>Yes</t>
        </is>
      </c>
      <c r="O530" t="inlineStr">
        <is>
          <t>Remanufactured</t>
        </is>
      </c>
      <c r="P530" t="inlineStr">
        <is>
          <t>3</t>
        </is>
      </c>
      <c r="Q530" t="inlineStr">
        <is>
          <t>Bullet</t>
        </is>
      </c>
      <c r="R530" t="inlineStr">
        <is>
          <t>Direct Bolt</t>
        </is>
      </c>
      <c r="S530" t="inlineStr">
        <is>
          <t>2.7000</t>
        </is>
      </c>
      <c r="T530" t="inlineStr">
        <is>
          <t>No</t>
        </is>
      </c>
      <c r="U530" t="inlineStr">
        <is>
          <t>1 Year/18,000 Mile</t>
        </is>
      </c>
      <c r="V530" t="inlineStr">
        <is>
          <t>Yes</t>
        </is>
      </c>
      <c r="W530" t="inlineStr">
        <is>
          <t>Available to Order</t>
        </is>
      </c>
      <c r="X530" t="inlineStr">
        <is>
          <t>Volvo 740 1987-85, 745 1985, 760 1990-85, 940 1993-91, 960 1997-92, S90 1998-97, V90 1998-97</t>
        </is>
      </c>
      <c r="Y530" t="inlineStr">
        <is>
          <t>00082617377041</t>
        </is>
      </c>
      <c r="Z530" t="inlineStr">
        <is>
          <t>43-1910::98268:112854:494</t>
        </is>
      </c>
      <c r="AA530" t="inlineStr">
        <is>
          <t>Yes</t>
        </is>
      </c>
      <c r="AB530" t="inlineStr"/>
      <c r="AC530" t="inlineStr"/>
    </row>
    <row r="531">
      <c r="A531" t="inlineStr">
        <is>
          <t>530</t>
        </is>
      </c>
      <c r="B531" t="inlineStr">
        <is>
          <t>Windshield Wiper Motor</t>
        </is>
      </c>
      <c r="C531" t="inlineStr">
        <is>
          <t>43-1956</t>
        </is>
      </c>
      <c r="D531" t="inlineStr">
        <is>
          <t>Windshield Wiper Motor - 43-1956</t>
        </is>
      </c>
      <c r="E531" t="inlineStr">
        <is>
          <t>CARDONE Reman</t>
        </is>
      </c>
      <c r="F531" t="inlineStr">
        <is>
          <t>4401113;5141510</t>
        </is>
      </c>
      <c r="G531" t="inlineStr">
        <is>
          <t>Saab 9-3 1999-2003
Saab 900 1994-1998</t>
        </is>
      </c>
      <c r="H531" t="inlineStr">
        <is>
          <t>Saab 9-3 1999-2002 2.3L L4 140cid
Saab 9-3 1999-2003 2L L4 1985cc
Saab 9-3 2001-2002 2L L4 122cid
Saab 900 1994 2.1L L4 2119cc
Saab 900 1994-1997 2.5L V6 2498cc
Saab 900 1994-1998 2.3L L4 140cid
Saab 900 1994-1998 2L L4 1985cc</t>
        </is>
      </c>
      <c r="I531" t="inlineStr">
        <is>
          <t>{"0": {"productDeskExternalKey": "CPCX|43-1956"}, "1": {"Package Contents": "Wiper Motor; Instruction Sheet"}, "2": {"E-Waste": "Yes"}, "3": {"Product Condition": "Remanufactured"}, "4": {"Mounting Hole Quantity": "3"}, "5": {"Terminal Type": "Blade"}, "6": {"Mounting Type": "Direct Bolt"}, "7": {"Weight PG": "2.4500"}, "8": {"Washer Pump Included": "No"}, "9": {"Part Type": "Windshield Wiper Motor"}, "10": {"Warranty Info": "1 Year/18,000 Mile"}, "11": {"Sustainable Choice": "Yes"}, "12": {"Lifecycle Status": "Available to Order"}, "13": {"Application Summary": "Saab 900 1998-94, 9-3 2003-99"}, "14": {"ItemLevelGTIN": "00082617572453"}, "15": {"_addonCardone": "43-1956::98268:112869:494"}, "16": {"Eligible for R&amp;R Service": "Yes"}}</t>
        </is>
      </c>
      <c r="J531" t="inlineStr">
        <is>
          <t>https://www.cardone.com/product/windshield-wiper-motor-43-1956</t>
        </is>
      </c>
      <c r="K531">
        <f>DISPIMG("ID_9584729C96C946C2804ABFEA019F3C71",1)</f>
        <v/>
      </c>
      <c r="L531" t="inlineStr">
        <is>
          <t>CPCX|43-1956</t>
        </is>
      </c>
      <c r="M531" t="inlineStr">
        <is>
          <t>Wiper Motor; Instruction Sheet</t>
        </is>
      </c>
      <c r="N531" t="inlineStr">
        <is>
          <t>Yes</t>
        </is>
      </c>
      <c r="O531" t="inlineStr">
        <is>
          <t>Remanufactured</t>
        </is>
      </c>
      <c r="P531" t="inlineStr">
        <is>
          <t>3</t>
        </is>
      </c>
      <c r="Q531" t="inlineStr">
        <is>
          <t>Blade</t>
        </is>
      </c>
      <c r="R531" t="inlineStr">
        <is>
          <t>Direct Bolt</t>
        </is>
      </c>
      <c r="S531" t="inlineStr">
        <is>
          <t>2.4500</t>
        </is>
      </c>
      <c r="T531" t="inlineStr">
        <is>
          <t>No</t>
        </is>
      </c>
      <c r="U531" t="inlineStr">
        <is>
          <t>1 Year/18,000 Mile</t>
        </is>
      </c>
      <c r="V531" t="inlineStr">
        <is>
          <t>Yes</t>
        </is>
      </c>
      <c r="W531" t="inlineStr">
        <is>
          <t>Available to Order</t>
        </is>
      </c>
      <c r="X531" t="inlineStr">
        <is>
          <t>Saab 900 1998-94, 9-3 2003-99</t>
        </is>
      </c>
      <c r="Y531" t="inlineStr">
        <is>
          <t>00082617572453</t>
        </is>
      </c>
      <c r="Z531" t="inlineStr">
        <is>
          <t>43-1956::98268:112869:494</t>
        </is>
      </c>
      <c r="AA531" t="inlineStr">
        <is>
          <t>Yes</t>
        </is>
      </c>
      <c r="AB531" t="inlineStr"/>
      <c r="AC531" t="inlineStr"/>
    </row>
    <row r="532">
      <c r="A532" t="inlineStr">
        <is>
          <t>531</t>
        </is>
      </c>
      <c r="B532" t="inlineStr">
        <is>
          <t>Windshield Wiper Motor</t>
        </is>
      </c>
      <c r="C532" t="inlineStr">
        <is>
          <t>43-2000</t>
        </is>
      </c>
      <c r="D532" t="inlineStr">
        <is>
          <t>Windshield Wiper Motor - 43-2000</t>
        </is>
      </c>
      <c r="E532" t="inlineStr">
        <is>
          <t>CARDONE Reman</t>
        </is>
      </c>
      <c r="F532" t="inlineStr">
        <is>
          <t>8511028020</t>
        </is>
      </c>
      <c r="G532" t="inlineStr">
        <is>
          <t>Toyota Van 1984-1989
Toyota Van Wagon 1988</t>
        </is>
      </c>
      <c r="H532" t="inlineStr">
        <is>
          <t>Toyota Van 1984-1985 2L L4 122cid
Toyota Van 1986-1989 2.2L L4 2237cc
Toyota Van Wagon 1988 2.2L L4 2237cc</t>
        </is>
      </c>
      <c r="I532" t="inlineStr">
        <is>
          <t>{"0": {"productDeskExternalKey": "CPCX|43-2000"}, "1": {"Package Contents": "Wiper Motor; Instruction Sheet"}, "2": {"E-Waste": "Yes"}, "3": {"Product Condition": "Remanufactured"}, "4": {"Mounting Hole Quantity": "4"}, "5": {"Terminal Type": "Blade"}, "6": {"Mounting Type": "Grommet"}, "7": {"Weight PG": "3.1400"}, "8": {"Washer Pump Included": "No"}, "9": {"Part Type": "Windshield Wiper Motor"}, "10": {"Warranty Info": "1 Year/18,000 Mile"}, "11": {"Sustainable Choice": "Yes"}, "12": {"Lifecycle Status": "Available to Order"}, "13": {"Application Summary": "Toyota Van 1989-84, Van Wagon 1988"}, "14": {"ItemLevelGTIN": "00082617448758"}, "15": {"_addonCardone": "43-2000::98268:112886:494"}, "16": {"Eligible for R&amp;R Service": "Yes"}}</t>
        </is>
      </c>
      <c r="J532" t="inlineStr">
        <is>
          <t>https://www.cardone.com/product/windshield-wiper-motor-43-2000</t>
        </is>
      </c>
      <c r="K532">
        <f>DISPIMG("ID_DA1C6386A6D04DDDBDCF4D8F9A6CA93A",1)</f>
        <v/>
      </c>
      <c r="L532" t="inlineStr">
        <is>
          <t>CPCX|43-2000</t>
        </is>
      </c>
      <c r="M532" t="inlineStr">
        <is>
          <t>Wiper Motor; Instruction Sheet</t>
        </is>
      </c>
      <c r="N532" t="inlineStr">
        <is>
          <t>Yes</t>
        </is>
      </c>
      <c r="O532" t="inlineStr">
        <is>
          <t>Remanufactured</t>
        </is>
      </c>
      <c r="P532" t="inlineStr">
        <is>
          <t>4</t>
        </is>
      </c>
      <c r="Q532" t="inlineStr">
        <is>
          <t>Blade</t>
        </is>
      </c>
      <c r="R532" t="inlineStr">
        <is>
          <t>Grommet</t>
        </is>
      </c>
      <c r="S532" t="inlineStr">
        <is>
          <t>3.1400</t>
        </is>
      </c>
      <c r="T532" t="inlineStr">
        <is>
          <t>No</t>
        </is>
      </c>
      <c r="U532" t="inlineStr">
        <is>
          <t>1 Year/18,000 Mile</t>
        </is>
      </c>
      <c r="V532" t="inlineStr">
        <is>
          <t>Yes</t>
        </is>
      </c>
      <c r="W532" t="inlineStr">
        <is>
          <t>Available to Order</t>
        </is>
      </c>
      <c r="X532" t="inlineStr">
        <is>
          <t>Toyota Van 1989-84, Van Wagon 1988</t>
        </is>
      </c>
      <c r="Y532" t="inlineStr">
        <is>
          <t>00082617448758</t>
        </is>
      </c>
      <c r="Z532" t="inlineStr">
        <is>
          <t>43-2000::98268:112886:494</t>
        </is>
      </c>
      <c r="AA532" t="inlineStr">
        <is>
          <t>Yes</t>
        </is>
      </c>
      <c r="AB532" t="inlineStr"/>
      <c r="AC532" t="inlineStr"/>
    </row>
    <row r="533">
      <c r="A533" t="inlineStr">
        <is>
          <t>532</t>
        </is>
      </c>
      <c r="B533" t="inlineStr">
        <is>
          <t>Windshield Wiper Motor</t>
        </is>
      </c>
      <c r="C533" t="inlineStr">
        <is>
          <t>43-20005</t>
        </is>
      </c>
      <c r="D533" t="inlineStr">
        <is>
          <t>Windshield Wiper Motor - 43-20005</t>
        </is>
      </c>
      <c r="E533" t="inlineStr">
        <is>
          <t>CARDONE Reman</t>
        </is>
      </c>
      <c r="F533" t="inlineStr">
        <is>
          <t>8511014380;8511014290</t>
        </is>
      </c>
      <c r="G533" t="inlineStr">
        <is>
          <t>Toyota Celica 1986
Toyota Supra 1986-1993</t>
        </is>
      </c>
      <c r="H533" t="inlineStr">
        <is>
          <t>Toyota Celica 1986 2.8L L6 2754cc
Toyota Supra 1986-1992 3L L6 2954cc
Toyota Supra 1993 3L L6 2997cc</t>
        </is>
      </c>
      <c r="I533" t="inlineStr">
        <is>
          <t>{"0": {"productDeskExternalKey": "CPCX|43-20005"}, "1": {"Package Contents": "Wiper Motor; Instruction Sheet"}, "2": {"E-Waste": "Yes"}, "3": {"Product Condition": "Remanufactured"}, "4": {"Mounting Hole Quantity": "3"}, "5": {"Terminal Type": "Blade"}, "6": {"Mounting Type": "Grommet"}, "7": {"Weight PG": "1.5000"}, "8": {"Washer Pump Included": "No"}, "9": {"Part Type": "Windshield Wiper Motor"}, "10": {"Warranty Info": "1 Year/18,000 Mile"}, "11": {"Sustainable Choice": "Yes"}, "12": {"Lifecycle Status": "Available to Order"}, "13": {"Application Summary": "Toyota Celica 1986, Supra 1993-86"}, "14": {"ItemLevelGTIN": "00082617838313"}, "15": {"_addonCardone": "43-20005::98268:112899:494"}, "16": {"Eligible for R&amp;R Service": "Yes"}}</t>
        </is>
      </c>
      <c r="J533" t="inlineStr">
        <is>
          <t>https://www.cardone.com/product/windshield-wiper-motor-43-20005</t>
        </is>
      </c>
      <c r="K533">
        <f>DISPIMG("ID_A4D7FCF6CD85485BA7760ED43B42A952",1)</f>
        <v/>
      </c>
      <c r="L533" t="inlineStr">
        <is>
          <t>CPCX|43-20005</t>
        </is>
      </c>
      <c r="M533" t="inlineStr">
        <is>
          <t>Wiper Motor; Instruction Sheet</t>
        </is>
      </c>
      <c r="N533" t="inlineStr">
        <is>
          <t>Yes</t>
        </is>
      </c>
      <c r="O533" t="inlineStr">
        <is>
          <t>Remanufactured</t>
        </is>
      </c>
      <c r="P533" t="inlineStr">
        <is>
          <t>3</t>
        </is>
      </c>
      <c r="Q533" t="inlineStr">
        <is>
          <t>Blade</t>
        </is>
      </c>
      <c r="R533" t="inlineStr">
        <is>
          <t>Grommet</t>
        </is>
      </c>
      <c r="S533" t="inlineStr">
        <is>
          <t>1.5000</t>
        </is>
      </c>
      <c r="T533" t="inlineStr">
        <is>
          <t>No</t>
        </is>
      </c>
      <c r="U533" t="inlineStr">
        <is>
          <t>1 Year/18,000 Mile</t>
        </is>
      </c>
      <c r="V533" t="inlineStr">
        <is>
          <t>Yes</t>
        </is>
      </c>
      <c r="W533" t="inlineStr">
        <is>
          <t>Available to Order</t>
        </is>
      </c>
      <c r="X533" t="inlineStr">
        <is>
          <t>Toyota Celica 1986, Supra 1993-86</t>
        </is>
      </c>
      <c r="Y533" t="inlineStr">
        <is>
          <t>00082617838313</t>
        </is>
      </c>
      <c r="Z533" t="inlineStr">
        <is>
          <t>43-20005::98268:112899:494</t>
        </is>
      </c>
      <c r="AA533" t="inlineStr">
        <is>
          <t>Yes</t>
        </is>
      </c>
      <c r="AB533" t="inlineStr"/>
      <c r="AC533" t="inlineStr"/>
    </row>
    <row r="534">
      <c r="A534" t="inlineStr">
        <is>
          <t>533</t>
        </is>
      </c>
      <c r="B534" t="inlineStr">
        <is>
          <t>Windshield Wiper Motor</t>
        </is>
      </c>
      <c r="C534" t="inlineStr">
        <is>
          <t>43-20007</t>
        </is>
      </c>
      <c r="D534" t="inlineStr">
        <is>
          <t>Windshield Wiper Motor - 43-20007</t>
        </is>
      </c>
      <c r="E534" t="inlineStr">
        <is>
          <t>CARDONE Reman</t>
        </is>
      </c>
      <c r="F534" t="inlineStr">
        <is>
          <t>8513012A10</t>
        </is>
      </c>
      <c r="G534" t="inlineStr">
        <is>
          <t>Scion xB 2008-2015</t>
        </is>
      </c>
      <c r="H534" t="inlineStr">
        <is>
          <t>Scion xB 2008-2015 2.4L L4 2362cc</t>
        </is>
      </c>
      <c r="I534" t="inlineStr">
        <is>
          <t>{"0": {"productDeskExternalKey": "CPCX|43-20007"}, "1": {"Package Contents": "Wiper Motor; Instruction Sheet"}, "2": {"E-Waste": "Yes"}, "3": {"Product Condition": "Remanufactured"}, "4": {"Mounting Hole Quantity": "3"}, "5": {"Terminal Type": "Blade"}, "6": {"Mounting Type": "Grommet"}, "7": {"Weight PG": "1.4000"}, "8": {"Washer Pump Included": "No"}, "9": {"Part Type": "Windshield Wiper Motor"}, "10": {"Warranty Info": "1 Year/18,000 Mile"}, "11": {"Sustainable Choice": "Yes"}, "12": {"Lifecycle Status": "Available to Order"}, "13": {"Application Summary": "Scion xB 2015-08"}, "14": {"ItemLevelGTIN": "00082617838337"}, "15": {"_addonCardone": "43-20007::98268:112913:494"}, "16": {"Eligible for R&amp;R Service": "Yes"}}</t>
        </is>
      </c>
      <c r="J534" t="inlineStr">
        <is>
          <t>https://www.cardone.com/product/windshield-wiper-motor-43-20007</t>
        </is>
      </c>
      <c r="K534">
        <f>DISPIMG("ID_49B8F7C6ABFA431B81E1F263AE7F685B",1)</f>
        <v/>
      </c>
      <c r="L534" t="inlineStr">
        <is>
          <t>CPCX|43-20007</t>
        </is>
      </c>
      <c r="M534" t="inlineStr">
        <is>
          <t>Wiper Motor; Instruction Sheet</t>
        </is>
      </c>
      <c r="N534" t="inlineStr">
        <is>
          <t>Yes</t>
        </is>
      </c>
      <c r="O534" t="inlineStr">
        <is>
          <t>Remanufactured</t>
        </is>
      </c>
      <c r="P534" t="inlineStr">
        <is>
          <t>3</t>
        </is>
      </c>
      <c r="Q534" t="inlineStr">
        <is>
          <t>Blade</t>
        </is>
      </c>
      <c r="R534" t="inlineStr">
        <is>
          <t>Grommet</t>
        </is>
      </c>
      <c r="S534" t="inlineStr">
        <is>
          <t>1.4000</t>
        </is>
      </c>
      <c r="T534" t="inlineStr">
        <is>
          <t>No</t>
        </is>
      </c>
      <c r="U534" t="inlineStr">
        <is>
          <t>1 Year/18,000 Mile</t>
        </is>
      </c>
      <c r="V534" t="inlineStr">
        <is>
          <t>Yes</t>
        </is>
      </c>
      <c r="W534" t="inlineStr">
        <is>
          <t>Available to Order</t>
        </is>
      </c>
      <c r="X534" t="inlineStr">
        <is>
          <t>Scion xB 2015-08</t>
        </is>
      </c>
      <c r="Y534" t="inlineStr">
        <is>
          <t>00082617838337</t>
        </is>
      </c>
      <c r="Z534" t="inlineStr">
        <is>
          <t>43-20007::98268:112913:494</t>
        </is>
      </c>
      <c r="AA534" t="inlineStr">
        <is>
          <t>Yes</t>
        </is>
      </c>
      <c r="AB534" t="inlineStr"/>
      <c r="AC534" t="inlineStr"/>
    </row>
    <row r="535">
      <c r="A535" t="inlineStr">
        <is>
          <t>534</t>
        </is>
      </c>
      <c r="B535" t="inlineStr">
        <is>
          <t>Windshield Wiper Motor</t>
        </is>
      </c>
      <c r="C535" t="inlineStr">
        <is>
          <t>43-20008</t>
        </is>
      </c>
      <c r="D535" t="inlineStr">
        <is>
          <t>Windshield Wiper Motor - 43-20008</t>
        </is>
      </c>
      <c r="E535" t="inlineStr">
        <is>
          <t>CARDONE Reman</t>
        </is>
      </c>
      <c r="F535" t="inlineStr">
        <is>
          <t>8513052160</t>
        </is>
      </c>
      <c r="G535" t="inlineStr">
        <is>
          <t>Scion xD 2008-2014</t>
        </is>
      </c>
      <c r="H535" t="inlineStr">
        <is>
          <t>Scion xD 2008-2014 1.8L L4 110cid</t>
        </is>
      </c>
      <c r="I535" t="inlineStr">
        <is>
          <t>{"0": {"productDeskExternalKey": "CPCX|43-20008"}, "1": {"Package Contents": "Wiper Motor; Instruction Sheet"}, "2": {"E-Waste": "Yes"}, "3": {"Product Condition": "Remanufactured"}, "4": {"Mounting Hole Quantity": "3"}, "5": {"Terminal Type": "Blade"}, "6": {"Mounting Type": "Grommet; Through Hole"}, "7": {"Weight PG": "1.8000"}, "8": {"Washer Pump Included": "No"}, "9": {"Part Type": "Windshield Wiper Motor"}, "10": {"Warranty Info": "1 Year/18,000 Mile"}, "11": {"Sustainable Choice": "Yes"}, "12": {"Lifecycle Status": "Available to Order"}, "13": {"Application Summary": "Scion xD 2014-08"}, "14": {"ItemLevelGTIN": "00082617838344"}, "15": {"_addonCardone": "43-20008::98268:112925:494"}, "16": {"Eligible for R&amp;R Service": "Yes"}}</t>
        </is>
      </c>
      <c r="J535" t="inlineStr">
        <is>
          <t>https://www.cardone.com/product/windshield-wiper-motor-43-20008</t>
        </is>
      </c>
      <c r="K535">
        <f>DISPIMG("ID_5CCE586E1A6643A2BE146D5B2F2B7601",1)</f>
        <v/>
      </c>
      <c r="L535" t="inlineStr">
        <is>
          <t>CPCX|43-20008</t>
        </is>
      </c>
      <c r="M535" t="inlineStr">
        <is>
          <t>Wiper Motor; Instruction Sheet</t>
        </is>
      </c>
      <c r="N535" t="inlineStr">
        <is>
          <t>Yes</t>
        </is>
      </c>
      <c r="O535" t="inlineStr">
        <is>
          <t>Remanufactured</t>
        </is>
      </c>
      <c r="P535" t="inlineStr">
        <is>
          <t>3</t>
        </is>
      </c>
      <c r="Q535" t="inlineStr">
        <is>
          <t>Blade</t>
        </is>
      </c>
      <c r="R535" t="inlineStr">
        <is>
          <t>Grommet; Through Hole</t>
        </is>
      </c>
      <c r="S535" t="inlineStr">
        <is>
          <t>1.8000</t>
        </is>
      </c>
      <c r="T535" t="inlineStr">
        <is>
          <t>No</t>
        </is>
      </c>
      <c r="U535" t="inlineStr">
        <is>
          <t>1 Year/18,000 Mile</t>
        </is>
      </c>
      <c r="V535" t="inlineStr">
        <is>
          <t>Yes</t>
        </is>
      </c>
      <c r="W535" t="inlineStr">
        <is>
          <t>Available to Order</t>
        </is>
      </c>
      <c r="X535" t="inlineStr">
        <is>
          <t>Scion xD 2014-08</t>
        </is>
      </c>
      <c r="Y535" t="inlineStr">
        <is>
          <t>00082617838344</t>
        </is>
      </c>
      <c r="Z535" t="inlineStr">
        <is>
          <t>43-20008::98268:112925:494</t>
        </is>
      </c>
      <c r="AA535" t="inlineStr">
        <is>
          <t>Yes</t>
        </is>
      </c>
      <c r="AB535" t="inlineStr"/>
      <c r="AC535" t="inlineStr"/>
    </row>
    <row r="536">
      <c r="A536" t="inlineStr">
        <is>
          <t>535</t>
        </is>
      </c>
      <c r="B536" t="inlineStr">
        <is>
          <t>Windshield Wiper Motor</t>
        </is>
      </c>
      <c r="C536" t="inlineStr">
        <is>
          <t>43-2001</t>
        </is>
      </c>
      <c r="D536" t="inlineStr">
        <is>
          <t>Windshield Wiper Motor - 43-2001</t>
        </is>
      </c>
      <c r="E536" t="inlineStr">
        <is>
          <t>CARDONE Reman</t>
        </is>
      </c>
      <c r="F536" t="inlineStr">
        <is>
          <t>8511060141;8511020840;8511020780</t>
        </is>
      </c>
      <c r="G536" t="inlineStr">
        <is>
          <t>Lexus LX450 1996-1997
Toyota Celica 1994-1999
Toyota Land Cruiser 1993-1997</t>
        </is>
      </c>
      <c r="H536" t="inlineStr">
        <is>
          <t>Lexus LX450 1996-1997 4.5L L6 4477cc
Toyota Celica 1994-1997 1.8L L4 107cid
Toyota Celica 1994-1999 2.2L L4 2164cc
Toyota Land Cruiser 1993-1997 4.5L L6 4477cc</t>
        </is>
      </c>
      <c r="I536" t="inlineStr">
        <is>
          <t>{"0": {"productDeskExternalKey": "CPCX|43-2001"}, "1": {"Package Contents": "Wiper Motor; Instruction Sheet"}, "2": {"E-Waste": "Yes"}, "3": {"Product Condition": "Remanufactured"}, "4": {"Mounting Hole Quantity": "4"}, "5": {"Terminal Type": "Blade"}, "6": {"Mounting Type": "Grommet"}, "7": {"Weight PG": "2.9000"}, "8": {"Washer Pump Included": "No"}, "9": {"Part Type": "Windshield Wiper Motor"}, "10": {"Warranty Info": "1 Year/18,000 Mile"}, "11": {"Sustainable Choice": "Yes"}, "12": {"Lifecycle Status": "Available to Order"}, "13": {"Application Summary": "Lexus LX450 1997-96; Toyota Celica 1999-94, Land Cruiser 1997-93"}, "14": {"ItemLevelGTIN": "00082617496285"}, "15": {"_addonCardone": "43-2001::98268:112948:494"}, "16": {"Eligible for R&amp;R Service": "Yes"}}</t>
        </is>
      </c>
      <c r="J536" t="inlineStr">
        <is>
          <t>https://www.cardone.com/product/windshield-wiper-motor-43-2001</t>
        </is>
      </c>
      <c r="K536">
        <f>DISPIMG("ID_74380D56A0704A7EA1A64FEE19D86221",1)</f>
        <v/>
      </c>
      <c r="L536" t="inlineStr">
        <is>
          <t>CPCX|43-2001</t>
        </is>
      </c>
      <c r="M536" t="inlineStr">
        <is>
          <t>Wiper Motor; Instruction Sheet</t>
        </is>
      </c>
      <c r="N536" t="inlineStr">
        <is>
          <t>Yes</t>
        </is>
      </c>
      <c r="O536" t="inlineStr">
        <is>
          <t>Remanufactured</t>
        </is>
      </c>
      <c r="P536" t="inlineStr">
        <is>
          <t>4</t>
        </is>
      </c>
      <c r="Q536" t="inlineStr">
        <is>
          <t>Blade</t>
        </is>
      </c>
      <c r="R536" t="inlineStr">
        <is>
          <t>Grommet</t>
        </is>
      </c>
      <c r="S536" t="inlineStr">
        <is>
          <t>2.9000</t>
        </is>
      </c>
      <c r="T536" t="inlineStr">
        <is>
          <t>No</t>
        </is>
      </c>
      <c r="U536" t="inlineStr">
        <is>
          <t>1 Year/18,000 Mile</t>
        </is>
      </c>
      <c r="V536" t="inlineStr">
        <is>
          <t>Yes</t>
        </is>
      </c>
      <c r="W536" t="inlineStr">
        <is>
          <t>Available to Order</t>
        </is>
      </c>
      <c r="X536" t="inlineStr">
        <is>
          <t>Lexus LX450 1997-96; Toyota Celica 1999-94, Land Cruiser 1997-93</t>
        </is>
      </c>
      <c r="Y536" t="inlineStr">
        <is>
          <t>00082617496285</t>
        </is>
      </c>
      <c r="Z536" t="inlineStr">
        <is>
          <t>43-2001::98268:112948:494</t>
        </is>
      </c>
      <c r="AA536" t="inlineStr">
        <is>
          <t>Yes</t>
        </is>
      </c>
      <c r="AB536" t="inlineStr"/>
      <c r="AC536" t="inlineStr"/>
    </row>
    <row r="537">
      <c r="A537" t="inlineStr">
        <is>
          <t>536</t>
        </is>
      </c>
      <c r="B537" t="inlineStr">
        <is>
          <t>Windshield Wiper Motor</t>
        </is>
      </c>
      <c r="C537" t="inlineStr">
        <is>
          <t>43-20011</t>
        </is>
      </c>
      <c r="D537" t="inlineStr">
        <is>
          <t>Windshield Wiper Motor - 43-20011</t>
        </is>
      </c>
      <c r="E537" t="inlineStr">
        <is>
          <t>CARDONE Reman</t>
        </is>
      </c>
      <c r="F537" t="inlineStr">
        <is>
          <t>851300C010</t>
        </is>
      </c>
      <c r="G537" t="inlineStr">
        <is>
          <t>Toyota Sequoia 2008-2022</t>
        </is>
      </c>
      <c r="H537" t="inlineStr">
        <is>
          <t>Toyota Sequoia 2008-2012 4.7L V8 285cid
Toyota Sequoia 2008-2022 5.7L V8 345cid
Toyota Sequoia 2010-2012 4.6L V8 4608cc</t>
        </is>
      </c>
      <c r="I537" t="inlineStr">
        <is>
          <t>{"0": {"productDeskExternalKey": "CPCX|43-20011"}, "1": {"Package Contents": "Wiper Motor; Instruction Sheet"}, "2": {"E-Waste": "Yes"}, "3": {"Product Condition": "Remanufactured"}, "4": {"Mounting Hole Quantity": "3"}, "5": {"Terminal Type": "Blade"}, "6": {"Mounting Type": "Grommet"}, "7": {"Weight PG": "2.3000"}, "8": {"Washer Pump Included": "No"}, "9": {"Part Type": "Windshield Wiper Motor"}, "10": {"Warranty Info": "1 Year/18,000 Mile"}, "11": {"Sustainable Choice": "Yes"}, "12": {"Lifecycle Status": "Available to Order"}, "13": {"Application Summary": "Toyota Sequoia 2022-08"}, "14": {"ItemLevelGTIN": "00082617864770"}, "15": {"_addonCardone": "43-20011::98268:112969:494"}, "16": {"Eligible for R&amp;R Service": "Yes"}}</t>
        </is>
      </c>
      <c r="J537" t="inlineStr">
        <is>
          <t>https://www.cardone.com/product/windshield-wiper-motor-43-20011</t>
        </is>
      </c>
      <c r="K537">
        <f>DISPIMG("ID_EB144942D1A24527A5C82FD45B73DDC8",1)</f>
        <v/>
      </c>
      <c r="L537" t="inlineStr">
        <is>
          <t>CPCX|43-20011</t>
        </is>
      </c>
      <c r="M537" t="inlineStr">
        <is>
          <t>Wiper Motor; Instruction Sheet</t>
        </is>
      </c>
      <c r="N537" t="inlineStr">
        <is>
          <t>Yes</t>
        </is>
      </c>
      <c r="O537" t="inlineStr">
        <is>
          <t>Remanufactured</t>
        </is>
      </c>
      <c r="P537" t="inlineStr">
        <is>
          <t>3</t>
        </is>
      </c>
      <c r="Q537" t="inlineStr">
        <is>
          <t>Blade</t>
        </is>
      </c>
      <c r="R537" t="inlineStr">
        <is>
          <t>Grommet</t>
        </is>
      </c>
      <c r="S537" t="inlineStr">
        <is>
          <t>2.3000</t>
        </is>
      </c>
      <c r="T537" t="inlineStr">
        <is>
          <t>No</t>
        </is>
      </c>
      <c r="U537" t="inlineStr">
        <is>
          <t>1 Year/18,000 Mile</t>
        </is>
      </c>
      <c r="V537" t="inlineStr">
        <is>
          <t>Yes</t>
        </is>
      </c>
      <c r="W537" t="inlineStr">
        <is>
          <t>Available to Order</t>
        </is>
      </c>
      <c r="X537" t="inlineStr">
        <is>
          <t>Toyota Sequoia 2022-08</t>
        </is>
      </c>
      <c r="Y537" t="inlineStr">
        <is>
          <t>00082617864770</t>
        </is>
      </c>
      <c r="Z537" t="inlineStr">
        <is>
          <t>43-20011::98268:112969:494</t>
        </is>
      </c>
      <c r="AA537" t="inlineStr">
        <is>
          <t>Yes</t>
        </is>
      </c>
      <c r="AB537" t="inlineStr"/>
      <c r="AC537" t="inlineStr"/>
    </row>
    <row r="538">
      <c r="A538" t="inlineStr">
        <is>
          <t>537</t>
        </is>
      </c>
      <c r="B538" t="inlineStr">
        <is>
          <t>Windshield Wiper Motor</t>
        </is>
      </c>
      <c r="C538" t="inlineStr">
        <is>
          <t>43-20014</t>
        </is>
      </c>
      <c r="D538" t="inlineStr">
        <is>
          <t>Windshield Wiper Motor - 43-20014</t>
        </is>
      </c>
      <c r="E538" t="inlineStr">
        <is>
          <t>CARDONE Reman</t>
        </is>
      </c>
      <c r="F538" t="inlineStr">
        <is>
          <t>851300E060;8513048050</t>
        </is>
      </c>
      <c r="G538" t="inlineStr">
        <is>
          <t>Toyota Highlander 2008-2013</t>
        </is>
      </c>
      <c r="H538" t="inlineStr">
        <is>
          <t>Toyota Highlander 2008-2010 3.3L V6 202cid
Toyota Highlander 2008-2013 3.5L V6 3456cc
Toyota Highlander 2009-2013 2.7L L4 163cid</t>
        </is>
      </c>
      <c r="I538" t="inlineStr">
        <is>
          <t>{"0": {"productDeskExternalKey": "CPCX|43-20014"}, "1": {"Package Contents": "Wiper Motor; Instruction Sheet"}, "2": {"E-Waste": "Yes"}, "3": {"Product Condition": "Remanufactured"}, "4": {"Mounting Hole Quantity": "4"}, "5": {"Terminal Type": "Blade"}, "6": {"Mounting Type": "Grommet"}, "7": {"Weight PG": "2.5000"}, "8": {"Washer Pump Included": "No"}, "9": {"Part Type": "Windshield Wiper Motor"}, "10": {"Warranty Info": "1 Year/18,000 Mile"}, "11": {"Sustainable Choice": "Yes"}, "12": {"Lifecycle Status": "Available to Order"}, "13": {"Application Summary": "Toyota Highlander 2013-08"}, "14": {"ItemLevelGTIN": "00082617901833"}, "15": {"_addonCardone": "43-20014::98268:112983:494"}, "16": {"Eligible for R&amp;R Service": "Yes"}}</t>
        </is>
      </c>
      <c r="J538" t="inlineStr">
        <is>
          <t>https://www.cardone.com/product/windshield-wiper-motor-43-20014</t>
        </is>
      </c>
      <c r="K538">
        <f>DISPIMG("ID_A7160C85D16C45D38D58E391662B01C4",1)</f>
        <v/>
      </c>
      <c r="L538" t="inlineStr">
        <is>
          <t>CPCX|43-20014</t>
        </is>
      </c>
      <c r="M538" t="inlineStr">
        <is>
          <t>Wiper Motor; Instruction Sheet</t>
        </is>
      </c>
      <c r="N538" t="inlineStr">
        <is>
          <t>Yes</t>
        </is>
      </c>
      <c r="O538" t="inlineStr">
        <is>
          <t>Remanufactured</t>
        </is>
      </c>
      <c r="P538" t="inlineStr">
        <is>
          <t>4</t>
        </is>
      </c>
      <c r="Q538" t="inlineStr">
        <is>
          <t>Blade</t>
        </is>
      </c>
      <c r="R538" t="inlineStr">
        <is>
          <t>Grommet</t>
        </is>
      </c>
      <c r="S538" t="inlineStr">
        <is>
          <t>2.5000</t>
        </is>
      </c>
      <c r="T538" t="inlineStr">
        <is>
          <t>No</t>
        </is>
      </c>
      <c r="U538" t="inlineStr">
        <is>
          <t>1 Year/18,000 Mile</t>
        </is>
      </c>
      <c r="V538" t="inlineStr">
        <is>
          <t>Yes</t>
        </is>
      </c>
      <c r="W538" t="inlineStr">
        <is>
          <t>Available to Order</t>
        </is>
      </c>
      <c r="X538" t="inlineStr">
        <is>
          <t>Toyota Highlander 2013-08</t>
        </is>
      </c>
      <c r="Y538" t="inlineStr">
        <is>
          <t>00082617901833</t>
        </is>
      </c>
      <c r="Z538" t="inlineStr">
        <is>
          <t>43-20014::98268:112983:494</t>
        </is>
      </c>
      <c r="AA538" t="inlineStr">
        <is>
          <t>Yes</t>
        </is>
      </c>
      <c r="AB538" t="inlineStr"/>
      <c r="AC538" t="inlineStr"/>
    </row>
    <row r="539">
      <c r="A539" t="inlineStr">
        <is>
          <t>538</t>
        </is>
      </c>
      <c r="B539" t="inlineStr">
        <is>
          <t>Windshield Wiper Motor</t>
        </is>
      </c>
      <c r="C539" t="inlineStr">
        <is>
          <t>43-20015</t>
        </is>
      </c>
      <c r="D539" t="inlineStr">
        <is>
          <t>Windshield Wiper Motor - 43-20015</t>
        </is>
      </c>
      <c r="E539" t="inlineStr">
        <is>
          <t>CARDONE Reman</t>
        </is>
      </c>
      <c r="F539" t="inlineStr">
        <is>
          <t>8513052170</t>
        </is>
      </c>
      <c r="G539" t="inlineStr">
        <is>
          <t>Toyota Yaris 2009-2011</t>
        </is>
      </c>
      <c r="H539" t="inlineStr">
        <is>
          <t>Toyota Yaris 2009-2011 1.5L L4 1497cc</t>
        </is>
      </c>
      <c r="I539" t="inlineStr">
        <is>
          <t>{"0": {"productDeskExternalKey": "CPCX|43-20015"}, "1": {"Package Contents": "Wiper Motor; Instruction Sheet"}, "2": {"E-Waste": "Yes"}, "3": {"Product Condition": "Remanufactured"}, "4": {"Mounting Hole Quantity": "3"}, "5": {"Terminal Type": "Blade"}, "6": {"Mounting Type": "Eyelet"}, "7": {"Weight PG": "1.8000"}, "8": {"Washer Pump Included": "No"}, "9": {"Part Type": "Windshield Wiper Motor"}, "10": {"Warranty Info": "1 Year/18,000 Mile"}, "11": {"Sustainable Choice": "Yes"}, "12": {"Lifecycle Status": "Available to Order"}, "13": {"Application Summary": "Toyota Yaris 2011-09"}, "14": {"ItemLevelGTIN": "00082617901895"}, "15": {"_addonCardone": "43-20015::98268:112995:494"}, "16": {"Eligible for R&amp;R Service": "Yes"}}</t>
        </is>
      </c>
      <c r="J539" t="inlineStr">
        <is>
          <t>https://www.cardone.com/product/windshield-wiper-motor-43-20015</t>
        </is>
      </c>
      <c r="K539">
        <f>DISPIMG("ID_CE2AC88084D043E7B86FEBED557C296E",1)</f>
        <v/>
      </c>
      <c r="L539" t="inlineStr">
        <is>
          <t>CPCX|43-20015</t>
        </is>
      </c>
      <c r="M539" t="inlineStr">
        <is>
          <t>Wiper Motor; Instruction Sheet</t>
        </is>
      </c>
      <c r="N539" t="inlineStr">
        <is>
          <t>Yes</t>
        </is>
      </c>
      <c r="O539" t="inlineStr">
        <is>
          <t>Remanufactured</t>
        </is>
      </c>
      <c r="P539" t="inlineStr">
        <is>
          <t>3</t>
        </is>
      </c>
      <c r="Q539" t="inlineStr">
        <is>
          <t>Blade</t>
        </is>
      </c>
      <c r="R539" t="inlineStr">
        <is>
          <t>Eyelet</t>
        </is>
      </c>
      <c r="S539" t="inlineStr">
        <is>
          <t>1.8000</t>
        </is>
      </c>
      <c r="T539" t="inlineStr">
        <is>
          <t>No</t>
        </is>
      </c>
      <c r="U539" t="inlineStr">
        <is>
          <t>1 Year/18,000 Mile</t>
        </is>
      </c>
      <c r="V539" t="inlineStr">
        <is>
          <t>Yes</t>
        </is>
      </c>
      <c r="W539" t="inlineStr">
        <is>
          <t>Available to Order</t>
        </is>
      </c>
      <c r="X539" t="inlineStr">
        <is>
          <t>Toyota Yaris 2011-09</t>
        </is>
      </c>
      <c r="Y539" t="inlineStr">
        <is>
          <t>00082617901895</t>
        </is>
      </c>
      <c r="Z539" t="inlineStr">
        <is>
          <t>43-20015::98268:112995:494</t>
        </is>
      </c>
      <c r="AA539" t="inlineStr">
        <is>
          <t>Yes</t>
        </is>
      </c>
      <c r="AB539" t="inlineStr"/>
      <c r="AC539" t="inlineStr"/>
    </row>
    <row r="540">
      <c r="A540" t="inlineStr">
        <is>
          <t>539</t>
        </is>
      </c>
      <c r="B540" t="inlineStr">
        <is>
          <t>Windshield Wiper Motor</t>
        </is>
      </c>
      <c r="C540" t="inlineStr">
        <is>
          <t>43-20016</t>
        </is>
      </c>
      <c r="D540" t="inlineStr">
        <is>
          <t>Windshield Wiper Motor - 43-20016</t>
        </is>
      </c>
      <c r="E540" t="inlineStr">
        <is>
          <t>CARDONE Reman</t>
        </is>
      </c>
      <c r="F540" t="inlineStr">
        <is>
          <t>8513002040</t>
        </is>
      </c>
      <c r="G540" t="inlineStr">
        <is>
          <t>Pontiac Vibe 2009-2010
Toyota Matrix 2009-2013</t>
        </is>
      </c>
      <c r="H540" t="inlineStr">
        <is>
          <t>Pontiac Vibe 2009-2010 1.8L L4 110cid
Pontiac Vibe 2009-2010 2.4L L4 2362cc
Toyota Matrix 2009-2013 1.8L L4 110cid
Toyota Matrix 2009-2013 2.4L L4 2362cc</t>
        </is>
      </c>
      <c r="I540" t="inlineStr">
        <is>
          <t>{"0": {"productDeskExternalKey": "CPCX|43-20016"}, "1": {"Package Contents": "Wiper Motor; Instruction Sheet"}, "2": {"E-Waste": "Yes"}, "3": {"Product Condition": "Remanufactured"}, "4": {"Mounting Hole Quantity": "4"}, "5": {"Terminal Type": "Blade"}, "6": {"Mounting Type": "Eyelet; Grommet"}, "7": {"Weight PG": "1.8500"}, "8": {"Washer Pump Included": "No"}, "9": {"Part Type": "Windshield Wiper Motor"}, "10": {"Warranty Info": "1 Year/18,000 Mile"}, "11": {"Sustainable Choice": "Yes"}, "12": {"Lifecycle Status": "Available to Order"}, "13": {"Application Summary": "Pontiac Vibe 2010-09; Toyota Matrix 2013-09"}, "14": {"ItemLevelGTIN": "00082617901901"}, "15": {"_addonCardone": "43-20016::98268:113008:494"}, "16": {"Eligible for R&amp;R Service": "Yes"}}</t>
        </is>
      </c>
      <c r="J540" t="inlineStr">
        <is>
          <t>https://www.cardone.com/product/windshield-wiper-motor-43-20016</t>
        </is>
      </c>
      <c r="K540">
        <f>DISPIMG("ID_B4D76C0E3E0348D5913A492975677E28",1)</f>
        <v/>
      </c>
      <c r="L540" t="inlineStr">
        <is>
          <t>CPCX|43-20016</t>
        </is>
      </c>
      <c r="M540" t="inlineStr">
        <is>
          <t>Wiper Motor; Instruction Sheet</t>
        </is>
      </c>
      <c r="N540" t="inlineStr">
        <is>
          <t>Yes</t>
        </is>
      </c>
      <c r="O540" t="inlineStr">
        <is>
          <t>Remanufactured</t>
        </is>
      </c>
      <c r="P540" t="inlineStr">
        <is>
          <t>4</t>
        </is>
      </c>
      <c r="Q540" t="inlineStr">
        <is>
          <t>Blade</t>
        </is>
      </c>
      <c r="R540" t="inlineStr">
        <is>
          <t>Eyelet; Grommet</t>
        </is>
      </c>
      <c r="S540" t="inlineStr">
        <is>
          <t>1.8500</t>
        </is>
      </c>
      <c r="T540" t="inlineStr">
        <is>
          <t>No</t>
        </is>
      </c>
      <c r="U540" t="inlineStr">
        <is>
          <t>1 Year/18,000 Mile</t>
        </is>
      </c>
      <c r="V540" t="inlineStr">
        <is>
          <t>Yes</t>
        </is>
      </c>
      <c r="W540" t="inlineStr">
        <is>
          <t>Available to Order</t>
        </is>
      </c>
      <c r="X540" t="inlineStr">
        <is>
          <t>Pontiac Vibe 2010-09; Toyota Matrix 2013-09</t>
        </is>
      </c>
      <c r="Y540" t="inlineStr">
        <is>
          <t>00082617901901</t>
        </is>
      </c>
      <c r="Z540" t="inlineStr">
        <is>
          <t>43-20016::98268:113008:494</t>
        </is>
      </c>
      <c r="AA540" t="inlineStr">
        <is>
          <t>Yes</t>
        </is>
      </c>
      <c r="AB540" t="inlineStr"/>
      <c r="AC540" t="inlineStr"/>
    </row>
    <row r="541">
      <c r="A541" t="inlineStr">
        <is>
          <t>540</t>
        </is>
      </c>
      <c r="B541" t="inlineStr">
        <is>
          <t>Windshield Wiper Motor</t>
        </is>
      </c>
      <c r="C541" t="inlineStr">
        <is>
          <t>43-20018</t>
        </is>
      </c>
      <c r="D541" t="inlineStr">
        <is>
          <t>Windshield Wiper Motor - 43-20018</t>
        </is>
      </c>
      <c r="E541" t="inlineStr">
        <is>
          <t>CARDONE Reman</t>
        </is>
      </c>
      <c r="F541" t="inlineStr">
        <is>
          <t>850800T010</t>
        </is>
      </c>
      <c r="G541" t="inlineStr">
        <is>
          <t>Toyota Venza 2009-2015</t>
        </is>
      </c>
      <c r="H541" t="inlineStr">
        <is>
          <t>Toyota Venza 2009-2015 2.7L L4 163cid
Toyota Venza 2009-2015 3.5L V6 3456cc</t>
        </is>
      </c>
      <c r="I541" t="inlineStr">
        <is>
          <t>{"0": {"productDeskExternalKey": "CPCX|43-20018"}, "1": {"Package Contents": "Wiper Motor; Instruction Sheet"}, "2": {"E-Waste": "Yes"}, "3": {"Product Condition": "Remanufactured"}, "4": {"Mounting Hole Quantity": "3"}, "5": {"Terminal Type": "Blade"}, "6": {"Mounting Type": "Grommet; Through Hole"}, "7": {"Weight PG": "1.8000"}, "8": {"Washer Pump Included": "No"}, "9": {"Part Type": "Windshield Wiper Motor"}, "10": {"Warranty Info": "1 Year/18,000 Mile"}, "11": {"Sustainable Choice": "Yes"}, "12": {"Lifecycle Status": "Available to Order"}, "13": {"Application Summary": "Toyota Venza 2015-09"}, "14": {"ItemLevelGTIN": "00082617901925"}, "15": {"_addonCardone": "43-20018::98268:113021:494"}, "16": {"Eligible for R&amp;R Service": "Yes"}}</t>
        </is>
      </c>
      <c r="J541" t="inlineStr">
        <is>
          <t>https://www.cardone.com/product/windshield-wiper-motor-43-20018</t>
        </is>
      </c>
      <c r="K541">
        <f>DISPIMG("ID_262AB0BF969140C0B608494F8E26E8EF",1)</f>
        <v/>
      </c>
      <c r="L541" t="inlineStr">
        <is>
          <t>CPCX|43-20018</t>
        </is>
      </c>
      <c r="M541" t="inlineStr">
        <is>
          <t>Wiper Motor; Instruction Sheet</t>
        </is>
      </c>
      <c r="N541" t="inlineStr">
        <is>
          <t>Yes</t>
        </is>
      </c>
      <c r="O541" t="inlineStr">
        <is>
          <t>Remanufactured</t>
        </is>
      </c>
      <c r="P541" t="inlineStr">
        <is>
          <t>3</t>
        </is>
      </c>
      <c r="Q541" t="inlineStr">
        <is>
          <t>Blade</t>
        </is>
      </c>
      <c r="R541" t="inlineStr">
        <is>
          <t>Grommet; Through Hole</t>
        </is>
      </c>
      <c r="S541" t="inlineStr">
        <is>
          <t>1.8000</t>
        </is>
      </c>
      <c r="T541" t="inlineStr">
        <is>
          <t>No</t>
        </is>
      </c>
      <c r="U541" t="inlineStr">
        <is>
          <t>1 Year/18,000 Mile</t>
        </is>
      </c>
      <c r="V541" t="inlineStr">
        <is>
          <t>Yes</t>
        </is>
      </c>
      <c r="W541" t="inlineStr">
        <is>
          <t>Available to Order</t>
        </is>
      </c>
      <c r="X541" t="inlineStr">
        <is>
          <t>Toyota Venza 2015-09</t>
        </is>
      </c>
      <c r="Y541" t="inlineStr">
        <is>
          <t>00082617901925</t>
        </is>
      </c>
      <c r="Z541" t="inlineStr">
        <is>
          <t>43-20018::98268:113021:494</t>
        </is>
      </c>
      <c r="AA541" t="inlineStr">
        <is>
          <t>Yes</t>
        </is>
      </c>
      <c r="AB541" t="inlineStr"/>
      <c r="AC541" t="inlineStr"/>
    </row>
    <row r="542">
      <c r="A542" t="inlineStr">
        <is>
          <t>541</t>
        </is>
      </c>
      <c r="B542" t="inlineStr">
        <is>
          <t>Windshield Wiper Motor</t>
        </is>
      </c>
      <c r="C542" t="inlineStr">
        <is>
          <t>43-2002</t>
        </is>
      </c>
      <c r="D542" t="inlineStr">
        <is>
          <t>Windshield Wiper Motor - 43-2002</t>
        </is>
      </c>
      <c r="E542" t="inlineStr">
        <is>
          <t>CARDONE Reman</t>
        </is>
      </c>
      <c r="F542" t="inlineStr">
        <is>
          <t>8511032260</t>
        </is>
      </c>
      <c r="G542" t="inlineStr">
        <is>
          <t>Toyota Camry 1987-1988</t>
        </is>
      </c>
      <c r="H542" t="inlineStr">
        <is>
          <t>Toyota Camry 1987-1988 2L L4 122cid
Toyota Camry 1988 2.5L V6 2508cc</t>
        </is>
      </c>
      <c r="I542" t="inlineStr">
        <is>
          <t>{"0": {"productDeskExternalKey": "CPCX|43-2002"}, "1": {"Package Contents": "Wiper Motor; Instruction Sheet"}, "2": {"E-Waste": "Yes"}, "3": {"Product Condition": "Remanufactured"}, "4": {"Mounting Hole Quantity": "3"}, "5": {"Terminal Type": "Blade"}, "6": {"Mounting Type": "Grommet"}, "7": {"Weight PG": "2.1400"}, "8": {"Washer Pump Included": "No"}, "9": {"Part Type": "Windshield Wiper Motor"}, "10": {"Warranty Info": "1 Year/18,000 Mile"}, "11": {"Sustainable Choice": "Yes"}, "12": {"Lifecycle Status": "Available to Order"}, "13": {"Application Summary": "Toyota Camry 1988-87"}, "14": {"ItemLevelGTIN": "00082617496292"}, "15": {"_addonCardone": "43-2002::98268:113033:494"}, "16": {"Eligible for R&amp;R Service": "Yes"}}</t>
        </is>
      </c>
      <c r="J542" t="inlineStr">
        <is>
          <t>https://www.cardone.com/product/windshield-wiper-motor-43-2002</t>
        </is>
      </c>
      <c r="K542">
        <f>DISPIMG("ID_FC49BC033FF74E77B74E625AB5980959",1)</f>
        <v/>
      </c>
      <c r="L542" t="inlineStr">
        <is>
          <t>CPCX|43-2002</t>
        </is>
      </c>
      <c r="M542" t="inlineStr">
        <is>
          <t>Wiper Motor; Instruction Sheet</t>
        </is>
      </c>
      <c r="N542" t="inlineStr">
        <is>
          <t>Yes</t>
        </is>
      </c>
      <c r="O542" t="inlineStr">
        <is>
          <t>Remanufactured</t>
        </is>
      </c>
      <c r="P542" t="inlineStr">
        <is>
          <t>3</t>
        </is>
      </c>
      <c r="Q542" t="inlineStr">
        <is>
          <t>Blade</t>
        </is>
      </c>
      <c r="R542" t="inlineStr">
        <is>
          <t>Grommet</t>
        </is>
      </c>
      <c r="S542" t="inlineStr">
        <is>
          <t>2.1400</t>
        </is>
      </c>
      <c r="T542" t="inlineStr">
        <is>
          <t>No</t>
        </is>
      </c>
      <c r="U542" t="inlineStr">
        <is>
          <t>1 Year/18,000 Mile</t>
        </is>
      </c>
      <c r="V542" t="inlineStr">
        <is>
          <t>Yes</t>
        </is>
      </c>
      <c r="W542" t="inlineStr">
        <is>
          <t>Available to Order</t>
        </is>
      </c>
      <c r="X542" t="inlineStr">
        <is>
          <t>Toyota Camry 1988-87</t>
        </is>
      </c>
      <c r="Y542" t="inlineStr">
        <is>
          <t>00082617496292</t>
        </is>
      </c>
      <c r="Z542" t="inlineStr">
        <is>
          <t>43-2002::98268:113033:494</t>
        </is>
      </c>
      <c r="AA542" t="inlineStr">
        <is>
          <t>Yes</t>
        </is>
      </c>
      <c r="AB542" t="inlineStr"/>
      <c r="AC542" t="inlineStr"/>
    </row>
    <row r="543">
      <c r="A543" t="inlineStr">
        <is>
          <t>542</t>
        </is>
      </c>
      <c r="B543" t="inlineStr">
        <is>
          <t>Windshield Wiper Motor</t>
        </is>
      </c>
      <c r="C543" t="inlineStr">
        <is>
          <t>43-20020</t>
        </is>
      </c>
      <c r="D543" t="inlineStr">
        <is>
          <t>Windshield Wiper Motor - 43-20020</t>
        </is>
      </c>
      <c r="E543" t="inlineStr">
        <is>
          <t>CARDONE Reman</t>
        </is>
      </c>
      <c r="F543" t="inlineStr">
        <is>
          <t>8511048120</t>
        </is>
      </c>
      <c r="G543" t="inlineStr">
        <is>
          <t>Toyota Highlander 2008-2010</t>
        </is>
      </c>
      <c r="H543" t="inlineStr">
        <is>
          <t>Toyota Highlander 2008-2010 3.5L V6 3456cc
Toyota Highlander 2009-2010 2.7L L4 163cid
Toyota Highlander 2009-2010 3.3L V6 202cid</t>
        </is>
      </c>
      <c r="I543" t="inlineStr">
        <is>
          <t>{"0": {"productDeskExternalKey": "CPCX|43-20020"}, "1": {"Package Contents": "Wiper Motor; Instruction Sheet"}, "2": {"E-Waste": "Yes"}, "3": {"Product Condition": "Remanufactured"}, "4": {"Mounting Hole Quantity": "3"}, "5": {"Terminal Type": "Blade"}, "6": {"Mounting Type": "Direct Bolt"}, "7": {"Weight PG": "3.3000"}, "8": {"Washer Pump Included": "No"}, "9": {"Part Type": "Windshield Wiper Motor"}, "10": {"Warranty Info": "1 Year/18,000 Mile"}, "11": {"Sustainable Choice": "Yes"}, "12": {"Lifecycle Status": "Available to Order"}, "13": {"Application Summary": "Toyota Highlander 2010-08"}, "14": {"ItemLevelGTIN": "00082617902465"}, "15": {"_addonCardone": "43-20020::98268:113045:494"}, "16": {"Eligible for R&amp;R Service": "Yes"}}</t>
        </is>
      </c>
      <c r="J543" t="inlineStr">
        <is>
          <t>https://www.cardone.com/product/windshield-wiper-motor-43-20020</t>
        </is>
      </c>
      <c r="K543">
        <f>DISPIMG("ID_4F2ECBA678FC4F9B8CB139763B298985",1)</f>
        <v/>
      </c>
      <c r="L543" t="inlineStr">
        <is>
          <t>CPCX|43-20020</t>
        </is>
      </c>
      <c r="M543" t="inlineStr">
        <is>
          <t>Wiper Motor; Instruction Sheet</t>
        </is>
      </c>
      <c r="N543" t="inlineStr">
        <is>
          <t>Yes</t>
        </is>
      </c>
      <c r="O543" t="inlineStr">
        <is>
          <t>Remanufactured</t>
        </is>
      </c>
      <c r="P543" t="inlineStr">
        <is>
          <t>3</t>
        </is>
      </c>
      <c r="Q543" t="inlineStr">
        <is>
          <t>Blade</t>
        </is>
      </c>
      <c r="R543" t="inlineStr">
        <is>
          <t>Direct Bolt</t>
        </is>
      </c>
      <c r="S543" t="inlineStr">
        <is>
          <t>3.3000</t>
        </is>
      </c>
      <c r="T543" t="inlineStr">
        <is>
          <t>No</t>
        </is>
      </c>
      <c r="U543" t="inlineStr">
        <is>
          <t>1 Year/18,000 Mile</t>
        </is>
      </c>
      <c r="V543" t="inlineStr">
        <is>
          <t>Yes</t>
        </is>
      </c>
      <c r="W543" t="inlineStr">
        <is>
          <t>Available to Order</t>
        </is>
      </c>
      <c r="X543" t="inlineStr">
        <is>
          <t>Toyota Highlander 2010-08</t>
        </is>
      </c>
      <c r="Y543" t="inlineStr">
        <is>
          <t>00082617902465</t>
        </is>
      </c>
      <c r="Z543" t="inlineStr">
        <is>
          <t>43-20020::98268:113045:494</t>
        </is>
      </c>
      <c r="AA543" t="inlineStr">
        <is>
          <t>Yes</t>
        </is>
      </c>
      <c r="AB543" t="inlineStr"/>
      <c r="AC543" t="inlineStr"/>
    </row>
    <row r="544">
      <c r="A544" t="inlineStr">
        <is>
          <t>543</t>
        </is>
      </c>
      <c r="B544" t="inlineStr">
        <is>
          <t>Windshield Wiper Motor</t>
        </is>
      </c>
      <c r="C544" t="inlineStr">
        <is>
          <t>43-20026</t>
        </is>
      </c>
      <c r="D544" t="inlineStr">
        <is>
          <t>Windshield Wiper Motor - 43-20026</t>
        </is>
      </c>
      <c r="E544" t="inlineStr">
        <is>
          <t>CARDONE Reman</t>
        </is>
      </c>
      <c r="F544" t="inlineStr">
        <is>
          <t>851300E020</t>
        </is>
      </c>
      <c r="G544" t="inlineStr">
        <is>
          <t>Lexus RX350 2010-2015
Lexus RX450h 2010-2015</t>
        </is>
      </c>
      <c r="H544" t="inlineStr">
        <is>
          <t>Lexus RX350 2010-2015 3.5L V6 3456cc
Lexus RX450h 2010-2015 3.5L V6 3456cc</t>
        </is>
      </c>
      <c r="I544" t="inlineStr">
        <is>
          <t>{"0": {"productDeskExternalKey": "CPCX|43-20026"}, "1": {"Package Contents": "Wiper Motor; Instruction Sheet"}, "2": {"E-Waste": "Yes"}, "3": {"Product Condition": "Remanufactured"}, "4": {"Mounting Hole Quantity": "3"}, "5": {"Terminal Type": "Blade"}, "6": {"Mounting Type": "Direct Bolt; Grommet"}, "7": {"Weight PG": "1.8000"}, "8": {"Washer Pump Included": "No"}, "9": {"Part Type": "Windshield Wiper Motor"}, "10": {"Warranty Info": "1 Year/18,000 Mile"}, "11": {"Sustainable Choice": "Yes"}, "12": {"Lifecycle Status": "Available to Order"}, "13": {"Application Summary": "Lexus RX350 2015-10, RX450h 2015-10"}, "14": {"ItemLevelGTIN": "00082617967211"}, "15": {"_addonCardone": "43-20026::98268:113279:494"}, "16": {"Eligible for R&amp;R Service": "Yes"}}</t>
        </is>
      </c>
      <c r="J544" t="inlineStr">
        <is>
          <t>https://www.cardone.com/product/windshield-wiper-motor-43-20026</t>
        </is>
      </c>
      <c r="K544">
        <f>DISPIMG("ID_D4027E454A9A4B2B8DC3D8BE28683015",1)</f>
        <v/>
      </c>
      <c r="L544" t="inlineStr">
        <is>
          <t>CPCX|43-20026</t>
        </is>
      </c>
      <c r="M544" t="inlineStr">
        <is>
          <t>Wiper Motor; Instruction Sheet</t>
        </is>
      </c>
      <c r="N544" t="inlineStr">
        <is>
          <t>Yes</t>
        </is>
      </c>
      <c r="O544" t="inlineStr">
        <is>
          <t>Remanufactured</t>
        </is>
      </c>
      <c r="P544" t="inlineStr">
        <is>
          <t>3</t>
        </is>
      </c>
      <c r="Q544" t="inlineStr">
        <is>
          <t>Blade</t>
        </is>
      </c>
      <c r="R544" t="inlineStr">
        <is>
          <t>Direct Bolt; Grommet</t>
        </is>
      </c>
      <c r="S544" t="inlineStr">
        <is>
          <t>1.8000</t>
        </is>
      </c>
      <c r="T544" t="inlineStr">
        <is>
          <t>No</t>
        </is>
      </c>
      <c r="U544" t="inlineStr">
        <is>
          <t>1 Year/18,000 Mile</t>
        </is>
      </c>
      <c r="V544" t="inlineStr">
        <is>
          <t>Yes</t>
        </is>
      </c>
      <c r="W544" t="inlineStr">
        <is>
          <t>Available to Order</t>
        </is>
      </c>
      <c r="X544" t="inlineStr">
        <is>
          <t>Lexus RX350 2015-10, RX450h 2015-10</t>
        </is>
      </c>
      <c r="Y544" t="inlineStr">
        <is>
          <t>00082617967211</t>
        </is>
      </c>
      <c r="Z544" t="inlineStr">
        <is>
          <t>43-20026::98268:113279:494</t>
        </is>
      </c>
      <c r="AA544" t="inlineStr">
        <is>
          <t>Yes</t>
        </is>
      </c>
      <c r="AB544" t="inlineStr"/>
      <c r="AC544" t="inlineStr"/>
    </row>
    <row r="545">
      <c r="A545" t="inlineStr">
        <is>
          <t>544</t>
        </is>
      </c>
      <c r="B545" t="inlineStr">
        <is>
          <t>Windshield Wiper Motor</t>
        </is>
      </c>
      <c r="C545" t="inlineStr">
        <is>
          <t>43-20027</t>
        </is>
      </c>
      <c r="D545" t="inlineStr">
        <is>
          <t>Windshield Wiper Motor - 43-20027</t>
        </is>
      </c>
      <c r="E545" t="inlineStr">
        <is>
          <t>CARDONE Reman</t>
        </is>
      </c>
      <c r="F545" t="inlineStr">
        <is>
          <t>8513035100;8513035101</t>
        </is>
      </c>
      <c r="G545" t="inlineStr">
        <is>
          <t>Toyota 4Runner 2010-2022</t>
        </is>
      </c>
      <c r="H545" t="inlineStr">
        <is>
          <t>Toyota 4Runner 2010 2.7L L4 2694cc
Toyota 4Runner 2010-2022 4L V6 241cid</t>
        </is>
      </c>
      <c r="I545" t="inlineStr">
        <is>
          <t>{"0": {"productDeskExternalKey": "CPCX|43-20027"}, "1": {"E-Waste": "Yes"}, "2": {"Product Condition": "Remanufactured"}, "3": {"Weight PG": "2.7000"}, "4": {"Part Type": "Windshield Wiper Motor"}, "5": {"Warranty Info": "1 Year/18,000 Mile"}, "6": {"Sustainable Choice": "Yes"}, "7": {"Lifecycle Status": "Available to Order"}, "8": {"Application Summary": "Toyota 4Runner 2022-10"}, "9": {"ItemLevelGTIN": "00082617967273"}, "10": {"_addonCardone": "43-20027::98268:113292:494"}, "11": {"Eligible for R&amp;R Service": "Yes"}}</t>
        </is>
      </c>
      <c r="J545" t="inlineStr">
        <is>
          <t>https://www.cardone.com/product/windshield-wiper-motor-43-20027</t>
        </is>
      </c>
      <c r="K545">
        <f>DISPIMG("ID_D33CA7A604924795BEA7E0EC8FE5A5D8",1)</f>
        <v/>
      </c>
      <c r="L545" t="inlineStr">
        <is>
          <t>CPCX|43-20027</t>
        </is>
      </c>
      <c r="M545" t="inlineStr"/>
      <c r="N545" t="inlineStr">
        <is>
          <t>Yes</t>
        </is>
      </c>
      <c r="O545" t="inlineStr">
        <is>
          <t>Remanufactured</t>
        </is>
      </c>
      <c r="P545" t="inlineStr"/>
      <c r="Q545" t="inlineStr"/>
      <c r="R545" t="inlineStr"/>
      <c r="S545" t="inlineStr">
        <is>
          <t>2.7000</t>
        </is>
      </c>
      <c r="T545" t="inlineStr"/>
      <c r="U545" t="inlineStr">
        <is>
          <t>1 Year/18,000 Mile</t>
        </is>
      </c>
      <c r="V545" t="inlineStr">
        <is>
          <t>Yes</t>
        </is>
      </c>
      <c r="W545" t="inlineStr">
        <is>
          <t>Available to Order</t>
        </is>
      </c>
      <c r="X545" t="inlineStr">
        <is>
          <t>Toyota 4Runner 2022-10</t>
        </is>
      </c>
      <c r="Y545" t="inlineStr">
        <is>
          <t>00082617967273</t>
        </is>
      </c>
      <c r="Z545" t="inlineStr">
        <is>
          <t>43-20027::98268:113292:494</t>
        </is>
      </c>
      <c r="AA545" t="inlineStr">
        <is>
          <t>Yes</t>
        </is>
      </c>
      <c r="AB545" t="inlineStr"/>
      <c r="AC545" t="inlineStr"/>
    </row>
    <row r="546">
      <c r="A546" t="inlineStr">
        <is>
          <t>545</t>
        </is>
      </c>
      <c r="B546" t="inlineStr">
        <is>
          <t>Windshield Wiper Motor</t>
        </is>
      </c>
      <c r="C546" t="inlineStr">
        <is>
          <t>43-20029</t>
        </is>
      </c>
      <c r="D546" t="inlineStr">
        <is>
          <t>Windshield Wiper Motor - 43-20029</t>
        </is>
      </c>
      <c r="E546" t="inlineStr">
        <is>
          <t>CARDONE Reman</t>
        </is>
      </c>
      <c r="F546" t="inlineStr">
        <is>
          <t>8513060270</t>
        </is>
      </c>
      <c r="G546" t="inlineStr">
        <is>
          <t>Lexus GX460 2010-2021</t>
        </is>
      </c>
      <c r="H546" t="inlineStr">
        <is>
          <t>Lexus GX460 2010-2021 4.6L V8 4608cc</t>
        </is>
      </c>
      <c r="I546" t="inlineStr">
        <is>
          <t>{"0": {"productDeskExternalKey": "CPCX|43-20029"}, "1": {"E-Waste": "Yes"}, "2": {"Product Condition": "Remanufactured"}, "3": {"Weight PG": "2.5000"}, "4": {"Part Type": "Windshield Wiper Motor"}, "5": {"Warranty Info": "1 Year/18,000 Mile"}, "6": {"Sustainable Choice": "Yes"}, "7": {"Lifecycle Status": "Available to Order"}, "8": {"Application Summary": "Lexus GX460 2021-10"}, "9": {"ItemLevelGTIN": "00082617967396"}, "10": {"_addonCardone": "43-20029::98268:113305:494"}, "11": {"Eligible for R&amp;R Service": "Yes"}}</t>
        </is>
      </c>
      <c r="J546" t="inlineStr">
        <is>
          <t>https://www.cardone.com/product/windshield-wiper-motor-43-20029</t>
        </is>
      </c>
      <c r="K546">
        <f>DISPIMG("ID_70A10D57E6CE4855BEABCBA59C52672B",1)</f>
        <v/>
      </c>
      <c r="L546" t="inlineStr">
        <is>
          <t>CPCX|43-20029</t>
        </is>
      </c>
      <c r="M546" t="inlineStr"/>
      <c r="N546" t="inlineStr">
        <is>
          <t>Yes</t>
        </is>
      </c>
      <c r="O546" t="inlineStr">
        <is>
          <t>Remanufactured</t>
        </is>
      </c>
      <c r="P546" t="inlineStr"/>
      <c r="Q546" t="inlineStr"/>
      <c r="R546" t="inlineStr"/>
      <c r="S546" t="inlineStr">
        <is>
          <t>2.5000</t>
        </is>
      </c>
      <c r="T546" t="inlineStr"/>
      <c r="U546" t="inlineStr">
        <is>
          <t>1 Year/18,000 Mile</t>
        </is>
      </c>
      <c r="V546" t="inlineStr">
        <is>
          <t>Yes</t>
        </is>
      </c>
      <c r="W546" t="inlineStr">
        <is>
          <t>Available to Order</t>
        </is>
      </c>
      <c r="X546" t="inlineStr">
        <is>
          <t>Lexus GX460 2021-10</t>
        </is>
      </c>
      <c r="Y546" t="inlineStr">
        <is>
          <t>00082617967396</t>
        </is>
      </c>
      <c r="Z546" t="inlineStr">
        <is>
          <t>43-20029::98268:113305:494</t>
        </is>
      </c>
      <c r="AA546" t="inlineStr">
        <is>
          <t>Yes</t>
        </is>
      </c>
      <c r="AB546" t="inlineStr"/>
      <c r="AC546" t="inlineStr"/>
    </row>
    <row r="547">
      <c r="A547" t="inlineStr">
        <is>
          <t>546</t>
        </is>
      </c>
      <c r="B547" t="inlineStr">
        <is>
          <t>Windshield Wiper Motor</t>
        </is>
      </c>
      <c r="C547" t="inlineStr">
        <is>
          <t>43-2003</t>
        </is>
      </c>
      <c r="D547" t="inlineStr">
        <is>
          <t>Windshield Wiper Motor - 43-2003</t>
        </is>
      </c>
      <c r="E547" t="inlineStr">
        <is>
          <t>CARDONE Reman</t>
        </is>
      </c>
      <c r="F547" t="inlineStr">
        <is>
          <t>8501089132</t>
        </is>
      </c>
      <c r="G547" t="inlineStr">
        <is>
          <t>Toyota 4Runner 1984-1989</t>
        </is>
      </c>
      <c r="H547" t="inlineStr">
        <is>
          <t>Toyota 4Runner 1984-1989 2.4L L4 2366cc
Toyota 4Runner 1988-1989 3L V6 2959cc</t>
        </is>
      </c>
      <c r="I547" t="inlineStr">
        <is>
          <t>{"0": {"productDeskExternalKey": "CPCX|43-2003"}, "1": {"Package Contents": "Wiper Motor; Instruction Sheet"}, "2": {"E-Waste": "Yes"}, "3": {"Product Condition": "Remanufactured"}, "4": {"Mounting Hole Quantity": "4"}, "5": {"Terminal Type": "Blade"}, "6": {"Mounting Type": "Grommet"}, "7": {"Weight PG": "4.3800"}, "8": {"Washer Pump Included": "No"}, "9": {"Part Type": "Windshield Wiper Motor"}, "10": {"Warranty Info": "1 Year/18,000 Mile"}, "11": {"Sustainable Choice": "Yes"}, "12": {"Lifecycle Status": "Available to Order"}, "13": {"Application Summary": "Toyota 4Runner 1989-84"}, "14": {"ItemLevelGTIN": "00082617456289"}, "15": {"_addonCardone": "43-2003::98268:113319:494"}, "16": {"Eligible for R&amp;R Service": "Yes"}}</t>
        </is>
      </c>
      <c r="J547" t="inlineStr">
        <is>
          <t>https://www.cardone.com/product/windshield-wiper-motor-43-2003</t>
        </is>
      </c>
      <c r="K547">
        <f>DISPIMG("ID_21E910E6ECCC47B2A1E33D785095A46E",1)</f>
        <v/>
      </c>
      <c r="L547" t="inlineStr">
        <is>
          <t>CPCX|43-2003</t>
        </is>
      </c>
      <c r="M547" t="inlineStr">
        <is>
          <t>Wiper Motor; Instruction Sheet</t>
        </is>
      </c>
      <c r="N547" t="inlineStr">
        <is>
          <t>Yes</t>
        </is>
      </c>
      <c r="O547" t="inlineStr">
        <is>
          <t>Remanufactured</t>
        </is>
      </c>
      <c r="P547" t="inlineStr">
        <is>
          <t>4</t>
        </is>
      </c>
      <c r="Q547" t="inlineStr">
        <is>
          <t>Blade</t>
        </is>
      </c>
      <c r="R547" t="inlineStr">
        <is>
          <t>Grommet</t>
        </is>
      </c>
      <c r="S547" t="inlineStr">
        <is>
          <t>4.3800</t>
        </is>
      </c>
      <c r="T547" t="inlineStr">
        <is>
          <t>No</t>
        </is>
      </c>
      <c r="U547" t="inlineStr">
        <is>
          <t>1 Year/18,000 Mile</t>
        </is>
      </c>
      <c r="V547" t="inlineStr">
        <is>
          <t>Yes</t>
        </is>
      </c>
      <c r="W547" t="inlineStr">
        <is>
          <t>Available to Order</t>
        </is>
      </c>
      <c r="X547" t="inlineStr">
        <is>
          <t>Toyota 4Runner 1989-84</t>
        </is>
      </c>
      <c r="Y547" t="inlineStr">
        <is>
          <t>00082617456289</t>
        </is>
      </c>
      <c r="Z547" t="inlineStr">
        <is>
          <t>43-2003::98268:113319:494</t>
        </is>
      </c>
      <c r="AA547" t="inlineStr">
        <is>
          <t>Yes</t>
        </is>
      </c>
      <c r="AB547" t="inlineStr"/>
      <c r="AC547" t="inlineStr"/>
    </row>
    <row r="548">
      <c r="A548" t="inlineStr">
        <is>
          <t>547</t>
        </is>
      </c>
      <c r="B548" t="inlineStr">
        <is>
          <t>Windshield Wiper Motor</t>
        </is>
      </c>
      <c r="C548" t="inlineStr">
        <is>
          <t>43-20031</t>
        </is>
      </c>
      <c r="D548" t="inlineStr">
        <is>
          <t>Windshield Wiper Motor - 43-20031</t>
        </is>
      </c>
      <c r="E548" t="inlineStr">
        <is>
          <t>CARDONE Reman</t>
        </is>
      </c>
      <c r="F548" t="inlineStr">
        <is>
          <t>8511052550</t>
        </is>
      </c>
      <c r="G548" t="inlineStr">
        <is>
          <t>Scion xD 2010-2014</t>
        </is>
      </c>
      <c r="H548" t="inlineStr">
        <is>
          <t>Scion xD 2010-2014 1.8L L4 110cid</t>
        </is>
      </c>
      <c r="I548" t="inlineStr">
        <is>
          <t>{"0": {"productDeskExternalKey": "CPCX|43-20031"}, "1": {"E-Waste": "Yes"}, "2": {"Product Condition": "Remanufactured"}, "3": {"Weight PG": "2.5000"}, "4": {"Part Type": "Windshield Wiper Motor"}, "5": {"Warranty Info": "1 Year/18,000 Mile"}, "6": {"Sustainable Choice": "Yes"}, "7": {"Lifecycle Status": "Available to Order"}, "8": {"Application Summary": "Scion xD 2014-10"}, "9": {"ItemLevelGTIN": "00082617967341"}, "10": {"_addonCardone": "43-20031::98268:113336:494"}, "11": {"Eligible for R&amp;R Service": "Yes"}}</t>
        </is>
      </c>
      <c r="J548" t="inlineStr">
        <is>
          <t>https://www.cardone.com/product/windshield-wiper-motor-43-20031</t>
        </is>
      </c>
      <c r="K548">
        <f>DISPIMG("ID_21807407147045288E8825FB5F27187C",1)</f>
        <v/>
      </c>
      <c r="L548" t="inlineStr">
        <is>
          <t>CPCX|43-20031</t>
        </is>
      </c>
      <c r="M548" t="inlineStr"/>
      <c r="N548" t="inlineStr">
        <is>
          <t>Yes</t>
        </is>
      </c>
      <c r="O548" t="inlineStr">
        <is>
          <t>Remanufactured</t>
        </is>
      </c>
      <c r="P548" t="inlineStr"/>
      <c r="Q548" t="inlineStr"/>
      <c r="R548" t="inlineStr"/>
      <c r="S548" t="inlineStr">
        <is>
          <t>2.5000</t>
        </is>
      </c>
      <c r="T548" t="inlineStr"/>
      <c r="U548" t="inlineStr">
        <is>
          <t>1 Year/18,000 Mile</t>
        </is>
      </c>
      <c r="V548" t="inlineStr">
        <is>
          <t>Yes</t>
        </is>
      </c>
      <c r="W548" t="inlineStr">
        <is>
          <t>Available to Order</t>
        </is>
      </c>
      <c r="X548" t="inlineStr">
        <is>
          <t>Scion xD 2014-10</t>
        </is>
      </c>
      <c r="Y548" t="inlineStr">
        <is>
          <t>00082617967341</t>
        </is>
      </c>
      <c r="Z548" t="inlineStr">
        <is>
          <t>43-20031::98268:113336:494</t>
        </is>
      </c>
      <c r="AA548" t="inlineStr">
        <is>
          <t>Yes</t>
        </is>
      </c>
      <c r="AB548" t="inlineStr"/>
      <c r="AC548" t="inlineStr"/>
    </row>
    <row r="549">
      <c r="A549" t="inlineStr">
        <is>
          <t>548</t>
        </is>
      </c>
      <c r="B549" t="inlineStr">
        <is>
          <t>Windshield Wiper Motor</t>
        </is>
      </c>
      <c r="C549" t="inlineStr">
        <is>
          <t>43-20032</t>
        </is>
      </c>
      <c r="D549" t="inlineStr">
        <is>
          <t>Windshield Wiper Motor - 43-20032</t>
        </is>
      </c>
      <c r="E549" t="inlineStr">
        <is>
          <t>CARDONE Reman</t>
        </is>
      </c>
      <c r="F549" t="inlineStr">
        <is>
          <t>8511076030</t>
        </is>
      </c>
      <c r="G549" t="inlineStr">
        <is>
          <t>Lexus CT200h 2011-2016</t>
        </is>
      </c>
      <c r="H549" t="inlineStr">
        <is>
          <t>Lexus CT200h 2011-2016 1.8L L4 110cid</t>
        </is>
      </c>
      <c r="I549" t="inlineStr">
        <is>
          <t>{"0": {"productDeskExternalKey": "CPCX|43-20032"}, "1": {"E-Waste": "Yes"}, "2": {"Product Condition": "Remanufactured"}, "3": {"Weight PG": "3.0000"}, "4": {"Part Type": "Windshield Wiper Motor"}, "5": {"Warranty Info": "1 Year/18,000 Mile"}, "6": {"Sustainable Choice": "Yes"}, "7": {"Lifecycle Status": "Available to Order"}, "8": {"Application Summary": "Lexus CT200h 2016-11"}, "9": {"ItemLevelGTIN": "00884548028265"}, "10": {"_addonCardone": "43-20032::98268:113351:494"}, "11": {"Eligible for R&amp;R Service": "Yes"}}</t>
        </is>
      </c>
      <c r="J549" t="inlineStr">
        <is>
          <t>https://www.cardone.com/product/windshield-wiper-motor-43-20032</t>
        </is>
      </c>
      <c r="K549">
        <f>DISPIMG("ID_8ACAB27D71FB4E9BAB589FCF4D03624B",1)</f>
        <v/>
      </c>
      <c r="L549" t="inlineStr">
        <is>
          <t>CPCX|43-20032</t>
        </is>
      </c>
      <c r="M549" t="inlineStr"/>
      <c r="N549" t="inlineStr">
        <is>
          <t>Yes</t>
        </is>
      </c>
      <c r="O549" t="inlineStr">
        <is>
          <t>Remanufactured</t>
        </is>
      </c>
      <c r="P549" t="inlineStr"/>
      <c r="Q549" t="inlineStr"/>
      <c r="R549" t="inlineStr"/>
      <c r="S549" t="inlineStr">
        <is>
          <t>3.0000</t>
        </is>
      </c>
      <c r="T549" t="inlineStr"/>
      <c r="U549" t="inlineStr">
        <is>
          <t>1 Year/18,000 Mile</t>
        </is>
      </c>
      <c r="V549" t="inlineStr">
        <is>
          <t>Yes</t>
        </is>
      </c>
      <c r="W549" t="inlineStr">
        <is>
          <t>Available to Order</t>
        </is>
      </c>
      <c r="X549" t="inlineStr">
        <is>
          <t>Lexus CT200h 2016-11</t>
        </is>
      </c>
      <c r="Y549" t="inlineStr">
        <is>
          <t>00884548028265</t>
        </is>
      </c>
      <c r="Z549" t="inlineStr">
        <is>
          <t>43-20032::98268:113351:494</t>
        </is>
      </c>
      <c r="AA549" t="inlineStr">
        <is>
          <t>Yes</t>
        </is>
      </c>
      <c r="AB549" t="inlineStr"/>
      <c r="AC549" t="inlineStr"/>
    </row>
    <row r="550">
      <c r="A550" t="inlineStr">
        <is>
          <t>549</t>
        </is>
      </c>
      <c r="B550" t="inlineStr">
        <is>
          <t>Windshield Wiper Motor</t>
        </is>
      </c>
      <c r="C550" t="inlineStr">
        <is>
          <t>43-20033</t>
        </is>
      </c>
      <c r="D550" t="inlineStr">
        <is>
          <t>Windshield Wiper Motor - 43-20033</t>
        </is>
      </c>
      <c r="E550" t="inlineStr">
        <is>
          <t>CARDONE Reman</t>
        </is>
      </c>
      <c r="F550" t="inlineStr">
        <is>
          <t>8513076010</t>
        </is>
      </c>
      <c r="G550" t="inlineStr">
        <is>
          <t>Lexus CT200h 2011-2016</t>
        </is>
      </c>
      <c r="H550" t="inlineStr">
        <is>
          <t>Lexus CT200h 2011-2016 1.8L L4 110cid</t>
        </is>
      </c>
      <c r="I550" t="inlineStr">
        <is>
          <t>{"0": {"productDeskExternalKey": "CPCX|43-20033"}, "1": {"E-Waste": "Yes"}, "2": {"Product Condition": "Remanufactured"}, "3": {"Weight PG": "3.0000"}, "4": {"Part Type": "Windshield Wiper Motor"}, "5": {"Warranty Info": "1 Year/18,000 Mile"}, "6": {"Sustainable Choice": "Yes"}, "7": {"Lifecycle Status": "Available to Order"}, "8": {"Application Summary": "Lexus CT200h 2016-11"}, "9": {"ItemLevelGTIN": "00884548028272"}, "10": {"_addonCardone": "43-20033::98268:113362:494"}, "11": {"Eligible for R&amp;R Service": "Yes"}}</t>
        </is>
      </c>
      <c r="J550" t="inlineStr">
        <is>
          <t>https://www.cardone.com/product/windshield-wiper-motor-43-20033</t>
        </is>
      </c>
      <c r="K550">
        <f>DISPIMG("ID_23CFF067B1B84940A1CA618BCAE581D4",1)</f>
        <v/>
      </c>
      <c r="L550" t="inlineStr">
        <is>
          <t>CPCX|43-20033</t>
        </is>
      </c>
      <c r="M550" t="inlineStr"/>
      <c r="N550" t="inlineStr">
        <is>
          <t>Yes</t>
        </is>
      </c>
      <c r="O550" t="inlineStr">
        <is>
          <t>Remanufactured</t>
        </is>
      </c>
      <c r="P550" t="inlineStr"/>
      <c r="Q550" t="inlineStr"/>
      <c r="R550" t="inlineStr"/>
      <c r="S550" t="inlineStr">
        <is>
          <t>3.0000</t>
        </is>
      </c>
      <c r="T550" t="inlineStr"/>
      <c r="U550" t="inlineStr">
        <is>
          <t>1 Year/18,000 Mile</t>
        </is>
      </c>
      <c r="V550" t="inlineStr">
        <is>
          <t>Yes</t>
        </is>
      </c>
      <c r="W550" t="inlineStr">
        <is>
          <t>Available to Order</t>
        </is>
      </c>
      <c r="X550" t="inlineStr">
        <is>
          <t>Lexus CT200h 2016-11</t>
        </is>
      </c>
      <c r="Y550" t="inlineStr">
        <is>
          <t>00884548028272</t>
        </is>
      </c>
      <c r="Z550" t="inlineStr">
        <is>
          <t>43-20033::98268:113362:494</t>
        </is>
      </c>
      <c r="AA550" t="inlineStr">
        <is>
          <t>Yes</t>
        </is>
      </c>
      <c r="AB550" t="inlineStr"/>
      <c r="AC550" t="inlineStr"/>
    </row>
    <row r="551">
      <c r="A551" t="inlineStr">
        <is>
          <t>550</t>
        </is>
      </c>
      <c r="B551" t="inlineStr">
        <is>
          <t>Windshield Wiper Motor</t>
        </is>
      </c>
      <c r="C551" t="inlineStr">
        <is>
          <t>43-20034</t>
        </is>
      </c>
      <c r="D551" t="inlineStr">
        <is>
          <t>Windshield Wiper Motor - 43-20034</t>
        </is>
      </c>
      <c r="E551" t="inlineStr">
        <is>
          <t>CARDONE Reman</t>
        </is>
      </c>
      <c r="F551" t="inlineStr">
        <is>
          <t>8513048040;851300E050</t>
        </is>
      </c>
      <c r="G551" t="inlineStr">
        <is>
          <t>Toyota Highlander 2008-2013</t>
        </is>
      </c>
      <c r="H551" t="inlineStr">
        <is>
          <t>Toyota Highlander 2008-2010 3.3L V6 202cid
Toyota Highlander 2008-2013 3.5L V6 3456cc
Toyota Highlander 2009-2013 2.7L L4 163cid</t>
        </is>
      </c>
      <c r="I551" t="inlineStr">
        <is>
          <t>{"0": {"productDeskExternalKey": "CPCX|43-20034"}, "1": {"Package Contents": "Wiper Motor; Instruction Sheet"}, "2": {"E-Waste": "Yes"}, "3": {"Product Condition": "Remanufactured"}, "4": {"Mounting Hole Quantity": "4"}, "5": {"Terminal Type": "Blade"}, "6": {"Mounting Type": "Grommet"}, "7": {"Weight PG": "2.6000"}, "8": {"Washer Pump Included": "No"}, "9": {"Part Type": "Windshield Wiper Motor"}, "10": {"Warranty Info": "1 Year/18,000 Mile"}, "11": {"Sustainable Choice": "Yes"}, "12": {"Lifecycle Status": "Available to Order"}, "13": {"Application Summary": "Toyota Highlander 2013-08"}, "14": {"ItemLevelGTIN": "00884548028289"}, "15": {"_addonCardone": "43-20034::98268:113375:494"}, "16": {"Eligible for R&amp;R Service": "Yes"}}</t>
        </is>
      </c>
      <c r="J551" t="inlineStr">
        <is>
          <t>https://www.cardone.com/product/windshield-wiper-motor-43-20034</t>
        </is>
      </c>
      <c r="K551">
        <f>DISPIMG("ID_7CAD0009BDDA4B159130463BE017991C",1)</f>
        <v/>
      </c>
      <c r="L551" t="inlineStr">
        <is>
          <t>CPCX|43-20034</t>
        </is>
      </c>
      <c r="M551" t="inlineStr">
        <is>
          <t>Wiper Motor; Instruction Sheet</t>
        </is>
      </c>
      <c r="N551" t="inlineStr">
        <is>
          <t>Yes</t>
        </is>
      </c>
      <c r="O551" t="inlineStr">
        <is>
          <t>Remanufactured</t>
        </is>
      </c>
      <c r="P551" t="inlineStr">
        <is>
          <t>4</t>
        </is>
      </c>
      <c r="Q551" t="inlineStr">
        <is>
          <t>Blade</t>
        </is>
      </c>
      <c r="R551" t="inlineStr">
        <is>
          <t>Grommet</t>
        </is>
      </c>
      <c r="S551" t="inlineStr">
        <is>
          <t>2.6000</t>
        </is>
      </c>
      <c r="T551" t="inlineStr">
        <is>
          <t>No</t>
        </is>
      </c>
      <c r="U551" t="inlineStr">
        <is>
          <t>1 Year/18,000 Mile</t>
        </is>
      </c>
      <c r="V551" t="inlineStr">
        <is>
          <t>Yes</t>
        </is>
      </c>
      <c r="W551" t="inlineStr">
        <is>
          <t>Available to Order</t>
        </is>
      </c>
      <c r="X551" t="inlineStr">
        <is>
          <t>Toyota Highlander 2013-08</t>
        </is>
      </c>
      <c r="Y551" t="inlineStr">
        <is>
          <t>00884548028289</t>
        </is>
      </c>
      <c r="Z551" t="inlineStr">
        <is>
          <t>43-20034::98268:113375:494</t>
        </is>
      </c>
      <c r="AA551" t="inlineStr">
        <is>
          <t>Yes</t>
        </is>
      </c>
      <c r="AB551" t="inlineStr"/>
      <c r="AC551" t="inlineStr"/>
    </row>
    <row r="552">
      <c r="A552" t="inlineStr">
        <is>
          <t>551</t>
        </is>
      </c>
      <c r="B552" t="inlineStr">
        <is>
          <t>Windshield Wiper Motor</t>
        </is>
      </c>
      <c r="C552" t="inlineStr">
        <is>
          <t>43-20037</t>
        </is>
      </c>
      <c r="D552" t="inlineStr">
        <is>
          <t>Windshield Wiper Motor - 43-20037</t>
        </is>
      </c>
      <c r="E552" t="inlineStr">
        <is>
          <t>CARDONE Reman</t>
        </is>
      </c>
      <c r="F552" t="inlineStr">
        <is>
          <t>8513008010</t>
        </is>
      </c>
      <c r="G552" t="inlineStr">
        <is>
          <t>Toyota Sienna 2011-2020</t>
        </is>
      </c>
      <c r="H552" t="inlineStr">
        <is>
          <t>Toyota Sienna 2011-2013 2.7L L4 163cid
Toyota Sienna 2011-2020 3.5L V6 3456cc</t>
        </is>
      </c>
      <c r="I552" t="inlineStr">
        <is>
          <t>{"0": {"productDeskExternalKey": "CPCX|43-20037"}, "1": {"Package Contents": "Wiper Motor; Instruction Sheet"}, "2": {"E-Waste": "Yes"}, "3": {"Product Condition": "Remanufactured"}, "4": {"Mounting Hole Quantity": "3"}, "5": {"Terminal Type": "Blade"}, "6": {"Mounting Type": "Grommet"}, "7": {"Weight PG": "1.5500"}, "8": {"Washer Pump Included": "No"}, "9": {"Part Type": "Windshield Wiper Motor"}, "10": {"Warranty Info": "1 Year/18,000 Mile"}, "11": {"Sustainable Choice": "Yes"}, "12": {"Lifecycle Status": "Available to Order"}, "13": {"Application Summary": "Toyota Sienna 2020-11"}, "14": {"ItemLevelGTIN": "00884548028302"}, "15": {"_addonCardone": "43-20037::98268:113385:494"}, "16": {"Eligible for R&amp;R Service": "Yes"}}</t>
        </is>
      </c>
      <c r="J552" t="inlineStr">
        <is>
          <t>https://www.cardone.com/product/windshield-wiper-motor-43-20037</t>
        </is>
      </c>
      <c r="K552">
        <f>DISPIMG("ID_41FFA5ECFA9346E4B2D82DEF6C5E6D9D",1)</f>
        <v/>
      </c>
      <c r="L552" t="inlineStr">
        <is>
          <t>CPCX|43-20037</t>
        </is>
      </c>
      <c r="M552" t="inlineStr">
        <is>
          <t>Wiper Motor; Instruction Sheet</t>
        </is>
      </c>
      <c r="N552" t="inlineStr">
        <is>
          <t>Yes</t>
        </is>
      </c>
      <c r="O552" t="inlineStr">
        <is>
          <t>Remanufactured</t>
        </is>
      </c>
      <c r="P552" t="inlineStr">
        <is>
          <t>3</t>
        </is>
      </c>
      <c r="Q552" t="inlineStr">
        <is>
          <t>Blade</t>
        </is>
      </c>
      <c r="R552" t="inlineStr">
        <is>
          <t>Grommet</t>
        </is>
      </c>
      <c r="S552" t="inlineStr">
        <is>
          <t>1.5500</t>
        </is>
      </c>
      <c r="T552" t="inlineStr">
        <is>
          <t>No</t>
        </is>
      </c>
      <c r="U552" t="inlineStr">
        <is>
          <t>1 Year/18,000 Mile</t>
        </is>
      </c>
      <c r="V552" t="inlineStr">
        <is>
          <t>Yes</t>
        </is>
      </c>
      <c r="W552" t="inlineStr">
        <is>
          <t>Available to Order</t>
        </is>
      </c>
      <c r="X552" t="inlineStr">
        <is>
          <t>Toyota Sienna 2020-11</t>
        </is>
      </c>
      <c r="Y552" t="inlineStr">
        <is>
          <t>00884548028302</t>
        </is>
      </c>
      <c r="Z552" t="inlineStr">
        <is>
          <t>43-20037::98268:113385:494</t>
        </is>
      </c>
      <c r="AA552" t="inlineStr">
        <is>
          <t>Yes</t>
        </is>
      </c>
      <c r="AB552" t="inlineStr"/>
      <c r="AC552" t="inlineStr"/>
    </row>
    <row r="553">
      <c r="A553" t="inlineStr">
        <is>
          <t>552</t>
        </is>
      </c>
      <c r="B553" t="inlineStr">
        <is>
          <t>Windshield Wiper Motor</t>
        </is>
      </c>
      <c r="C553" t="inlineStr">
        <is>
          <t>43-20038</t>
        </is>
      </c>
      <c r="D553" t="inlineStr">
        <is>
          <t>Windshield Wiper Motor - 43-20038</t>
        </is>
      </c>
      <c r="E553" t="inlineStr">
        <is>
          <t>CARDONE Reman</t>
        </is>
      </c>
      <c r="F553" t="inlineStr">
        <is>
          <t>8511047200</t>
        </is>
      </c>
      <c r="G553" t="inlineStr">
        <is>
          <t>Scion tC 2011-2016</t>
        </is>
      </c>
      <c r="H553" t="inlineStr">
        <is>
          <t>Scion tC 2011-2016 2.5L L4 152cid</t>
        </is>
      </c>
      <c r="I553" t="inlineStr">
        <is>
          <t>{"0": {"productDeskExternalKey": "CPCX|43-20038"}, "1": {"E-Waste": "Yes"}, "2": {"Product Condition": "Remanufactured"}, "3": {"Weight PG": "3.0000"}, "4": {"Part Type": "Windshield Wiper Motor"}, "5": {"Warranty Info": "1 Year/18,000 Mile"}, "6": {"Sustainable Choice": "Yes"}, "7": {"Lifecycle Status": "Available to Order"}, "8": {"Application Summary": "Scion tC 2016-11"}, "9": {"ItemLevelGTIN": "00884548028326"}, "10": {"_addonCardone": "43-20038::98268:113397:494"}, "11": {"Eligible for R&amp;R Service": "Yes"}}</t>
        </is>
      </c>
      <c r="J553" t="inlineStr">
        <is>
          <t>https://www.cardone.com/product/windshield-wiper-motor-43-20038</t>
        </is>
      </c>
      <c r="K553">
        <f>DISPIMG("ID_421000E004624672ACEBA6E97917BA25",1)</f>
        <v/>
      </c>
      <c r="L553" t="inlineStr">
        <is>
          <t>CPCX|43-20038</t>
        </is>
      </c>
      <c r="M553" t="inlineStr"/>
      <c r="N553" t="inlineStr">
        <is>
          <t>Yes</t>
        </is>
      </c>
      <c r="O553" t="inlineStr">
        <is>
          <t>Remanufactured</t>
        </is>
      </c>
      <c r="P553" t="inlineStr"/>
      <c r="Q553" t="inlineStr"/>
      <c r="R553" t="inlineStr"/>
      <c r="S553" t="inlineStr">
        <is>
          <t>3.0000</t>
        </is>
      </c>
      <c r="T553" t="inlineStr"/>
      <c r="U553" t="inlineStr">
        <is>
          <t>1 Year/18,000 Mile</t>
        </is>
      </c>
      <c r="V553" t="inlineStr">
        <is>
          <t>Yes</t>
        </is>
      </c>
      <c r="W553" t="inlineStr">
        <is>
          <t>Available to Order</t>
        </is>
      </c>
      <c r="X553" t="inlineStr">
        <is>
          <t>Scion tC 2016-11</t>
        </is>
      </c>
      <c r="Y553" t="inlineStr">
        <is>
          <t>00884548028326</t>
        </is>
      </c>
      <c r="Z553" t="inlineStr">
        <is>
          <t>43-20038::98268:113397:494</t>
        </is>
      </c>
      <c r="AA553" t="inlineStr">
        <is>
          <t>Yes</t>
        </is>
      </c>
      <c r="AB553" t="inlineStr"/>
      <c r="AC553" t="inlineStr"/>
    </row>
    <row r="554">
      <c r="A554" t="inlineStr">
        <is>
          <t>553</t>
        </is>
      </c>
      <c r="B554" t="inlineStr">
        <is>
          <t>Windshield Wiper Motor</t>
        </is>
      </c>
      <c r="C554" t="inlineStr">
        <is>
          <t>43-20039</t>
        </is>
      </c>
      <c r="D554" t="inlineStr">
        <is>
          <t>Windshield Wiper Motor - 43-20039</t>
        </is>
      </c>
      <c r="E554" t="inlineStr">
        <is>
          <t>CARDONE Reman</t>
        </is>
      </c>
      <c r="F554" t="inlineStr">
        <is>
          <t>8513021060</t>
        </is>
      </c>
      <c r="G554" t="inlineStr">
        <is>
          <t>Scion tC 2011-2016</t>
        </is>
      </c>
      <c r="H554" t="inlineStr">
        <is>
          <t>Scion tC 2011-2016 2.5L L4 152cid</t>
        </is>
      </c>
      <c r="I554" t="inlineStr">
        <is>
          <t>{"0": {"productDeskExternalKey": "CPCX|43-20039"}, "1": {"E-Waste": "Yes"}, "2": {"Product Condition": "Remanufactured"}, "3": {"Weight PG": "3.0000"}, "4": {"Part Type": "Windshield Wiper Motor"}, "5": {"Warranty Info": "1 Year/18,000 Mile"}, "6": {"Sustainable Choice": "Yes"}, "7": {"Lifecycle Status": "Available to Order"}, "8": {"Application Summary": "Scion tC 2016-13 2011"}, "9": {"ItemLevelGTIN": "00884548028319"}, "10": {"_addonCardone": "43-20039::98268:113412:494"}, "11": {"Eligible for R&amp;R Service": "Yes"}}</t>
        </is>
      </c>
      <c r="J554" t="inlineStr">
        <is>
          <t>https://www.cardone.com/product/windshield-wiper-motor-43-20039</t>
        </is>
      </c>
      <c r="K554">
        <f>DISPIMG("ID_2AFEC0B1FCC4452CA75440B5C8B565FB",1)</f>
        <v/>
      </c>
      <c r="L554" t="inlineStr">
        <is>
          <t>CPCX|43-20039</t>
        </is>
      </c>
      <c r="M554" t="inlineStr"/>
      <c r="N554" t="inlineStr">
        <is>
          <t>Yes</t>
        </is>
      </c>
      <c r="O554" t="inlineStr">
        <is>
          <t>Remanufactured</t>
        </is>
      </c>
      <c r="P554" t="inlineStr"/>
      <c r="Q554" t="inlineStr"/>
      <c r="R554" t="inlineStr"/>
      <c r="S554" t="inlineStr">
        <is>
          <t>3.0000</t>
        </is>
      </c>
      <c r="T554" t="inlineStr"/>
      <c r="U554" t="inlineStr">
        <is>
          <t>1 Year/18,000 Mile</t>
        </is>
      </c>
      <c r="V554" t="inlineStr">
        <is>
          <t>Yes</t>
        </is>
      </c>
      <c r="W554" t="inlineStr">
        <is>
          <t>Available to Order</t>
        </is>
      </c>
      <c r="X554" t="inlineStr">
        <is>
          <t>Scion tC 2016-13 2011</t>
        </is>
      </c>
      <c r="Y554" t="inlineStr">
        <is>
          <t>00884548028319</t>
        </is>
      </c>
      <c r="Z554" t="inlineStr">
        <is>
          <t>43-20039::98268:113412:494</t>
        </is>
      </c>
      <c r="AA554" t="inlineStr">
        <is>
          <t>Yes</t>
        </is>
      </c>
      <c r="AB554" t="inlineStr"/>
      <c r="AC554" t="inlineStr"/>
    </row>
    <row r="555">
      <c r="A555" t="inlineStr">
        <is>
          <t>554</t>
        </is>
      </c>
      <c r="B555" t="inlineStr">
        <is>
          <t>Windshield Wiper Motor</t>
        </is>
      </c>
      <c r="C555" t="inlineStr">
        <is>
          <t>43-2004</t>
        </is>
      </c>
      <c r="D555" t="inlineStr">
        <is>
          <t>Windshield Wiper Motor - 43-2004</t>
        </is>
      </c>
      <c r="E555" t="inlineStr">
        <is>
          <t>CARDONE Reman</t>
        </is>
      </c>
      <c r="F555" t="inlineStr">
        <is>
          <t>85110AA020;MR971835;3811054G00</t>
        </is>
      </c>
      <c r="G555" t="inlineStr">
        <is>
          <t>Mitsubishi Outlander 2003-2006
Suzuki Aerio 2002-2007
Toyota Camry 1997-2001</t>
        </is>
      </c>
      <c r="H555" t="inlineStr">
        <is>
          <t>Mitsubishi Outlander 2003-2004 2.4L L4 2351cc
Mitsubishi Outlander 2004-2006 2.4L L4 2378cc
Suzuki Aerio 2002-2003 2L L4 2000cc
Suzuki Aerio 2004-2007 2.3L L4 140cid
Toyota Camry 1997-2001 2.2L L4 2164cc
Toyota Camry 1997-2001 3L V6 2995cc</t>
        </is>
      </c>
      <c r="I555" t="inlineStr">
        <is>
          <t>{"0": {"productDeskExternalKey": "CPCX|43-2004"}, "1": {"Package Contents": "Wiper Motor; Instruction Sheet"}, "2": {"E-Waste": "Yes"}, "3": {"Product Condition": "Remanufactured"}, "4": {"Mounting Hole Quantity": "3"}, "5": {"Terminal Type": "Blade"}, "6": {"Mounting Type": "Direct Bolt"}, "7": {"Weight PG": "2.9600"}, "8": {"Washer Pump Included": "No"}, "9": {"Part Type": "Windshield Wiper Motor"}, "10": {"Warranty Info": "1 Year/18,000 Mile"}, "11": {"Sustainable Choice": "Yes"}, "12": {"Lifecycle Status": "Available to Order"}, "13": {"Application Summary": "Mitsubishi Outlander 2006-03; Suzuki Aerio 2007-02; Toyota Camry 2001-97"}, "14": {"ItemLevelGTIN": "00082617456326"}, "15": {"_addonCardone": "43-2004::98268:113424:494"}, "16": {"Eligible for R&amp;R Service": "Yes"}}</t>
        </is>
      </c>
      <c r="J555" t="inlineStr">
        <is>
          <t>https://www.cardone.com/product/windshield-wiper-motor-43-2004</t>
        </is>
      </c>
      <c r="K555">
        <f>DISPIMG("ID_0D72FD13B63A483BB8EFD0736688490A",1)</f>
        <v/>
      </c>
      <c r="L555" t="inlineStr">
        <is>
          <t>CPCX|43-2004</t>
        </is>
      </c>
      <c r="M555" t="inlineStr">
        <is>
          <t>Wiper Motor; Instruction Sheet</t>
        </is>
      </c>
      <c r="N555" t="inlineStr">
        <is>
          <t>Yes</t>
        </is>
      </c>
      <c r="O555" t="inlineStr">
        <is>
          <t>Remanufactured</t>
        </is>
      </c>
      <c r="P555" t="inlineStr">
        <is>
          <t>3</t>
        </is>
      </c>
      <c r="Q555" t="inlineStr">
        <is>
          <t>Blade</t>
        </is>
      </c>
      <c r="R555" t="inlineStr">
        <is>
          <t>Direct Bolt</t>
        </is>
      </c>
      <c r="S555" t="inlineStr">
        <is>
          <t>2.9600</t>
        </is>
      </c>
      <c r="T555" t="inlineStr">
        <is>
          <t>No</t>
        </is>
      </c>
      <c r="U555" t="inlineStr">
        <is>
          <t>1 Year/18,000 Mile</t>
        </is>
      </c>
      <c r="V555" t="inlineStr">
        <is>
          <t>Yes</t>
        </is>
      </c>
      <c r="W555" t="inlineStr">
        <is>
          <t>Available to Order</t>
        </is>
      </c>
      <c r="X555" t="inlineStr">
        <is>
          <t>Mitsubishi Outlander 2006-03; Suzuki Aerio 2007-02; Toyota Camry 2001-97</t>
        </is>
      </c>
      <c r="Y555" t="inlineStr">
        <is>
          <t>00082617456326</t>
        </is>
      </c>
      <c r="Z555" t="inlineStr">
        <is>
          <t>43-2004::98268:113424:494</t>
        </is>
      </c>
      <c r="AA555" t="inlineStr">
        <is>
          <t>Yes</t>
        </is>
      </c>
      <c r="AB555" t="inlineStr"/>
      <c r="AC555" t="inlineStr"/>
    </row>
    <row r="556">
      <c r="A556" t="inlineStr">
        <is>
          <t>555</t>
        </is>
      </c>
      <c r="B556" t="inlineStr">
        <is>
          <t>Windshield Wiper Motor</t>
        </is>
      </c>
      <c r="C556" t="inlineStr">
        <is>
          <t>43-20040</t>
        </is>
      </c>
      <c r="D556" t="inlineStr">
        <is>
          <t>Windshield Wiper Motor - 43-20040</t>
        </is>
      </c>
      <c r="E556" t="inlineStr">
        <is>
          <t>CARDONE Reman</t>
        </is>
      </c>
      <c r="F556" t="inlineStr">
        <is>
          <t>8513047021;8513047020</t>
        </is>
      </c>
      <c r="G556" t="inlineStr">
        <is>
          <t>Toyota Prius 2010-2015
Toyota Prius Plug-In 2012-2015</t>
        </is>
      </c>
      <c r="H556" t="inlineStr">
        <is>
          <t>Toyota Prius 2010-2015 1.8L L4 110cid
Toyota Prius Plug-In 2012-2015 1.8L L4 110cid</t>
        </is>
      </c>
      <c r="I556" t="inlineStr">
        <is>
          <t>{"0": {"productDeskExternalKey": "CPCX|43-20040"}, "1": {"Package Contents": "Wiper Motor; Instruction Sheet"}, "2": {"E-Waste": "Yes"}, "3": {"Product Condition": "Remanufactured"}, "4": {"Mounting Hole Quantity": "3"}, "5": {"Terminal Type": "Blade"}, "6": {"Mounting Type": "Eyelet; Grommet"}, "7": {"Weight PG": "1.7000"}, "8": {"Washer Pump Included": "No"}, "9": {"Part Type": "Windshield Wiper Motor"}, "10": {"Warranty Info": "1 Year/18,000 Mile"}, "11": {"Sustainable Choice": "Yes"}, "12": {"Lifecycle Status": "Available to Order"}, "13": {"Application Summary": "Toyota Prius 2015-10, Prius Plug-In 2015-12"}, "14": {"ItemLevelGTIN": "00884548068131"}, "15": {"_addonCardone": "43-20040::98268:113437:494"}, "16": {"Eligible for R&amp;R Service": "Yes"}}</t>
        </is>
      </c>
      <c r="J556" t="inlineStr">
        <is>
          <t>https://www.cardone.com/product/windshield-wiper-motor-43-20040</t>
        </is>
      </c>
      <c r="K556">
        <f>DISPIMG("ID_8BD454F4DE7E413B8793C9E182D79DF9",1)</f>
        <v/>
      </c>
      <c r="L556" t="inlineStr">
        <is>
          <t>CPCX|43-20040</t>
        </is>
      </c>
      <c r="M556" t="inlineStr">
        <is>
          <t>Wiper Motor; Instruction Sheet</t>
        </is>
      </c>
      <c r="N556" t="inlineStr">
        <is>
          <t>Yes</t>
        </is>
      </c>
      <c r="O556" t="inlineStr">
        <is>
          <t>Remanufactured</t>
        </is>
      </c>
      <c r="P556" t="inlineStr">
        <is>
          <t>3</t>
        </is>
      </c>
      <c r="Q556" t="inlineStr">
        <is>
          <t>Blade</t>
        </is>
      </c>
      <c r="R556" t="inlineStr">
        <is>
          <t>Eyelet; Grommet</t>
        </is>
      </c>
      <c r="S556" t="inlineStr">
        <is>
          <t>1.7000</t>
        </is>
      </c>
      <c r="T556" t="inlineStr">
        <is>
          <t>No</t>
        </is>
      </c>
      <c r="U556" t="inlineStr">
        <is>
          <t>1 Year/18,000 Mile</t>
        </is>
      </c>
      <c r="V556" t="inlineStr">
        <is>
          <t>Yes</t>
        </is>
      </c>
      <c r="W556" t="inlineStr">
        <is>
          <t>Available to Order</t>
        </is>
      </c>
      <c r="X556" t="inlineStr">
        <is>
          <t>Toyota Prius 2015-10, Prius Plug-In 2015-12</t>
        </is>
      </c>
      <c r="Y556" t="inlineStr">
        <is>
          <t>00884548068131</t>
        </is>
      </c>
      <c r="Z556" t="inlineStr">
        <is>
          <t>43-20040::98268:113437:494</t>
        </is>
      </c>
      <c r="AA556" t="inlineStr">
        <is>
          <t>Yes</t>
        </is>
      </c>
      <c r="AB556" t="inlineStr"/>
      <c r="AC556" t="inlineStr"/>
    </row>
    <row r="557">
      <c r="A557" t="inlineStr">
        <is>
          <t>556</t>
        </is>
      </c>
      <c r="B557" t="inlineStr">
        <is>
          <t>Windshield Wiper Motor</t>
        </is>
      </c>
      <c r="C557" t="inlineStr">
        <is>
          <t>43-20043</t>
        </is>
      </c>
      <c r="D557" t="inlineStr">
        <is>
          <t>Windshield Wiper Motor - 43-20043</t>
        </is>
      </c>
      <c r="E557" t="inlineStr">
        <is>
          <t>CARDONE Reman</t>
        </is>
      </c>
      <c r="F557" t="inlineStr">
        <is>
          <t>8511047180</t>
        </is>
      </c>
      <c r="G557" t="inlineStr">
        <is>
          <t>Toyota Prius C 2012
Toyota Prius V 2012-2017</t>
        </is>
      </c>
      <c r="H557" t="inlineStr">
        <is>
          <t>Toyota Prius C 2012 1.5L L4 91cid
Toyota Prius V 2012-2017 1.8L L4 110cid</t>
        </is>
      </c>
      <c r="I557" t="inlineStr">
        <is>
          <t>{"0": {"productDeskExternalKey": "CPCX|43-20043"}, "1": {"Package Contents": "Wiper Motor; Instruction Sheet"}, "2": {"E-Waste": "Yes"}, "3": {"Product Condition": "Remanufactured"}, "4": {"Mounting Hole Quantity": "3"}, "5": {"Terminal Type": "Blade"}, "6": {"Mounting Type": "Direct Bolt"}, "7": {"Weight PG": "2.1000"}, "8": {"Washer Pump Included": "No"}, "9": {"Part Type": "Windshield Wiper Motor"}, "10": {"Warranty Info": "1 Year/18,000 Mile"}, "11": {"Sustainable Choice": "Yes"}, "12": {"Lifecycle Status": "Available to Order"}, "13": {"Application Summary": "Toyota Prius C 2012, Prius V 2017-12"}, "14": {"ItemLevelGTIN": "00884548099692"}, "15": {"_addonCardone": "43-20043::98268:113452:494"}, "16": {"Eligible for R&amp;R Service": "Yes"}}</t>
        </is>
      </c>
      <c r="J557" t="inlineStr">
        <is>
          <t>https://www.cardone.com/product/windshield-wiper-motor-43-20043</t>
        </is>
      </c>
      <c r="K557">
        <f>DISPIMG("ID_30DA1A22546F46FF90B447FDEE728C80",1)</f>
        <v/>
      </c>
      <c r="L557" t="inlineStr">
        <is>
          <t>CPCX|43-20043</t>
        </is>
      </c>
      <c r="M557" t="inlineStr">
        <is>
          <t>Wiper Motor; Instruction Sheet</t>
        </is>
      </c>
      <c r="N557" t="inlineStr">
        <is>
          <t>Yes</t>
        </is>
      </c>
      <c r="O557" t="inlineStr">
        <is>
          <t>Remanufactured</t>
        </is>
      </c>
      <c r="P557" t="inlineStr">
        <is>
          <t>3</t>
        </is>
      </c>
      <c r="Q557" t="inlineStr">
        <is>
          <t>Blade</t>
        </is>
      </c>
      <c r="R557" t="inlineStr">
        <is>
          <t>Direct Bolt</t>
        </is>
      </c>
      <c r="S557" t="inlineStr">
        <is>
          <t>2.1000</t>
        </is>
      </c>
      <c r="T557" t="inlineStr">
        <is>
          <t>No</t>
        </is>
      </c>
      <c r="U557" t="inlineStr">
        <is>
          <t>1 Year/18,000 Mile</t>
        </is>
      </c>
      <c r="V557" t="inlineStr">
        <is>
          <t>Yes</t>
        </is>
      </c>
      <c r="W557" t="inlineStr">
        <is>
          <t>Available to Order</t>
        </is>
      </c>
      <c r="X557" t="inlineStr">
        <is>
          <t>Toyota Prius C 2012, Prius V 2017-12</t>
        </is>
      </c>
      <c r="Y557" t="inlineStr">
        <is>
          <t>00884548099692</t>
        </is>
      </c>
      <c r="Z557" t="inlineStr">
        <is>
          <t>43-20043::98268:113452:494</t>
        </is>
      </c>
      <c r="AA557" t="inlineStr">
        <is>
          <t>Yes</t>
        </is>
      </c>
      <c r="AB557" t="inlineStr"/>
      <c r="AC557" t="inlineStr"/>
    </row>
    <row r="558">
      <c r="A558" t="inlineStr">
        <is>
          <t>557</t>
        </is>
      </c>
      <c r="B558" t="inlineStr">
        <is>
          <t>Windshield Wiper Motor</t>
        </is>
      </c>
      <c r="C558" t="inlineStr">
        <is>
          <t>43-20044</t>
        </is>
      </c>
      <c r="D558" t="inlineStr">
        <is>
          <t>Windshield Wiper Motor - 43-20044</t>
        </is>
      </c>
      <c r="E558" t="inlineStr">
        <is>
          <t>CARDONE Reman</t>
        </is>
      </c>
      <c r="F558" t="inlineStr">
        <is>
          <t>8513052240</t>
        </is>
      </c>
      <c r="G558" t="inlineStr">
        <is>
          <t>Toyota Prius C 2012-2019
Toyota Yaris 2012-2013</t>
        </is>
      </c>
      <c r="H558" t="inlineStr">
        <is>
          <t>Toyota Prius C 2012-2019 1.5L L4 91cid
Toyota Yaris 2012-2013 1.5L L4 1497cc</t>
        </is>
      </c>
      <c r="I558" t="inlineStr">
        <is>
          <t>{"0": {"productDeskExternalKey": "CPCX|43-20044"}, "1": {"Package Contents": "Wiper Motor; Instruction Sheet"}, "2": {"E-Waste": "Yes"}, "3": {"Product Condition": "Remanufactured"}, "4": {"Mounting Hole Quantity": "3"}, "5": {"Terminal Type": "Blade"}, "6": {"Mounting Type": "Through Hole"}, "7": {"Weight PG": "1.4000"}, "8": {"Washer Pump Included": "No"}, "9": {"Part Type": "Windshield Wiper Motor"}, "10": {"Warranty Info": "1 Year/18,000 Mile"}, "11": {"Sustainable Choice": "Yes"}, "12": {"Lifecycle Status": "Available to Order"}, "13": {"Application Summary": "Toyota Prius C 2019-12, Yaris 2013-12"}, "14": {"ItemLevelGTIN": "00884548099708"}, "15": {"_addonCardone": "43-20044::98268:113467:494"}, "16": {"Eligible for R&amp;R Service": "Yes"}}</t>
        </is>
      </c>
      <c r="J558" t="inlineStr">
        <is>
          <t>https://www.cardone.com/product/windshield-wiper-motor-43-20044</t>
        </is>
      </c>
      <c r="K558">
        <f>DISPIMG("ID_A3806BEC67BE4244AC35320697F69470",1)</f>
        <v/>
      </c>
      <c r="L558" t="inlineStr">
        <is>
          <t>CPCX|43-20044</t>
        </is>
      </c>
      <c r="M558" t="inlineStr">
        <is>
          <t>Wiper Motor; Instruction Sheet</t>
        </is>
      </c>
      <c r="N558" t="inlineStr">
        <is>
          <t>Yes</t>
        </is>
      </c>
      <c r="O558" t="inlineStr">
        <is>
          <t>Remanufactured</t>
        </is>
      </c>
      <c r="P558" t="inlineStr">
        <is>
          <t>3</t>
        </is>
      </c>
      <c r="Q558" t="inlineStr">
        <is>
          <t>Blade</t>
        </is>
      </c>
      <c r="R558" t="inlineStr">
        <is>
          <t>Through Hole</t>
        </is>
      </c>
      <c r="S558" t="inlineStr">
        <is>
          <t>1.4000</t>
        </is>
      </c>
      <c r="T558" t="inlineStr">
        <is>
          <t>No</t>
        </is>
      </c>
      <c r="U558" t="inlineStr">
        <is>
          <t>1 Year/18,000 Mile</t>
        </is>
      </c>
      <c r="V558" t="inlineStr">
        <is>
          <t>Yes</t>
        </is>
      </c>
      <c r="W558" t="inlineStr">
        <is>
          <t>Available to Order</t>
        </is>
      </c>
      <c r="X558" t="inlineStr">
        <is>
          <t>Toyota Prius C 2019-12, Yaris 2013-12</t>
        </is>
      </c>
      <c r="Y558" t="inlineStr">
        <is>
          <t>00884548099708</t>
        </is>
      </c>
      <c r="Z558" t="inlineStr">
        <is>
          <t>43-20044::98268:113467:494</t>
        </is>
      </c>
      <c r="AA558" t="inlineStr">
        <is>
          <t>Yes</t>
        </is>
      </c>
      <c r="AB558" t="inlineStr"/>
      <c r="AC558" t="inlineStr"/>
    </row>
    <row r="559">
      <c r="A559" t="inlineStr">
        <is>
          <t>558</t>
        </is>
      </c>
      <c r="B559" t="inlineStr">
        <is>
          <t>Windshield Wiper Motor</t>
        </is>
      </c>
      <c r="C559" t="inlineStr">
        <is>
          <t>43-20045</t>
        </is>
      </c>
      <c r="D559" t="inlineStr">
        <is>
          <t>Windshield Wiper Motor - 43-20045</t>
        </is>
      </c>
      <c r="E559" t="inlineStr">
        <is>
          <t>CARDONE Reman</t>
        </is>
      </c>
      <c r="F559" t="inlineStr">
        <is>
          <t>8511016670;8511016660</t>
        </is>
      </c>
      <c r="G559" t="inlineStr">
        <is>
          <t>Toyota Paseo 1998
Toyota Tercel 1997-1999</t>
        </is>
      </c>
      <c r="H559" t="inlineStr">
        <is>
          <t>Toyota Paseo 1998 1.5L L4 1497cc
Toyota Tercel 1997-1999 1.5L L4 1497cc</t>
        </is>
      </c>
      <c r="I559" t="inlineStr">
        <is>
          <t>{"0": {"productDeskExternalKey": "CPCX|43-20045"}, "1": {"Package Contents": "Wiper Motor; Instruction Sheet"}, "2": {"E-Waste": "Yes"}, "3": {"Product Condition": "Remanufactured"}, "4": {"Mounting Hole Quantity": "4"}, "5": {"Terminal Type": "Blade"}, "6": {"Mounting Type": "Grommet"}, "7": {"Weight PG": "2.9000"}, "8": {"Washer Pump Included": "No"}, "9": {"Part Type": "Windshield Wiper Motor"}, "10": {"Warranty Info": "1 Year/18,000 Mile"}, "11": {"Sustainable Choice": "Yes"}, "12": {"Lifecycle Status": "Available to Order"}, "13": {"Application Summary": "Toyota Paseo 1998, Tercel 1999-97"}, "14": {"ItemLevelGTIN": "00884548190412"}, "15": {"_addonCardone": "43-20045::98268:113481:494"}, "16": {"Eligible for R&amp;R Service": "Yes"}}</t>
        </is>
      </c>
      <c r="J559" t="inlineStr">
        <is>
          <t>https://www.cardone.com/product/windshield-wiper-motor-43-20045</t>
        </is>
      </c>
      <c r="K559">
        <f>DISPIMG("ID_833B5FA34A2C43F8BA1010D5F2576D06",1)</f>
        <v/>
      </c>
      <c r="L559" t="inlineStr">
        <is>
          <t>CPCX|43-20045</t>
        </is>
      </c>
      <c r="M559" t="inlineStr">
        <is>
          <t>Wiper Motor; Instruction Sheet</t>
        </is>
      </c>
      <c r="N559" t="inlineStr">
        <is>
          <t>Yes</t>
        </is>
      </c>
      <c r="O559" t="inlineStr">
        <is>
          <t>Remanufactured</t>
        </is>
      </c>
      <c r="P559" t="inlineStr">
        <is>
          <t>4</t>
        </is>
      </c>
      <c r="Q559" t="inlineStr">
        <is>
          <t>Blade</t>
        </is>
      </c>
      <c r="R559" t="inlineStr">
        <is>
          <t>Grommet</t>
        </is>
      </c>
      <c r="S559" t="inlineStr">
        <is>
          <t>2.9000</t>
        </is>
      </c>
      <c r="T559" t="inlineStr">
        <is>
          <t>No</t>
        </is>
      </c>
      <c r="U559" t="inlineStr">
        <is>
          <t>1 Year/18,000 Mile</t>
        </is>
      </c>
      <c r="V559" t="inlineStr">
        <is>
          <t>Yes</t>
        </is>
      </c>
      <c r="W559" t="inlineStr">
        <is>
          <t>Available to Order</t>
        </is>
      </c>
      <c r="X559" t="inlineStr">
        <is>
          <t>Toyota Paseo 1998, Tercel 1999-97</t>
        </is>
      </c>
      <c r="Y559" t="inlineStr">
        <is>
          <t>00884548190412</t>
        </is>
      </c>
      <c r="Z559" t="inlineStr">
        <is>
          <t>43-20045::98268:113481:494</t>
        </is>
      </c>
      <c r="AA559" t="inlineStr">
        <is>
          <t>Yes</t>
        </is>
      </c>
      <c r="AB559" t="inlineStr"/>
      <c r="AC559" t="inlineStr"/>
    </row>
    <row r="560">
      <c r="A560" t="inlineStr">
        <is>
          <t>559</t>
        </is>
      </c>
      <c r="B560" t="inlineStr">
        <is>
          <t>Windshield Wiper Motor</t>
        </is>
      </c>
      <c r="C560" t="inlineStr">
        <is>
          <t>43-20046</t>
        </is>
      </c>
      <c r="D560" t="inlineStr">
        <is>
          <t>Windshield Wiper Motor - 43-20046</t>
        </is>
      </c>
      <c r="E560" t="inlineStr">
        <is>
          <t>CARDONE Reman</t>
        </is>
      </c>
      <c r="F560" t="inlineStr">
        <is>
          <t>8511042190;8511002350;86510SG010;86511AL02A;86510VA010</t>
        </is>
      </c>
      <c r="G560" t="inlineStr">
        <is>
          <t>Lexus NX200t 2015-2017
Lexus NX300 2018-2019
Lexus NX300h 2015-2019
Subaru Crosstrek 2016-2019
Subaru Forester 2014-2018
Subaru Impreza 2015-2017
Subaru Legacy 2015-2019
Subaru Outback 2015-2019
Subaru XV Crosstrek 2014-2015
Toyota Corolla 2014-2019
Toyota RAV4 2013-2018</t>
        </is>
      </c>
      <c r="H560" t="inlineStr">
        <is>
          <t>Lexus NX200t 2015-2017 2L L4 122cid
Lexus NX300 2018-2019 2L L4 122cid
Lexus NX300h 2015-2019 2.5L L4 152cid
Subaru Crosstrek 2016-2019 2L H4 1995cc
Subaru Forester 2014-2018 2.5L H4 152cid
Subaru Forester 2014-2018 2L H4 122cid
Subaru Impreza 2015-2016 2L H4 122cid
Subaru Impreza 2015-2017 2L H4 1995cc
Subaru Legacy 2015-2019 2.5L H4 152cid
Subaru Legacy 2015-2019 3.6L H6 3630cc
Subaru Outback 2015 2.5L H4 2458cc
Subaru Outback 2015-2019 2.5L H4 152cid
Subaru Outback 2015-2019 3.6L H6 3630cc
Subaru XV Crosstrek 2014-2015 2L H4 1995cc
Toyota Corolla 2014-2019 1.8L L4 110cid
Toyota Corolla 2019 2L L4 121cid
Toyota RAV4 2013-2014
Toyota RAV4 2013-2018 2.5L L4 152cid</t>
        </is>
      </c>
      <c r="I560" t="inlineStr">
        <is>
          <t>{"0": {"productDeskExternalKey": "CPCX|43-20046"}, "1": {"Package Contents": "Wiper Motor; Instruction Sheet"}, "2": {"E-Waste": "Yes"}, "3": {"Product Condition": "Remanufactured"}, "4": {"Mounting Hole Quantity": "3"}, "5": {"Terminal Type": "Blade"}, "6": {"Mounting Type": "Direct Bolt"}, "7": {"Weight PG": "1.9200"}, "8": {"Washer Pump Included": "No"}, "9": {"Part Type": "Windshield Wiper Motor"}, "10": {"Warranty Info": "1 Year/18,000 Mile"}, "11": {"Sustainable Choice": "Yes"}, "12": {"Lifecycle Status": "Available to Order"}, "13": {"Application Summary": "Lexus NX200t 2017-15, NX300 2019-18, NX300h 2019-15; Subaru Crosstrek 2019-16, Forester 2018-14, Impreza 2017-15, Legacy 2019-15, Outback 2019-15, XV Crosstrek 2015-14; Toyota Corolla 2019-14, RAV4 2018-13"}, "14": {"ItemLevelGTIN": "00884548194397"}, "15": {"_addonCardone": "43-20046::98268:113496:494"}, "16": {"Eligible for R&amp;R Service": "Yes"}}</t>
        </is>
      </c>
      <c r="J560" t="inlineStr">
        <is>
          <t>https://www.cardone.com/product/windshield-wiper-motor-43-20046</t>
        </is>
      </c>
      <c r="K560">
        <f>DISPIMG("ID_3C988DBEB37943ACA94F1196B44CCF35",1)</f>
        <v/>
      </c>
      <c r="L560" t="inlineStr">
        <is>
          <t>CPCX|43-20046</t>
        </is>
      </c>
      <c r="M560" t="inlineStr">
        <is>
          <t>Wiper Motor; Instruction Sheet</t>
        </is>
      </c>
      <c r="N560" t="inlineStr">
        <is>
          <t>Yes</t>
        </is>
      </c>
      <c r="O560" t="inlineStr">
        <is>
          <t>Remanufactured</t>
        </is>
      </c>
      <c r="P560" t="inlineStr">
        <is>
          <t>3</t>
        </is>
      </c>
      <c r="Q560" t="inlineStr">
        <is>
          <t>Blade</t>
        </is>
      </c>
      <c r="R560" t="inlineStr">
        <is>
          <t>Direct Bolt</t>
        </is>
      </c>
      <c r="S560" t="inlineStr">
        <is>
          <t>1.9200</t>
        </is>
      </c>
      <c r="T560" t="inlineStr">
        <is>
          <t>No</t>
        </is>
      </c>
      <c r="U560" t="inlineStr">
        <is>
          <t>1 Year/18,000 Mile</t>
        </is>
      </c>
      <c r="V560" t="inlineStr">
        <is>
          <t>Yes</t>
        </is>
      </c>
      <c r="W560" t="inlineStr">
        <is>
          <t>Available to Order</t>
        </is>
      </c>
      <c r="X560" t="inlineStr">
        <is>
          <t>Lexus NX200t 2017-15, NX300 2019-18, NX300h 2019-15; Subaru Crosstrek 2019-16, Forester 2018-14, Impreza 2017-15, Legacy 2019-15, Outback 2019-15, XV Crosstrek 2015-14; Toyota Corolla 2019-14, RAV4 2018-13</t>
        </is>
      </c>
      <c r="Y560" t="inlineStr">
        <is>
          <t>00884548194397</t>
        </is>
      </c>
      <c r="Z560" t="inlineStr">
        <is>
          <t>43-20046::98268:113496:494</t>
        </is>
      </c>
      <c r="AA560" t="inlineStr">
        <is>
          <t>Yes</t>
        </is>
      </c>
      <c r="AB560" t="inlineStr"/>
      <c r="AC560" t="inlineStr"/>
    </row>
    <row r="561">
      <c r="A561" t="inlineStr">
        <is>
          <t>560</t>
        </is>
      </c>
      <c r="B561" t="inlineStr">
        <is>
          <t>Windshield Wiper Motor</t>
        </is>
      </c>
      <c r="C561" t="inlineStr">
        <is>
          <t>43-2005</t>
        </is>
      </c>
      <c r="D561" t="inlineStr">
        <is>
          <t>Windshield Wiper Motor - 43-2005</t>
        </is>
      </c>
      <c r="E561" t="inlineStr">
        <is>
          <t>CARDONE Reman</t>
        </is>
      </c>
      <c r="F561" t="inlineStr">
        <is>
          <t>8508045010;8512095D02</t>
        </is>
      </c>
      <c r="G561" t="inlineStr">
        <is>
          <t>Toyota Previa 1991-1997
Toyota Sienna 1998-2003</t>
        </is>
      </c>
      <c r="H561" t="inlineStr">
        <is>
          <t>Toyota Previa 1991-1997 2.4L L4 2438cc
Toyota Sienna 1998-2003 3L V6 2995cc</t>
        </is>
      </c>
      <c r="I561" t="inlineStr">
        <is>
          <t>{"0": {"productDeskExternalKey": "CPCX|43-2005"}, "1": {"Package Contents": "Wiper Motor; Instruction Sheet"}, "2": {"E-Waste": "Yes"}, "3": {"Product Condition": "Remanufactured"}, "4": {"Mounting Hole Quantity": "3"}, "5": {"Terminal Type": "Blade"}, "6": {"Mounting Type": "Grommet"}, "7": {"Weight PG": "1.7000"}, "8": {"Washer Pump Included": "No"}, "9": {"Part Type": "Windshield Wiper Motor"}, "10": {"Warranty Info": "1 Year/18,000 Mile"}, "11": {"Sustainable Choice": "Yes"}, "12": {"Lifecycle Status": "Available to Order"}, "13": {"Application Summary": "Toyota Previa 1997-91, Sienna 2003-98"}, "14": {"ItemLevelGTIN": "00082617456333"}, "15": {"_addonCardone": "43-2005::98268:113507:494"}, "16": {"Eligible for R&amp;R Service": "Yes"}}</t>
        </is>
      </c>
      <c r="J561" t="inlineStr">
        <is>
          <t>https://www.cardone.com/product/windshield-wiper-motor-43-2005</t>
        </is>
      </c>
      <c r="K561">
        <f>DISPIMG("ID_68E0ADBCDE26404DBF9188AD15BF17FC",1)</f>
        <v/>
      </c>
      <c r="L561" t="inlineStr">
        <is>
          <t>CPCX|43-2005</t>
        </is>
      </c>
      <c r="M561" t="inlineStr">
        <is>
          <t>Wiper Motor; Instruction Sheet</t>
        </is>
      </c>
      <c r="N561" t="inlineStr">
        <is>
          <t>Yes</t>
        </is>
      </c>
      <c r="O561" t="inlineStr">
        <is>
          <t>Remanufactured</t>
        </is>
      </c>
      <c r="P561" t="inlineStr">
        <is>
          <t>3</t>
        </is>
      </c>
      <c r="Q561" t="inlineStr">
        <is>
          <t>Blade</t>
        </is>
      </c>
      <c r="R561" t="inlineStr">
        <is>
          <t>Grommet</t>
        </is>
      </c>
      <c r="S561" t="inlineStr">
        <is>
          <t>1.7000</t>
        </is>
      </c>
      <c r="T561" t="inlineStr">
        <is>
          <t>No</t>
        </is>
      </c>
      <c r="U561" t="inlineStr">
        <is>
          <t>1 Year/18,000 Mile</t>
        </is>
      </c>
      <c r="V561" t="inlineStr">
        <is>
          <t>Yes</t>
        </is>
      </c>
      <c r="W561" t="inlineStr">
        <is>
          <t>Available to Order</t>
        </is>
      </c>
      <c r="X561" t="inlineStr">
        <is>
          <t>Toyota Previa 1997-91, Sienna 2003-98</t>
        </is>
      </c>
      <c r="Y561" t="inlineStr">
        <is>
          <t>00082617456333</t>
        </is>
      </c>
      <c r="Z561" t="inlineStr">
        <is>
          <t>43-2005::98268:113507:494</t>
        </is>
      </c>
      <c r="AA561" t="inlineStr">
        <is>
          <t>Yes</t>
        </is>
      </c>
      <c r="AB561" t="inlineStr"/>
      <c r="AC561" t="inlineStr"/>
    </row>
    <row r="562">
      <c r="A562" t="inlineStr">
        <is>
          <t>561</t>
        </is>
      </c>
      <c r="B562" t="inlineStr">
        <is>
          <t>Windshield Wiper Motor</t>
        </is>
      </c>
      <c r="C562" t="inlineStr">
        <is>
          <t>43-20054</t>
        </is>
      </c>
      <c r="D562" t="inlineStr">
        <is>
          <t>Windshield Wiper Motor - 43-20054</t>
        </is>
      </c>
      <c r="E562" t="inlineStr">
        <is>
          <t>CARDONE Reman</t>
        </is>
      </c>
      <c r="F562" t="inlineStr">
        <is>
          <t>851100E010</t>
        </is>
      </c>
      <c r="G562" t="inlineStr">
        <is>
          <t>Lexus RX330 2004-2006
Lexus RX350 2007-2009</t>
        </is>
      </c>
      <c r="H562" t="inlineStr">
        <is>
          <t>Lexus RX330 2004-2006 3.3L V6 202cid
Lexus RX350 2007-2009 3.5L V6 3456cc</t>
        </is>
      </c>
      <c r="I562" t="inlineStr">
        <is>
          <t>{"0": {"productDeskExternalKey": "CPCX|43-20054"}, "1": {"Package Contents": "Wiper Motor; Instruction Sheet"}, "2": {"E-Waste": "Yes"}, "3": {"Product Condition": "Remanufactured"}, "4": {"Mounting Hole Quantity": "3"}, "5": {"Terminal Type": "Blade"}, "6": {"Mounting Type": "Direct Bolt"}, "7": {"Weight PG": "3.0200"}, "8": {"Washer Pump Included": "No"}, "9": {"Part Type": "Windshield Wiper Motor"}, "10": {"Warranty Info": "1 Year/18,000 Mile"}, "11": {"Sustainable Choice": "Yes"}, "12": {"Lifecycle Status": "Available to Order"}, "13": {"Application Summary": "Lexus RX330 2006-04, RX350 2009-07"}, "14": {"ItemLevelGTIN": "00884548306653"}, "15": {"_addonCardone": "43-20054::98268:113521:494"}, "16": {"Eligible for R&amp;R Service": "Yes"}}</t>
        </is>
      </c>
      <c r="J562" t="inlineStr">
        <is>
          <t>https://www.cardone.com/product/windshield-wiper-motor-43-20054</t>
        </is>
      </c>
      <c r="K562">
        <f>DISPIMG("ID_DAD7677ED86A4BF9ACD45FA80ECCB7C7",1)</f>
        <v/>
      </c>
      <c r="L562" t="inlineStr">
        <is>
          <t>CPCX|43-20054</t>
        </is>
      </c>
      <c r="M562" t="inlineStr">
        <is>
          <t>Wiper Motor; Instruction Sheet</t>
        </is>
      </c>
      <c r="N562" t="inlineStr">
        <is>
          <t>Yes</t>
        </is>
      </c>
      <c r="O562" t="inlineStr">
        <is>
          <t>Remanufactured</t>
        </is>
      </c>
      <c r="P562" t="inlineStr">
        <is>
          <t>3</t>
        </is>
      </c>
      <c r="Q562" t="inlineStr">
        <is>
          <t>Blade</t>
        </is>
      </c>
      <c r="R562" t="inlineStr">
        <is>
          <t>Direct Bolt</t>
        </is>
      </c>
      <c r="S562" t="inlineStr">
        <is>
          <t>3.0200</t>
        </is>
      </c>
      <c r="T562" t="inlineStr">
        <is>
          <t>No</t>
        </is>
      </c>
      <c r="U562" t="inlineStr">
        <is>
          <t>1 Year/18,000 Mile</t>
        </is>
      </c>
      <c r="V562" t="inlineStr">
        <is>
          <t>Yes</t>
        </is>
      </c>
      <c r="W562" t="inlineStr">
        <is>
          <t>Available to Order</t>
        </is>
      </c>
      <c r="X562" t="inlineStr">
        <is>
          <t>Lexus RX330 2006-04, RX350 2009-07</t>
        </is>
      </c>
      <c r="Y562" t="inlineStr">
        <is>
          <t>00884548306653</t>
        </is>
      </c>
      <c r="Z562" t="inlineStr">
        <is>
          <t>43-20054::98268:113521:494</t>
        </is>
      </c>
      <c r="AA562" t="inlineStr">
        <is>
          <t>Yes</t>
        </is>
      </c>
      <c r="AB562" t="inlineStr"/>
      <c r="AC562" t="inlineStr"/>
    </row>
    <row r="563">
      <c r="A563" t="inlineStr">
        <is>
          <t>562</t>
        </is>
      </c>
      <c r="B563" t="inlineStr">
        <is>
          <t>Windshield Wiper Motor</t>
        </is>
      </c>
      <c r="C563" t="inlineStr">
        <is>
          <t>43-2006</t>
        </is>
      </c>
      <c r="D563" t="inlineStr">
        <is>
          <t>Windshield Wiper Motor - 43-2006</t>
        </is>
      </c>
      <c r="E563" t="inlineStr">
        <is>
          <t>CARDONE Reman</t>
        </is>
      </c>
      <c r="F563" t="inlineStr">
        <is>
          <t>8511050090;8511050050</t>
        </is>
      </c>
      <c r="G563" t="inlineStr">
        <is>
          <t>Lexus LS400 1993-2000</t>
        </is>
      </c>
      <c r="H563" t="inlineStr">
        <is>
          <t>Lexus LS400 1993-2000 4L V8 3969cc</t>
        </is>
      </c>
      <c r="I563" t="inlineStr">
        <is>
          <t>{"0": {"productDeskExternalKey": "CPCX|43-2006"}, "1": {"Package Contents": "Wiper Motor; Instruction Sheet"}, "2": {"E-Waste": "Yes"}, "3": {"Product Condition": "Remanufactured"}, "4": {"Mounting Hole Quantity": "3"}, "5": {"Terminal Type": "Blade"}, "6": {"Mounting Type": "Direct Bolt"}, "7": {"Weight PG": "2.8800"}, "8": {"Washer Pump Included": "No"}, "9": {"Part Type": "Windshield Wiper Motor"}, "10": {"Warranty Info": "1 Year/18,000 Mile"}, "11": {"Sustainable Choice": "Yes"}, "12": {"Lifecycle Status": "Available to Order"}, "13": {"Application Summary": "Lexus LS400 2000-93"}, "14": {"ItemLevelGTIN": "00082617456210"}, "15": {"_addonCardone": "43-2006::98268:113532:494"}, "16": {"Eligible for R&amp;R Service": "Yes"}}</t>
        </is>
      </c>
      <c r="J563" t="inlineStr">
        <is>
          <t>https://www.cardone.com/product/windshield-wiper-motor-43-2006</t>
        </is>
      </c>
      <c r="K563">
        <f>DISPIMG("ID_B2A7CB50CB374407BADE89265C84106D",1)</f>
        <v/>
      </c>
      <c r="L563" t="inlineStr">
        <is>
          <t>CPCX|43-2006</t>
        </is>
      </c>
      <c r="M563" t="inlineStr">
        <is>
          <t>Wiper Motor; Instruction Sheet</t>
        </is>
      </c>
      <c r="N563" t="inlineStr">
        <is>
          <t>Yes</t>
        </is>
      </c>
      <c r="O563" t="inlineStr">
        <is>
          <t>Remanufactured</t>
        </is>
      </c>
      <c r="P563" t="inlineStr">
        <is>
          <t>3</t>
        </is>
      </c>
      <c r="Q563" t="inlineStr">
        <is>
          <t>Blade</t>
        </is>
      </c>
      <c r="R563" t="inlineStr">
        <is>
          <t>Direct Bolt</t>
        </is>
      </c>
      <c r="S563" t="inlineStr">
        <is>
          <t>2.8800</t>
        </is>
      </c>
      <c r="T563" t="inlineStr">
        <is>
          <t>No</t>
        </is>
      </c>
      <c r="U563" t="inlineStr">
        <is>
          <t>1 Year/18,000 Mile</t>
        </is>
      </c>
      <c r="V563" t="inlineStr">
        <is>
          <t>Yes</t>
        </is>
      </c>
      <c r="W563" t="inlineStr">
        <is>
          <t>Available to Order</t>
        </is>
      </c>
      <c r="X563" t="inlineStr">
        <is>
          <t>Lexus LS400 2000-93</t>
        </is>
      </c>
      <c r="Y563" t="inlineStr">
        <is>
          <t>00082617456210</t>
        </is>
      </c>
      <c r="Z563" t="inlineStr">
        <is>
          <t>43-2006::98268:113532:494</t>
        </is>
      </c>
      <c r="AA563" t="inlineStr">
        <is>
          <t>Yes</t>
        </is>
      </c>
      <c r="AB563" t="inlineStr"/>
      <c r="AC563" t="inlineStr"/>
    </row>
    <row r="564">
      <c r="A564" t="inlineStr">
        <is>
          <t>563</t>
        </is>
      </c>
      <c r="B564" t="inlineStr">
        <is>
          <t>Windshield Wiper Motor</t>
        </is>
      </c>
      <c r="C564" t="inlineStr">
        <is>
          <t>43-2008</t>
        </is>
      </c>
      <c r="D564" t="inlineStr">
        <is>
          <t>Windshield Wiper Motor - 43-2008</t>
        </is>
      </c>
      <c r="E564" t="inlineStr">
        <is>
          <t>CARDONE Reman</t>
        </is>
      </c>
      <c r="F564" t="inlineStr">
        <is>
          <t>8501089133;8502035010</t>
        </is>
      </c>
      <c r="G564" t="inlineStr">
        <is>
          <t>Toyota 4Runner 1989-1995</t>
        </is>
      </c>
      <c r="H564" t="inlineStr">
        <is>
          <t>Toyota 4Runner 1989-1995 2.4L L4 2366cc
Toyota 4Runner 1989-1995 3L V6 2959cc</t>
        </is>
      </c>
      <c r="I564" t="inlineStr">
        <is>
          <t>{"0": {"productDeskExternalKey": "CPCX|43-2008"}, "1": {"Package Contents": "Wiper Motor; Instruction Sheet"}, "2": {"E-Waste": "Yes"}, "3": {"Product Condition": "Remanufactured"}, "4": {"Mounting Hole Quantity": "3"}, "5": {"Terminal Type": "Blade"}, "6": {"Mounting Type": "Grommet"}, "7": {"Weight PG": "2.1600"}, "8": {"Washer Pump Included": "No"}, "9": {"Part Type": "Windshield Wiper Motor"}, "10": {"Warranty Info": "1 Year/18,000 Mile"}, "11": {"Sustainable Choice": "Yes"}, "12": {"Lifecycle Status": "Available to Order"}, "13": {"Application Summary": "Toyota 4Runner 1995-89"}, "14": {"ItemLevelGTIN": "00082617456296"}, "15": {"_addonCardone": "43-2008::98268:113543:494"}, "16": {"Eligible for R&amp;R Service": "Yes"}}</t>
        </is>
      </c>
      <c r="J564" t="inlineStr">
        <is>
          <t>https://www.cardone.com/product/windshield-wiper-motor-43-2008</t>
        </is>
      </c>
      <c r="K564">
        <f>DISPIMG("ID_6554768F112F42E398EC73E9B0E6AC22",1)</f>
        <v/>
      </c>
      <c r="L564" t="inlineStr">
        <is>
          <t>CPCX|43-2008</t>
        </is>
      </c>
      <c r="M564" t="inlineStr">
        <is>
          <t>Wiper Motor; Instruction Sheet</t>
        </is>
      </c>
      <c r="N564" t="inlineStr">
        <is>
          <t>Yes</t>
        </is>
      </c>
      <c r="O564" t="inlineStr">
        <is>
          <t>Remanufactured</t>
        </is>
      </c>
      <c r="P564" t="inlineStr">
        <is>
          <t>3</t>
        </is>
      </c>
      <c r="Q564" t="inlineStr">
        <is>
          <t>Blade</t>
        </is>
      </c>
      <c r="R564" t="inlineStr">
        <is>
          <t>Grommet</t>
        </is>
      </c>
      <c r="S564" t="inlineStr">
        <is>
          <t>2.1600</t>
        </is>
      </c>
      <c r="T564" t="inlineStr">
        <is>
          <t>No</t>
        </is>
      </c>
      <c r="U564" t="inlineStr">
        <is>
          <t>1 Year/18,000 Mile</t>
        </is>
      </c>
      <c r="V564" t="inlineStr">
        <is>
          <t>Yes</t>
        </is>
      </c>
      <c r="W564" t="inlineStr">
        <is>
          <t>Available to Order</t>
        </is>
      </c>
      <c r="X564" t="inlineStr">
        <is>
          <t>Toyota 4Runner 1995-89</t>
        </is>
      </c>
      <c r="Y564" t="inlineStr">
        <is>
          <t>00082617456296</t>
        </is>
      </c>
      <c r="Z564" t="inlineStr">
        <is>
          <t>43-2008::98268:113543:494</t>
        </is>
      </c>
      <c r="AA564" t="inlineStr">
        <is>
          <t>Yes</t>
        </is>
      </c>
      <c r="AB564" t="inlineStr"/>
      <c r="AC564" t="inlineStr"/>
    </row>
    <row r="565">
      <c r="A565" t="inlineStr">
        <is>
          <t>564</t>
        </is>
      </c>
      <c r="B565" t="inlineStr">
        <is>
          <t>Windshield Wiper Motor</t>
        </is>
      </c>
      <c r="C565" t="inlineStr">
        <is>
          <t>43-2009</t>
        </is>
      </c>
      <c r="D565" t="inlineStr">
        <is>
          <t>Windshield Wiper Motor - 43-2009</t>
        </is>
      </c>
      <c r="E565" t="inlineStr">
        <is>
          <t>CARDONE Reman</t>
        </is>
      </c>
      <c r="F565" t="inlineStr">
        <is>
          <t>8511033110</t>
        </is>
      </c>
      <c r="G565" t="inlineStr">
        <is>
          <t>Toyota Camry 1994-1996</t>
        </is>
      </c>
      <c r="H565" t="inlineStr">
        <is>
          <t>Toyota Camry 1994-1996 2.2L L4 2164cc
Toyota Camry 1994-1996 3L V6 2995cc</t>
        </is>
      </c>
      <c r="I565" t="inlineStr">
        <is>
          <t>{"0": {"productDeskExternalKey": "CPCX|43-2009"}, "1": {"Package Contents": "Wiper Motor; Instruction Sheet"}, "2": {"E-Waste": "Yes"}, "3": {"Product Condition": "Remanufactured"}, "4": {"Mounting Hole Quantity": "4"}, "5": {"Terminal Type": "Blade"}, "6": {"Mounting Type": "Grommet"}, "7": {"Weight PG": "3.2000"}, "8": {"Washer Pump Included": "No"}, "9": {"Part Type": "Windshield Wiper Motor"}, "10": {"Warranty Info": "1 Year/18,000 Mile"}, "11": {"Sustainable Choice": "Yes"}, "12": {"Lifecycle Status": "Available to Order"}, "13": {"Application Summary": "Toyota Camry 1996-94"}, "14": {"ItemLevelGTIN": "00082617456319"}, "15": {"_addonCardone": "43-2009::98268:113556:494"}, "16": {"Eligible for R&amp;R Service": "Yes"}}</t>
        </is>
      </c>
      <c r="J565" t="inlineStr">
        <is>
          <t>https://www.cardone.com/product/windshield-wiper-motor-43-2009</t>
        </is>
      </c>
      <c r="K565">
        <f>DISPIMG("ID_B7F637FD92564B989E9BF92848E94ACA",1)</f>
        <v/>
      </c>
      <c r="L565" t="inlineStr">
        <is>
          <t>CPCX|43-2009</t>
        </is>
      </c>
      <c r="M565" t="inlineStr">
        <is>
          <t>Wiper Motor; Instruction Sheet</t>
        </is>
      </c>
      <c r="N565" t="inlineStr">
        <is>
          <t>Yes</t>
        </is>
      </c>
      <c r="O565" t="inlineStr">
        <is>
          <t>Remanufactured</t>
        </is>
      </c>
      <c r="P565" t="inlineStr">
        <is>
          <t>4</t>
        </is>
      </c>
      <c r="Q565" t="inlineStr">
        <is>
          <t>Blade</t>
        </is>
      </c>
      <c r="R565" t="inlineStr">
        <is>
          <t>Grommet</t>
        </is>
      </c>
      <c r="S565" t="inlineStr">
        <is>
          <t>3.2000</t>
        </is>
      </c>
      <c r="T565" t="inlineStr">
        <is>
          <t>No</t>
        </is>
      </c>
      <c r="U565" t="inlineStr">
        <is>
          <t>1 Year/18,000 Mile</t>
        </is>
      </c>
      <c r="V565" t="inlineStr">
        <is>
          <t>Yes</t>
        </is>
      </c>
      <c r="W565" t="inlineStr">
        <is>
          <t>Available to Order</t>
        </is>
      </c>
      <c r="X565" t="inlineStr">
        <is>
          <t>Toyota Camry 1996-94</t>
        </is>
      </c>
      <c r="Y565" t="inlineStr">
        <is>
          <t>00082617456319</t>
        </is>
      </c>
      <c r="Z565" t="inlineStr">
        <is>
          <t>43-2009::98268:113556:494</t>
        </is>
      </c>
      <c r="AA565" t="inlineStr">
        <is>
          <t>Yes</t>
        </is>
      </c>
      <c r="AB565" t="inlineStr"/>
      <c r="AC565" t="inlineStr"/>
    </row>
    <row r="566">
      <c r="A566" t="inlineStr">
        <is>
          <t>565</t>
        </is>
      </c>
      <c r="B566" t="inlineStr">
        <is>
          <t>Windshield Wiper Motor</t>
        </is>
      </c>
      <c r="C566" t="inlineStr">
        <is>
          <t>43-2010</t>
        </is>
      </c>
      <c r="D566" t="inlineStr">
        <is>
          <t>Windshield Wiper Motor - 43-2010</t>
        </is>
      </c>
      <c r="E566" t="inlineStr">
        <is>
          <t>CARDONE Reman</t>
        </is>
      </c>
      <c r="F566" t="inlineStr">
        <is>
          <t>8511042031;8511042040;8511042030</t>
        </is>
      </c>
      <c r="G566" t="inlineStr">
        <is>
          <t>Toyota RAV4 1996-2000</t>
        </is>
      </c>
      <c r="H566" t="inlineStr">
        <is>
          <t>Toyota RAV4 1996-2000 2L L4 122cid
Toyota RAV4 1998-2000</t>
        </is>
      </c>
      <c r="I566" t="inlineStr">
        <is>
          <t>{"0": {"productDeskExternalKey": "CPCX|43-2010"}, "1": {"Package Contents": "Wiper Motor; Instruction Sheet"}, "2": {"E-Waste": "Yes"}, "3": {"Product Condition": "Remanufactured"}, "4": {"Mounting Hole Quantity": "4"}, "5": {"Terminal Type": "Blade"}, "6": {"Mounting Type": "Grommet"}, "7": {"Weight PG": "2.9000"}, "8": {"Washer Pump Included": "No"}, "9": {"Part Type": "Windshield Wiper Motor"}, "10": {"Warranty Info": "1 Year/18,000 Mile"}, "11": {"Sustainable Choice": "Yes"}, "12": {"Lifecycle Status": "Available to Order"}, "13": {"Application Summary": "Toyota RAV4 2000-96"}, "14": {"ItemLevelGTIN": "00082617456302"}, "15": {"_addonCardone": "43-2010::98268:113569:494"}, "16": {"Eligible for R&amp;R Service": "Yes"}}</t>
        </is>
      </c>
      <c r="J566" t="inlineStr">
        <is>
          <t>https://www.cardone.com/product/windshield-wiper-motor-43-2010</t>
        </is>
      </c>
      <c r="K566">
        <f>DISPIMG("ID_FFC6B035CDA14E229B9BD023D7062208",1)</f>
        <v/>
      </c>
      <c r="L566" t="inlineStr">
        <is>
          <t>CPCX|43-2010</t>
        </is>
      </c>
      <c r="M566" t="inlineStr">
        <is>
          <t>Wiper Motor; Instruction Sheet</t>
        </is>
      </c>
      <c r="N566" t="inlineStr">
        <is>
          <t>Yes</t>
        </is>
      </c>
      <c r="O566" t="inlineStr">
        <is>
          <t>Remanufactured</t>
        </is>
      </c>
      <c r="P566" t="inlineStr">
        <is>
          <t>4</t>
        </is>
      </c>
      <c r="Q566" t="inlineStr">
        <is>
          <t>Blade</t>
        </is>
      </c>
      <c r="R566" t="inlineStr">
        <is>
          <t>Grommet</t>
        </is>
      </c>
      <c r="S566" t="inlineStr">
        <is>
          <t>2.9000</t>
        </is>
      </c>
      <c r="T566" t="inlineStr">
        <is>
          <t>No</t>
        </is>
      </c>
      <c r="U566" t="inlineStr">
        <is>
          <t>1 Year/18,000 Mile</t>
        </is>
      </c>
      <c r="V566" t="inlineStr">
        <is>
          <t>Yes</t>
        </is>
      </c>
      <c r="W566" t="inlineStr">
        <is>
          <t>Available to Order</t>
        </is>
      </c>
      <c r="X566" t="inlineStr">
        <is>
          <t>Toyota RAV4 2000-96</t>
        </is>
      </c>
      <c r="Y566" t="inlineStr">
        <is>
          <t>00082617456302</t>
        </is>
      </c>
      <c r="Z566" t="inlineStr">
        <is>
          <t>43-2010::98268:113569:494</t>
        </is>
      </c>
      <c r="AA566" t="inlineStr">
        <is>
          <t>Yes</t>
        </is>
      </c>
      <c r="AB566" t="inlineStr"/>
      <c r="AC566" t="inlineStr"/>
    </row>
    <row r="567">
      <c r="A567" t="inlineStr">
        <is>
          <t>566</t>
        </is>
      </c>
      <c r="B567" t="inlineStr">
        <is>
          <t>Windshield Wiper Motor</t>
        </is>
      </c>
      <c r="C567" t="inlineStr">
        <is>
          <t>43-2011</t>
        </is>
      </c>
      <c r="D567" t="inlineStr">
        <is>
          <t>Windshield Wiper Motor - 43-2011</t>
        </is>
      </c>
      <c r="E567" t="inlineStr">
        <is>
          <t>CARDONE Reman</t>
        </is>
      </c>
      <c r="F567" t="inlineStr">
        <is>
          <t>8511035240;8511035230</t>
        </is>
      </c>
      <c r="G567" t="inlineStr">
        <is>
          <t>Toyota 4Runner 1996-2002</t>
        </is>
      </c>
      <c r="H567" t="inlineStr">
        <is>
          <t>Toyota 4Runner 1996-2000 2.7L L4 2694cc
Toyota 4Runner 1996-2002 3.4L V6 3378cc</t>
        </is>
      </c>
      <c r="I567" t="inlineStr">
        <is>
          <t>{"0": {"productDeskExternalKey": "CPCX|43-2011"}, "1": {"Package Contents": "Wiper Motor; Instruction Sheet"}, "2": {"E-Waste": "Yes"}, "3": {"Product Condition": "Remanufactured"}, "4": {"Mounting Hole Quantity": "4"}, "5": {"Terminal Type": "Blade"}, "6": {"Mounting Type": "Grommet"}, "7": {"Weight PG": "2.4000"}, "8": {"Washer Pump Included": "No"}, "9": {"Part Type": "Windshield Wiper Motor"}, "10": {"Warranty Info": "1 Year/18,000 Mile"}, "11": {"Sustainable Choice": "Yes"}, "12": {"Lifecycle Status": "Available to Order"}, "13": {"Application Summary": "Toyota 4Runner 2002-96"}, "14": {"ItemLevelGTIN": "00082617457200"}, "15": {"_addonCardone": "43-2011::98268:113584:494"}, "16": {"Eligible for R&amp;R Service": "Yes"}}</t>
        </is>
      </c>
      <c r="J567" t="inlineStr">
        <is>
          <t>https://www.cardone.com/product/windshield-wiper-motor-43-2011</t>
        </is>
      </c>
      <c r="K567">
        <f>DISPIMG("ID_B6D7F9D279BA40879CDD2E01A643A1CE",1)</f>
        <v/>
      </c>
      <c r="L567" t="inlineStr">
        <is>
          <t>CPCX|43-2011</t>
        </is>
      </c>
      <c r="M567" t="inlineStr">
        <is>
          <t>Wiper Motor; Instruction Sheet</t>
        </is>
      </c>
      <c r="N567" t="inlineStr">
        <is>
          <t>Yes</t>
        </is>
      </c>
      <c r="O567" t="inlineStr">
        <is>
          <t>Remanufactured</t>
        </is>
      </c>
      <c r="P567" t="inlineStr">
        <is>
          <t>4</t>
        </is>
      </c>
      <c r="Q567" t="inlineStr">
        <is>
          <t>Blade</t>
        </is>
      </c>
      <c r="R567" t="inlineStr">
        <is>
          <t>Grommet</t>
        </is>
      </c>
      <c r="S567" t="inlineStr">
        <is>
          <t>2.4000</t>
        </is>
      </c>
      <c r="T567" t="inlineStr">
        <is>
          <t>No</t>
        </is>
      </c>
      <c r="U567" t="inlineStr">
        <is>
          <t>1 Year/18,000 Mile</t>
        </is>
      </c>
      <c r="V567" t="inlineStr">
        <is>
          <t>Yes</t>
        </is>
      </c>
      <c r="W567" t="inlineStr">
        <is>
          <t>Available to Order</t>
        </is>
      </c>
      <c r="X567" t="inlineStr">
        <is>
          <t>Toyota 4Runner 2002-96</t>
        </is>
      </c>
      <c r="Y567" t="inlineStr">
        <is>
          <t>00082617457200</t>
        </is>
      </c>
      <c r="Z567" t="inlineStr">
        <is>
          <t>43-2011::98268:113584:494</t>
        </is>
      </c>
      <c r="AA567" t="inlineStr">
        <is>
          <t>Yes</t>
        </is>
      </c>
      <c r="AB567" t="inlineStr"/>
      <c r="AC567" t="inlineStr"/>
    </row>
    <row r="568">
      <c r="A568" t="inlineStr">
        <is>
          <t>567</t>
        </is>
      </c>
      <c r="B568" t="inlineStr">
        <is>
          <t>Windshield Wiper Motor</t>
        </is>
      </c>
      <c r="C568" t="inlineStr">
        <is>
          <t>43-2012</t>
        </is>
      </c>
      <c r="D568" t="inlineStr">
        <is>
          <t>Windshield Wiper Motor - 43-2012</t>
        </is>
      </c>
      <c r="E568" t="inlineStr">
        <is>
          <t>CARDONE Reman</t>
        </is>
      </c>
      <c r="F568" t="inlineStr">
        <is>
          <t>85110AA010</t>
        </is>
      </c>
      <c r="G568" t="inlineStr">
        <is>
          <t>Toyota Camry 1997-2001</t>
        </is>
      </c>
      <c r="H568" t="inlineStr">
        <is>
          <t>Toyota Camry 1997-2001 2.2L L4 2164cc
Toyota Camry 1997-2001 3L V6 2995cc</t>
        </is>
      </c>
      <c r="I568" t="inlineStr">
        <is>
          <t>{"0": {"productDeskExternalKey": "CPCX|43-2012"}, "1": {"Package Contents": "Wiper Motor; Instruction Sheet"}, "2": {"E-Waste": "Yes"}, "3": {"Product Condition": "Remanufactured"}, "4": {"Mounting Hole Quantity": "1"}, "5": {"Terminal Type": "Blade"}, "6": {"Mounting Type": "Grommet"}, "7": {"Weight PG": "3.5500"}, "8": {"Washer Pump Included": "No"}, "9": {"Part Type": "Windshield Wiper Motor"}, "10": {"Warranty Info": "1 Year/18,000 Mile"}, "11": {"Sustainable Choice": "Yes"}, "12": {"Lifecycle Status": "Available to Order"}, "13": {"Application Summary": "Toyota Camry 2001-97"}, "14": {"ItemLevelGTIN": "00082617457064"}, "15": {"_addonCardone": "43-2012::98268:113593:494"}, "16": {"Eligible for R&amp;R Service": "Yes"}}</t>
        </is>
      </c>
      <c r="J568" t="inlineStr">
        <is>
          <t>https://www.cardone.com/product/windshield-wiper-motor-43-2012</t>
        </is>
      </c>
      <c r="K568">
        <f>DISPIMG("ID_AA0B938AD1A4499488FD7BF72954457D",1)</f>
        <v/>
      </c>
      <c r="L568" t="inlineStr">
        <is>
          <t>CPCX|43-2012</t>
        </is>
      </c>
      <c r="M568" t="inlineStr">
        <is>
          <t>Wiper Motor; Instruction Sheet</t>
        </is>
      </c>
      <c r="N568" t="inlineStr">
        <is>
          <t>Yes</t>
        </is>
      </c>
      <c r="O568" t="inlineStr">
        <is>
          <t>Remanufactured</t>
        </is>
      </c>
      <c r="P568" t="inlineStr">
        <is>
          <t>1</t>
        </is>
      </c>
      <c r="Q568" t="inlineStr">
        <is>
          <t>Blade</t>
        </is>
      </c>
      <c r="R568" t="inlineStr">
        <is>
          <t>Grommet</t>
        </is>
      </c>
      <c r="S568" t="inlineStr">
        <is>
          <t>3.5500</t>
        </is>
      </c>
      <c r="T568" t="inlineStr">
        <is>
          <t>No</t>
        </is>
      </c>
      <c r="U568" t="inlineStr">
        <is>
          <t>1 Year/18,000 Mile</t>
        </is>
      </c>
      <c r="V568" t="inlineStr">
        <is>
          <t>Yes</t>
        </is>
      </c>
      <c r="W568" t="inlineStr">
        <is>
          <t>Available to Order</t>
        </is>
      </c>
      <c r="X568" t="inlineStr">
        <is>
          <t>Toyota Camry 2001-97</t>
        </is>
      </c>
      <c r="Y568" t="inlineStr">
        <is>
          <t>00082617457064</t>
        </is>
      </c>
      <c r="Z568" t="inlineStr">
        <is>
          <t>43-2012::98268:113593:494</t>
        </is>
      </c>
      <c r="AA568" t="inlineStr">
        <is>
          <t>Yes</t>
        </is>
      </c>
      <c r="AB568" t="inlineStr"/>
      <c r="AC568" t="inlineStr"/>
    </row>
    <row r="569">
      <c r="A569" t="inlineStr">
        <is>
          <t>568</t>
        </is>
      </c>
      <c r="B569" t="inlineStr">
        <is>
          <t>Windshield Wiper Motor</t>
        </is>
      </c>
      <c r="C569" t="inlineStr">
        <is>
          <t>43-2013</t>
        </is>
      </c>
      <c r="D569" t="inlineStr">
        <is>
          <t>Windshield Wiper Motor - 43-2013</t>
        </is>
      </c>
      <c r="E569" t="inlineStr">
        <is>
          <t>CARDONE Reman</t>
        </is>
      </c>
      <c r="F569" t="inlineStr">
        <is>
          <t>8513035070</t>
        </is>
      </c>
      <c r="G569" t="inlineStr">
        <is>
          <t>Toyota 4Runner 1996-2002</t>
        </is>
      </c>
      <c r="H569" t="inlineStr">
        <is>
          <t>Toyota 4Runner 1996-2000 2.7L L4 2694cc
Toyota 4Runner 1996-2002 3.4L V6 3378cc</t>
        </is>
      </c>
      <c r="I569" t="inlineStr">
        <is>
          <t>{"0": {"productDeskExternalKey": "CPCX|43-2013"}, "1": {"Package Contents": "Wiper Motor; Instruction Sheet"}, "2": {"E-Waste": "Yes"}, "3": {"Product Condition": "Remanufactured"}, "4": {"Mounting Hole Quantity": "3"}, "5": {"Terminal Type": "Blade"}, "6": {"Mounting Type": "Grommet"}, "7": {"Weight PG": "2.0800"}, "8": {"Washer Pump Included": "No"}, "9": {"Part Type": "Windshield Wiper Motor"}, "10": {"Warranty Info": "1 Year/18,000 Mile"}, "11": {"Sustainable Choice": "Yes"}, "12": {"Lifecycle Status": "Available to Order"}, "13": {"Application Summary": "Toyota 4Runner 2002-96"}, "14": {"ItemLevelGTIN": "00082617457071"}, "15": {"_addonCardone": "43-2013::98268:113602:494"}, "16": {"Eligible for R&amp;R Service": "Yes"}}</t>
        </is>
      </c>
      <c r="J569" t="inlineStr">
        <is>
          <t>https://www.cardone.com/product/windshield-wiper-motor-43-2013</t>
        </is>
      </c>
      <c r="K569">
        <f>DISPIMG("ID_65AC01CF1DC748AF98E090E9482A6736",1)</f>
        <v/>
      </c>
      <c r="L569" t="inlineStr">
        <is>
          <t>CPCX|43-2013</t>
        </is>
      </c>
      <c r="M569" t="inlineStr">
        <is>
          <t>Wiper Motor; Instruction Sheet</t>
        </is>
      </c>
      <c r="N569" t="inlineStr">
        <is>
          <t>Yes</t>
        </is>
      </c>
      <c r="O569" t="inlineStr">
        <is>
          <t>Remanufactured</t>
        </is>
      </c>
      <c r="P569" t="inlineStr">
        <is>
          <t>3</t>
        </is>
      </c>
      <c r="Q569" t="inlineStr">
        <is>
          <t>Blade</t>
        </is>
      </c>
      <c r="R569" t="inlineStr">
        <is>
          <t>Grommet</t>
        </is>
      </c>
      <c r="S569" t="inlineStr">
        <is>
          <t>2.0800</t>
        </is>
      </c>
      <c r="T569" t="inlineStr">
        <is>
          <t>No</t>
        </is>
      </c>
      <c r="U569" t="inlineStr">
        <is>
          <t>1 Year/18,000 Mile</t>
        </is>
      </c>
      <c r="V569" t="inlineStr">
        <is>
          <t>Yes</t>
        </is>
      </c>
      <c r="W569" t="inlineStr">
        <is>
          <t>Available to Order</t>
        </is>
      </c>
      <c r="X569" t="inlineStr">
        <is>
          <t>Toyota 4Runner 2002-96</t>
        </is>
      </c>
      <c r="Y569" t="inlineStr">
        <is>
          <t>00082617457071</t>
        </is>
      </c>
      <c r="Z569" t="inlineStr">
        <is>
          <t>43-2013::98268:113602:494</t>
        </is>
      </c>
      <c r="AA569" t="inlineStr">
        <is>
          <t>Yes</t>
        </is>
      </c>
      <c r="AB569" t="inlineStr"/>
      <c r="AC569" t="inlineStr"/>
    </row>
    <row r="570">
      <c r="A570" t="inlineStr">
        <is>
          <t>569</t>
        </is>
      </c>
      <c r="B570" t="inlineStr">
        <is>
          <t>Windshield Wiper Motor</t>
        </is>
      </c>
      <c r="C570" t="inlineStr">
        <is>
          <t>43-2014</t>
        </is>
      </c>
      <c r="D570" t="inlineStr">
        <is>
          <t>Windshield Wiper Motor - 43-2014</t>
        </is>
      </c>
      <c r="E570" t="inlineStr">
        <is>
          <t>CARDONE Reman</t>
        </is>
      </c>
      <c r="F570" t="inlineStr">
        <is>
          <t>8511024060;8511024100</t>
        </is>
      </c>
      <c r="G570" t="inlineStr">
        <is>
          <t>Lexus SC300 1992-2000
Lexus SC400 1992-2000</t>
        </is>
      </c>
      <c r="H570" t="inlineStr">
        <is>
          <t>Lexus SC300 1992-2000 3L L6 2997cc
Lexus SC400 1992-2000 4L V8 3969cc</t>
        </is>
      </c>
      <c r="I570" t="inlineStr">
        <is>
          <t>{"0": {"productDeskExternalKey": "CPCX|43-2014"}, "1": {"Package Contents": "Wiper Motor; Instruction Sheet"}, "2": {"E-Waste": "Yes"}, "3": {"Product Condition": "Remanufactured"}, "4": {"Mounting Hole Quantity": "3"}, "5": {"Terminal Type": "Blade"}, "6": {"Mounting Type": "Direct Bolt"}, "7": {"Weight PG": "2.9600"}, "8": {"Washer Pump Included": "No"}, "9": {"Part Type": "Windshield Wiper Motor"}, "10": {"Warranty Info": "1 Year/18,000 Mile"}, "11": {"Sustainable Choice": "Yes"}, "12": {"Lifecycle Status": "Available to Order"}, "13": {"Application Summary": "Lexus SC300 2000-92, SC400 2000-92"}, "14": {"ItemLevelGTIN": "00082617496315"}, "15": {"_addonCardone": "43-2014::98268:113613:494"}, "16": {"Eligible for R&amp;R Service": "Yes"}}</t>
        </is>
      </c>
      <c r="J570" t="inlineStr">
        <is>
          <t>https://www.cardone.com/product/windshield-wiper-motor-43-2014</t>
        </is>
      </c>
      <c r="K570">
        <f>DISPIMG("ID_E6CB0BC6E9524FA992BAD6F336A77268",1)</f>
        <v/>
      </c>
      <c r="L570" t="inlineStr">
        <is>
          <t>CPCX|43-2014</t>
        </is>
      </c>
      <c r="M570" t="inlineStr">
        <is>
          <t>Wiper Motor; Instruction Sheet</t>
        </is>
      </c>
      <c r="N570" t="inlineStr">
        <is>
          <t>Yes</t>
        </is>
      </c>
      <c r="O570" t="inlineStr">
        <is>
          <t>Remanufactured</t>
        </is>
      </c>
      <c r="P570" t="inlineStr">
        <is>
          <t>3</t>
        </is>
      </c>
      <c r="Q570" t="inlineStr">
        <is>
          <t>Blade</t>
        </is>
      </c>
      <c r="R570" t="inlineStr">
        <is>
          <t>Direct Bolt</t>
        </is>
      </c>
      <c r="S570" t="inlineStr">
        <is>
          <t>2.9600</t>
        </is>
      </c>
      <c r="T570" t="inlineStr">
        <is>
          <t>No</t>
        </is>
      </c>
      <c r="U570" t="inlineStr">
        <is>
          <t>1 Year/18,000 Mile</t>
        </is>
      </c>
      <c r="V570" t="inlineStr">
        <is>
          <t>Yes</t>
        </is>
      </c>
      <c r="W570" t="inlineStr">
        <is>
          <t>Available to Order</t>
        </is>
      </c>
      <c r="X570" t="inlineStr">
        <is>
          <t>Lexus SC300 2000-92, SC400 2000-92</t>
        </is>
      </c>
      <c r="Y570" t="inlineStr">
        <is>
          <t>00082617496315</t>
        </is>
      </c>
      <c r="Z570" t="inlineStr">
        <is>
          <t>43-2014::98268:113613:494</t>
        </is>
      </c>
      <c r="AA570" t="inlineStr">
        <is>
          <t>Yes</t>
        </is>
      </c>
      <c r="AB570" t="inlineStr"/>
      <c r="AC570" t="inlineStr"/>
    </row>
    <row r="571">
      <c r="A571" t="inlineStr">
        <is>
          <t>570</t>
        </is>
      </c>
      <c r="B571" t="inlineStr">
        <is>
          <t>Windshield Wiper Motor</t>
        </is>
      </c>
      <c r="C571" t="inlineStr">
        <is>
          <t>43-2015</t>
        </is>
      </c>
      <c r="D571" t="inlineStr">
        <is>
          <t>Windshield Wiper Motor - 43-2015</t>
        </is>
      </c>
      <c r="E571" t="inlineStr">
        <is>
          <t>CARDONE Reman</t>
        </is>
      </c>
      <c r="F571" t="inlineStr">
        <is>
          <t>85110AA050;85110AA030;85110AE010;8511006030;8511053030;8511033160;8511052240;8511033220;8511042130;8511042120;8511033270</t>
        </is>
      </c>
      <c r="G571" t="inlineStr">
        <is>
          <t>Lexus ES300 1997-2003
Lexus ES330 2004-2006
Lexus IS300 2001-2005
Scion xB 2004-2006
Toyota Camry 2002-2006
Toyota RAV4 2001-2005
Toyota Sienna 2004-2010
Toyota Solara 1999-2008</t>
        </is>
      </c>
      <c r="H571" t="inlineStr">
        <is>
          <t>Lexus ES300 1997-2003 3L V6 2995cc
Lexus ES330 2004-2006 3.3L V6 202cid
Lexus IS300 2001-2005 3L L6 2997cc
Scion xB 2004-2006 1.5L L4 1497cc
Toyota Camry 2002-2006 2.4L L4 2362cc
Toyota Camry 2002-2006 3L V6 2995cc
Toyota Camry 2004 3.3L V6 3300cc
Toyota Camry 2005-2006 3.3L V6 202cid
Toyota RAV4 2001-2003
Toyota RAV4 2001-2003 2L L4 122cid
Toyota RAV4 2004-2005 2.4L L4 2362cc
Toyota Sienna 2004-2006 3.3L V6 202cid
Toyota Sienna 2007-2010 3.5L V6 3456cc
Toyota Solara 1999-2001 2.2L L4 2164cc
Toyota Solara 1999-2003 3L V6 2995cc
Toyota Solara 2002-2008 2.4L L4 2362cc
Toyota Solara 2004 3.3L V6 3300cc
Toyota Solara 2005-2008 3.3L V6 202cid</t>
        </is>
      </c>
      <c r="I571" t="inlineStr">
        <is>
          <t>{"0": {"productDeskExternalKey": "CPCX|43-2015"}, "1": {"Package Contents": "Wiper Motor; Instruction Sheet"}, "2": {"E-Waste": "Yes"}, "3": {"Product Condition": "Remanufactured"}, "4": {"Mounting Hole Quantity": "3"}, "5": {"Terminal Type": "Blade"}, "6": {"Mounting Type": "Direct Bolt"}, "7": {"Weight PG": "2.9000"}, "8": {"Washer Pump Included": "No"}, "9": {"Part Type": "Windshield Wiper Motor"}, "10": {"Warranty Info": "1 Year/18,000 Mile"}, "11": {"Sustainable Choice": "Yes"}, "12": {"Lifecycle Status": "Available to Order"}, "13": {"Application Summary": "Lexus ES300 2003-97, ES330 2006-04, IS300 2005-01; Scion xB 2006-04; Toyota Camry 2006-02, RAV4 2005-01, Sienna 2010-04, Solara 2008-99"}, "14": {"ItemLevelGTIN": "00082617496322"}, "15": {"_addonCardone": "43-2015::98268:113624:494"}, "16": {"Eligible for R&amp;R Service": "Yes"}}</t>
        </is>
      </c>
      <c r="J571" t="inlineStr">
        <is>
          <t>https://www.cardone.com/product/windshield-wiper-motor-43-2015</t>
        </is>
      </c>
      <c r="K571">
        <f>DISPIMG("ID_FB7B2E9F58074A9CBEB7F7369916B637",1)</f>
        <v/>
      </c>
      <c r="L571" t="inlineStr">
        <is>
          <t>CPCX|43-2015</t>
        </is>
      </c>
      <c r="M571" t="inlineStr">
        <is>
          <t>Wiper Motor; Instruction Sheet</t>
        </is>
      </c>
      <c r="N571" t="inlineStr">
        <is>
          <t>Yes</t>
        </is>
      </c>
      <c r="O571" t="inlineStr">
        <is>
          <t>Remanufactured</t>
        </is>
      </c>
      <c r="P571" t="inlineStr">
        <is>
          <t>3</t>
        </is>
      </c>
      <c r="Q571" t="inlineStr">
        <is>
          <t>Blade</t>
        </is>
      </c>
      <c r="R571" t="inlineStr">
        <is>
          <t>Direct Bolt</t>
        </is>
      </c>
      <c r="S571" t="inlineStr">
        <is>
          <t>2.9000</t>
        </is>
      </c>
      <c r="T571" t="inlineStr">
        <is>
          <t>No</t>
        </is>
      </c>
      <c r="U571" t="inlineStr">
        <is>
          <t>1 Year/18,000 Mile</t>
        </is>
      </c>
      <c r="V571" t="inlineStr">
        <is>
          <t>Yes</t>
        </is>
      </c>
      <c r="W571" t="inlineStr">
        <is>
          <t>Available to Order</t>
        </is>
      </c>
      <c r="X571" t="inlineStr">
        <is>
          <t>Lexus ES300 2003-97, ES330 2006-04, IS300 2005-01; Scion xB 2006-04; Toyota Camry 2006-02, RAV4 2005-01, Sienna 2010-04, Solara 2008-99</t>
        </is>
      </c>
      <c r="Y571" t="inlineStr">
        <is>
          <t>00082617496322</t>
        </is>
      </c>
      <c r="Z571" t="inlineStr">
        <is>
          <t>43-2015::98268:113624:494</t>
        </is>
      </c>
      <c r="AA571" t="inlineStr">
        <is>
          <t>Yes</t>
        </is>
      </c>
      <c r="AB571" t="inlineStr"/>
      <c r="AC571" t="inlineStr"/>
    </row>
    <row r="572">
      <c r="A572" t="inlineStr">
        <is>
          <t>571</t>
        </is>
      </c>
      <c r="B572" t="inlineStr">
        <is>
          <t>Windshield Wiper Motor</t>
        </is>
      </c>
      <c r="C572" t="inlineStr">
        <is>
          <t>43-2016</t>
        </is>
      </c>
      <c r="D572" t="inlineStr">
        <is>
          <t>Windshield Wiper Motor - 43-2016</t>
        </is>
      </c>
      <c r="E572" t="inlineStr">
        <is>
          <t>CARDONE Reman</t>
        </is>
      </c>
      <c r="F572" t="inlineStr">
        <is>
          <t>8512087002</t>
        </is>
      </c>
      <c r="G572" t="inlineStr">
        <is>
          <t>Toyota Van 1984-1989
Toyota Van Wagon 1988</t>
        </is>
      </c>
      <c r="H572" t="inlineStr">
        <is>
          <t>Toyota Van 1984-1985 2L L4 122cid
Toyota Van 1986-1989 2.2L L4 2237cc
Toyota Van Wagon 1988 2.2L L4 2237cc</t>
        </is>
      </c>
      <c r="I572" t="inlineStr">
        <is>
          <t>{"0": {"productDeskExternalKey": "CPCX|43-2016"}, "1": {"Package Contents": "Wiper Motor; Instruction Sheet"}, "2": {"E-Waste": "Yes"}, "3": {"Product Condition": "Remanufactured"}, "4": {"Mounting Hole Quantity": "3"}, "5": {"Terminal Type": "Blade"}, "6": {"Mounting Type": "Grommet"}, "7": {"Weight PG": "1.4400"}, "8": {"Washer Pump Included": "No"}, "9": {"Part Type": "Windshield Wiper Motor"}, "10": {"Warranty Info": "1 Year/18,000 Mile"}, "11": {"Sustainable Choice": "Yes"}, "12": {"Lifecycle Status": "Available to Order"}, "13": {"Application Summary": "Toyota Van 1989-84, Van Wagon 1988"}, "14": {"ItemLevelGTIN": "00082617496308"}, "15": {"_addonCardone": "43-2016::98268:113635:494"}, "16": {"Eligible for R&amp;R Service": "Yes"}}</t>
        </is>
      </c>
      <c r="J572" t="inlineStr">
        <is>
          <t>https://www.cardone.com/product/windshield-wiper-motor-43-2016</t>
        </is>
      </c>
      <c r="K572">
        <f>DISPIMG("ID_378E8B061D394660A86B5D72A548D5D3",1)</f>
        <v/>
      </c>
      <c r="L572" t="inlineStr">
        <is>
          <t>CPCX|43-2016</t>
        </is>
      </c>
      <c r="M572" t="inlineStr">
        <is>
          <t>Wiper Motor; Instruction Sheet</t>
        </is>
      </c>
      <c r="N572" t="inlineStr">
        <is>
          <t>Yes</t>
        </is>
      </c>
      <c r="O572" t="inlineStr">
        <is>
          <t>Remanufactured</t>
        </is>
      </c>
      <c r="P572" t="inlineStr">
        <is>
          <t>3</t>
        </is>
      </c>
      <c r="Q572" t="inlineStr">
        <is>
          <t>Blade</t>
        </is>
      </c>
      <c r="R572" t="inlineStr">
        <is>
          <t>Grommet</t>
        </is>
      </c>
      <c r="S572" t="inlineStr">
        <is>
          <t>1.4400</t>
        </is>
      </c>
      <c r="T572" t="inlineStr">
        <is>
          <t>No</t>
        </is>
      </c>
      <c r="U572" t="inlineStr">
        <is>
          <t>1 Year/18,000 Mile</t>
        </is>
      </c>
      <c r="V572" t="inlineStr">
        <is>
          <t>Yes</t>
        </is>
      </c>
      <c r="W572" t="inlineStr">
        <is>
          <t>Available to Order</t>
        </is>
      </c>
      <c r="X572" t="inlineStr">
        <is>
          <t>Toyota Van 1989-84, Van Wagon 1988</t>
        </is>
      </c>
      <c r="Y572" t="inlineStr">
        <is>
          <t>00082617496308</t>
        </is>
      </c>
      <c r="Z572" t="inlineStr">
        <is>
          <t>43-2016::98268:113635:494</t>
        </is>
      </c>
      <c r="AA572" t="inlineStr">
        <is>
          <t>Yes</t>
        </is>
      </c>
      <c r="AB572" t="inlineStr"/>
      <c r="AC572" t="inlineStr"/>
    </row>
    <row r="573">
      <c r="A573" t="inlineStr">
        <is>
          <t>572</t>
        </is>
      </c>
      <c r="B573" t="inlineStr">
        <is>
          <t>Windshield Wiper Motor</t>
        </is>
      </c>
      <c r="C573" t="inlineStr">
        <is>
          <t>43-2020</t>
        </is>
      </c>
      <c r="D573" t="inlineStr">
        <is>
          <t>Windshield Wiper Motor - 43-2020</t>
        </is>
      </c>
      <c r="E573" t="inlineStr">
        <is>
          <t>CARDONE Reman</t>
        </is>
      </c>
      <c r="F573" t="inlineStr">
        <is>
          <t>851100W010</t>
        </is>
      </c>
      <c r="G573" t="inlineStr">
        <is>
          <t>Toyota T100 1995-1998</t>
        </is>
      </c>
      <c r="H573" t="inlineStr">
        <is>
          <t>Toyota T100 1995-1998 2.7L L4 2694cc
Toyota T100 1995-1998 3.4L V6 3378cc</t>
        </is>
      </c>
      <c r="I573" t="inlineStr">
        <is>
          <t>{"0": {"productDeskExternalKey": "CPCX|43-2020"}, "1": {"Package Contents": "Wiper Motor; Instruction Sheet"}, "2": {"E-Waste": "Yes"}, "3": {"Product Condition": "Remanufactured"}, "4": {"Mounting Hole Quantity": "4"}, "5": {"Terminal Type": "Blade"}, "6": {"Mounting Type": "Grommet"}, "7": {"Weight PG": "3.3000"}, "8": {"Washer Pump Included": "No"}, "9": {"Part Type": "Windshield Wiper Motor"}, "10": {"Warranty Info": "1 Year/18,000 Mile"}, "11": {"Sustainable Choice": "Yes"}, "12": {"Lifecycle Status": "Available to Order"}, "13": {"Application Summary": "Toyota T100 1998-95"}, "14": {"ItemLevelGTIN": "00082617457156"}, "15": {"_addonCardone": "43-2020::98268:113645:494"}, "16": {"Eligible for R&amp;R Service": "Yes"}}</t>
        </is>
      </c>
      <c r="J573" t="inlineStr">
        <is>
          <t>https://www.cardone.com/product/windshield-wiper-motor-43-2020</t>
        </is>
      </c>
      <c r="K573">
        <f>DISPIMG("ID_9D9F679223CC4B8587092EEBABEB63DC",1)</f>
        <v/>
      </c>
      <c r="L573" t="inlineStr">
        <is>
          <t>CPCX|43-2020</t>
        </is>
      </c>
      <c r="M573" t="inlineStr">
        <is>
          <t>Wiper Motor; Instruction Sheet</t>
        </is>
      </c>
      <c r="N573" t="inlineStr">
        <is>
          <t>Yes</t>
        </is>
      </c>
      <c r="O573" t="inlineStr">
        <is>
          <t>Remanufactured</t>
        </is>
      </c>
      <c r="P573" t="inlineStr">
        <is>
          <t>4</t>
        </is>
      </c>
      <c r="Q573" t="inlineStr">
        <is>
          <t>Blade</t>
        </is>
      </c>
      <c r="R573" t="inlineStr">
        <is>
          <t>Grommet</t>
        </is>
      </c>
      <c r="S573" t="inlineStr">
        <is>
          <t>3.3000</t>
        </is>
      </c>
      <c r="T573" t="inlineStr">
        <is>
          <t>No</t>
        </is>
      </c>
      <c r="U573" t="inlineStr">
        <is>
          <t>1 Year/18,000 Mile</t>
        </is>
      </c>
      <c r="V573" t="inlineStr">
        <is>
          <t>Yes</t>
        </is>
      </c>
      <c r="W573" t="inlineStr">
        <is>
          <t>Available to Order</t>
        </is>
      </c>
      <c r="X573" t="inlineStr">
        <is>
          <t>Toyota T100 1998-95</t>
        </is>
      </c>
      <c r="Y573" t="inlineStr">
        <is>
          <t>00082617457156</t>
        </is>
      </c>
      <c r="Z573" t="inlineStr">
        <is>
          <t>43-2020::98268:113645:494</t>
        </is>
      </c>
      <c r="AA573" t="inlineStr">
        <is>
          <t>Yes</t>
        </is>
      </c>
      <c r="AB573" t="inlineStr"/>
      <c r="AC573" t="inlineStr"/>
    </row>
    <row r="574">
      <c r="A574" t="inlineStr">
        <is>
          <t>573</t>
        </is>
      </c>
      <c r="B574" t="inlineStr">
        <is>
          <t>Windshield Wiper Motor</t>
        </is>
      </c>
      <c r="C574" t="inlineStr">
        <is>
          <t>43-2021</t>
        </is>
      </c>
      <c r="D574" t="inlineStr">
        <is>
          <t>Windshield Wiper Motor - 43-2021</t>
        </is>
      </c>
      <c r="E574" t="inlineStr">
        <is>
          <t>CARDONE Reman</t>
        </is>
      </c>
      <c r="F574" t="inlineStr">
        <is>
          <t>8511007010</t>
        </is>
      </c>
      <c r="G574" t="inlineStr">
        <is>
          <t>Toyota Avalon 1995-1999</t>
        </is>
      </c>
      <c r="H574" t="inlineStr">
        <is>
          <t>Toyota Avalon 1995-1999 3L V6 2995cc</t>
        </is>
      </c>
      <c r="I574" t="inlineStr">
        <is>
          <t>{"0": {"productDeskExternalKey": "CPCX|43-2021"}, "1": {"Package Contents": "Wiper Motor; Instruction Sheet"}, "2": {"E-Waste": "Yes"}, "3": {"Product Condition": "Remanufactured"}, "4": {"Mounting Hole Quantity": "4"}, "5": {"Terminal Type": "Blade"}, "6": {"Mounting Type": "Grommet"}, "7": {"Weight PG": "3.7400"}, "8": {"Washer Pump Included": "No"}, "9": {"Part Type": "Windshield Wiper Motor"}, "10": {"Warranty Info": "1 Year/18,000 Mile"}, "11": {"Sustainable Choice": "Yes"}, "12": {"Lifecycle Status": "Available to Order"}, "13": {"Application Summary": "Toyota Avalon 1999-95"}, "14": {"ItemLevelGTIN": "00082617491358"}, "15": {"_addonCardone": "43-2021::98268:113654:494"}, "16": {"Eligible for R&amp;R Service": "Yes"}}</t>
        </is>
      </c>
      <c r="J574" t="inlineStr">
        <is>
          <t>https://www.cardone.com/product/windshield-wiper-motor-43-2021</t>
        </is>
      </c>
      <c r="K574">
        <f>DISPIMG("ID_72D5D84AD83D474C856089DB261CEF83",1)</f>
        <v/>
      </c>
      <c r="L574" t="inlineStr">
        <is>
          <t>CPCX|43-2021</t>
        </is>
      </c>
      <c r="M574" t="inlineStr">
        <is>
          <t>Wiper Motor; Instruction Sheet</t>
        </is>
      </c>
      <c r="N574" t="inlineStr">
        <is>
          <t>Yes</t>
        </is>
      </c>
      <c r="O574" t="inlineStr">
        <is>
          <t>Remanufactured</t>
        </is>
      </c>
      <c r="P574" t="inlineStr">
        <is>
          <t>4</t>
        </is>
      </c>
      <c r="Q574" t="inlineStr">
        <is>
          <t>Blade</t>
        </is>
      </c>
      <c r="R574" t="inlineStr">
        <is>
          <t>Grommet</t>
        </is>
      </c>
      <c r="S574" t="inlineStr">
        <is>
          <t>3.7400</t>
        </is>
      </c>
      <c r="T574" t="inlineStr">
        <is>
          <t>No</t>
        </is>
      </c>
      <c r="U574" t="inlineStr">
        <is>
          <t>1 Year/18,000 Mile</t>
        </is>
      </c>
      <c r="V574" t="inlineStr">
        <is>
          <t>Yes</t>
        </is>
      </c>
      <c r="W574" t="inlineStr">
        <is>
          <t>Available to Order</t>
        </is>
      </c>
      <c r="X574" t="inlineStr">
        <is>
          <t>Toyota Avalon 1999-95</t>
        </is>
      </c>
      <c r="Y574" t="inlineStr">
        <is>
          <t>00082617491358</t>
        </is>
      </c>
      <c r="Z574" t="inlineStr">
        <is>
          <t>43-2021::98268:113654:494</t>
        </is>
      </c>
      <c r="AA574" t="inlineStr">
        <is>
          <t>Yes</t>
        </is>
      </c>
      <c r="AB574" t="inlineStr"/>
      <c r="AC574" t="inlineStr"/>
    </row>
    <row r="575">
      <c r="A575" t="inlineStr">
        <is>
          <t>574</t>
        </is>
      </c>
      <c r="B575" t="inlineStr">
        <is>
          <t>Windshield Wiper Motor</t>
        </is>
      </c>
      <c r="C575" t="inlineStr">
        <is>
          <t>43-2023</t>
        </is>
      </c>
      <c r="D575" t="inlineStr">
        <is>
          <t>Windshield Wiper Motor - 43-2023</t>
        </is>
      </c>
      <c r="E575" t="inlineStr">
        <is>
          <t>CARDONE Reman</t>
        </is>
      </c>
      <c r="F575" t="inlineStr">
        <is>
          <t>8511035180;8511016610;8511035170;8511034010</t>
        </is>
      </c>
      <c r="G575" t="inlineStr">
        <is>
          <t>Toyota Paseo 1993-1997
Toyota T100 1993-1998
Toyota Tacoma 1995-1997
Toyota Tercel 1995-1996</t>
        </is>
      </c>
      <c r="H575" t="inlineStr">
        <is>
          <t>Toyota Paseo 1993-1997 1.5L L4 1497cc
Toyota T100 1993-1994 3L V6 2959cc
Toyota T100 1994-1998 2.7L L4 2694cc
Toyota T100 1995-1998 3.4L V6 3378cc
Toyota Tacoma 1995-1997 2.4L L4 2438cc
Toyota Tacoma 1995-1997 2.7L L4 2694cc
Toyota Tacoma 1995-1997 3.4L V6 3378cc
Toyota Tercel 1995-1996 1.5L L4 1497cc</t>
        </is>
      </c>
      <c r="I575" t="inlineStr">
        <is>
          <t>{"0": {"productDeskExternalKey": "CPCX|43-2023"}, "1": {"Package Contents": "Wiper Motor; Instruction Sheet"}, "2": {"E-Waste": "Yes"}, "3": {"Product Condition": "Remanufactured"}, "4": {"Mounting Hole Quantity": "4"}, "5": {"Terminal Type": "Blade"}, "6": {"Mounting Type": "Grommet"}, "7": {"Weight PG": "2.5800"}, "8": {"Washer Pump Included": "No"}, "9": {"Part Type": "Windshield Wiper Motor"}, "10": {"Warranty Info": "1 Year/18,000 Mile"}, "11": {"Sustainable Choice": "Yes"}, "12": {"Lifecycle Status": "Available to Order"}, "13": {"Application Summary": "Toyota Paseo 1997-93, T100 1998-93, Tacoma 1997-95, Tercel 1996-95"}, "14": {"ItemLevelGTIN": "00082617457347"}, "15": {"_addonCardone": "43-2023::98268:113662:494"}, "16": {"Eligible for R&amp;R Service": "Yes"}}</t>
        </is>
      </c>
      <c r="J575" t="inlineStr">
        <is>
          <t>https://www.cardone.com/product/windshield-wiper-motor-43-2023</t>
        </is>
      </c>
      <c r="K575">
        <f>DISPIMG("ID_4F2BAD4563C04E7A8E58492E40F91E5F",1)</f>
        <v/>
      </c>
      <c r="L575" t="inlineStr">
        <is>
          <t>CPCX|43-2023</t>
        </is>
      </c>
      <c r="M575" t="inlineStr">
        <is>
          <t>Wiper Motor; Instruction Sheet</t>
        </is>
      </c>
      <c r="N575" t="inlineStr">
        <is>
          <t>Yes</t>
        </is>
      </c>
      <c r="O575" t="inlineStr">
        <is>
          <t>Remanufactured</t>
        </is>
      </c>
      <c r="P575" t="inlineStr">
        <is>
          <t>4</t>
        </is>
      </c>
      <c r="Q575" t="inlineStr">
        <is>
          <t>Blade</t>
        </is>
      </c>
      <c r="R575" t="inlineStr">
        <is>
          <t>Grommet</t>
        </is>
      </c>
      <c r="S575" t="inlineStr">
        <is>
          <t>2.5800</t>
        </is>
      </c>
      <c r="T575" t="inlineStr">
        <is>
          <t>No</t>
        </is>
      </c>
      <c r="U575" t="inlineStr">
        <is>
          <t>1 Year/18,000 Mile</t>
        </is>
      </c>
      <c r="V575" t="inlineStr">
        <is>
          <t>Yes</t>
        </is>
      </c>
      <c r="W575" t="inlineStr">
        <is>
          <t>Available to Order</t>
        </is>
      </c>
      <c r="X575" t="inlineStr">
        <is>
          <t>Toyota Paseo 1997-93, T100 1998-93, Tacoma 1997-95, Tercel 1996-95</t>
        </is>
      </c>
      <c r="Y575" t="inlineStr">
        <is>
          <t>00082617457347</t>
        </is>
      </c>
      <c r="Z575" t="inlineStr">
        <is>
          <t>43-2023::98268:113662:494</t>
        </is>
      </c>
      <c r="AA575" t="inlineStr">
        <is>
          <t>Yes</t>
        </is>
      </c>
      <c r="AB575" t="inlineStr"/>
      <c r="AC575" t="inlineStr"/>
    </row>
    <row r="576">
      <c r="A576" t="inlineStr">
        <is>
          <t>575</t>
        </is>
      </c>
      <c r="B576" t="inlineStr">
        <is>
          <t>Windshield Wiper Motor</t>
        </is>
      </c>
      <c r="C576" t="inlineStr">
        <is>
          <t>43-2026</t>
        </is>
      </c>
      <c r="D576" t="inlineStr">
        <is>
          <t>Windshield Wiper Motor - 43-2026</t>
        </is>
      </c>
      <c r="E576" t="inlineStr">
        <is>
          <t>CARDONE Reman</t>
        </is>
      </c>
      <c r="F576" t="inlineStr">
        <is>
          <t>8511004020;8511004010;851100C010;8511016670;851100C020;8511016660;MR192794</t>
        </is>
      </c>
      <c r="G576" t="inlineStr">
        <is>
          <t>Toyota Hilux 2004
Toyota Sequoia 2001-2007
Toyota Tacoma 1998-2004
Toyota Tundra 2000-2006</t>
        </is>
      </c>
      <c r="H576" t="inlineStr">
        <is>
          <t>Toyota Hilux 2004 2.7L L4 2694cc
Toyota Sequoia 2001-2007 4.7L V8 285cid
Toyota Tacoma 1998-2004 2.4L L4 2438cc
Toyota Tacoma 1998-2004 2.7L L4 2694cc
Toyota Tacoma 1998-2004 3.4L V6 3378cc
Toyota Tundra 2000-2004 3.4L V6 3378cc
Toyota Tundra 2000-2006 4.7L V8 285cid
Toyota Tundra 2005-2006 4L V6 241cid</t>
        </is>
      </c>
      <c r="I576" t="inlineStr">
        <is>
          <t>{"0": {"productDeskExternalKey": "CPCX|43-2026"}, "1": {"Package Contents": "Wiper Motor; Instruction Sheet"}, "2": {"E-Waste": "Yes"}, "3": {"Product Condition": "Remanufactured"}, "4": {"Mounting Hole Quantity": "4"}, "5": {"Terminal Type": "Blade"}, "6": {"Mounting Type": "Grommet"}, "7": {"Weight PG": "2.9000"}, "8": {"Washer Pump Included": "No"}, "9": {"Part Type": "Windshield Wiper Motor"}, "10": {"Warranty Info": "1 Year/18,000 Mile"}, "11": {"Sustainable Choice": "Yes"}, "12": {"Lifecycle Status": "Available to Order"}, "13": {"Application Summary": "Mitsubishi Galant 2003-99; Toyota Hilux 2004, Sequoia 2007-01, Tacoma 2004-98, Tundra 2006-00"}, "14": {"ItemLevelGTIN": "00082617512695"}, "15": {"_addonCardone": "43-2026::98264:117992:530"}, "16": {"Eligible for R&amp;R Service": "Yes"}}</t>
        </is>
      </c>
      <c r="J576" t="inlineStr">
        <is>
          <t>https://www.cardone.com/product/windshield-wiper-motor-43-2026</t>
        </is>
      </c>
      <c r="K576">
        <f>DISPIMG("ID_4C143021C64A441C98D05A97C5B8041A",1)</f>
        <v/>
      </c>
      <c r="L576" t="inlineStr">
        <is>
          <t>CPCX|43-2026</t>
        </is>
      </c>
      <c r="M576" t="inlineStr">
        <is>
          <t>Wiper Motor; Instruction Sheet</t>
        </is>
      </c>
      <c r="N576" t="inlineStr">
        <is>
          <t>Yes</t>
        </is>
      </c>
      <c r="O576" t="inlineStr">
        <is>
          <t>Remanufactured</t>
        </is>
      </c>
      <c r="P576" t="inlineStr">
        <is>
          <t>4</t>
        </is>
      </c>
      <c r="Q576" t="inlineStr">
        <is>
          <t>Blade</t>
        </is>
      </c>
      <c r="R576" t="inlineStr">
        <is>
          <t>Grommet</t>
        </is>
      </c>
      <c r="S576" t="inlineStr">
        <is>
          <t>2.9000</t>
        </is>
      </c>
      <c r="T576" t="inlineStr">
        <is>
          <t>No</t>
        </is>
      </c>
      <c r="U576" t="inlineStr">
        <is>
          <t>1 Year/18,000 Mile</t>
        </is>
      </c>
      <c r="V576" t="inlineStr">
        <is>
          <t>Yes</t>
        </is>
      </c>
      <c r="W576" t="inlineStr">
        <is>
          <t>Available to Order</t>
        </is>
      </c>
      <c r="X576" t="inlineStr">
        <is>
          <t>Mitsubishi Galant 2003-99; Toyota Hilux 2004, Sequoia 2007-01, Tacoma 2004-98, Tundra 2006-00</t>
        </is>
      </c>
      <c r="Y576" t="inlineStr">
        <is>
          <t>00082617512695</t>
        </is>
      </c>
      <c r="Z576" t="inlineStr">
        <is>
          <t>43-2026::98264:117992:530</t>
        </is>
      </c>
      <c r="AA576" t="inlineStr">
        <is>
          <t>Yes</t>
        </is>
      </c>
      <c r="AB576" t="inlineStr"/>
      <c r="AC576" t="inlineStr"/>
    </row>
    <row r="577">
      <c r="A577" t="inlineStr">
        <is>
          <t>576</t>
        </is>
      </c>
      <c r="B577" t="inlineStr">
        <is>
          <t>Windshield Wiper Motor</t>
        </is>
      </c>
      <c r="C577" t="inlineStr">
        <is>
          <t>43-2027</t>
        </is>
      </c>
      <c r="D577" t="inlineStr">
        <is>
          <t>Windshield Wiper Motor - 43-2027</t>
        </is>
      </c>
      <c r="E577" t="inlineStr">
        <is>
          <t>CARDONE Reman</t>
        </is>
      </c>
      <c r="F577" t="inlineStr">
        <is>
          <t>8511002040</t>
        </is>
      </c>
      <c r="G577" t="inlineStr">
        <is>
          <t>Toyota Corolla 1998-2002</t>
        </is>
      </c>
      <c r="H577" t="inlineStr">
        <is>
          <t>Toyota Corolla 1998-2002 1.8L L4 1794cc</t>
        </is>
      </c>
      <c r="I577" t="inlineStr">
        <is>
          <t>{"0": {"productDeskExternalKey": "CPCX|43-2027"},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"Toyota Corolla 2002-98"}, "14": {"ItemLevelGTIN": "00082617566681"}, "15": {"_addonCardone": "43-2027::98264:118013:530"}, "16": {"Eligible for R&amp;R Service": "Yes"}}</t>
        </is>
      </c>
      <c r="J577" t="inlineStr">
        <is>
          <t>https://www.cardone.com/product/windshield-wiper-motor-43-2027</t>
        </is>
      </c>
      <c r="K577">
        <f>DISPIMG("ID_32C0E1D0B0AF4C1D98A8F390BAD70278",1)</f>
        <v/>
      </c>
      <c r="L577" t="inlineStr">
        <is>
          <t>CPCX|43-2027</t>
        </is>
      </c>
      <c r="M577" t="inlineStr">
        <is>
          <t>Wiper Motor; Instruction Sheet</t>
        </is>
      </c>
      <c r="N577" t="inlineStr">
        <is>
          <t>Yes</t>
        </is>
      </c>
      <c r="O577" t="inlineStr">
        <is>
          <t>Remanufactured</t>
        </is>
      </c>
      <c r="P577" t="inlineStr">
        <is>
          <t>3</t>
        </is>
      </c>
      <c r="Q577" t="inlineStr">
        <is>
          <t>Blade</t>
        </is>
      </c>
      <c r="R577" t="inlineStr">
        <is>
          <t>Direct Bolt</t>
        </is>
      </c>
      <c r="S577" t="inlineStr">
        <is>
          <t>3.0000</t>
        </is>
      </c>
      <c r="T577" t="inlineStr">
        <is>
          <t>No</t>
        </is>
      </c>
      <c r="U577" t="inlineStr">
        <is>
          <t>1 Year/18,000 Mile</t>
        </is>
      </c>
      <c r="V577" t="inlineStr">
        <is>
          <t>Yes</t>
        </is>
      </c>
      <c r="W577" t="inlineStr">
        <is>
          <t>Available to Order</t>
        </is>
      </c>
      <c r="X577" t="inlineStr">
        <is>
          <t>Toyota Corolla 2002-98</t>
        </is>
      </c>
      <c r="Y577" t="inlineStr">
        <is>
          <t>00082617566681</t>
        </is>
      </c>
      <c r="Z577" t="inlineStr">
        <is>
          <t>43-2027::98264:118013:530</t>
        </is>
      </c>
      <c r="AA577" t="inlineStr">
        <is>
          <t>Yes</t>
        </is>
      </c>
      <c r="AB577" t="inlineStr"/>
      <c r="AC577" t="inlineStr"/>
    </row>
    <row r="578">
      <c r="A578" t="inlineStr">
        <is>
          <t>577</t>
        </is>
      </c>
      <c r="B578" t="inlineStr">
        <is>
          <t>Windshield Wiper Motor</t>
        </is>
      </c>
      <c r="C578" t="inlineStr">
        <is>
          <t>43-2028</t>
        </is>
      </c>
      <c r="D578" t="inlineStr">
        <is>
          <t>Windshield Wiper Motor - 43-2028</t>
        </is>
      </c>
      <c r="E578" t="inlineStr">
        <is>
          <t>CARDONE Reman</t>
        </is>
      </c>
      <c r="F578" t="inlineStr">
        <is>
          <t>8511008010</t>
        </is>
      </c>
      <c r="G578" t="inlineStr">
        <is>
          <t>Cadillac XLR 2004-2009
Chevrolet Corvette 2005-2013
Toyota Sienna 1998-2003</t>
        </is>
      </c>
      <c r="H578" t="inlineStr">
        <is>
          <t>Cadillac XLR 2004-2009 4.6L V8 281cid
Cadillac XLR 2006-2009 4.4L V8 267cid
Chevrolet Corvette 2005-2007 6L V8 364cid
Chevrolet Corvette 2006-2013 7L V8 427cid
Chevrolet Corvette 2008-2013 6.2L V8 376cid
Toyota Sienna 1998-2003 3L V6 2995cc</t>
        </is>
      </c>
      <c r="I578" t="inlineStr">
        <is>
          <t>{"0": {"productDeskExternalKey": "CPCX|43-2028"}, "1": {"Package Contents": "Wiper Motor; Instruction Sheet"}, "2": {"E-Waste": "Yes"}, "3": {"Product Condition": "Remanufactured"}, "4": {"Mounting Hole Quantity": "3"}, "5": {"Terminal Type": "Blade"}, "6": {"Mounting Type": "Direct Bolt"}, "7": {"Weight PG": "2.8500"}, "8": {"Washer Pump Included": "No"}, "9": {"Part Type": "Windshield Wiper Motor"}, "10": {"Warranty Info": "1 Year/18,000 Mile"}, "11": {"Sustainable Choice": "Yes"}, "12": {"Lifecycle Status": "Available to Order"}, "13": {"Application Summary": "Cadillac XLR 2009-04; Chevrolet Corvette 2013-05; Toyota Sienna 2003-98"}, "14": {"ItemLevelGTIN": "00082617566698"}, "15": {"_addonCardone": "43-2028::98264:118034:530"}, "16": {"Eligible for R&amp;R Service": "Yes"}}</t>
        </is>
      </c>
      <c r="J578" t="inlineStr">
        <is>
          <t>https://www.cardone.com/product/windshield-wiper-motor-43-2028</t>
        </is>
      </c>
      <c r="K578">
        <f>DISPIMG("ID_290CF4FD0320406FB1CB78F4B23E42E5",1)</f>
        <v/>
      </c>
      <c r="L578" t="inlineStr">
        <is>
          <t>CPCX|43-2028</t>
        </is>
      </c>
      <c r="M578" t="inlineStr">
        <is>
          <t>Wiper Motor; Instruction Sheet</t>
        </is>
      </c>
      <c r="N578" t="inlineStr">
        <is>
          <t>Yes</t>
        </is>
      </c>
      <c r="O578" t="inlineStr">
        <is>
          <t>Remanufactured</t>
        </is>
      </c>
      <c r="P578" t="inlineStr">
        <is>
          <t>3</t>
        </is>
      </c>
      <c r="Q578" t="inlineStr">
        <is>
          <t>Blade</t>
        </is>
      </c>
      <c r="R578" t="inlineStr">
        <is>
          <t>Direct Bolt</t>
        </is>
      </c>
      <c r="S578" t="inlineStr">
        <is>
          <t>2.8500</t>
        </is>
      </c>
      <c r="T578" t="inlineStr">
        <is>
          <t>No</t>
        </is>
      </c>
      <c r="U578" t="inlineStr">
        <is>
          <t>1 Year/18,000 Mile</t>
        </is>
      </c>
      <c r="V578" t="inlineStr">
        <is>
          <t>Yes</t>
        </is>
      </c>
      <c r="W578" t="inlineStr">
        <is>
          <t>Available to Order</t>
        </is>
      </c>
      <c r="X578" t="inlineStr">
        <is>
          <t>Cadillac XLR 2009-04; Chevrolet Corvette 2013-05; Toyota Sienna 2003-98</t>
        </is>
      </c>
      <c r="Y578" t="inlineStr">
        <is>
          <t>00082617566698</t>
        </is>
      </c>
      <c r="Z578" t="inlineStr">
        <is>
          <t>43-2028::98264:118034:530</t>
        </is>
      </c>
      <c r="AA578" t="inlineStr">
        <is>
          <t>Yes</t>
        </is>
      </c>
      <c r="AB578" t="inlineStr"/>
      <c r="AC578" t="inlineStr"/>
    </row>
    <row r="579">
      <c r="A579" t="inlineStr">
        <is>
          <t>578</t>
        </is>
      </c>
      <c r="B579" t="inlineStr">
        <is>
          <t>Windshield Wiper Motor</t>
        </is>
      </c>
      <c r="C579" t="inlineStr">
        <is>
          <t>43-2029</t>
        </is>
      </c>
      <c r="D579" t="inlineStr">
        <is>
          <t>Windshield Wiper Motor - 43-2029</t>
        </is>
      </c>
      <c r="E579" t="inlineStr">
        <is>
          <t>CARDONE Reman</t>
        </is>
      </c>
      <c r="F579" t="inlineStr">
        <is>
          <t>8513020720</t>
        </is>
      </c>
      <c r="G579" t="inlineStr">
        <is>
          <t>Toyota Celica 1994-1999</t>
        </is>
      </c>
      <c r="H579" t="inlineStr">
        <is>
          <t>Toyota Celica 1994-1997 1.8L L4 107cid
Toyota Celica 1994-1999 2.2L L4 2164cc</t>
        </is>
      </c>
      <c r="I579" t="inlineStr">
        <is>
          <t>{"0": {"productDeskExternalKey": "CPCX|43-2029"}, "1": {"Package Contents": "Wiper Motor; Instruction Sheet"}, "2": {"E-Waste": "Yes"}, "3": {"Product Condition": "Remanufactured"}, "4": {"Mounting Hole Quantity": "3"}, "5": {"Terminal Type": "Blade"}, "6": {"Mounting Type": "Grommet"}, "7": {"Weight PG": "2.2250"}, "8": {"Washer Pump Included": "No"}, "9": {"Part Type": "Windshield Wiper Motor"}, "10": {"Warranty Info": "1 Year/18,000 Mile"}, "11": {"Sustainable Choice": "Yes"}, "12": {"Lifecycle Status": "Available to Order"}, "13": {"Application Summary": "Toyota Celica 1999-94"}, "14": {"ItemLevelGTIN": "00082617566704"}, "15": {"_addonCardone": "43-2029::98264:118050:530"}, "16": {"Eligible for R&amp;R Service": "Yes"}}</t>
        </is>
      </c>
      <c r="J579" t="inlineStr">
        <is>
          <t>https://www.cardone.com/product/windshield-wiper-motor-43-2029</t>
        </is>
      </c>
      <c r="K579">
        <f>DISPIMG("ID_B6B7835BC5FD45578473C009BA569F53",1)</f>
        <v/>
      </c>
      <c r="L579" t="inlineStr">
        <is>
          <t>CPCX|43-2029</t>
        </is>
      </c>
      <c r="M579" t="inlineStr">
        <is>
          <t>Wiper Motor; Instruction Sheet</t>
        </is>
      </c>
      <c r="N579" t="inlineStr">
        <is>
          <t>Yes</t>
        </is>
      </c>
      <c r="O579" t="inlineStr">
        <is>
          <t>Remanufactured</t>
        </is>
      </c>
      <c r="P579" t="inlineStr">
        <is>
          <t>3</t>
        </is>
      </c>
      <c r="Q579" t="inlineStr">
        <is>
          <t>Blade</t>
        </is>
      </c>
      <c r="R579" t="inlineStr">
        <is>
          <t>Grommet</t>
        </is>
      </c>
      <c r="S579" t="inlineStr">
        <is>
          <t>2.2250</t>
        </is>
      </c>
      <c r="T579" t="inlineStr">
        <is>
          <t>No</t>
        </is>
      </c>
      <c r="U579" t="inlineStr">
        <is>
          <t>1 Year/18,000 Mile</t>
        </is>
      </c>
      <c r="V579" t="inlineStr">
        <is>
          <t>Yes</t>
        </is>
      </c>
      <c r="W579" t="inlineStr">
        <is>
          <t>Available to Order</t>
        </is>
      </c>
      <c r="X579" t="inlineStr">
        <is>
          <t>Toyota Celica 1999-94</t>
        </is>
      </c>
      <c r="Y579" t="inlineStr">
        <is>
          <t>00082617566704</t>
        </is>
      </c>
      <c r="Z579" t="inlineStr">
        <is>
          <t>43-2029::98264:118050:530</t>
        </is>
      </c>
      <c r="AA579" t="inlineStr">
        <is>
          <t>Yes</t>
        </is>
      </c>
      <c r="AB579" t="inlineStr"/>
      <c r="AC579" t="inlineStr"/>
    </row>
    <row r="580">
      <c r="A580" t="inlineStr">
        <is>
          <t>579</t>
        </is>
      </c>
      <c r="B580" t="inlineStr">
        <is>
          <t>Windshield Wiper Motor</t>
        </is>
      </c>
      <c r="C580" t="inlineStr">
        <is>
          <t>43-2030</t>
        </is>
      </c>
      <c r="D580" t="inlineStr">
        <is>
          <t>Windshield Wiper Motor - 43-2030</t>
        </is>
      </c>
      <c r="E580" t="inlineStr">
        <is>
          <t>CARDONE Reman</t>
        </is>
      </c>
      <c r="F580" t="inlineStr">
        <is>
          <t>8713042010;8513042010</t>
        </is>
      </c>
      <c r="G580" t="inlineStr">
        <is>
          <t>Toyota RAV4 1996</t>
        </is>
      </c>
      <c r="H580" t="inlineStr">
        <is>
          <t>Toyota RAV4 1996 2L L4 122cid</t>
        </is>
      </c>
      <c r="I580" t="inlineStr">
        <is>
          <t>{"0": {"productDeskExternalKey": "CPCX|43-2030"}, "1": {"Package Contents": "Wiper Motor; Instruction Sheet"}, "2": {"E-Waste": "Yes"}, "3": {"Product Condition": "Remanufactured"}, "4": {"Mounting Hole Quantity": "3"}, "5": {"Terminal Type": "Blade"}, "6": {"Mounting Type": "Grommet"}, "7": {"Weight PG": "2.2250"}, "8": {"Washer Pump Included": "No"}, "9": {"Part Type": "Windshield Wiper Motor"}, "10": {"Warranty Info": "1 Year/18,000 Mile"}, "11": {"Sustainable Choice": "Yes"}, "12": {"Lifecycle Status": "Available to Order"}, "13": {"Application Summary": "Toyota RAV4 1996"}, "14": {"ItemLevelGTIN": "00082617566711"}, "15": {"_addonCardone": "43-2030::98264:118067:530"}, "16": {"Eligible for R&amp;R Service": "Yes"}}</t>
        </is>
      </c>
      <c r="J580" t="inlineStr">
        <is>
          <t>https://www.cardone.com/product/windshield-wiper-motor-43-2030</t>
        </is>
      </c>
      <c r="K580">
        <f>DISPIMG("ID_CD1250717BA34ED79FB7720240AAF435",1)</f>
        <v/>
      </c>
      <c r="L580" t="inlineStr">
        <is>
          <t>CPCX|43-2030</t>
        </is>
      </c>
      <c r="M580" t="inlineStr">
        <is>
          <t>Wiper Motor; Instruction Sheet</t>
        </is>
      </c>
      <c r="N580" t="inlineStr">
        <is>
          <t>Yes</t>
        </is>
      </c>
      <c r="O580" t="inlineStr">
        <is>
          <t>Remanufactured</t>
        </is>
      </c>
      <c r="P580" t="inlineStr">
        <is>
          <t>3</t>
        </is>
      </c>
      <c r="Q580" t="inlineStr">
        <is>
          <t>Blade</t>
        </is>
      </c>
      <c r="R580" t="inlineStr">
        <is>
          <t>Grommet</t>
        </is>
      </c>
      <c r="S580" t="inlineStr">
        <is>
          <t>2.2250</t>
        </is>
      </c>
      <c r="T580" t="inlineStr">
        <is>
          <t>No</t>
        </is>
      </c>
      <c r="U580" t="inlineStr">
        <is>
          <t>1 Year/18,000 Mile</t>
        </is>
      </c>
      <c r="V580" t="inlineStr">
        <is>
          <t>Yes</t>
        </is>
      </c>
      <c r="W580" t="inlineStr">
        <is>
          <t>Available to Order</t>
        </is>
      </c>
      <c r="X580" t="inlineStr">
        <is>
          <t>Toyota RAV4 1996</t>
        </is>
      </c>
      <c r="Y580" t="inlineStr">
        <is>
          <t>00082617566711</t>
        </is>
      </c>
      <c r="Z580" t="inlineStr">
        <is>
          <t>43-2030::98264:118067:530</t>
        </is>
      </c>
      <c r="AA580" t="inlineStr">
        <is>
          <t>Yes</t>
        </is>
      </c>
      <c r="AB580" t="inlineStr"/>
      <c r="AC580" t="inlineStr"/>
    </row>
    <row r="581">
      <c r="A581" t="inlineStr">
        <is>
          <t>580</t>
        </is>
      </c>
      <c r="B581" t="inlineStr">
        <is>
          <t>Windshield Wiper Motor</t>
        </is>
      </c>
      <c r="C581" t="inlineStr">
        <is>
          <t>43-2031</t>
        </is>
      </c>
      <c r="D581" t="inlineStr">
        <is>
          <t>Windshield Wiper Motor - 43-2031</t>
        </is>
      </c>
      <c r="E581" t="inlineStr">
        <is>
          <t>CARDONE Reman</t>
        </is>
      </c>
      <c r="F581" t="inlineStr">
        <is>
          <t>8513042020</t>
        </is>
      </c>
      <c r="G581" t="inlineStr">
        <is>
          <t>Toyota RAV4 1997-2000</t>
        </is>
      </c>
      <c r="H581" t="inlineStr">
        <is>
          <t>Toyota RAV4 1997-2000 2L L4 122cid
Toyota RAV4 1998-2000</t>
        </is>
      </c>
      <c r="I581" t="inlineStr">
        <is>
          <t>{"0": {"productDeskExternalKey": "CPCX|43-2031"}, "1": {"Package Contents": "Wiper Motor; Instruction Sheet"}, "2": {"E-Waste": "Yes"}, "3": {"Product Condition": "Remanufactured"}, "4": {"Mounting Hole Quantity": "3"}, "5": {"Terminal Type": "Blade"}, "6": {"Mounting Type": "Grommet"}, "7": {"Weight PG": "2.2250"}, "8": {"Washer Pump Included": "No"}, "9": {"Part Type": "Windshield Wiper Motor"}, "10": {"Warranty Info": "1 Year/18,000 Mile"}, "11": {"Sustainable Choice": "Yes"}, "12": {"Lifecycle Status": "Available to Order"}, "13": {"Application Summary": "Toyota RAV4 2000-97"}, "14": {"ItemLevelGTIN": "00082617566728"}, "15": {"_addonCardone": "43-2031::98264:118089:530"}, "16": {"Eligible for R&amp;R Service": "Yes"}}</t>
        </is>
      </c>
      <c r="J581" t="inlineStr">
        <is>
          <t>https://www.cardone.com/product/windshield-wiper-motor-43-2031</t>
        </is>
      </c>
      <c r="K581">
        <f>DISPIMG("ID_CF0496CD68C84956963DAC0FE1287C01",1)</f>
        <v/>
      </c>
      <c r="L581" t="inlineStr">
        <is>
          <t>CPCX|43-2031</t>
        </is>
      </c>
      <c r="M581" t="inlineStr">
        <is>
          <t>Wiper Motor; Instruction Sheet</t>
        </is>
      </c>
      <c r="N581" t="inlineStr">
        <is>
          <t>Yes</t>
        </is>
      </c>
      <c r="O581" t="inlineStr">
        <is>
          <t>Remanufactured</t>
        </is>
      </c>
      <c r="P581" t="inlineStr">
        <is>
          <t>3</t>
        </is>
      </c>
      <c r="Q581" t="inlineStr">
        <is>
          <t>Blade</t>
        </is>
      </c>
      <c r="R581" t="inlineStr">
        <is>
          <t>Grommet</t>
        </is>
      </c>
      <c r="S581" t="inlineStr">
        <is>
          <t>2.2250</t>
        </is>
      </c>
      <c r="T581" t="inlineStr">
        <is>
          <t>No</t>
        </is>
      </c>
      <c r="U581" t="inlineStr">
        <is>
          <t>1 Year/18,000 Mile</t>
        </is>
      </c>
      <c r="V581" t="inlineStr">
        <is>
          <t>Yes</t>
        </is>
      </c>
      <c r="W581" t="inlineStr">
        <is>
          <t>Available to Order</t>
        </is>
      </c>
      <c r="X581" t="inlineStr">
        <is>
          <t>Toyota RAV4 2000-97</t>
        </is>
      </c>
      <c r="Y581" t="inlineStr">
        <is>
          <t>00082617566728</t>
        </is>
      </c>
      <c r="Z581" t="inlineStr">
        <is>
          <t>43-2031::98264:118089:530</t>
        </is>
      </c>
      <c r="AA581" t="inlineStr">
        <is>
          <t>Yes</t>
        </is>
      </c>
      <c r="AB581" t="inlineStr"/>
      <c r="AC581" t="inlineStr"/>
    </row>
    <row r="582">
      <c r="A582" t="inlineStr">
        <is>
          <t>581</t>
        </is>
      </c>
      <c r="B582" t="inlineStr">
        <is>
          <t>Windshield Wiper Motor</t>
        </is>
      </c>
      <c r="C582" t="inlineStr">
        <is>
          <t>43-2032</t>
        </is>
      </c>
      <c r="D582" t="inlineStr">
        <is>
          <t>Windshield Wiper Motor - 43-2032</t>
        </is>
      </c>
      <c r="E582" t="inlineStr">
        <is>
          <t>CARDONE Reman</t>
        </is>
      </c>
      <c r="F582" t="inlineStr">
        <is>
          <t>8511052130;8511052140</t>
        </is>
      </c>
      <c r="G582" t="inlineStr">
        <is>
          <t>Toyota Echo 2000-2005</t>
        </is>
      </c>
      <c r="H582" t="inlineStr">
        <is>
          <t>Toyota Echo 2000-2005 1.5L L4 1497cc</t>
        </is>
      </c>
      <c r="I582" t="inlineStr">
        <is>
          <t>{"0": {"productDeskExternalKey": "CPCX|43-2032"}, "1": {"Package Contents": "Wiper Motor; Instruction Sheet"}, "2": {"E-Waste": "Yes"}, "3": {"Product Condition": "Remanufactured"}, "4": {"Mounting Hole Quantity": "3"}, "5": {"Terminal Type": "Blade"}, "6": {"Mounting Type": "Direct Bolt"}, "7": {"Weight PG": "2.9600"}, "8": {"Washer Pump Included": "No"}, "9": {"Part Type": "Windshield Wiper Motor"}, "10": {"Warranty Info": "1 Year/18,000 Mile"}, "11": {"Sustainable Choice": "Yes"}, "12": {"Lifecycle Status": "Available to Order"}, "13": {"Application Summary": "Toyota Echo 2005-00"}, "14": {"ItemLevelGTIN": "00082617566735"}, "15": {"_addonCardone": "43-2032::98264:118115:530"}, "16": {"Eligible for R&amp;R Service": "Yes"}}</t>
        </is>
      </c>
      <c r="J582" t="inlineStr">
        <is>
          <t>https://www.cardone.com/product/windshield-wiper-motor-43-2032</t>
        </is>
      </c>
      <c r="K582">
        <f>DISPIMG("ID_02D62DC5CF0C44B8929A604F6700A71E",1)</f>
        <v/>
      </c>
      <c r="L582" t="inlineStr">
        <is>
          <t>CPCX|43-2032</t>
        </is>
      </c>
      <c r="M582" t="inlineStr">
        <is>
          <t>Wiper Motor; Instruction Sheet</t>
        </is>
      </c>
      <c r="N582" t="inlineStr">
        <is>
          <t>Yes</t>
        </is>
      </c>
      <c r="O582" t="inlineStr">
        <is>
          <t>Remanufactured</t>
        </is>
      </c>
      <c r="P582" t="inlineStr">
        <is>
          <t>3</t>
        </is>
      </c>
      <c r="Q582" t="inlineStr">
        <is>
          <t>Blade</t>
        </is>
      </c>
      <c r="R582" t="inlineStr">
        <is>
          <t>Direct Bolt</t>
        </is>
      </c>
      <c r="S582" t="inlineStr">
        <is>
          <t>2.9600</t>
        </is>
      </c>
      <c r="T582" t="inlineStr">
        <is>
          <t>No</t>
        </is>
      </c>
      <c r="U582" t="inlineStr">
        <is>
          <t>1 Year/18,000 Mile</t>
        </is>
      </c>
      <c r="V582" t="inlineStr">
        <is>
          <t>Yes</t>
        </is>
      </c>
      <c r="W582" t="inlineStr">
        <is>
          <t>Available to Order</t>
        </is>
      </c>
      <c r="X582" t="inlineStr">
        <is>
          <t>Toyota Echo 2005-00</t>
        </is>
      </c>
      <c r="Y582" t="inlineStr">
        <is>
          <t>00082617566735</t>
        </is>
      </c>
      <c r="Z582" t="inlineStr">
        <is>
          <t>43-2032::98264:118115:530</t>
        </is>
      </c>
      <c r="AA582" t="inlineStr">
        <is>
          <t>Yes</t>
        </is>
      </c>
      <c r="AB582" t="inlineStr"/>
      <c r="AC582" t="inlineStr"/>
    </row>
    <row r="583">
      <c r="A583" t="inlineStr">
        <is>
          <t>582</t>
        </is>
      </c>
      <c r="B583" t="inlineStr">
        <is>
          <t>Windshield Wiper Motor</t>
        </is>
      </c>
      <c r="C583" t="inlineStr">
        <is>
          <t>43-2033</t>
        </is>
      </c>
      <c r="D583" t="inlineStr">
        <is>
          <t>Windshield Wiper Motor - 43-2033</t>
        </is>
      </c>
      <c r="E583" t="inlineStr">
        <is>
          <t>CARDONE Reman</t>
        </is>
      </c>
      <c r="F583" t="inlineStr">
        <is>
          <t>8511048030</t>
        </is>
      </c>
      <c r="G583" t="inlineStr">
        <is>
          <t>Lexus RX300 1999-2003</t>
        </is>
      </c>
      <c r="H583" t="inlineStr">
        <is>
          <t>Lexus RX300 1999-2003 3L V6 2995cc</t>
        </is>
      </c>
      <c r="I583" t="inlineStr">
        <is>
          <t>{"0": {"productDeskExternalKey": "CPCX|43-2033"},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"Lexus RX300 2003-99"}, "14": {"ItemLevelGTIN": "00082617588010"}, "15": {"_addonCardone": "43-2033::98264:118131:530"}, "16": {"Eligible for R&amp;R Service": "Yes"}}</t>
        </is>
      </c>
      <c r="J583" t="inlineStr">
        <is>
          <t>https://www.cardone.com/product/windshield-wiper-motor-43-2033</t>
        </is>
      </c>
      <c r="K583">
        <f>DISPIMG("ID_F05DDA2816AC475AB06F33271E07526D",1)</f>
        <v/>
      </c>
      <c r="L583" t="inlineStr">
        <is>
          <t>CPCX|43-2033</t>
        </is>
      </c>
      <c r="M583" t="inlineStr">
        <is>
          <t>Wiper Motor; Instruction Sheet</t>
        </is>
      </c>
      <c r="N583" t="inlineStr">
        <is>
          <t>Yes</t>
        </is>
      </c>
      <c r="O583" t="inlineStr">
        <is>
          <t>Remanufactured</t>
        </is>
      </c>
      <c r="P583" t="inlineStr">
        <is>
          <t>3</t>
        </is>
      </c>
      <c r="Q583" t="inlineStr">
        <is>
          <t>Blade</t>
        </is>
      </c>
      <c r="R583" t="inlineStr">
        <is>
          <t>Direct Bolt</t>
        </is>
      </c>
      <c r="S583" t="inlineStr">
        <is>
          <t>3.5000</t>
        </is>
      </c>
      <c r="T583" t="inlineStr">
        <is>
          <t>No</t>
        </is>
      </c>
      <c r="U583" t="inlineStr">
        <is>
          <t>1 Year/18,000 Mile</t>
        </is>
      </c>
      <c r="V583" t="inlineStr">
        <is>
          <t>Yes</t>
        </is>
      </c>
      <c r="W583" t="inlineStr">
        <is>
          <t>Available to Order</t>
        </is>
      </c>
      <c r="X583" t="inlineStr">
        <is>
          <t>Lexus RX300 2003-99</t>
        </is>
      </c>
      <c r="Y583" t="inlineStr">
        <is>
          <t>00082617588010</t>
        </is>
      </c>
      <c r="Z583" t="inlineStr">
        <is>
          <t>43-2033::98264:118131:530</t>
        </is>
      </c>
      <c r="AA583" t="inlineStr">
        <is>
          <t>Yes</t>
        </is>
      </c>
      <c r="AB583" t="inlineStr"/>
      <c r="AC583" t="inlineStr"/>
    </row>
    <row r="584">
      <c r="A584" t="inlineStr">
        <is>
          <t>583</t>
        </is>
      </c>
      <c r="B584" t="inlineStr">
        <is>
          <t>Windshield Wiper Motor</t>
        </is>
      </c>
      <c r="C584" t="inlineStr">
        <is>
          <t>43-2034</t>
        </is>
      </c>
      <c r="D584" t="inlineStr">
        <is>
          <t>Windshield Wiper Motor - 43-2034</t>
        </is>
      </c>
      <c r="E584" t="inlineStr">
        <is>
          <t>CARDONE Reman</t>
        </is>
      </c>
      <c r="F584" t="inlineStr">
        <is>
          <t>8511030420</t>
        </is>
      </c>
      <c r="G584" t="inlineStr">
        <is>
          <t>Lexus GS300 1998-2005
Lexus GS400 1998-2000
Lexus GS430 2001-2005</t>
        </is>
      </c>
      <c r="H584" t="inlineStr">
        <is>
          <t>Lexus GS300 1998-2005 3L L6 2997cc
Lexus GS400 1998-2000 4L V8 3969cc
Lexus GS430 2001-2005 4.3L V8 4293cc</t>
        </is>
      </c>
      <c r="I584" t="inlineStr">
        <is>
          <t>{"0": {"productDeskExternalKey": "CPCX|43-2034"}, "1": {"Package Contents": "Wiper Motor; Instruction Sheet"}, "2": {"E-Waste": "Yes"}, "3": {"Product Condition": "Remanufactured"}, "4": {"Mounting Hole Quantity": "3"}, "5": {"Terminal Type": "Blade"}, "6": {"Mounting Type": "Direct Bolt"}, "7": {"Weight PG": "3.1500"}, "8": {"Washer Pump Included": "No"}, "9": {"Part Type": "Windshield Wiper Motor"}, "10": {"Warranty Info": "1 Year/18,000 Mile"}, "11": {"Sustainable Choice": "Yes"}, "12": {"Lifecycle Status": "Available to Order"}, "13": {"Application Summary": "Lexus GS300 2005-98, GS400 2000-98, GS430 2005-01"}, "14": {"ItemLevelGTIN": "00082617588003"}, "15": {"_addonCardone": "43-2034::98264:118157:530"}, "16": {"Eligible for R&amp;R Service": "Yes"}}</t>
        </is>
      </c>
      <c r="J584" t="inlineStr">
        <is>
          <t>https://www.cardone.com/product/windshield-wiper-motor-43-2034</t>
        </is>
      </c>
      <c r="K584">
        <f>DISPIMG("ID_47FA10FE7D9A46E99D8F04F353EA5711",1)</f>
        <v/>
      </c>
      <c r="L584" t="inlineStr">
        <is>
          <t>CPCX|43-2034</t>
        </is>
      </c>
      <c r="M584" t="inlineStr">
        <is>
          <t>Wiper Motor; Instruction Sheet</t>
        </is>
      </c>
      <c r="N584" t="inlineStr">
        <is>
          <t>Yes</t>
        </is>
      </c>
      <c r="O584" t="inlineStr">
        <is>
          <t>Remanufactured</t>
        </is>
      </c>
      <c r="P584" t="inlineStr">
        <is>
          <t>3</t>
        </is>
      </c>
      <c r="Q584" t="inlineStr">
        <is>
          <t>Blade</t>
        </is>
      </c>
      <c r="R584" t="inlineStr">
        <is>
          <t>Direct Bolt</t>
        </is>
      </c>
      <c r="S584" t="inlineStr">
        <is>
          <t>3.1500</t>
        </is>
      </c>
      <c r="T584" t="inlineStr">
        <is>
          <t>No</t>
        </is>
      </c>
      <c r="U584" t="inlineStr">
        <is>
          <t>1 Year/18,000 Mile</t>
        </is>
      </c>
      <c r="V584" t="inlineStr">
        <is>
          <t>Yes</t>
        </is>
      </c>
      <c r="W584" t="inlineStr">
        <is>
          <t>Available to Order</t>
        </is>
      </c>
      <c r="X584" t="inlineStr">
        <is>
          <t>Lexus GS300 2005-98, GS400 2000-98, GS430 2005-01</t>
        </is>
      </c>
      <c r="Y584" t="inlineStr">
        <is>
          <t>00082617588003</t>
        </is>
      </c>
      <c r="Z584" t="inlineStr">
        <is>
          <t>43-2034::98264:118157:530</t>
        </is>
      </c>
      <c r="AA584" t="inlineStr">
        <is>
          <t>Yes</t>
        </is>
      </c>
      <c r="AB584" t="inlineStr"/>
      <c r="AC584" t="inlineStr"/>
    </row>
    <row r="585">
      <c r="A585" t="inlineStr">
        <is>
          <t>584</t>
        </is>
      </c>
      <c r="B585" t="inlineStr">
        <is>
          <t>Windshield Wiper Motor</t>
        </is>
      </c>
      <c r="C585" t="inlineStr">
        <is>
          <t>43-2035</t>
        </is>
      </c>
      <c r="D585" t="inlineStr">
        <is>
          <t>Windshield Wiper Motor - 43-2035</t>
        </is>
      </c>
      <c r="E585" t="inlineStr">
        <is>
          <t>CARDONE Reman</t>
        </is>
      </c>
      <c r="F585" t="inlineStr">
        <is>
          <t>8511060300;8511060290</t>
        </is>
      </c>
      <c r="G585" t="inlineStr">
        <is>
          <t>Lexus LX470 1998-2007
Toyota Land Cruiser 1998-2007</t>
        </is>
      </c>
      <c r="H585" t="inlineStr">
        <is>
          <t>Lexus LX470 1998-2007 4.7L V8 285cid
Toyota Land Cruiser 1998-2007 4.7L V8 285cid</t>
        </is>
      </c>
      <c r="I585" t="inlineStr">
        <is>
          <t>{"0": {"productDeskExternalKey": "CPCX|43-2035"}, "1": {"Package Contents": "Wiper Motor; Instruction Sheet"}, "2": {"E-Waste": "Yes"}, "3": {"Product Condition": "Remanufactured"}, "4": {"Mounting Hole Quantity": "4"}, "5": {"Terminal Type": "Blade"}, "6": {"Mounting Type": "Grommet"}, "7": {"Weight PG": "2.8000"}, "8": {"Washer Pump Included": "No"}, "9": {"Part Type": "Windshield Wiper Motor"}, "10": {"Warranty Info": "1 Year/18,000 Mile"}, "11": {"Sustainable Choice": "Yes"}, "12": {"Lifecycle Status": "Available to Order"}, "13": {"Application Summary": "Lexus LX470 2007-98; Toyota Land Cruiser 2007-98"}, "14": {"ItemLevelGTIN": "00082617587990"}, "15": {"_addonCardone": "43-2035::98264:118179:530"}, "16": {"Eligible for R&amp;R Service": "Yes"}}</t>
        </is>
      </c>
      <c r="J585" t="inlineStr">
        <is>
          <t>https://www.cardone.com/product/windshield-wiper-motor-43-2035</t>
        </is>
      </c>
      <c r="K585">
        <f>DISPIMG("ID_3A776A01C27548E9813DD921E43A490B",1)</f>
        <v/>
      </c>
      <c r="L585" t="inlineStr">
        <is>
          <t>CPCX|43-2035</t>
        </is>
      </c>
      <c r="M585" t="inlineStr">
        <is>
          <t>Wiper Motor; Instruction Sheet</t>
        </is>
      </c>
      <c r="N585" t="inlineStr">
        <is>
          <t>Yes</t>
        </is>
      </c>
      <c r="O585" t="inlineStr">
        <is>
          <t>Remanufactured</t>
        </is>
      </c>
      <c r="P585" t="inlineStr">
        <is>
          <t>4</t>
        </is>
      </c>
      <c r="Q585" t="inlineStr">
        <is>
          <t>Blade</t>
        </is>
      </c>
      <c r="R585" t="inlineStr">
        <is>
          <t>Grommet</t>
        </is>
      </c>
      <c r="S585" t="inlineStr">
        <is>
          <t>2.8000</t>
        </is>
      </c>
      <c r="T585" t="inlineStr">
        <is>
          <t>No</t>
        </is>
      </c>
      <c r="U585" t="inlineStr">
        <is>
          <t>1 Year/18,000 Mile</t>
        </is>
      </c>
      <c r="V585" t="inlineStr">
        <is>
          <t>Yes</t>
        </is>
      </c>
      <c r="W585" t="inlineStr">
        <is>
          <t>Available to Order</t>
        </is>
      </c>
      <c r="X585" t="inlineStr">
        <is>
          <t>Lexus LX470 2007-98; Toyota Land Cruiser 2007-98</t>
        </is>
      </c>
      <c r="Y585" t="inlineStr">
        <is>
          <t>00082617587990</t>
        </is>
      </c>
      <c r="Z585" t="inlineStr">
        <is>
          <t>43-2035::98264:118179:530</t>
        </is>
      </c>
      <c r="AA585" t="inlineStr">
        <is>
          <t>Yes</t>
        </is>
      </c>
      <c r="AB585" t="inlineStr"/>
      <c r="AC585" t="inlineStr"/>
    </row>
    <row r="586">
      <c r="A586" t="inlineStr">
        <is>
          <t>585</t>
        </is>
      </c>
      <c r="B586" t="inlineStr">
        <is>
          <t>Windshield Wiper Motor</t>
        </is>
      </c>
      <c r="C586" t="inlineStr">
        <is>
          <t>43-2036</t>
        </is>
      </c>
      <c r="D586" t="inlineStr">
        <is>
          <t>Windshield Wiper Motor - 43-2036</t>
        </is>
      </c>
      <c r="E586" t="inlineStr">
        <is>
          <t>CARDONE Reman</t>
        </is>
      </c>
      <c r="F586" t="inlineStr">
        <is>
          <t>8511007030</t>
        </is>
      </c>
      <c r="G586" t="inlineStr">
        <is>
          <t>Toyota Avalon 2000-2005</t>
        </is>
      </c>
      <c r="H586" t="inlineStr">
        <is>
          <t>Toyota Avalon 2000-2004 3L V6 2995cc
Toyota Avalon 2005 3.5L V6 3456cc</t>
        </is>
      </c>
      <c r="I586" t="inlineStr">
        <is>
          <t>{"0": {"productDeskExternalKey": "CPCX|43-2036"}, "1": {"Package Contents": "Wiper Motor; Instruction Sheet"}, "2": {"E-Waste": "Yes"}, "3": {"Product Condition": "Remanufactured"}, "4": {"Mounting Hole Quantity": "3"}, "5": {"Terminal Type": "Blade"}, "6": {"Mounting Type": "Direct Bolt"}, "7": {"Washer Pump Included": "No"}, "8": {"Part Type": "Windshield Wiper Motor"}, "9": {"Warranty Info": "1 Year/18,000 Mile"}, "10": {"Sustainable Choice": "Yes"}, "11": {"Lifecycle Status": "Available to Order"}, "12": {"Application Summary": "Toyota Avalon 2005-00"}, "13": {"Weight PG": "3.5500"}, "14": {"ItemLevelGTIN": "00082617588652"}, "15": {"_addonCardone": "43-2036::98264:118203:530"}, "16": {"Eligible for R&amp;R Service": "Yes"}}</t>
        </is>
      </c>
      <c r="J586" t="inlineStr">
        <is>
          <t>https://www.cardone.com/product/windshield-wiper-motor-43-2036</t>
        </is>
      </c>
      <c r="K586">
        <f>DISPIMG("ID_F90497D3E56842A7B2C212F583F98522",1)</f>
        <v/>
      </c>
      <c r="L586" t="inlineStr">
        <is>
          <t>CPCX|43-2036</t>
        </is>
      </c>
      <c r="M586" t="inlineStr">
        <is>
          <t>Wiper Motor; Instruction Sheet</t>
        </is>
      </c>
      <c r="N586" t="inlineStr">
        <is>
          <t>Yes</t>
        </is>
      </c>
      <c r="O586" t="inlineStr">
        <is>
          <t>Remanufactured</t>
        </is>
      </c>
      <c r="P586" t="inlineStr">
        <is>
          <t>3</t>
        </is>
      </c>
      <c r="Q586" t="inlineStr">
        <is>
          <t>Blade</t>
        </is>
      </c>
      <c r="R586" t="inlineStr">
        <is>
          <t>Direct Bolt</t>
        </is>
      </c>
      <c r="S586" t="inlineStr">
        <is>
          <t>3.5500</t>
        </is>
      </c>
      <c r="T586" t="inlineStr">
        <is>
          <t>No</t>
        </is>
      </c>
      <c r="U586" t="inlineStr">
        <is>
          <t>1 Year/18,000 Mile</t>
        </is>
      </c>
      <c r="V586" t="inlineStr">
        <is>
          <t>Yes</t>
        </is>
      </c>
      <c r="W586" t="inlineStr">
        <is>
          <t>Available to Order</t>
        </is>
      </c>
      <c r="X586" t="inlineStr">
        <is>
          <t>Toyota Avalon 2005-00</t>
        </is>
      </c>
      <c r="Y586" t="inlineStr">
        <is>
          <t>00082617588652</t>
        </is>
      </c>
      <c r="Z586" t="inlineStr">
        <is>
          <t>43-2036::98264:118203:530</t>
        </is>
      </c>
      <c r="AA586" t="inlineStr">
        <is>
          <t>Yes</t>
        </is>
      </c>
      <c r="AB586" t="inlineStr"/>
      <c r="AC586" t="inlineStr"/>
    </row>
    <row r="587">
      <c r="A587" t="inlineStr">
        <is>
          <t>586</t>
        </is>
      </c>
      <c r="B587" t="inlineStr">
        <is>
          <t>Windshield Wiper Motor</t>
        </is>
      </c>
      <c r="C587" t="inlineStr">
        <is>
          <t>43-2037</t>
        </is>
      </c>
      <c r="D587" t="inlineStr">
        <is>
          <t>Windshield Wiper Motor - 43-2037</t>
        </is>
      </c>
      <c r="E587" t="inlineStr">
        <is>
          <t>CARDONE Reman</t>
        </is>
      </c>
      <c r="F587" t="inlineStr">
        <is>
          <t>851102B020</t>
        </is>
      </c>
      <c r="G587" t="inlineStr">
        <is>
          <t>Toyota Celica 2000-2005</t>
        </is>
      </c>
      <c r="H587" t="inlineStr">
        <is>
          <t>Toyota Celica 2000-2005 1.8L L4 1794cc
Toyota Celica 2000-2005 1.8L L4 1795cc</t>
        </is>
      </c>
      <c r="I587" t="inlineStr">
        <is>
          <t>{"0": {"productDeskExternalKey": "CPCX|43-2037"},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"Toyota Celica 2005-00"}, "14": {"ItemLevelGTIN": "00082617594837"}, "15": {"_addonCardone": "43-2037::98264:118226:530"}, "16": {"Eligible for R&amp;R Service": "Yes"}}</t>
        </is>
      </c>
      <c r="J587" t="inlineStr">
        <is>
          <t>https://www.cardone.com/product/windshield-wiper-motor-43-2037</t>
        </is>
      </c>
      <c r="K587">
        <f>DISPIMG("ID_B6FDA1244FB8436BBE5194489B8A5E09",1)</f>
        <v/>
      </c>
      <c r="L587" t="inlineStr">
        <is>
          <t>CPCX|43-2037</t>
        </is>
      </c>
      <c r="M587" t="inlineStr">
        <is>
          <t>Wiper Motor; Instruction Sheet</t>
        </is>
      </c>
      <c r="N587" t="inlineStr">
        <is>
          <t>Yes</t>
        </is>
      </c>
      <c r="O587" t="inlineStr">
        <is>
          <t>Remanufactured</t>
        </is>
      </c>
      <c r="P587" t="inlineStr">
        <is>
          <t>3</t>
        </is>
      </c>
      <c r="Q587" t="inlineStr">
        <is>
          <t>Blade</t>
        </is>
      </c>
      <c r="R587" t="inlineStr">
        <is>
          <t>Direct Bolt</t>
        </is>
      </c>
      <c r="S587" t="inlineStr">
        <is>
          <t>3.0000</t>
        </is>
      </c>
      <c r="T587" t="inlineStr">
        <is>
          <t>No</t>
        </is>
      </c>
      <c r="U587" t="inlineStr">
        <is>
          <t>1 Year/18,000 Mile</t>
        </is>
      </c>
      <c r="V587" t="inlineStr">
        <is>
          <t>Yes</t>
        </is>
      </c>
      <c r="W587" t="inlineStr">
        <is>
          <t>Available to Order</t>
        </is>
      </c>
      <c r="X587" t="inlineStr">
        <is>
          <t>Toyota Celica 2005-00</t>
        </is>
      </c>
      <c r="Y587" t="inlineStr">
        <is>
          <t>00082617594837</t>
        </is>
      </c>
      <c r="Z587" t="inlineStr">
        <is>
          <t>43-2037::98264:118226:530</t>
        </is>
      </c>
      <c r="AA587" t="inlineStr">
        <is>
          <t>Yes</t>
        </is>
      </c>
      <c r="AB587" t="inlineStr"/>
      <c r="AC587" t="inlineStr"/>
    </row>
    <row r="588">
      <c r="A588" t="inlineStr">
        <is>
          <t>587</t>
        </is>
      </c>
      <c r="B588" t="inlineStr">
        <is>
          <t>Windshield Wiper Motor</t>
        </is>
      </c>
      <c r="C588" t="inlineStr">
        <is>
          <t>43-2038</t>
        </is>
      </c>
      <c r="D588" t="inlineStr">
        <is>
          <t>Windshield Wiper Motor - 43-2038</t>
        </is>
      </c>
      <c r="E588" t="inlineStr">
        <is>
          <t>CARDONE Reman</t>
        </is>
      </c>
      <c r="F588" t="inlineStr">
        <is>
          <t>851102B040</t>
        </is>
      </c>
      <c r="G588" t="inlineStr">
        <is>
          <t>Toyota Celica 2000-2005</t>
        </is>
      </c>
      <c r="H588" t="inlineStr">
        <is>
          <t>Toyota Celica 2000-2005 1.8L L4 1794cc
Toyota Celica 2000-2005 1.8L L4 1795cc</t>
        </is>
      </c>
      <c r="I588" t="inlineStr">
        <is>
          <t>{"0": {"productDeskExternalKey": "CPCX|43-2038"}, "1": {"Package Contents": "Wiper Motor; Instruction Sheet"}, "2": {"E-Waste": "Yes"}, "3": {"Product Condition": "Remanufactured"}, "4": {"Mounting Hole Quantity": "3"}, "5": {"Terminal Type": "Blade"}, "6": {"Mounting Type": "Direct Bolt"}, "7": {"Weight PG": "2.9700"}, "8": {"Washer Pump Included": "No"}, "9": {"Part Type": "Windshield Wiper Motor"}, "10": {"Warranty Info": "1 Year/18,000 Mile"}, "11": {"Sustainable Choice": "Yes"}, "12": {"Lifecycle Status": "Available to Order"}, "13": {"Application Summary": "Toyota Celica 2005-00"}, "14": {"ItemLevelGTIN": "00082617594844"}, "15": {"_addonCardone": "43-2038::98264:118252:530"}, "16": {"Eligible for R&amp;R Service": "Yes"}}</t>
        </is>
      </c>
      <c r="J588" t="inlineStr">
        <is>
          <t>https://www.cardone.com/product/windshield-wiper-motor-43-2038</t>
        </is>
      </c>
      <c r="K588">
        <f>DISPIMG("ID_B47FFE4F5D7E4CAF84234FC85EDBB0AA",1)</f>
        <v/>
      </c>
      <c r="L588" t="inlineStr">
        <is>
          <t>CPCX|43-2038</t>
        </is>
      </c>
      <c r="M588" t="inlineStr">
        <is>
          <t>Wiper Motor; Instruction Sheet</t>
        </is>
      </c>
      <c r="N588" t="inlineStr">
        <is>
          <t>Yes</t>
        </is>
      </c>
      <c r="O588" t="inlineStr">
        <is>
          <t>Remanufactured</t>
        </is>
      </c>
      <c r="P588" t="inlineStr">
        <is>
          <t>3</t>
        </is>
      </c>
      <c r="Q588" t="inlineStr">
        <is>
          <t>Blade</t>
        </is>
      </c>
      <c r="R588" t="inlineStr">
        <is>
          <t>Direct Bolt</t>
        </is>
      </c>
      <c r="S588" t="inlineStr">
        <is>
          <t>2.9700</t>
        </is>
      </c>
      <c r="T588" t="inlineStr">
        <is>
          <t>No</t>
        </is>
      </c>
      <c r="U588" t="inlineStr">
        <is>
          <t>1 Year/18,000 Mile</t>
        </is>
      </c>
      <c r="V588" t="inlineStr">
        <is>
          <t>Yes</t>
        </is>
      </c>
      <c r="W588" t="inlineStr">
        <is>
          <t>Available to Order</t>
        </is>
      </c>
      <c r="X588" t="inlineStr">
        <is>
          <t>Toyota Celica 2005-00</t>
        </is>
      </c>
      <c r="Y588" t="inlineStr">
        <is>
          <t>00082617594844</t>
        </is>
      </c>
      <c r="Z588" t="inlineStr">
        <is>
          <t>43-2038::98264:118252:530</t>
        </is>
      </c>
      <c r="AA588" t="inlineStr">
        <is>
          <t>Yes</t>
        </is>
      </c>
      <c r="AB588" t="inlineStr"/>
      <c r="AC588" t="inlineStr"/>
    </row>
    <row r="589">
      <c r="A589" t="inlineStr">
        <is>
          <t>588</t>
        </is>
      </c>
      <c r="B589" t="inlineStr">
        <is>
          <t>Windshield Wiper Motor</t>
        </is>
      </c>
      <c r="C589" t="inlineStr">
        <is>
          <t>43-2039</t>
        </is>
      </c>
      <c r="D589" t="inlineStr">
        <is>
          <t>Windshield Wiper Motor - 43-2039</t>
        </is>
      </c>
      <c r="E589" t="inlineStr">
        <is>
          <t>CARDONE Reman</t>
        </is>
      </c>
      <c r="F589" t="inlineStr">
        <is>
          <t>8511034020</t>
        </is>
      </c>
      <c r="G589" t="inlineStr">
        <is>
          <t>Toyota T100 1993-1994</t>
        </is>
      </c>
      <c r="H589" t="inlineStr">
        <is>
          <t>Toyota T100 1993-1994 3L V6 2959cc
Toyota T100 1994 2.7L L4 2694cc</t>
        </is>
      </c>
      <c r="I589" t="inlineStr">
        <is>
          <t>{"0": {"productDeskExternalKey": "CPCX|43-2039"}, "1": {"Package Contents": "Wiper Motor; Instruction Sheet"}, "2": {"E-Waste": "Yes"}, "3": {"Product Condition": "Remanufactured"}, "4": {"Mounting Hole Quantity": "4"}, "5": {"Terminal Type": "Blade"}, "6": {"Mounting Type": "Grommet"}, "7": {"Weight PG": "2.8000"}, "8": {"Washer Pump Included": "No"}, "9": {"Part Type": "Windshield Wiper Motor"}, "10": {"Warranty Info": "1 Year/18,000 Mile"}, "11": {"Sustainable Choice": "Yes"}, "12": {"Lifecycle Status": "Available to Order"}, "13": {"Application Summary": "Toyota T100 1994-93"}, "14": {"ItemLevelGTIN": "00082617588867"}, "15": {"_addonCardone": "43-2039::98264:118286:530"}, "16": {"Eligible for R&amp;R Service": "Yes"}}</t>
        </is>
      </c>
      <c r="J589" t="inlineStr">
        <is>
          <t>https://www.cardone.com/product/windshield-wiper-motor-43-2039</t>
        </is>
      </c>
      <c r="K589">
        <f>DISPIMG("ID_96CD9BD67F794B1AB609E11E31693499",1)</f>
        <v/>
      </c>
      <c r="L589" t="inlineStr">
        <is>
          <t>CPCX|43-2039</t>
        </is>
      </c>
      <c r="M589" t="inlineStr">
        <is>
          <t>Wiper Motor; Instruction Sheet</t>
        </is>
      </c>
      <c r="N589" t="inlineStr">
        <is>
          <t>Yes</t>
        </is>
      </c>
      <c r="O589" t="inlineStr">
        <is>
          <t>Remanufactured</t>
        </is>
      </c>
      <c r="P589" t="inlineStr">
        <is>
          <t>4</t>
        </is>
      </c>
      <c r="Q589" t="inlineStr">
        <is>
          <t>Blade</t>
        </is>
      </c>
      <c r="R589" t="inlineStr">
        <is>
          <t>Grommet</t>
        </is>
      </c>
      <c r="S589" t="inlineStr">
        <is>
          <t>2.8000</t>
        </is>
      </c>
      <c r="T589" t="inlineStr">
        <is>
          <t>No</t>
        </is>
      </c>
      <c r="U589" t="inlineStr">
        <is>
          <t>1 Year/18,000 Mile</t>
        </is>
      </c>
      <c r="V589" t="inlineStr">
        <is>
          <t>Yes</t>
        </is>
      </c>
      <c r="W589" t="inlineStr">
        <is>
          <t>Available to Order</t>
        </is>
      </c>
      <c r="X589" t="inlineStr">
        <is>
          <t>Toyota T100 1994-93</t>
        </is>
      </c>
      <c r="Y589" t="inlineStr">
        <is>
          <t>00082617588867</t>
        </is>
      </c>
      <c r="Z589" t="inlineStr">
        <is>
          <t>43-2039::98264:118286:530</t>
        </is>
      </c>
      <c r="AA589" t="inlineStr">
        <is>
          <t>Yes</t>
        </is>
      </c>
      <c r="AB589" t="inlineStr"/>
      <c r="AC589" t="inlineStr"/>
    </row>
    <row r="590">
      <c r="A590" t="inlineStr">
        <is>
          <t>589</t>
        </is>
      </c>
      <c r="B590" t="inlineStr">
        <is>
          <t>Windshield Wiper Motor</t>
        </is>
      </c>
      <c r="C590" t="inlineStr">
        <is>
          <t>43-2040</t>
        </is>
      </c>
      <c r="D590" t="inlineStr">
        <is>
          <t>Windshield Wiper Motor - 43-2040</t>
        </is>
      </c>
      <c r="E590" t="inlineStr">
        <is>
          <t>CARDONE Reman</t>
        </is>
      </c>
      <c r="F590" t="inlineStr">
        <is>
          <t>8508060170</t>
        </is>
      </c>
      <c r="G590" t="inlineStr">
        <is>
          <t>Lexus LX470 1998-2007
Toyota Land Cruiser 1998-2007</t>
        </is>
      </c>
      <c r="H590" t="inlineStr">
        <is>
          <t>Lexus LX470 1998-2007 4.7L V8 285cid
Toyota Land Cruiser 1998-2007 4.7L V8 285cid</t>
        </is>
      </c>
      <c r="I590" t="inlineStr">
        <is>
          <t>{"0": {"productDeskExternalKey": "CPCX|43-2040"}, "1": {"Package Contents": "Wiper Motor; Instruction Sheet"}, "2": {"E-Waste": "Yes"}, "3": {"Product Condition": "Remanufactured"}, "4": {"Mounting Hole Quantity": "3"}, "5": {"Terminal Type": "Blade"}, "6": {"Mounting Type": "Direct Bolt"}, "7": {"Weight PG": "1.8500"}, "8": {"Washer Pump Included": "No"}, "9": {"Part Type": "Windshield Wiper Motor"}, "10": {"Warranty Info": "1 Year/18,000 Mile"}, "11": {"Sustainable Choice": "Yes"}, "12": {"Lifecycle Status": "Available to Order"}, "13": {"Application Summary": "Lexus LX470 2007-98; Toyota Land Cruiser 2007-98"}, "14": {"ItemLevelGTIN": "00082617594851"}, "15": {"_addonCardone": "43-2040::98264:118321:530"}, "16": {"Eligible for R&amp;R Service": "Yes"}}</t>
        </is>
      </c>
      <c r="J590" t="inlineStr">
        <is>
          <t>https://www.cardone.com/product/windshield-wiper-motor-43-2040</t>
        </is>
      </c>
      <c r="K590">
        <f>DISPIMG("ID_1D19BA65D9BF450596F685DF3A7B4DD8",1)</f>
        <v/>
      </c>
      <c r="L590" t="inlineStr">
        <is>
          <t>CPCX|43-2040</t>
        </is>
      </c>
      <c r="M590" t="inlineStr">
        <is>
          <t>Wiper Motor; Instruction Sheet</t>
        </is>
      </c>
      <c r="N590" t="inlineStr">
        <is>
          <t>Yes</t>
        </is>
      </c>
      <c r="O590" t="inlineStr">
        <is>
          <t>Remanufactured</t>
        </is>
      </c>
      <c r="P590" t="inlineStr">
        <is>
          <t>3</t>
        </is>
      </c>
      <c r="Q590" t="inlineStr">
        <is>
          <t>Blade</t>
        </is>
      </c>
      <c r="R590" t="inlineStr">
        <is>
          <t>Direct Bolt</t>
        </is>
      </c>
      <c r="S590" t="inlineStr">
        <is>
          <t>1.8500</t>
        </is>
      </c>
      <c r="T590" t="inlineStr">
        <is>
          <t>No</t>
        </is>
      </c>
      <c r="U590" t="inlineStr">
        <is>
          <t>1 Year/18,000 Mile</t>
        </is>
      </c>
      <c r="V590" t="inlineStr">
        <is>
          <t>Yes</t>
        </is>
      </c>
      <c r="W590" t="inlineStr">
        <is>
          <t>Available to Order</t>
        </is>
      </c>
      <c r="X590" t="inlineStr">
        <is>
          <t>Lexus LX470 2007-98; Toyota Land Cruiser 2007-98</t>
        </is>
      </c>
      <c r="Y590" t="inlineStr">
        <is>
          <t>00082617594851</t>
        </is>
      </c>
      <c r="Z590" t="inlineStr">
        <is>
          <t>43-2040::98264:118321:530</t>
        </is>
      </c>
      <c r="AA590" t="inlineStr">
        <is>
          <t>Yes</t>
        </is>
      </c>
      <c r="AB590" t="inlineStr"/>
      <c r="AC590" t="inlineStr"/>
    </row>
    <row r="591">
      <c r="A591" t="inlineStr">
        <is>
          <t>590</t>
        </is>
      </c>
      <c r="B591" t="inlineStr">
        <is>
          <t>Windshield Wiper Motor</t>
        </is>
      </c>
      <c r="C591" t="inlineStr">
        <is>
          <t>43-2041</t>
        </is>
      </c>
      <c r="D591" t="inlineStr">
        <is>
          <t>Windshield Wiper Motor - 43-2041</t>
        </is>
      </c>
      <c r="E591" t="inlineStr">
        <is>
          <t>CARDONE Reman</t>
        </is>
      </c>
      <c r="F591" t="inlineStr">
        <is>
          <t>8508060151</t>
        </is>
      </c>
      <c r="G591" t="inlineStr">
        <is>
          <t>Lexus LX450 1996-1997
Toyota Land Cruiser 1993-1997</t>
        </is>
      </c>
      <c r="H591" t="inlineStr">
        <is>
          <t>Lexus LX450 1996-1997 4.5L L6 4477cc
Toyota Land Cruiser 1993-1997 4.5L L6 4477cc</t>
        </is>
      </c>
      <c r="I591" t="inlineStr">
        <is>
          <t>{"0": {"productDeskExternalKey": "CPCX|43-2041"}, "1": {"Package Contents": "Wiper Motor; Instruction Sheet"}, "2": {"E-Waste": "Yes"}, "3": {"Product Condition": "Remanufactured"}, "4": {"Mounting Hole Quantity": "3"}, "5": {"Terminal Type": "Blade"}, "6": {"Mounting Type": "Direct Bolt"}, "7": {"Weight PG": "1.5000"}, "8": {"Washer Pump Included": "No"}, "9": {"Part Type": "Windshield Wiper Motor"}, "10": {"Warranty Info": "1 Year/18,000 Mile"}, "11": {"Sustainable Choice": "Yes"}, "12": {"Lifecycle Status": "Available to Order"}, "13": {"Application Summary": "Lexus LX450 1997-96; Toyota Land Cruiser 1997-93"}, "14": {"ItemLevelGTIN": "00082617594868"}, "15": {"_addonCardone": "43-2041::98264:118348:530"}, "16": {"Eligible for R&amp;R Service": "Yes"}}</t>
        </is>
      </c>
      <c r="J591" t="inlineStr">
        <is>
          <t>https://www.cardone.com/product/windshield-wiper-motor-43-2041</t>
        </is>
      </c>
      <c r="K591">
        <f>DISPIMG("ID_CC6E5EB533864C3FA8EE8F06E9D4E494",1)</f>
        <v/>
      </c>
      <c r="L591" t="inlineStr">
        <is>
          <t>CPCX|43-2041</t>
        </is>
      </c>
      <c r="M591" t="inlineStr">
        <is>
          <t>Wiper Motor; Instruction Sheet</t>
        </is>
      </c>
      <c r="N591" t="inlineStr">
        <is>
          <t>Yes</t>
        </is>
      </c>
      <c r="O591" t="inlineStr">
        <is>
          <t>Remanufactured</t>
        </is>
      </c>
      <c r="P591" t="inlineStr">
        <is>
          <t>3</t>
        </is>
      </c>
      <c r="Q591" t="inlineStr">
        <is>
          <t>Blade</t>
        </is>
      </c>
      <c r="R591" t="inlineStr">
        <is>
          <t>Direct Bolt</t>
        </is>
      </c>
      <c r="S591" t="inlineStr">
        <is>
          <t>1.5000</t>
        </is>
      </c>
      <c r="T591" t="inlineStr">
        <is>
          <t>No</t>
        </is>
      </c>
      <c r="U591" t="inlineStr">
        <is>
          <t>1 Year/18,000 Mile</t>
        </is>
      </c>
      <c r="V591" t="inlineStr">
        <is>
          <t>Yes</t>
        </is>
      </c>
      <c r="W591" t="inlineStr">
        <is>
          <t>Available to Order</t>
        </is>
      </c>
      <c r="X591" t="inlineStr">
        <is>
          <t>Lexus LX450 1997-96; Toyota Land Cruiser 1997-93</t>
        </is>
      </c>
      <c r="Y591" t="inlineStr">
        <is>
          <t>00082617594868</t>
        </is>
      </c>
      <c r="Z591" t="inlineStr">
        <is>
          <t>43-2041::98264:118348:530</t>
        </is>
      </c>
      <c r="AA591" t="inlineStr">
        <is>
          <t>Yes</t>
        </is>
      </c>
      <c r="AB591" t="inlineStr"/>
      <c r="AC591" t="inlineStr"/>
    </row>
    <row r="592">
      <c r="A592" t="inlineStr">
        <is>
          <t>591</t>
        </is>
      </c>
      <c r="B592" t="inlineStr">
        <is>
          <t>Windshield Wiper Motor</t>
        </is>
      </c>
      <c r="C592" t="inlineStr">
        <is>
          <t>43-2042</t>
        </is>
      </c>
      <c r="D592" t="inlineStr">
        <is>
          <t>Windshield Wiper Motor - 43-2042</t>
        </is>
      </c>
      <c r="E592" t="inlineStr">
        <is>
          <t>CARDONE Reman</t>
        </is>
      </c>
      <c r="F592" t="inlineStr">
        <is>
          <t>8511020660</t>
        </is>
      </c>
      <c r="G592" t="inlineStr">
        <is>
          <t>Toyota Celica 1990-1993</t>
        </is>
      </c>
      <c r="H592" t="inlineStr">
        <is>
          <t>Toyota Celica 1990-1993 2.2L L4 2164cc
Toyota Celica 1990-1993 2L L4 122cid</t>
        </is>
      </c>
      <c r="I592" t="inlineStr">
        <is>
          <t>{"0": {"productDeskExternalKey": "CPCX|43-2042"},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"Toyota Celica 1993-90"}, "14": {"ItemLevelGTIN": "00082617594875"}, "15": {"_addonCardone": "43-2042::98264:118373:530"}, "16": {"Eligible for R&amp;R Service": "Yes"}}</t>
        </is>
      </c>
      <c r="J592" t="inlineStr">
        <is>
          <t>https://www.cardone.com/product/windshield-wiper-motor-43-2042</t>
        </is>
      </c>
      <c r="K592">
        <f>DISPIMG("ID_8131B7FE69AA4BB883420C7730FDD11B",1)</f>
        <v/>
      </c>
      <c r="L592" t="inlineStr">
        <is>
          <t>CPCX|43-2042</t>
        </is>
      </c>
      <c r="M592" t="inlineStr">
        <is>
          <t>Wiper Motor; Instruction Sheet</t>
        </is>
      </c>
      <c r="N592" t="inlineStr">
        <is>
          <t>Yes</t>
        </is>
      </c>
      <c r="O592" t="inlineStr">
        <is>
          <t>Remanufactured</t>
        </is>
      </c>
      <c r="P592" t="inlineStr">
        <is>
          <t>3</t>
        </is>
      </c>
      <c r="Q592" t="inlineStr">
        <is>
          <t>Blade</t>
        </is>
      </c>
      <c r="R592" t="inlineStr">
        <is>
          <t>Grommet</t>
        </is>
      </c>
      <c r="S592" t="inlineStr">
        <is>
          <t>2.5000</t>
        </is>
      </c>
      <c r="T592" t="inlineStr">
        <is>
          <t>No</t>
        </is>
      </c>
      <c r="U592" t="inlineStr">
        <is>
          <t>1 Year/18,000 Mile</t>
        </is>
      </c>
      <c r="V592" t="inlineStr">
        <is>
          <t>Yes</t>
        </is>
      </c>
      <c r="W592" t="inlineStr">
        <is>
          <t>Available to Order</t>
        </is>
      </c>
      <c r="X592" t="inlineStr">
        <is>
          <t>Toyota Celica 1993-90</t>
        </is>
      </c>
      <c r="Y592" t="inlineStr">
        <is>
          <t>00082617594875</t>
        </is>
      </c>
      <c r="Z592" t="inlineStr">
        <is>
          <t>43-2042::98264:118373:530</t>
        </is>
      </c>
      <c r="AA592" t="inlineStr">
        <is>
          <t>Yes</t>
        </is>
      </c>
      <c r="AB592" t="inlineStr"/>
      <c r="AC592" t="inlineStr"/>
    </row>
    <row r="593">
      <c r="A593" t="inlineStr">
        <is>
          <t>592</t>
        </is>
      </c>
      <c r="B593" t="inlineStr">
        <is>
          <t>Windshield Wiper Motor</t>
        </is>
      </c>
      <c r="C593" t="inlineStr">
        <is>
          <t>43-2043</t>
        </is>
      </c>
      <c r="D593" t="inlineStr">
        <is>
          <t>Windshield Wiper Motor - 43-2043</t>
        </is>
      </c>
      <c r="E593" t="inlineStr">
        <is>
          <t>CARDONE Reman</t>
        </is>
      </c>
      <c r="F593" t="inlineStr">
        <is>
          <t>8513020780</t>
        </is>
      </c>
      <c r="G593" t="inlineStr">
        <is>
          <t>Toyota Celica 2000-2005</t>
        </is>
      </c>
      <c r="H593" t="inlineStr">
        <is>
          <t>Toyota Celica 2000-2005 1.8L L4 1794cc
Toyota Celica 2000-2005 1.8L L4 1795cc</t>
        </is>
      </c>
      <c r="I593" t="inlineStr">
        <is>
          <t>{"0": {"productDeskExternalKey": "CPCX|43-2043"},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"Toyota Celica 2005-00"}, "14": {"ItemLevelGTIN": "00082617594882"}, "15": {"_addonCardone": "43-2043::98264:118397:530"}, "16": {"Eligible for R&amp;R Service": "Yes"}}</t>
        </is>
      </c>
      <c r="J593" t="inlineStr">
        <is>
          <t>https://www.cardone.com/product/windshield-wiper-motor-43-2043</t>
        </is>
      </c>
      <c r="K593">
        <f>DISPIMG("ID_F1F52C8A662447A19F526A328D25B37F",1)</f>
        <v/>
      </c>
      <c r="L593" t="inlineStr">
        <is>
          <t>CPCX|43-2043</t>
        </is>
      </c>
      <c r="M593" t="inlineStr">
        <is>
          <t>Wiper Motor; Instruction Sheet</t>
        </is>
      </c>
      <c r="N593" t="inlineStr">
        <is>
          <t>Yes</t>
        </is>
      </c>
      <c r="O593" t="inlineStr">
        <is>
          <t>Remanufactured</t>
        </is>
      </c>
      <c r="P593" t="inlineStr">
        <is>
          <t>3</t>
        </is>
      </c>
      <c r="Q593" t="inlineStr">
        <is>
          <t>Blade</t>
        </is>
      </c>
      <c r="R593" t="inlineStr">
        <is>
          <t>Grommet</t>
        </is>
      </c>
      <c r="S593" t="inlineStr">
        <is>
          <t>2.5000</t>
        </is>
      </c>
      <c r="T593" t="inlineStr">
        <is>
          <t>No</t>
        </is>
      </c>
      <c r="U593" t="inlineStr">
        <is>
          <t>1 Year/18,000 Mile</t>
        </is>
      </c>
      <c r="V593" t="inlineStr">
        <is>
          <t>Yes</t>
        </is>
      </c>
      <c r="W593" t="inlineStr">
        <is>
          <t>Available to Order</t>
        </is>
      </c>
      <c r="X593" t="inlineStr">
        <is>
          <t>Toyota Celica 2005-00</t>
        </is>
      </c>
      <c r="Y593" t="inlineStr">
        <is>
          <t>00082617594882</t>
        </is>
      </c>
      <c r="Z593" t="inlineStr">
        <is>
          <t>43-2043::98264:118397:530</t>
        </is>
      </c>
      <c r="AA593" t="inlineStr">
        <is>
          <t>Yes</t>
        </is>
      </c>
      <c r="AB593" t="inlineStr"/>
      <c r="AC593" t="inlineStr"/>
    </row>
    <row r="594">
      <c r="A594" t="inlineStr">
        <is>
          <t>593</t>
        </is>
      </c>
      <c r="B594" t="inlineStr">
        <is>
          <t>Windshield Wiper Motor</t>
        </is>
      </c>
      <c r="C594" t="inlineStr">
        <is>
          <t>43-2044</t>
        </is>
      </c>
      <c r="D594" t="inlineStr">
        <is>
          <t>Windshield Wiper Motor - 43-2044</t>
        </is>
      </c>
      <c r="E594" t="inlineStr">
        <is>
          <t>CARDONE Reman</t>
        </is>
      </c>
      <c r="F594" t="inlineStr">
        <is>
          <t>8513006011;8513006010</t>
        </is>
      </c>
      <c r="G594" t="inlineStr">
        <is>
          <t>Toyota Camry 1992-1996</t>
        </is>
      </c>
      <c r="H594" t="inlineStr">
        <is>
          <t>Toyota Camry 1992-1993 3L V6 2959cc
Toyota Camry 1992-1996 2.2L L4 2164cc
Toyota Camry 1994-1996 3L V6 2995cc</t>
        </is>
      </c>
      <c r="I594" t="inlineStr">
        <is>
          <t>{"0": {"productDeskExternalKey": "CPCX|43-2044"}, "1": {"Package Contents": "Wiper Motor; Instruction Sheet"}, "2": {"E-Waste": "Yes"}, "3": {"Product Condition": "Remanufactured"}, "4": {"Mounting Hole Quantity": "3"}, "5": {"Terminal Type": "Blade"}, "6": {"Mounting Type": "Grommet"}, "7": {"Weight PG": "3.2000"}, "8": {"Washer Pump Included": "No"}, "9": {"Part Type": "Windshield Wiper Motor"}, "10": {"Warranty Info": "1 Year/18,000 Mile"}, "11": {"Sustainable Choice": "Yes"}, "12": {"Lifecycle Status": "Available to Order"}, "13": {"Application Summary": "Toyota Camry 1996-92"}, "14": {"ItemLevelGTIN": "00082617594899"}, "15": {"_addonCardone": "43-2044::98264:118425:530"}, "16": {"Eligible for R&amp;R Service": "Yes"}}</t>
        </is>
      </c>
      <c r="J594" t="inlineStr">
        <is>
          <t>https://www.cardone.com/product/windshield-wiper-motor-43-2044</t>
        </is>
      </c>
      <c r="K594">
        <f>DISPIMG("ID_FC9245A1327B4C1DB0401185ACF7426E",1)</f>
        <v/>
      </c>
      <c r="L594" t="inlineStr">
        <is>
          <t>CPCX|43-2044</t>
        </is>
      </c>
      <c r="M594" t="inlineStr">
        <is>
          <t>Wiper Motor; Instruction Sheet</t>
        </is>
      </c>
      <c r="N594" t="inlineStr">
        <is>
          <t>Yes</t>
        </is>
      </c>
      <c r="O594" t="inlineStr">
        <is>
          <t>Remanufactured</t>
        </is>
      </c>
      <c r="P594" t="inlineStr">
        <is>
          <t>3</t>
        </is>
      </c>
      <c r="Q594" t="inlineStr">
        <is>
          <t>Blade</t>
        </is>
      </c>
      <c r="R594" t="inlineStr">
        <is>
          <t>Grommet</t>
        </is>
      </c>
      <c r="S594" t="inlineStr">
        <is>
          <t>3.2000</t>
        </is>
      </c>
      <c r="T594" t="inlineStr">
        <is>
          <t>No</t>
        </is>
      </c>
      <c r="U594" t="inlineStr">
        <is>
          <t>1 Year/18,000 Mile</t>
        </is>
      </c>
      <c r="V594" t="inlineStr">
        <is>
          <t>Yes</t>
        </is>
      </c>
      <c r="W594" t="inlineStr">
        <is>
          <t>Available to Order</t>
        </is>
      </c>
      <c r="X594" t="inlineStr">
        <is>
          <t>Toyota Camry 1996-92</t>
        </is>
      </c>
      <c r="Y594" t="inlineStr">
        <is>
          <t>00082617594899</t>
        </is>
      </c>
      <c r="Z594" t="inlineStr">
        <is>
          <t>43-2044::98264:118425:530</t>
        </is>
      </c>
      <c r="AA594" t="inlineStr">
        <is>
          <t>Yes</t>
        </is>
      </c>
      <c r="AB594" t="inlineStr"/>
      <c r="AC594" t="inlineStr"/>
    </row>
    <row r="595">
      <c r="A595" t="inlineStr">
        <is>
          <t>594</t>
        </is>
      </c>
      <c r="B595" t="inlineStr">
        <is>
          <t>Windshield Wiper Motor</t>
        </is>
      </c>
      <c r="C595" t="inlineStr">
        <is>
          <t>43-2045</t>
        </is>
      </c>
      <c r="D595" t="inlineStr">
        <is>
          <t>Windshield Wiper Motor - 43-2045</t>
        </is>
      </c>
      <c r="E595" t="inlineStr">
        <is>
          <t>CARDONE Reman</t>
        </is>
      </c>
      <c r="F595" t="inlineStr">
        <is>
          <t>8511013050</t>
        </is>
      </c>
      <c r="G595" t="inlineStr">
        <is>
          <t>Toyota Corolla 1988-1992</t>
        </is>
      </c>
      <c r="H595" t="inlineStr">
        <is>
          <t>Toyota Corolla 1988-1992 1.6L L4 1587cc</t>
        </is>
      </c>
      <c r="I595" t="inlineStr">
        <is>
          <t>{"0": {"productDeskExternalKey": "CPCX|43-2045"},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"Toyota Corolla 1992-88"}, "14": {"ItemLevelGTIN": "00082617594905"}, "15": {"_addonCardone": "43-2045::98264:118452:530"}, "16": {"Eligible for R&amp;R Service": "Yes"}}</t>
        </is>
      </c>
      <c r="J595" t="inlineStr">
        <is>
          <t>https://www.cardone.com/product/windshield-wiper-motor-43-2045</t>
        </is>
      </c>
      <c r="K595">
        <f>DISPIMG("ID_33E35DA5E056457DBC84D4FEFB114635",1)</f>
        <v/>
      </c>
      <c r="L595" t="inlineStr">
        <is>
          <t>CPCX|43-2045</t>
        </is>
      </c>
      <c r="M595" t="inlineStr">
        <is>
          <t>Wiper Motor; Instruction Sheet</t>
        </is>
      </c>
      <c r="N595" t="inlineStr">
        <is>
          <t>Yes</t>
        </is>
      </c>
      <c r="O595" t="inlineStr">
        <is>
          <t>Remanufactured</t>
        </is>
      </c>
      <c r="P595" t="inlineStr">
        <is>
          <t>3</t>
        </is>
      </c>
      <c r="Q595" t="inlineStr">
        <is>
          <t>Blade</t>
        </is>
      </c>
      <c r="R595" t="inlineStr">
        <is>
          <t>Grommet</t>
        </is>
      </c>
      <c r="S595" t="inlineStr">
        <is>
          <t>2.5000</t>
        </is>
      </c>
      <c r="T595" t="inlineStr">
        <is>
          <t>No</t>
        </is>
      </c>
      <c r="U595" t="inlineStr">
        <is>
          <t>1 Year/18,000 Mile</t>
        </is>
      </c>
      <c r="V595" t="inlineStr">
        <is>
          <t>Yes</t>
        </is>
      </c>
      <c r="W595" t="inlineStr">
        <is>
          <t>Available to Order</t>
        </is>
      </c>
      <c r="X595" t="inlineStr">
        <is>
          <t>Toyota Corolla 1992-88</t>
        </is>
      </c>
      <c r="Y595" t="inlineStr">
        <is>
          <t>00082617594905</t>
        </is>
      </c>
      <c r="Z595" t="inlineStr">
        <is>
          <t>43-2045::98264:118452:530</t>
        </is>
      </c>
      <c r="AA595" t="inlineStr">
        <is>
          <t>Yes</t>
        </is>
      </c>
      <c r="AB595" t="inlineStr"/>
      <c r="AC595" t="inlineStr"/>
    </row>
    <row r="596">
      <c r="A596" t="inlineStr">
        <is>
          <t>595</t>
        </is>
      </c>
      <c r="B596" t="inlineStr">
        <is>
          <t>Windshield Wiper Motor</t>
        </is>
      </c>
      <c r="C596" t="inlineStr">
        <is>
          <t>43-2046</t>
        </is>
      </c>
      <c r="D596" t="inlineStr">
        <is>
          <t>Windshield Wiper Motor - 43-2046</t>
        </is>
      </c>
      <c r="E596" t="inlineStr">
        <is>
          <t>CARDONE Reman</t>
        </is>
      </c>
      <c r="F596" t="inlineStr">
        <is>
          <t>8513048010</t>
        </is>
      </c>
      <c r="G596" t="inlineStr">
        <is>
          <t>Lexus RX300 1999-2003</t>
        </is>
      </c>
      <c r="H596" t="inlineStr">
        <is>
          <t>Lexus RX300 1999-2003 3L V6 2995cc</t>
        </is>
      </c>
      <c r="I596" t="inlineStr">
        <is>
          <t>{"0": {"productDeskExternalKey": "CPCX|43-2046"},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"Lexus RX300 2003-99"}, "14": {"ItemLevelGTIN": "00082617594929"}, "15": {"_addonCardone": "43-2046::98264:118475:530"}, "16": {"Eligible for R&amp;R Service": "Yes"}}</t>
        </is>
      </c>
      <c r="J596" t="inlineStr">
        <is>
          <t>https://www.cardone.com/product/windshield-wiper-motor-43-2046</t>
        </is>
      </c>
      <c r="K596">
        <f>DISPIMG("ID_19107033F78942AFAFE71739FA381559",1)</f>
        <v/>
      </c>
      <c r="L596" t="inlineStr">
        <is>
          <t>CPCX|43-2046</t>
        </is>
      </c>
      <c r="M596" t="inlineStr">
        <is>
          <t>Wiper Motor; Instruction Sheet</t>
        </is>
      </c>
      <c r="N596" t="inlineStr">
        <is>
          <t>Yes</t>
        </is>
      </c>
      <c r="O596" t="inlineStr">
        <is>
          <t>Remanufactured</t>
        </is>
      </c>
      <c r="P596" t="inlineStr">
        <is>
          <t>3</t>
        </is>
      </c>
      <c r="Q596" t="inlineStr">
        <is>
          <t>Blade</t>
        </is>
      </c>
      <c r="R596" t="inlineStr">
        <is>
          <t>Grommet</t>
        </is>
      </c>
      <c r="S596" t="inlineStr">
        <is>
          <t>2.5000</t>
        </is>
      </c>
      <c r="T596" t="inlineStr">
        <is>
          <t>No</t>
        </is>
      </c>
      <c r="U596" t="inlineStr">
        <is>
          <t>1 Year/18,000 Mile</t>
        </is>
      </c>
      <c r="V596" t="inlineStr">
        <is>
          <t>Yes</t>
        </is>
      </c>
      <c r="W596" t="inlineStr">
        <is>
          <t>Available to Order</t>
        </is>
      </c>
      <c r="X596" t="inlineStr">
        <is>
          <t>Lexus RX300 2003-99</t>
        </is>
      </c>
      <c r="Y596" t="inlineStr">
        <is>
          <t>00082617594929</t>
        </is>
      </c>
      <c r="Z596" t="inlineStr">
        <is>
          <t>43-2046::98264:118475:530</t>
        </is>
      </c>
      <c r="AA596" t="inlineStr">
        <is>
          <t>Yes</t>
        </is>
      </c>
      <c r="AB596" t="inlineStr"/>
      <c r="AC596" t="inlineStr"/>
    </row>
    <row r="597">
      <c r="A597" t="inlineStr">
        <is>
          <t>596</t>
        </is>
      </c>
      <c r="B597" t="inlineStr">
        <is>
          <t>Windshield Wiper Motor</t>
        </is>
      </c>
      <c r="C597" t="inlineStr">
        <is>
          <t>43-2047</t>
        </is>
      </c>
      <c r="D597" t="inlineStr">
        <is>
          <t>Windshield Wiper Motor - 43-2047</t>
        </is>
      </c>
      <c r="E597" t="inlineStr">
        <is>
          <t>CARDONE Reman</t>
        </is>
      </c>
      <c r="F597" t="inlineStr">
        <is>
          <t>8513042040</t>
        </is>
      </c>
      <c r="G597" t="inlineStr">
        <is>
          <t>Toyota RAV4 2001-2005</t>
        </is>
      </c>
      <c r="H597" t="inlineStr">
        <is>
          <t>Toyota RAV4 2001-2003
Toyota RAV4 2001-2003 2L L4 122cid
Toyota RAV4 2004-2005 2.4L L4 2362cc</t>
        </is>
      </c>
      <c r="I597" t="inlineStr">
        <is>
          <t>{"0": {"productDeskExternalKey": "CPCX|43-2047"}, "1": {"Package Contents": "Wiper Motor; Instruction Sheet"}, "2": {"E-Waste": "Yes"}, "3": {"Product Condition": "Remanufactured"}, "4": {"Mounting Hole Quantity": "3"}, "5": {"Terminal Type": "Blade"}, "6": {"Mounting Type": "Grommet"}, "7": {"Weight PG": "2.3700"}, "8": {"Washer Pump Included": "No"}, "9": {"Part Type": "Windshield Wiper Motor"}, "10": {"Warranty Info": "1 Year/18,000 Mile"}, "11": {"Sustainable Choice": "Yes"}, "12": {"Lifecycle Status": "Available to Order"}, "13": {"Application Summary": "Toyota RAV4 2005-01"}, "14": {"ItemLevelGTIN": "00082617594936"}, "15": {"_addonCardone": "43-2047::98264:118498:530"}, "16": {"Eligible for R&amp;R Service": "Yes"}}</t>
        </is>
      </c>
      <c r="J597" t="inlineStr">
        <is>
          <t>https://www.cardone.com/product/windshield-wiper-motor-43-2047</t>
        </is>
      </c>
      <c r="K597">
        <f>DISPIMG("ID_1BF37DF7308145469921AD6D8A381492",1)</f>
        <v/>
      </c>
      <c r="L597" t="inlineStr">
        <is>
          <t>CPCX|43-2047</t>
        </is>
      </c>
      <c r="M597" t="inlineStr">
        <is>
          <t>Wiper Motor; Instruction Sheet</t>
        </is>
      </c>
      <c r="N597" t="inlineStr">
        <is>
          <t>Yes</t>
        </is>
      </c>
      <c r="O597" t="inlineStr">
        <is>
          <t>Remanufactured</t>
        </is>
      </c>
      <c r="P597" t="inlineStr">
        <is>
          <t>3</t>
        </is>
      </c>
      <c r="Q597" t="inlineStr">
        <is>
          <t>Blade</t>
        </is>
      </c>
      <c r="R597" t="inlineStr">
        <is>
          <t>Grommet</t>
        </is>
      </c>
      <c r="S597" t="inlineStr">
        <is>
          <t>2.3700</t>
        </is>
      </c>
      <c r="T597" t="inlineStr">
        <is>
          <t>No</t>
        </is>
      </c>
      <c r="U597" t="inlineStr">
        <is>
          <t>1 Year/18,000 Mile</t>
        </is>
      </c>
      <c r="V597" t="inlineStr">
        <is>
          <t>Yes</t>
        </is>
      </c>
      <c r="W597" t="inlineStr">
        <is>
          <t>Available to Order</t>
        </is>
      </c>
      <c r="X597" t="inlineStr">
        <is>
          <t>Toyota RAV4 2005-01</t>
        </is>
      </c>
      <c r="Y597" t="inlineStr">
        <is>
          <t>00082617594936</t>
        </is>
      </c>
      <c r="Z597" t="inlineStr">
        <is>
          <t>43-2047::98264:118498:530</t>
        </is>
      </c>
      <c r="AA597" t="inlineStr">
        <is>
          <t>Yes</t>
        </is>
      </c>
      <c r="AB597" t="inlineStr"/>
      <c r="AC597" t="inlineStr"/>
    </row>
    <row r="598">
      <c r="A598" t="inlineStr">
        <is>
          <t>597</t>
        </is>
      </c>
      <c r="B598" t="inlineStr">
        <is>
          <t>Windshield Wiper Motor</t>
        </is>
      </c>
      <c r="C598" t="inlineStr">
        <is>
          <t>43-2048</t>
        </is>
      </c>
      <c r="D598" t="inlineStr">
        <is>
          <t>Windshield Wiper Motor - 43-2048</t>
        </is>
      </c>
      <c r="E598" t="inlineStr">
        <is>
          <t>CARDONE Reman</t>
        </is>
      </c>
      <c r="F598" t="inlineStr">
        <is>
          <t>8511032160</t>
        </is>
      </c>
      <c r="G598" t="inlineStr">
        <is>
          <t>Toyota Camry 1989-1991</t>
        </is>
      </c>
      <c r="H598" t="inlineStr">
        <is>
          <t>Toyota Camry 1989-1991 2.5L V6 2508cc
Toyota Camry 1989-1991 2L L4 122cid</t>
        </is>
      </c>
      <c r="I598" t="inlineStr">
        <is>
          <t>{"0": {"productDeskExternalKey": "CPCX|43-2048"}, "1": {"Package Contents": "Wiper Motor; Instruction Sheet"}, "2": {"E-Waste": "Yes"}, "3": {"Product Condition": "Remanufactured"}, "4": {"Mounting Hole Quantity": "3"}, "5": {"Terminal Type": "Pin"}, "6": {"Mounting Type": "Grommet"}, "7": {"Weight PG": "2.1400"}, "8": {"Washer Pump Included": "No"}, "9": {"Part Type": "Windshield Wiper Motor"}, "10": {"Warranty Info": "1 Year/18,000 Mile"}, "11": {"Sustainable Choice": "Yes"}, "12": {"Lifecycle Status": "Available to Order"}, "13": {"Application Summary": "Toyota Camry 1991-89"}, "14": {"ItemLevelGTIN": "00082617596749"}, "15": {"_addonCardone": "43-2048::98264:118512:530"}, "16": {"Eligible for R&amp;R Service": "Yes"}}</t>
        </is>
      </c>
      <c r="J598" t="inlineStr">
        <is>
          <t>https://www.cardone.com/product/windshield-wiper-motor-43-2048</t>
        </is>
      </c>
      <c r="K598">
        <f>DISPIMG("ID_EA1F634EABF14A6AB6CCEF89F928DA9A",1)</f>
        <v/>
      </c>
      <c r="L598" t="inlineStr">
        <is>
          <t>CPCX|43-2048</t>
        </is>
      </c>
      <c r="M598" t="inlineStr">
        <is>
          <t>Wiper Motor; Instruction Sheet</t>
        </is>
      </c>
      <c r="N598" t="inlineStr">
        <is>
          <t>Yes</t>
        </is>
      </c>
      <c r="O598" t="inlineStr">
        <is>
          <t>Remanufactured</t>
        </is>
      </c>
      <c r="P598" t="inlineStr">
        <is>
          <t>3</t>
        </is>
      </c>
      <c r="Q598" t="inlineStr">
        <is>
          <t>Pin</t>
        </is>
      </c>
      <c r="R598" t="inlineStr">
        <is>
          <t>Grommet</t>
        </is>
      </c>
      <c r="S598" t="inlineStr">
        <is>
          <t>2.1400</t>
        </is>
      </c>
      <c r="T598" t="inlineStr">
        <is>
          <t>No</t>
        </is>
      </c>
      <c r="U598" t="inlineStr">
        <is>
          <t>1 Year/18,000 Mile</t>
        </is>
      </c>
      <c r="V598" t="inlineStr">
        <is>
          <t>Yes</t>
        </is>
      </c>
      <c r="W598" t="inlineStr">
        <is>
          <t>Available to Order</t>
        </is>
      </c>
      <c r="X598" t="inlineStr">
        <is>
          <t>Toyota Camry 1991-89</t>
        </is>
      </c>
      <c r="Y598" t="inlineStr">
        <is>
          <t>00082617596749</t>
        </is>
      </c>
      <c r="Z598" t="inlineStr">
        <is>
          <t>43-2048::98264:118512:530</t>
        </is>
      </c>
      <c r="AA598" t="inlineStr">
        <is>
          <t>Yes</t>
        </is>
      </c>
      <c r="AB598" t="inlineStr"/>
      <c r="AC598" t="inlineStr"/>
    </row>
    <row r="599">
      <c r="A599" t="inlineStr">
        <is>
          <t>598</t>
        </is>
      </c>
      <c r="B599" t="inlineStr">
        <is>
          <t>Windshield Wiper Motor</t>
        </is>
      </c>
      <c r="C599" t="inlineStr">
        <is>
          <t>43-2049</t>
        </is>
      </c>
      <c r="D599" t="inlineStr">
        <is>
          <t>Windshield Wiper Motor - 43-2049</t>
        </is>
      </c>
      <c r="E599" t="inlineStr">
        <is>
          <t>CARDONE Reman</t>
        </is>
      </c>
      <c r="F599" t="inlineStr">
        <is>
          <t>88968828;8513012840;8513001020</t>
        </is>
      </c>
      <c r="G599" t="inlineStr">
        <is>
          <t>Pontiac Vibe 2003-2008
Toyota Matrix 2003-2008</t>
        </is>
      </c>
      <c r="H599" t="inlineStr">
        <is>
          <t>Pontiac Vibe 2003-2006 1.8L L4 1795cc
Pontiac Vibe 2003-2008 1.8L L4 1794cc
Toyota Matrix 2003-2006 1.8L L4 1795cc
Toyota Matrix 2003-2008 1.8L L4 1794cc</t>
        </is>
      </c>
      <c r="I599" t="inlineStr">
        <is>
          <t>{"0": {"productDeskExternalKey": "CPCX|43-2049"}, "1": {"Package Contents": "Wiper Motor; Instruction Sheet"}, "2": {"E-Waste": "Yes"}, "3": {"Product Condition": "Remanufactured"}, "4": {"Mounting Hole Quantity": "3"}, "5": {"Terminal Type": "Pin"}, "6": {"Mounting Type": "Direct Bolt"}, "7": {"Weight PG": "2.0000"}, "8": {"Washer Pump Included": "No"}, "9": {"Part Type": "Windshield Wiper Motor"}, "10": {"Warranty Info": "1 Year/18,000 Mile"}, "11": {"Sustainable Choice": "Yes"}, "12": {"Lifecycle Status": "Available to Order"}, "13": {"Application Summary": "Pontiac Vibe 2008-03; Toyota Matrix 2008-03"}, "14": {"ItemLevelGTIN": "00082617617925"}, "15": {"_addonCardone": "43-2049::98264:118537:530"}, "16": {"Eligible for R&amp;R Service": "Yes"}}</t>
        </is>
      </c>
      <c r="J599" t="inlineStr">
        <is>
          <t>https://www.cardone.com/product/windshield-wiper-motor-43-2049</t>
        </is>
      </c>
      <c r="K599">
        <f>DISPIMG("ID_7F076126403D46E3B300D1913B341864",1)</f>
        <v/>
      </c>
      <c r="L599" t="inlineStr">
        <is>
          <t>CPCX|43-2049</t>
        </is>
      </c>
      <c r="M599" t="inlineStr">
        <is>
          <t>Wiper Motor; Instruction Sheet</t>
        </is>
      </c>
      <c r="N599" t="inlineStr">
        <is>
          <t>Yes</t>
        </is>
      </c>
      <c r="O599" t="inlineStr">
        <is>
          <t>Remanufactured</t>
        </is>
      </c>
      <c r="P599" t="inlineStr">
        <is>
          <t>3</t>
        </is>
      </c>
      <c r="Q599" t="inlineStr">
        <is>
          <t>Pin</t>
        </is>
      </c>
      <c r="R599" t="inlineStr">
        <is>
          <t>Direct Bolt</t>
        </is>
      </c>
      <c r="S599" t="inlineStr">
        <is>
          <t>2.0000</t>
        </is>
      </c>
      <c r="T599" t="inlineStr">
        <is>
          <t>No</t>
        </is>
      </c>
      <c r="U599" t="inlineStr">
        <is>
          <t>1 Year/18,000 Mile</t>
        </is>
      </c>
      <c r="V599" t="inlineStr">
        <is>
          <t>Yes</t>
        </is>
      </c>
      <c r="W599" t="inlineStr">
        <is>
          <t>Available to Order</t>
        </is>
      </c>
      <c r="X599" t="inlineStr">
        <is>
          <t>Pontiac Vibe 2008-03; Toyota Matrix 2008-03</t>
        </is>
      </c>
      <c r="Y599" t="inlineStr">
        <is>
          <t>00082617617925</t>
        </is>
      </c>
      <c r="Z599" t="inlineStr">
        <is>
          <t>43-2049::98264:118537:530</t>
        </is>
      </c>
      <c r="AA599" t="inlineStr">
        <is>
          <t>Yes</t>
        </is>
      </c>
      <c r="AB599" t="inlineStr"/>
      <c r="AC599" t="inlineStr"/>
    </row>
    <row r="600">
      <c r="A600" t="inlineStr">
        <is>
          <t>599</t>
        </is>
      </c>
      <c r="B600" t="inlineStr">
        <is>
          <t>Windshield Wiper Motor</t>
        </is>
      </c>
      <c r="C600" t="inlineStr">
        <is>
          <t>43-2050</t>
        </is>
      </c>
      <c r="D600" t="inlineStr">
        <is>
          <t>Windshield Wiper Motor - 43-2050</t>
        </is>
      </c>
      <c r="E600" t="inlineStr">
        <is>
          <t>CARDONE Reman</t>
        </is>
      </c>
      <c r="F600" t="inlineStr">
        <is>
          <t>8511035290;8511060360;8511002110;8511035300;8511048070</t>
        </is>
      </c>
      <c r="G600" t="inlineStr">
        <is>
          <t>Lexus GX470 2003-2009
Pontiac Vibe 2003-2008
Scion xA 2004-2006
Toyota 4Runner 2003-2009
Toyota Corolla 2003-2008
Toyota Highlander 2001-2008
Toyota Matrix 2003-2008</t>
        </is>
      </c>
      <c r="H600" t="inlineStr">
        <is>
          <t>Lexus GX470 2003-2009 4.7L V8 285cid
Pontiac Vibe 2003-2006 1.8L L4 1795cc
Pontiac Vibe 2003-2008 1.8L L4 1794cc
Scion xA 2004-2006 1.5L L4 1497cc
Toyota 4Runner 2003-2009 4.7L V8 285cid
Toyota 4Runner 2003-2009 4L V6 241cid
Toyota Corolla 2003-2008 1.8L L4 1794cc
Toyota Corolla 2005-2006 1.8L L4 1795cc
Toyota Highlander 2001-2003 3L V6 2995cc
Toyota Highlander 2001-2007 2.4L L4 2362cc
Toyota Highlander 2004 3.3L V6 3300cc
Toyota Highlander 2005-2008 3.3L V6 202cid
Toyota Matrix 2003-2006 1.8L L4 1795cc
Toyota Matrix 2003-2008 1.8L L4 1794cc</t>
        </is>
      </c>
      <c r="I600" t="inlineStr">
        <is>
          <t>{"0": {"productDeskExternalKey": "CPCX|43-2050"},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"Lexus GX470 2009-03; Pontiac Vibe 2008-03; Scion xA 2006-04; Toyota 4Runner 2009-03, Corolla 2008-03, Highlander 2008-01, Matrix 2008-03"}, "14": {"ItemLevelGTIN": "00082617617932"}, "15": {"_addonCardone": "43-2050::98264:118570:530"}, "16": {"Eligible for R&amp;R Service": "Yes"}}</t>
        </is>
      </c>
      <c r="J600" t="inlineStr">
        <is>
          <t>https://www.cardone.com/product/windshield-wiper-motor-43-2050</t>
        </is>
      </c>
      <c r="K600">
        <f>DISPIMG("ID_6F2F033646434DD486735D5DBFAEBEEA",1)</f>
        <v/>
      </c>
      <c r="L600" t="inlineStr">
        <is>
          <t>CPCX|43-2050</t>
        </is>
      </c>
      <c r="M600" t="inlineStr">
        <is>
          <t>Wiper Motor; Instruction Sheet</t>
        </is>
      </c>
      <c r="N600" t="inlineStr">
        <is>
          <t>Yes</t>
        </is>
      </c>
      <c r="O600" t="inlineStr">
        <is>
          <t>Remanufactured</t>
        </is>
      </c>
      <c r="P600" t="inlineStr">
        <is>
          <t>3</t>
        </is>
      </c>
      <c r="Q600" t="inlineStr">
        <is>
          <t>Blade</t>
        </is>
      </c>
      <c r="R600" t="inlineStr">
        <is>
          <t>Direct Bolt</t>
        </is>
      </c>
      <c r="S600" t="inlineStr">
        <is>
          <t>3.5000</t>
        </is>
      </c>
      <c r="T600" t="inlineStr">
        <is>
          <t>No</t>
        </is>
      </c>
      <c r="U600" t="inlineStr">
        <is>
          <t>1 Year/18,000 Mile</t>
        </is>
      </c>
      <c r="V600" t="inlineStr">
        <is>
          <t>Yes</t>
        </is>
      </c>
      <c r="W600" t="inlineStr">
        <is>
          <t>Available to Order</t>
        </is>
      </c>
      <c r="X600" t="inlineStr">
        <is>
          <t>Lexus GX470 2009-03; Pontiac Vibe 2008-03; Scion xA 2006-04; Toyota 4Runner 2009-03, Corolla 2008-03, Highlander 2008-01, Matrix 2008-03</t>
        </is>
      </c>
      <c r="Y600" t="inlineStr">
        <is>
          <t>00082617617932</t>
        </is>
      </c>
      <c r="Z600" t="inlineStr">
        <is>
          <t>43-2050::98264:118570:530</t>
        </is>
      </c>
      <c r="AA600" t="inlineStr">
        <is>
          <t>Yes</t>
        </is>
      </c>
      <c r="AB600" t="inlineStr"/>
      <c r="AC600" t="inlineStr"/>
    </row>
    <row r="601">
      <c r="A601" t="inlineStr">
        <is>
          <t>600</t>
        </is>
      </c>
      <c r="B601" t="inlineStr">
        <is>
          <t>Windshield Wiper Motor</t>
        </is>
      </c>
      <c r="C601" t="inlineStr">
        <is>
          <t>43-2051</t>
        </is>
      </c>
      <c r="D601" t="inlineStr">
        <is>
          <t>Windshield Wiper Motor - 43-2051</t>
        </is>
      </c>
      <c r="E601" t="inlineStr">
        <is>
          <t>CARDONE Reman</t>
        </is>
      </c>
      <c r="F601" t="inlineStr">
        <is>
          <t>8513035080</t>
        </is>
      </c>
      <c r="G601" t="inlineStr">
        <is>
          <t>Toyota 4Runner 2003-2009</t>
        </is>
      </c>
      <c r="H601" t="inlineStr">
        <is>
          <t>Toyota 4Runner 2003-2009 4.7L V8 285cid
Toyota 4Runner 2003-2009 4L V6 241cid</t>
        </is>
      </c>
      <c r="I601" t="inlineStr">
        <is>
          <t>{"0": {"productDeskExternalKey": "CPCX|43-2051"},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"Toyota 4Runner 2009-03"}, "14": {"ItemLevelGTIN": "00082617671293"}, "15": {"_addonCardone": "43-2051::98264:118595:530"}, "16": {"Eligible for R&amp;R Service": "Yes"}}</t>
        </is>
      </c>
      <c r="J601" t="inlineStr">
        <is>
          <t>https://www.cardone.com/product/windshield-wiper-motor-43-2051</t>
        </is>
      </c>
      <c r="K601">
        <f>DISPIMG("ID_6CC8B844C2BE4D61B5C08A5776F940E2",1)</f>
        <v/>
      </c>
      <c r="L601" t="inlineStr">
        <is>
          <t>CPCX|43-2051</t>
        </is>
      </c>
      <c r="M601" t="inlineStr">
        <is>
          <t>Wiper Motor; Instruction Sheet</t>
        </is>
      </c>
      <c r="N601" t="inlineStr">
        <is>
          <t>Yes</t>
        </is>
      </c>
      <c r="O601" t="inlineStr">
        <is>
          <t>Remanufactured</t>
        </is>
      </c>
      <c r="P601" t="inlineStr">
        <is>
          <t>3</t>
        </is>
      </c>
      <c r="Q601" t="inlineStr">
        <is>
          <t>Blade</t>
        </is>
      </c>
      <c r="R601" t="inlineStr">
        <is>
          <t>Grommet</t>
        </is>
      </c>
      <c r="S601" t="inlineStr">
        <is>
          <t>2.5000</t>
        </is>
      </c>
      <c r="T601" t="inlineStr">
        <is>
          <t>No</t>
        </is>
      </c>
      <c r="U601" t="inlineStr">
        <is>
          <t>1 Year/18,000 Mile</t>
        </is>
      </c>
      <c r="V601" t="inlineStr">
        <is>
          <t>Yes</t>
        </is>
      </c>
      <c r="W601" t="inlineStr">
        <is>
          <t>Available to Order</t>
        </is>
      </c>
      <c r="X601" t="inlineStr">
        <is>
          <t>Toyota 4Runner 2009-03</t>
        </is>
      </c>
      <c r="Y601" t="inlineStr">
        <is>
          <t>00082617671293</t>
        </is>
      </c>
      <c r="Z601" t="inlineStr">
        <is>
          <t>43-2051::98264:118595:530</t>
        </is>
      </c>
      <c r="AA601" t="inlineStr">
        <is>
          <t>Yes</t>
        </is>
      </c>
      <c r="AB601" t="inlineStr"/>
      <c r="AC601" t="inlineStr"/>
    </row>
    <row r="602">
      <c r="A602" t="inlineStr">
        <is>
          <t>601</t>
        </is>
      </c>
      <c r="B602" t="inlineStr">
        <is>
          <t>Windshield Wiper Motor</t>
        </is>
      </c>
      <c r="C602" t="inlineStr">
        <is>
          <t>43-2052</t>
        </is>
      </c>
      <c r="D602" t="inlineStr">
        <is>
          <t>Windshield Wiper Motor - 43-2052</t>
        </is>
      </c>
      <c r="E602" t="inlineStr">
        <is>
          <t>CARDONE Reman</t>
        </is>
      </c>
      <c r="F602" t="inlineStr">
        <is>
          <t>3881054G00</t>
        </is>
      </c>
      <c r="G602" t="inlineStr">
        <is>
          <t>Suzuki Aerio 2002-2005</t>
        </is>
      </c>
      <c r="H602" t="inlineStr">
        <is>
          <t>Suzuki Aerio 2002-2003 2L L4 2000cc
Suzuki Aerio 2004-2005 2.3L L4 140cid</t>
        </is>
      </c>
      <c r="I602" t="inlineStr">
        <is>
          <t>{"0": {"productDeskExternalKey": "CPCX|43-2052"},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"Suzuki Aerio 2005-02"}, "14": {"ItemLevelGTIN": "00082617639330"}, "15": {"_addonCardone": "43-2052::98264:118618:530"}, "16": {"Eligible for R&amp;R Service": "Yes"}}</t>
        </is>
      </c>
      <c r="J602" t="inlineStr">
        <is>
          <t>https://www.cardone.com/product/windshield-wiper-motor-43-2052</t>
        </is>
      </c>
      <c r="K602">
        <f>DISPIMG("ID_751E243754A74795ABFFEDEB232FC11D",1)</f>
        <v/>
      </c>
      <c r="L602" t="inlineStr">
        <is>
          <t>CPCX|43-2052</t>
        </is>
      </c>
      <c r="M602" t="inlineStr">
        <is>
          <t>Wiper Motor; Instruction Sheet</t>
        </is>
      </c>
      <c r="N602" t="inlineStr">
        <is>
          <t>Yes</t>
        </is>
      </c>
      <c r="O602" t="inlineStr">
        <is>
          <t>Remanufactured</t>
        </is>
      </c>
      <c r="P602" t="inlineStr">
        <is>
          <t>3</t>
        </is>
      </c>
      <c r="Q602" t="inlineStr">
        <is>
          <t>Blade</t>
        </is>
      </c>
      <c r="R602" t="inlineStr">
        <is>
          <t>Grommet</t>
        </is>
      </c>
      <c r="S602" t="inlineStr">
        <is>
          <t>2.5000</t>
        </is>
      </c>
      <c r="T602" t="inlineStr">
        <is>
          <t>No</t>
        </is>
      </c>
      <c r="U602" t="inlineStr">
        <is>
          <t>1 Year/18,000 Mile</t>
        </is>
      </c>
      <c r="V602" t="inlineStr">
        <is>
          <t>Yes</t>
        </is>
      </c>
      <c r="W602" t="inlineStr">
        <is>
          <t>Available to Order</t>
        </is>
      </c>
      <c r="X602" t="inlineStr">
        <is>
          <t>Suzuki Aerio 2005-02</t>
        </is>
      </c>
      <c r="Y602" t="inlineStr">
        <is>
          <t>00082617639330</t>
        </is>
      </c>
      <c r="Z602" t="inlineStr">
        <is>
          <t>43-2052::98264:118618:530</t>
        </is>
      </c>
      <c r="AA602" t="inlineStr">
        <is>
          <t>Yes</t>
        </is>
      </c>
      <c r="AB602" t="inlineStr"/>
      <c r="AC602" t="inlineStr"/>
    </row>
    <row r="603">
      <c r="A603" t="inlineStr">
        <is>
          <t>602</t>
        </is>
      </c>
      <c r="B603" t="inlineStr">
        <is>
          <t>Windshield Wiper Motor</t>
        </is>
      </c>
      <c r="C603" t="inlineStr">
        <is>
          <t>43-2053</t>
        </is>
      </c>
      <c r="D603" t="inlineStr">
        <is>
          <t>Windshield Wiper Motor - 43-2053</t>
        </is>
      </c>
      <c r="E603" t="inlineStr">
        <is>
          <t>CARDONE Reman</t>
        </is>
      </c>
      <c r="F603" t="inlineStr">
        <is>
          <t>8511016650</t>
        </is>
      </c>
      <c r="G603" t="inlineStr">
        <is>
          <t>Toyota Paseo 1998
Toyota Tercel 1997-1999</t>
        </is>
      </c>
      <c r="H603" t="inlineStr">
        <is>
          <t>Toyota Paseo 1998 1.5L L4 1497cc
Toyota Tercel 1997-1999 1.5L L4 1497cc</t>
        </is>
      </c>
      <c r="I603" t="inlineStr">
        <is>
          <t>{"0": {"productDeskExternalKey": "CPCX|43-2053"}, "1": {"Package Contents": "Wiper Motor; Instruction Sheet"}, "2": {"E-Waste": "Yes"}, "3": {"Product Condition": "Remanufactured"}, "4": {"Mounting Hole Quantity": "4"}, "5": {"Terminal Type": "Blade"}, "6": {"Mounting Type": "Grommet"}, "7": {"Weight PG": "3.0000"}, "8": {"Washer Pump Included": "No"}, "9": {"Part Type": "Windshield Wiper Motor"}, "10": {"Warranty Info": "1 Year/18,000 Mile"}, "11": {"Sustainable Choice": "Yes"}, "12": {"Lifecycle Status": "Available to Order"}, "13": {"Application Summary": "Toyota Paseo 1998, Tercel 1999-97"}, "14": {"ItemLevelGTIN": "00082617751292"}, "15": {"_addonCardone": "43-2053::98264:118639:530"}, "16": {"Eligible for R&amp;R Service": "Yes"}}</t>
        </is>
      </c>
      <c r="J603" t="inlineStr">
        <is>
          <t>https://www.cardone.com/product/windshield-wiper-motor-43-2053</t>
        </is>
      </c>
      <c r="K603">
        <f>DISPIMG("ID_9F05C4EB88314FA39510A86BC85C614E",1)</f>
        <v/>
      </c>
      <c r="L603" t="inlineStr">
        <is>
          <t>CPCX|43-2053</t>
        </is>
      </c>
      <c r="M603" t="inlineStr">
        <is>
          <t>Wiper Motor; Instruction Sheet</t>
        </is>
      </c>
      <c r="N603" t="inlineStr">
        <is>
          <t>Yes</t>
        </is>
      </c>
      <c r="O603" t="inlineStr">
        <is>
          <t>Remanufactured</t>
        </is>
      </c>
      <c r="P603" t="inlineStr">
        <is>
          <t>4</t>
        </is>
      </c>
      <c r="Q603" t="inlineStr">
        <is>
          <t>Blade</t>
        </is>
      </c>
      <c r="R603" t="inlineStr">
        <is>
          <t>Grommet</t>
        </is>
      </c>
      <c r="S603" t="inlineStr">
        <is>
          <t>3.0000</t>
        </is>
      </c>
      <c r="T603" t="inlineStr">
        <is>
          <t>No</t>
        </is>
      </c>
      <c r="U603" t="inlineStr">
        <is>
          <t>1 Year/18,000 Mile</t>
        </is>
      </c>
      <c r="V603" t="inlineStr">
        <is>
          <t>Yes</t>
        </is>
      </c>
      <c r="W603" t="inlineStr">
        <is>
          <t>Available to Order</t>
        </is>
      </c>
      <c r="X603" t="inlineStr">
        <is>
          <t>Toyota Paseo 1998, Tercel 1999-97</t>
        </is>
      </c>
      <c r="Y603" t="inlineStr">
        <is>
          <t>00082617751292</t>
        </is>
      </c>
      <c r="Z603" t="inlineStr">
        <is>
          <t>43-2053::98264:118639:530</t>
        </is>
      </c>
      <c r="AA603" t="inlineStr">
        <is>
          <t>Yes</t>
        </is>
      </c>
      <c r="AB603" t="inlineStr"/>
      <c r="AC603" t="inlineStr"/>
    </row>
    <row r="604">
      <c r="A604" t="inlineStr">
        <is>
          <t>603</t>
        </is>
      </c>
      <c r="B604" t="inlineStr">
        <is>
          <t>Windshield Wiper Motor</t>
        </is>
      </c>
      <c r="C604" t="inlineStr">
        <is>
          <t>43-2054</t>
        </is>
      </c>
      <c r="D604" t="inlineStr">
        <is>
          <t>Windshield Wiper Motor - 43-2054</t>
        </is>
      </c>
      <c r="E604" t="inlineStr">
        <is>
          <t>CARDONE Reman</t>
        </is>
      </c>
      <c r="F604" t="inlineStr">
        <is>
          <t>8511060390;8511060400;CC2967340A;GS3L67340;86510SC010;CC3867340A;8511053040;8511060430;8511026210;851100K060;8511035310;CC2967340B;8511004040</t>
        </is>
      </c>
      <c r="G604" t="inlineStr">
        <is>
          <t>Chevrolet Silverado 1500 2019-2022
Chevrolet Silverado 2500 HD 2020-2022
Chevrolet Silverado 3500 HD 2020-2022
GMC Sierra 1500 2019-2022
GMC Sierra 2500 HD 2020-2022
GMC Sierra 3500 HD 2020-2022
Lexus GX460 2010-2021
Lexus IS F 2008-2014
Lexus IS250 2006-2015
Lexus IS350 2006-2015
Lexus LX570 2008-2021
Scion xB 2008-2015
Subaru Forester 2008-2013
Toyota 4Runner 2010-2022
Toyota FJ Cruiser 2007-2014
Toyota Land Cruiser 2008-2021
Toyota Sienna 2011-2015
Toyota Tacoma 2005-2016</t>
        </is>
      </c>
      <c r="H604" t="inlineStr">
        <is>
          <t>Chevrolet Silverado 1500 2019-2021 4.3L V6 262cid
Chevrolet Silverado 1500 2019-2022 2.7L L4 166cid
Chevrolet Silverado 1500 2019-2022 5.3L V8 325cid
Chevrolet Silverado 1500 2019-2022 6.2L V8 376cid
Chevrolet Silverado 1500 2020-2022 3L L6 183cid
Chevrolet Silverado 2500 HD 2020-2022 6.6L V8 401cid
Chevrolet Silverado 2500 HD 2020-2022 6.6L V8 403cid
Chevrolet Silverado 3500 HD 2020-2022 6.6L V8 401cid
Chevrolet Silverado 3500 HD 2020-2022 6.6L V8 403cid
GMC Sierra 1500 2019-2021 4.3L V6 262cid
GMC Sierra 1500 2019-2022 2.7L L4 166cid
GMC Sierra 1500 2019-2022 5.3L V8 325cid
GMC Sierra 1500 2019-2022 6.2L V8 376cid
GMC Sierra 1500 2020-2022 3L L6 183cid
GMC Sierra 2500 HD 2020-2022 6.6L V8 401cid
GMC Sierra 2500 HD 2020-2022 6.6L V8 403cid
GMC Sierra 3500 HD 2020-2022 6.6L V8 401cid
GMC Sierra 3500 HD 2020-2022 6.6L V8 403cid
Lexus GX460 2010-2021 4.6L V8 4608cc
Lexus IS F 2008-2014 5L V8 303cid
Lexus IS250 2006-2015 2.5L V6 2499cc
Lexus IS350 2006-2015 3.5L V6 3456cc
Lexus LX570 2008-2021 5.7L V8 345cid
Scion xB 2008-2015 2.4L L4 2362cc
Subaru Forester 2008-2013 2.5L H4 2458cc
Subaru Forester 2011-2013 2.5L H4 152cid
Toyota 4Runner 2010 2.7L L4 2694cc
Toyota 4Runner 2010-2022 4L V6 241cid
Toyota FJ Cruiser 2007-2014 4L V6 241cid
Toyota Land Cruiser 2008-2021 5.7L V8 345cid
Toyota Sienna 2011-2013 2.7L L4 163cid
Toyota Sienna 2011-2015 3.5L V6 3456cc
Toyota Tacoma 2005-2015 4L V6 241cid
Toyota Tacoma 2005-2016 2.7L L4 2694cc
Toyota Tacoma 2016 3.5L V6 3456cc</t>
        </is>
      </c>
      <c r="I604" t="inlineStr">
        <is>
          <t>{"0": {"productDeskExternalKey": "CPCX|43-2054"},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{"ItemLevelGTIN": "00082617755559"}, "14": {"_addonCardone": "43-2054::98264:118664:530"}, "15": {"Eligible for R&amp;R Service": "Yes"}}</t>
        </is>
      </c>
      <c r="J604" t="inlineStr">
        <is>
          <t>https://www.cardone.com/product/windshield-wiper-motor-43-2054</t>
        </is>
      </c>
      <c r="K604">
        <f>DISPIMG("ID_BFAE63547D034561BD082F6B25F858F6",1)</f>
        <v/>
      </c>
      <c r="L604" t="inlineStr">
        <is>
          <t>CPCX|43-2054</t>
        </is>
      </c>
      <c r="M604" t="inlineStr">
        <is>
          <t>Wiper Motor; Instruction Sheet</t>
        </is>
      </c>
      <c r="N604" t="inlineStr">
        <is>
          <t>Yes</t>
        </is>
      </c>
      <c r="O604" t="inlineStr">
        <is>
          <t>Remanufactured</t>
        </is>
      </c>
      <c r="P604" t="inlineStr">
        <is>
          <t>3</t>
        </is>
      </c>
      <c r="Q604" t="inlineStr">
        <is>
          <t>Blade</t>
        </is>
      </c>
      <c r="R604" t="inlineStr">
        <is>
          <t>Direct Bolt</t>
        </is>
      </c>
      <c r="S604" t="inlineStr">
        <is>
          <t>2.5000</t>
        </is>
      </c>
      <c r="T604" t="inlineStr">
        <is>
          <t>No</t>
        </is>
      </c>
      <c r="U604" t="inlineStr">
        <is>
          <t>1 Year/18,000 Mile</t>
        </is>
      </c>
      <c r="V604" t="inlineStr">
        <is>
          <t>Yes</t>
        </is>
      </c>
      <c r="W604" t="inlineStr">
        <is>
          <t>Available to Order</t>
        </is>
      </c>
      <c r="X604" t="inlineStr"/>
      <c r="Y604" t="inlineStr">
        <is>
          <t>00082617755559</t>
        </is>
      </c>
      <c r="Z604" t="inlineStr">
        <is>
          <t>43-2054::98264:118664:530</t>
        </is>
      </c>
      <c r="AA604" t="inlineStr">
        <is>
          <t>Yes</t>
        </is>
      </c>
      <c r="AB604" t="inlineStr"/>
      <c r="AC604" t="inlineStr"/>
    </row>
    <row r="605">
      <c r="A605" t="inlineStr">
        <is>
          <t>604</t>
        </is>
      </c>
      <c r="B605" t="inlineStr">
        <is>
          <t>Windshield Wiper Motor</t>
        </is>
      </c>
      <c r="C605" t="inlineStr">
        <is>
          <t>43-2055</t>
        </is>
      </c>
      <c r="D605" t="inlineStr">
        <is>
          <t>Windshield Wiper Motor - 43-2055</t>
        </is>
      </c>
      <c r="E605" t="inlineStr">
        <is>
          <t>CARDONE Reman</t>
        </is>
      </c>
      <c r="F605" t="inlineStr">
        <is>
          <t>8511021080</t>
        </is>
      </c>
      <c r="G605" t="inlineStr">
        <is>
          <t>Scion tC 2005-2010</t>
        </is>
      </c>
      <c r="H605" t="inlineStr">
        <is>
          <t>Scion tC 2005-2010 2.4L L4 2362cc</t>
        </is>
      </c>
      <c r="I605" t="inlineStr">
        <is>
          <t>{"0": {"productDeskExternalKey": "CPCX|43-2055"},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"Scion tC 2010-05"}, "14": {"ItemLevelGTIN": "00082617755689"}, "15": {"_addonCardone": "43-2055::98264:118686:530"}, "16": {"Eligible for R&amp;R Service": "Yes"}}</t>
        </is>
      </c>
      <c r="J605" t="inlineStr">
        <is>
          <t>https://www.cardone.com/product/windshield-wiper-motor-43-2055</t>
        </is>
      </c>
      <c r="K605">
        <f>DISPIMG("ID_A9FBCD9D20B94ECC9F5AE48383B1A2A6",1)</f>
        <v/>
      </c>
      <c r="L605" t="inlineStr">
        <is>
          <t>CPCX|43-2055</t>
        </is>
      </c>
      <c r="M605" t="inlineStr">
        <is>
          <t>Wiper Motor; Instruction Sheet</t>
        </is>
      </c>
      <c r="N605" t="inlineStr">
        <is>
          <t>Yes</t>
        </is>
      </c>
      <c r="O605" t="inlineStr">
        <is>
          <t>Remanufactured</t>
        </is>
      </c>
      <c r="P605" t="inlineStr">
        <is>
          <t>3</t>
        </is>
      </c>
      <c r="Q605" t="inlineStr">
        <is>
          <t>Blade</t>
        </is>
      </c>
      <c r="R605" t="inlineStr">
        <is>
          <t>Direct Bolt</t>
        </is>
      </c>
      <c r="S605" t="inlineStr">
        <is>
          <t>3.5000</t>
        </is>
      </c>
      <c r="T605" t="inlineStr">
        <is>
          <t>No</t>
        </is>
      </c>
      <c r="U605" t="inlineStr">
        <is>
          <t>1 Year/18,000 Mile</t>
        </is>
      </c>
      <c r="V605" t="inlineStr">
        <is>
          <t>Yes</t>
        </is>
      </c>
      <c r="W605" t="inlineStr">
        <is>
          <t>Available to Order</t>
        </is>
      </c>
      <c r="X605" t="inlineStr">
        <is>
          <t>Scion tC 2010-05</t>
        </is>
      </c>
      <c r="Y605" t="inlineStr">
        <is>
          <t>00082617755689</t>
        </is>
      </c>
      <c r="Z605" t="inlineStr">
        <is>
          <t>43-2055::98264:118686:530</t>
        </is>
      </c>
      <c r="AA605" t="inlineStr">
        <is>
          <t>Yes</t>
        </is>
      </c>
      <c r="AB605" t="inlineStr"/>
      <c r="AC605" t="inlineStr"/>
    </row>
    <row r="606">
      <c r="A606" t="inlineStr">
        <is>
          <t>605</t>
        </is>
      </c>
      <c r="B606" t="inlineStr">
        <is>
          <t>Windshield Wiper Motor</t>
        </is>
      </c>
      <c r="C606" t="inlineStr">
        <is>
          <t>43-2056</t>
        </is>
      </c>
      <c r="D606" t="inlineStr">
        <is>
          <t>Windshield Wiper Motor - 43-2056</t>
        </is>
      </c>
      <c r="E606" t="inlineStr">
        <is>
          <t>CARDONE Reman</t>
        </is>
      </c>
      <c r="F606" t="inlineStr">
        <is>
          <t>8511047030</t>
        </is>
      </c>
      <c r="G606" t="inlineStr">
        <is>
          <t>Toyota Prius 2001-2003</t>
        </is>
      </c>
      <c r="H606" t="inlineStr">
        <is>
          <t>Toyota Prius 2001-2003 1.5L L4 1497cc</t>
        </is>
      </c>
      <c r="I606" t="inlineStr">
        <is>
          <t>{"0": {"productDeskExternalKey": "CPCX|43-2056"},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"Toyota Prius 2003-01"}, "14": {"ItemLevelGTIN": "00082617755702"}, "15": {"_addonCardone": "43-2056::98264:118714:530"}, "16": {"Eligible for R&amp;R Service": "Yes"}}</t>
        </is>
      </c>
      <c r="J606" t="inlineStr">
        <is>
          <t>https://www.cardone.com/product/windshield-wiper-motor-43-2056</t>
        </is>
      </c>
      <c r="K606">
        <f>DISPIMG("ID_A284CFDE9D4E473A8DFAF48E54337E8A",1)</f>
        <v/>
      </c>
      <c r="L606" t="inlineStr">
        <is>
          <t>CPCX|43-2056</t>
        </is>
      </c>
      <c r="M606" t="inlineStr">
        <is>
          <t>Wiper Motor; Instruction Sheet</t>
        </is>
      </c>
      <c r="N606" t="inlineStr">
        <is>
          <t>Yes</t>
        </is>
      </c>
      <c r="O606" t="inlineStr">
        <is>
          <t>Remanufactured</t>
        </is>
      </c>
      <c r="P606" t="inlineStr">
        <is>
          <t>3</t>
        </is>
      </c>
      <c r="Q606" t="inlineStr">
        <is>
          <t>Blade</t>
        </is>
      </c>
      <c r="R606" t="inlineStr">
        <is>
          <t>Direct Bolt</t>
        </is>
      </c>
      <c r="S606" t="inlineStr">
        <is>
          <t>3.0000</t>
        </is>
      </c>
      <c r="T606" t="inlineStr">
        <is>
          <t>No</t>
        </is>
      </c>
      <c r="U606" t="inlineStr">
        <is>
          <t>1 Year/18,000 Mile</t>
        </is>
      </c>
      <c r="V606" t="inlineStr">
        <is>
          <t>Yes</t>
        </is>
      </c>
      <c r="W606" t="inlineStr">
        <is>
          <t>Available to Order</t>
        </is>
      </c>
      <c r="X606" t="inlineStr">
        <is>
          <t>Toyota Prius 2003-01</t>
        </is>
      </c>
      <c r="Y606" t="inlineStr">
        <is>
          <t>00082617755702</t>
        </is>
      </c>
      <c r="Z606" t="inlineStr">
        <is>
          <t>43-2056::98264:118714:530</t>
        </is>
      </c>
      <c r="AA606" t="inlineStr">
        <is>
          <t>Yes</t>
        </is>
      </c>
      <c r="AB606" t="inlineStr"/>
      <c r="AC606" t="inlineStr"/>
    </row>
    <row r="607">
      <c r="A607" t="inlineStr">
        <is>
          <t>606</t>
        </is>
      </c>
      <c r="B607" t="inlineStr">
        <is>
          <t>Windshield Wiper Motor</t>
        </is>
      </c>
      <c r="C607" t="inlineStr">
        <is>
          <t>43-2057</t>
        </is>
      </c>
      <c r="D607" t="inlineStr">
        <is>
          <t>Windshield Wiper Motor - 43-2057</t>
        </is>
      </c>
      <c r="E607" t="inlineStr">
        <is>
          <t>CARDONE Reman</t>
        </is>
      </c>
      <c r="F607" t="inlineStr">
        <is>
          <t>8713052010;8513052010</t>
        </is>
      </c>
      <c r="G607" t="inlineStr">
        <is>
          <t>Toyota Echo 2004-2005</t>
        </is>
      </c>
      <c r="H607" t="inlineStr">
        <is>
          <t>Toyota Echo 2004-2005 1.5L L4 1497cc</t>
        </is>
      </c>
      <c r="I607" t="inlineStr">
        <is>
          <t>{"0": {"productDeskExternalKey": "CPCX|43-2057"},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"Toyota Echo 2005-04"}, "14": {"ItemLevelGTIN": "00082617755832"}, "15": {"_addonCardone": "43-2057::98264:118739:530"}, "16": {"Eligible for R&amp;R Service": "Yes"}}</t>
        </is>
      </c>
      <c r="J607" t="inlineStr">
        <is>
          <t>https://www.cardone.com/product/windshield-wiper-motor-43-2057</t>
        </is>
      </c>
      <c r="K607">
        <f>DISPIMG("ID_15383611F44D49AEA035BAD3C1AE39FC",1)</f>
        <v/>
      </c>
      <c r="L607" t="inlineStr">
        <is>
          <t>CPCX|43-2057</t>
        </is>
      </c>
      <c r="M607" t="inlineStr">
        <is>
          <t>Wiper Motor; Instruction Sheet</t>
        </is>
      </c>
      <c r="N607" t="inlineStr">
        <is>
          <t>Yes</t>
        </is>
      </c>
      <c r="O607" t="inlineStr">
        <is>
          <t>Remanufactured</t>
        </is>
      </c>
      <c r="P607" t="inlineStr">
        <is>
          <t>3</t>
        </is>
      </c>
      <c r="Q607" t="inlineStr">
        <is>
          <t>Blade</t>
        </is>
      </c>
      <c r="R607" t="inlineStr">
        <is>
          <t>Grommet</t>
        </is>
      </c>
      <c r="S607" t="inlineStr">
        <is>
          <t>2.5000</t>
        </is>
      </c>
      <c r="T607" t="inlineStr">
        <is>
          <t>No</t>
        </is>
      </c>
      <c r="U607" t="inlineStr">
        <is>
          <t>1 Year/18,000 Mile</t>
        </is>
      </c>
      <c r="V607" t="inlineStr">
        <is>
          <t>Yes</t>
        </is>
      </c>
      <c r="W607" t="inlineStr">
        <is>
          <t>Available to Order</t>
        </is>
      </c>
      <c r="X607" t="inlineStr">
        <is>
          <t>Toyota Echo 2005-04</t>
        </is>
      </c>
      <c r="Y607" t="inlineStr">
        <is>
          <t>00082617755832</t>
        </is>
      </c>
      <c r="Z607" t="inlineStr">
        <is>
          <t>43-2057::98264:118739:530</t>
        </is>
      </c>
      <c r="AA607" t="inlineStr">
        <is>
          <t>Yes</t>
        </is>
      </c>
      <c r="AB607" t="inlineStr"/>
      <c r="AC607" t="inlineStr"/>
    </row>
    <row r="608">
      <c r="A608" t="inlineStr">
        <is>
          <t>607</t>
        </is>
      </c>
      <c r="B608" t="inlineStr">
        <is>
          <t>Windshield Wiper Motor</t>
        </is>
      </c>
      <c r="C608" t="inlineStr">
        <is>
          <t>43-2058</t>
        </is>
      </c>
      <c r="D608" t="inlineStr">
        <is>
          <t>Windshield Wiper Motor - 43-2058</t>
        </is>
      </c>
      <c r="E608" t="inlineStr">
        <is>
          <t>CARDONE Reman</t>
        </is>
      </c>
      <c r="F608" t="inlineStr">
        <is>
          <t>8511047060</t>
        </is>
      </c>
      <c r="G608" t="inlineStr">
        <is>
          <t>Toyota Prius 2004-2009</t>
        </is>
      </c>
      <c r="H608" t="inlineStr">
        <is>
          <t>Toyota Prius 2004-2009 1.5L L4 1497cc</t>
        </is>
      </c>
      <c r="I608" t="inlineStr">
        <is>
          <t>{"0": {"productDeskExternalKey": "CPCX|43-2058"},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"Toyota Prius 2009-04"}, "14": {"ItemLevelGTIN": "00082617756877"}, "15": {"_addonCardone": "43-2058::98264:118767:530"}, "16": {"Eligible for R&amp;R Service": "Yes"}}</t>
        </is>
      </c>
      <c r="J608" t="inlineStr">
        <is>
          <t>https://www.cardone.com/product/windshield-wiper-motor-43-2058</t>
        </is>
      </c>
      <c r="K608">
        <f>DISPIMG("ID_9DEC5F0D7C3B419CA78931DDFBDCF0F9",1)</f>
        <v/>
      </c>
      <c r="L608" t="inlineStr">
        <is>
          <t>CPCX|43-2058</t>
        </is>
      </c>
      <c r="M608" t="inlineStr">
        <is>
          <t>Wiper Motor; Instruction Sheet</t>
        </is>
      </c>
      <c r="N608" t="inlineStr">
        <is>
          <t>Yes</t>
        </is>
      </c>
      <c r="O608" t="inlineStr">
        <is>
          <t>Remanufactured</t>
        </is>
      </c>
      <c r="P608" t="inlineStr">
        <is>
          <t>3</t>
        </is>
      </c>
      <c r="Q608" t="inlineStr">
        <is>
          <t>Blade</t>
        </is>
      </c>
      <c r="R608" t="inlineStr">
        <is>
          <t>Direct Bolt</t>
        </is>
      </c>
      <c r="S608" t="inlineStr">
        <is>
          <t>3.5000</t>
        </is>
      </c>
      <c r="T608" t="inlineStr">
        <is>
          <t>No</t>
        </is>
      </c>
      <c r="U608" t="inlineStr">
        <is>
          <t>1 Year/18,000 Mile</t>
        </is>
      </c>
      <c r="V608" t="inlineStr">
        <is>
          <t>Yes</t>
        </is>
      </c>
      <c r="W608" t="inlineStr">
        <is>
          <t>Available to Order</t>
        </is>
      </c>
      <c r="X608" t="inlineStr">
        <is>
          <t>Toyota Prius 2009-04</t>
        </is>
      </c>
      <c r="Y608" t="inlineStr">
        <is>
          <t>00082617756877</t>
        </is>
      </c>
      <c r="Z608" t="inlineStr">
        <is>
          <t>43-2058::98264:118767:530</t>
        </is>
      </c>
      <c r="AA608" t="inlineStr">
        <is>
          <t>Yes</t>
        </is>
      </c>
      <c r="AB608" t="inlineStr"/>
      <c r="AC608" t="inlineStr"/>
    </row>
    <row r="609">
      <c r="A609" t="inlineStr">
        <is>
          <t>608</t>
        </is>
      </c>
      <c r="B609" t="inlineStr">
        <is>
          <t>Windshield Wiper Motor</t>
        </is>
      </c>
      <c r="C609" t="inlineStr">
        <is>
          <t>43-2059</t>
        </is>
      </c>
      <c r="D609" t="inlineStr">
        <is>
          <t>Windshield Wiper Motor - 43-2059</t>
        </is>
      </c>
      <c r="E609" t="inlineStr">
        <is>
          <t>CARDONE Reman</t>
        </is>
      </c>
      <c r="F609" t="inlineStr">
        <is>
          <t>851100C030;85110AC010;85110AA040</t>
        </is>
      </c>
      <c r="G609" t="inlineStr">
        <is>
          <t>Toyota Avalon 2006-2012
Toyota Camry 2002-2006
Toyota Sequoia 2008-2022
Toyota Tundra 2007-2021</t>
        </is>
      </c>
      <c r="H609" t="inlineStr">
        <is>
          <t>Toyota Avalon 2006-2012 3.5L V6 3456cc
Toyota Camry 2002-2006 2.4L L4 2362cc
Toyota Camry 2002-2006 3L V6 2995cc
Toyota Camry 2004 3.3L V6 3300cc
Toyota Camry 2005-2006 3.3L V6 202cid
Toyota Sequoia 2008-2012 4.7L V8 285cid
Toyota Sequoia 2008-2022 5.7L V8 345cid
Toyota Sequoia 2010-2012 4.6L V8 4608cc
Toyota Tundra 2007-2010 4.7L V8 285cid
Toyota Tundra 2007-2014 4L V6 241cid
Toyota Tundra 2007-2021 5.7L V8 345cid
Toyota Tundra 2010-2019 4.6L V8 4608cc</t>
        </is>
      </c>
      <c r="I609" t="inlineStr">
        <is>
          <t>{"0": {"productDeskExternalKey": "CPCX|43-2059"},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"Toyota Avalon 2012-06, Camry 2006-02, Sequoia 2022-08, Tundra 2021-07"}, "14": {"ItemLevelGTIN": "00082617757805"}, "15": {"_addonCardone": "43-2059::98264:118788:530"}, "16": {"Eligible for R&amp;R Service": "Yes"}}</t>
        </is>
      </c>
      <c r="J609" t="inlineStr">
        <is>
          <t>https://www.cardone.com/product/windshield-wiper-motor-43-2059</t>
        </is>
      </c>
      <c r="K609">
        <f>DISPIMG("ID_70156F07B281414B804AF589DA047B6D",1)</f>
        <v/>
      </c>
      <c r="L609" t="inlineStr">
        <is>
          <t>CPCX|43-2059</t>
        </is>
      </c>
      <c r="M609" t="inlineStr">
        <is>
          <t>Wiper Motor; Instruction Sheet</t>
        </is>
      </c>
      <c r="N609" t="inlineStr">
        <is>
          <t>Yes</t>
        </is>
      </c>
      <c r="O609" t="inlineStr">
        <is>
          <t>Remanufactured</t>
        </is>
      </c>
      <c r="P609" t="inlineStr">
        <is>
          <t>3</t>
        </is>
      </c>
      <c r="Q609" t="inlineStr">
        <is>
          <t>Blade</t>
        </is>
      </c>
      <c r="R609" t="inlineStr">
        <is>
          <t>Direct Bolt</t>
        </is>
      </c>
      <c r="S609" t="inlineStr">
        <is>
          <t>3.5000</t>
        </is>
      </c>
      <c r="T609" t="inlineStr">
        <is>
          <t>No</t>
        </is>
      </c>
      <c r="U609" t="inlineStr">
        <is>
          <t>1 Year/18,000 Mile</t>
        </is>
      </c>
      <c r="V609" t="inlineStr">
        <is>
          <t>Yes</t>
        </is>
      </c>
      <c r="W609" t="inlineStr">
        <is>
          <t>Available to Order</t>
        </is>
      </c>
      <c r="X609" t="inlineStr">
        <is>
          <t>Toyota Avalon 2012-06, Camry 2006-02, Sequoia 2022-08, Tundra 2021-07</t>
        </is>
      </c>
      <c r="Y609" t="inlineStr">
        <is>
          <t>00082617757805</t>
        </is>
      </c>
      <c r="Z609" t="inlineStr">
        <is>
          <t>43-2059::98264:118788:530</t>
        </is>
      </c>
      <c r="AA609" t="inlineStr">
        <is>
          <t>Yes</t>
        </is>
      </c>
      <c r="AB609" t="inlineStr"/>
      <c r="AC609" t="inlineStr"/>
    </row>
    <row r="610">
      <c r="A610" t="inlineStr">
        <is>
          <t>609</t>
        </is>
      </c>
      <c r="B610" t="inlineStr">
        <is>
          <t>Windshield Wiper Motor</t>
        </is>
      </c>
      <c r="C610" t="inlineStr">
        <is>
          <t>43-2060</t>
        </is>
      </c>
      <c r="D610" t="inlineStr">
        <is>
          <t>Windshield Wiper Motor - 43-2060</t>
        </is>
      </c>
      <c r="E610" t="inlineStr">
        <is>
          <t>CARDONE Reman</t>
        </is>
      </c>
      <c r="F610" t="inlineStr">
        <is>
          <t>85130AE010</t>
        </is>
      </c>
      <c r="G610" t="inlineStr">
        <is>
          <t>Toyota Sienna 2004-2010</t>
        </is>
      </c>
      <c r="H610" t="inlineStr">
        <is>
          <t>Toyota Sienna 2004-2006 3.3L V6 202cid
Toyota Sienna 2007-2010 3.5L V6 3456cc</t>
        </is>
      </c>
      <c r="I610" t="inlineStr">
        <is>
          <t>{"0": {"productDeskExternalKey": "CPCX|43-2060"}, "1": {"Package Contents": "Wiper Motor; Instruction Sheet"}, "2": {"E-Waste": "Yes"}, "3": {"Product Condition": "Remanufactured"}, "4": {"Mounting Hole Quantity": "3"}, "5": {"Terminal Type": "Blade"}, "6": {"Mounting Type": "Grommet"}, "7": {"Weight PG": "2.1500"}, "8": {"Washer Pump Included": "No"}, "9": {"Part Type": "Windshield Wiper Motor"}, "10": {"Warranty Info": "1 Year/18,000 Mile"}, "11": {"Sustainable Choice": "Yes"}, "12": {"Lifecycle Status": "Available to Order"}, "13": {"Application Summary": "Toyota Sienna 2010-04"}, "14": {"ItemLevelGTIN": "00082617760492"}, "15": {"_addonCardone": "43-2060::98264:118808:530"}, "16": {"Eligible for R&amp;R Service": "Yes"}}</t>
        </is>
      </c>
      <c r="J610" t="inlineStr">
        <is>
          <t>https://www.cardone.com/product/windshield-wiper-motor-43-2060</t>
        </is>
      </c>
      <c r="K610">
        <f>DISPIMG("ID_B572A7574CC0474885124C0E2EE452F5",1)</f>
        <v/>
      </c>
      <c r="L610" t="inlineStr">
        <is>
          <t>CPCX|43-2060</t>
        </is>
      </c>
      <c r="M610" t="inlineStr">
        <is>
          <t>Wiper Motor; Instruction Sheet</t>
        </is>
      </c>
      <c r="N610" t="inlineStr">
        <is>
          <t>Yes</t>
        </is>
      </c>
      <c r="O610" t="inlineStr">
        <is>
          <t>Remanufactured</t>
        </is>
      </c>
      <c r="P610" t="inlineStr">
        <is>
          <t>3</t>
        </is>
      </c>
      <c r="Q610" t="inlineStr">
        <is>
          <t>Blade</t>
        </is>
      </c>
      <c r="R610" t="inlineStr">
        <is>
          <t>Grommet</t>
        </is>
      </c>
      <c r="S610" t="inlineStr">
        <is>
          <t>2.1500</t>
        </is>
      </c>
      <c r="T610" t="inlineStr">
        <is>
          <t>No</t>
        </is>
      </c>
      <c r="U610" t="inlineStr">
        <is>
          <t>1 Year/18,000 Mile</t>
        </is>
      </c>
      <c r="V610" t="inlineStr">
        <is>
          <t>Yes</t>
        </is>
      </c>
      <c r="W610" t="inlineStr">
        <is>
          <t>Available to Order</t>
        </is>
      </c>
      <c r="X610" t="inlineStr">
        <is>
          <t>Toyota Sienna 2010-04</t>
        </is>
      </c>
      <c r="Y610" t="inlineStr">
        <is>
          <t>00082617760492</t>
        </is>
      </c>
      <c r="Z610" t="inlineStr">
        <is>
          <t>43-2060::98264:118808:530</t>
        </is>
      </c>
      <c r="AA610" t="inlineStr">
        <is>
          <t>Yes</t>
        </is>
      </c>
      <c r="AB610" t="inlineStr"/>
      <c r="AC610" t="inlineStr"/>
    </row>
    <row r="611">
      <c r="A611" t="inlineStr">
        <is>
          <t>610</t>
        </is>
      </c>
      <c r="B611" t="inlineStr">
        <is>
          <t>Windshield Wiper Motor</t>
        </is>
      </c>
      <c r="C611" t="inlineStr">
        <is>
          <t>43-2061</t>
        </is>
      </c>
      <c r="D611" t="inlineStr">
        <is>
          <t>Windshield Wiper Motor - 43-2061</t>
        </is>
      </c>
      <c r="E611" t="inlineStr">
        <is>
          <t>CARDONE Reman</t>
        </is>
      </c>
      <c r="F611" t="inlineStr">
        <is>
          <t>8513052060</t>
        </is>
      </c>
      <c r="G611" t="inlineStr">
        <is>
          <t>Scion xA 2004-2006</t>
        </is>
      </c>
      <c r="H611" t="inlineStr">
        <is>
          <t>Scion xA 2004-2006 1.5L L4 1497cc</t>
        </is>
      </c>
      <c r="I611" t="inlineStr">
        <is>
          <t>{"0": {"productDeskExternalKey": "CPCX|43-2061"}, "1": {"Package Contents": "Wiper Motor; Instruction Sheet"}, "2": {"E-Waste": "Yes"}, "3": {"Product Condition": "Remanufactured"}, "4": {"Mounting Hole Quantity": "3"}, "5": {"Terminal Type": "Blade"}, "6": {"Mounting Type": "Eyelet"}, "7": {"Weight PG": "1.6000"}, "8": {"Washer Pump Included": "No"}, "9": {"Part Type": "Windshield Wiper Motor"}, "10": {"Warranty Info": "1 Year/18,000 Mile"}, "11": {"Sustainable Choice": "Yes"}, "12": {"Lifecycle Status": "Available to Order"}, "13": {"Application Summary": "Scion xA 2006-04"}, "14": {"ItemLevelGTIN": "00082617766906"}, "15": {"_addonCardone": "43-2061::98264:118827:530"}, "16": {"Eligible for R&amp;R Service": "Yes"}}</t>
        </is>
      </c>
      <c r="J611" t="inlineStr">
        <is>
          <t>https://www.cardone.com/product/windshield-wiper-motor-43-2061</t>
        </is>
      </c>
      <c r="K611">
        <f>DISPIMG("ID_F073CF7584EC469593071C700FDB91C4",1)</f>
        <v/>
      </c>
      <c r="L611" t="inlineStr">
        <is>
          <t>CPCX|43-2061</t>
        </is>
      </c>
      <c r="M611" t="inlineStr">
        <is>
          <t>Wiper Motor; Instruction Sheet</t>
        </is>
      </c>
      <c r="N611" t="inlineStr">
        <is>
          <t>Yes</t>
        </is>
      </c>
      <c r="O611" t="inlineStr">
        <is>
          <t>Remanufactured</t>
        </is>
      </c>
      <c r="P611" t="inlineStr">
        <is>
          <t>3</t>
        </is>
      </c>
      <c r="Q611" t="inlineStr">
        <is>
          <t>Blade</t>
        </is>
      </c>
      <c r="R611" t="inlineStr">
        <is>
          <t>Eyelet</t>
        </is>
      </c>
      <c r="S611" t="inlineStr">
        <is>
          <t>1.6000</t>
        </is>
      </c>
      <c r="T611" t="inlineStr">
        <is>
          <t>No</t>
        </is>
      </c>
      <c r="U611" t="inlineStr">
        <is>
          <t>1 Year/18,000 Mile</t>
        </is>
      </c>
      <c r="V611" t="inlineStr">
        <is>
          <t>Yes</t>
        </is>
      </c>
      <c r="W611" t="inlineStr">
        <is>
          <t>Available to Order</t>
        </is>
      </c>
      <c r="X611" t="inlineStr">
        <is>
          <t>Scion xA 2006-04</t>
        </is>
      </c>
      <c r="Y611" t="inlineStr">
        <is>
          <t>00082617766906</t>
        </is>
      </c>
      <c r="Z611" t="inlineStr">
        <is>
          <t>43-2061::98264:118827:530</t>
        </is>
      </c>
      <c r="AA611" t="inlineStr">
        <is>
          <t>Yes</t>
        </is>
      </c>
      <c r="AB611" t="inlineStr"/>
      <c r="AC611" t="inlineStr"/>
    </row>
    <row r="612">
      <c r="A612" t="inlineStr">
        <is>
          <t>611</t>
        </is>
      </c>
      <c r="B612" t="inlineStr">
        <is>
          <t>Windshield Wiper Motor</t>
        </is>
      </c>
      <c r="C612" t="inlineStr">
        <is>
          <t>43-2062</t>
        </is>
      </c>
      <c r="D612" t="inlineStr">
        <is>
          <t>Windshield Wiper Motor - 43-2062</t>
        </is>
      </c>
      <c r="E612" t="inlineStr">
        <is>
          <t>CARDONE Reman</t>
        </is>
      </c>
      <c r="F612" t="inlineStr">
        <is>
          <t>8513034010</t>
        </is>
      </c>
      <c r="G612" t="inlineStr">
        <is>
          <t>Toyota Sequoia 2001-2007</t>
        </is>
      </c>
      <c r="H612" t="inlineStr">
        <is>
          <t>Toyota Sequoia 2001-2007 4.7L V8 285cid</t>
        </is>
      </c>
      <c r="I612" t="inlineStr">
        <is>
          <t>{"0": {"productDeskExternalKey": "CPCX|43-2062"}, "1": {"Package Contents": "Wiper Motor; Instruction Sheet"}, "2": {"E-Waste": "Yes"}, "3": {"Product Condition": "Remanufactured"}, "4": {"Mounting Hole Quantity": "3"}, "5": {"Terminal Type": "Blade"}, "6": {"Mounting Type": "Eyelet; Grommet"}, "7": {"Weight PG": "2.5000"}, "8": {"Washer Pump Included": "No"}, "9": {"Part Type": "Windshield Wiper Motor"}, "10": {"Warranty Info": "1 Year/18,000 Mile"}, "11": {"Sustainable Choice": "Yes"}, "12": {"Lifecycle Status": "Available to Order"}, "13": {"Application Summary": "Toyota Sequoia 2007-01"}, "14": {"ItemLevelGTIN": "00082617767484"}, "15": {"_addonCardone": "43-2062::98264:118844:530"}, "16": {"Eligible for R&amp;R Service": "Yes"}}</t>
        </is>
      </c>
      <c r="J612" t="inlineStr">
        <is>
          <t>https://www.cardone.com/product/windshield-wiper-motor-43-2062</t>
        </is>
      </c>
      <c r="K612">
        <f>DISPIMG("ID_A73C1800D6484031B1A14B9C50B3DAEE",1)</f>
        <v/>
      </c>
      <c r="L612" t="inlineStr">
        <is>
          <t>CPCX|43-2062</t>
        </is>
      </c>
      <c r="M612" t="inlineStr">
        <is>
          <t>Wiper Motor; Instruction Sheet</t>
        </is>
      </c>
      <c r="N612" t="inlineStr">
        <is>
          <t>Yes</t>
        </is>
      </c>
      <c r="O612" t="inlineStr">
        <is>
          <t>Remanufactured</t>
        </is>
      </c>
      <c r="P612" t="inlineStr">
        <is>
          <t>3</t>
        </is>
      </c>
      <c r="Q612" t="inlineStr">
        <is>
          <t>Blade</t>
        </is>
      </c>
      <c r="R612" t="inlineStr">
        <is>
          <t>Eyelet; Grommet</t>
        </is>
      </c>
      <c r="S612" t="inlineStr">
        <is>
          <t>2.5000</t>
        </is>
      </c>
      <c r="T612" t="inlineStr">
        <is>
          <t>No</t>
        </is>
      </c>
      <c r="U612" t="inlineStr">
        <is>
          <t>1 Year/18,000 Mile</t>
        </is>
      </c>
      <c r="V612" t="inlineStr">
        <is>
          <t>Yes</t>
        </is>
      </c>
      <c r="W612" t="inlineStr">
        <is>
          <t>Available to Order</t>
        </is>
      </c>
      <c r="X612" t="inlineStr">
        <is>
          <t>Toyota Sequoia 2007-01</t>
        </is>
      </c>
      <c r="Y612" t="inlineStr">
        <is>
          <t>00082617767484</t>
        </is>
      </c>
      <c r="Z612" t="inlineStr">
        <is>
          <t>43-2062::98264:118844:530</t>
        </is>
      </c>
      <c r="AA612" t="inlineStr">
        <is>
          <t>Yes</t>
        </is>
      </c>
      <c r="AB612" t="inlineStr"/>
      <c r="AC612" t="inlineStr"/>
    </row>
    <row r="613">
      <c r="A613" t="inlineStr">
        <is>
          <t>612</t>
        </is>
      </c>
      <c r="B613" t="inlineStr">
        <is>
          <t>Windshield Wiper Motor</t>
        </is>
      </c>
      <c r="C613" t="inlineStr">
        <is>
          <t>43-2063</t>
        </is>
      </c>
      <c r="D613" t="inlineStr">
        <is>
          <t>Windshield Wiper Motor - 43-2063</t>
        </is>
      </c>
      <c r="E613" t="inlineStr">
        <is>
          <t>CARDONE Reman</t>
        </is>
      </c>
      <c r="F613" t="inlineStr">
        <is>
          <t>8513048020</t>
        </is>
      </c>
      <c r="G613" t="inlineStr">
        <is>
          <t>Toyota Highlander 2001-2007</t>
        </is>
      </c>
      <c r="H613" t="inlineStr">
        <is>
          <t>Toyota Highlander 2001-2003 3L V6 2995cc
Toyota Highlander 2001-2007 2.4L L4 2362cc
Toyota Highlander 2004 3.3L V6 3300cc
Toyota Highlander 2005-2007 3.3L V6 202cid</t>
        </is>
      </c>
      <c r="I613" t="inlineStr">
        <is>
          <t>{"0": {"productDeskExternalKey": "CPCX|43-2063"}, "1": {"Package Contents": "Wiper Motor; Instruction Sheet"}, "2": {"E-Waste": "Yes"}, "3": {"Product Condition": "Remanufactured"}, "4": {"Mounting Hole Quantity": "3"}, "5": {"Terminal Type": "Blade"}, "6": {"Mounting Type": "Eyelet; Grommet"}, "7": {"Weight PG": "1.9500"}, "8": {"Washer Pump Included": "No"}, "9": {"Part Type": "Windshield Wiper Motor"}, "10": {"Warranty Info": "1 Year/18,000 Mile"}, "11": {"Sustainable Choice": "Yes"}, "12": {"Lifecycle Status": "Available to Order"}, "13": {"Application Summary": "Toyota Highlander 2007-01"}, "14": {"ItemLevelGTIN": "00082617767507"}, "15": {"_addonCardone": "43-2063::98264:118865:530"}, "16": {"Eligible for R&amp;R Service": "Yes"}}</t>
        </is>
      </c>
      <c r="J613" t="inlineStr">
        <is>
          <t>https://www.cardone.com/product/windshield-wiper-motor-43-2063</t>
        </is>
      </c>
      <c r="K613">
        <f>DISPIMG("ID_AC42669854544FAA95730132E2B6A590",1)</f>
        <v/>
      </c>
      <c r="L613" t="inlineStr">
        <is>
          <t>CPCX|43-2063</t>
        </is>
      </c>
      <c r="M613" t="inlineStr">
        <is>
          <t>Wiper Motor; Instruction Sheet</t>
        </is>
      </c>
      <c r="N613" t="inlineStr">
        <is>
          <t>Yes</t>
        </is>
      </c>
      <c r="O613" t="inlineStr">
        <is>
          <t>Remanufactured</t>
        </is>
      </c>
      <c r="P613" t="inlineStr">
        <is>
          <t>3</t>
        </is>
      </c>
      <c r="Q613" t="inlineStr">
        <is>
          <t>Blade</t>
        </is>
      </c>
      <c r="R613" t="inlineStr">
        <is>
          <t>Eyelet; Grommet</t>
        </is>
      </c>
      <c r="S613" t="inlineStr">
        <is>
          <t>1.9500</t>
        </is>
      </c>
      <c r="T613" t="inlineStr">
        <is>
          <t>No</t>
        </is>
      </c>
      <c r="U613" t="inlineStr">
        <is>
          <t>1 Year/18,000 Mile</t>
        </is>
      </c>
      <c r="V613" t="inlineStr">
        <is>
          <t>Yes</t>
        </is>
      </c>
      <c r="W613" t="inlineStr">
        <is>
          <t>Available to Order</t>
        </is>
      </c>
      <c r="X613" t="inlineStr">
        <is>
          <t>Toyota Highlander 2007-01</t>
        </is>
      </c>
      <c r="Y613" t="inlineStr">
        <is>
          <t>00082617767507</t>
        </is>
      </c>
      <c r="Z613" t="inlineStr">
        <is>
          <t>43-2063::98264:118865:530</t>
        </is>
      </c>
      <c r="AA613" t="inlineStr">
        <is>
          <t>Yes</t>
        </is>
      </c>
      <c r="AB613" t="inlineStr"/>
      <c r="AC613" t="inlineStr"/>
    </row>
    <row r="614">
      <c r="A614" t="inlineStr">
        <is>
          <t>613</t>
        </is>
      </c>
      <c r="B614" t="inlineStr">
        <is>
          <t>Windshield Wiper Motor</t>
        </is>
      </c>
      <c r="C614" t="inlineStr">
        <is>
          <t>43-2065</t>
        </is>
      </c>
      <c r="D614" t="inlineStr">
        <is>
          <t>Windshield Wiper Motor - 43-2065</t>
        </is>
      </c>
      <c r="E614" t="inlineStr">
        <is>
          <t>CARDONE Reman</t>
        </is>
      </c>
      <c r="F614" t="inlineStr">
        <is>
          <t>8513048030;851300E010</t>
        </is>
      </c>
      <c r="G614" t="inlineStr">
        <is>
          <t>Lexus RX330 2004-2006
Lexus RX350 2007-2009
Lexus RX400h 2006-2008</t>
        </is>
      </c>
      <c r="H614" t="inlineStr">
        <is>
          <t>Lexus RX330 2004-2006 3.3L V6 202cid
Lexus RX350 2007-2009 3.5L V6 3456cc
Lexus RX400h 2006-2008 3.3L V6 202cid</t>
        </is>
      </c>
      <c r="I614" t="inlineStr">
        <is>
          <t>{"0": {"productDeskExternalKey": "CPCX|43-2065"}, "1": {"Package Contents": "Wiper Motor; Instruction Sheet"}, "2": {"E-Waste": "Yes"}, "3": {"Product Condition": "Remanufactured"}, "4": {"Mounting Hole Quantity": "3"}, "5": {"Terminal Type": "Blade"}, "6": {"Mounting Type": "Eyelet; Grommet"}, "7": {"Weight PG": "2.5500"}, "8": {"Washer Pump Included": "No"}, "9": {"Part Type": "Windshield Wiper Motor"}, "10": {"Warranty Info": "1 Year/18,000 Mile"}, "11": {"Sustainable Choice": "Yes"}, "12": {"Lifecycle Status": "Available to Order"}, "13": {"Application Summary": "Lexus RX330 2006-04, RX350 2009-07, RX400h 2008-06"}, "14": {"ItemLevelGTIN": "00082617774796"}, "15": {"_addonCardone": "43-2065::98264:118880:530"}, "16": {"Eligible for R&amp;R Service": "Yes"}}</t>
        </is>
      </c>
      <c r="J614" t="inlineStr">
        <is>
          <t>https://www.cardone.com/product/windshield-wiper-motor-43-2065</t>
        </is>
      </c>
      <c r="K614">
        <f>DISPIMG("ID_DA770D9728F64B38A9301C8D1DB517CC",1)</f>
        <v/>
      </c>
      <c r="L614" t="inlineStr">
        <is>
          <t>CPCX|43-2065</t>
        </is>
      </c>
      <c r="M614" t="inlineStr">
        <is>
          <t>Wiper Motor; Instruction Sheet</t>
        </is>
      </c>
      <c r="N614" t="inlineStr">
        <is>
          <t>Yes</t>
        </is>
      </c>
      <c r="O614" t="inlineStr">
        <is>
          <t>Remanufactured</t>
        </is>
      </c>
      <c r="P614" t="inlineStr">
        <is>
          <t>3</t>
        </is>
      </c>
      <c r="Q614" t="inlineStr">
        <is>
          <t>Blade</t>
        </is>
      </c>
      <c r="R614" t="inlineStr">
        <is>
          <t>Eyelet; Grommet</t>
        </is>
      </c>
      <c r="S614" t="inlineStr">
        <is>
          <t>2.5500</t>
        </is>
      </c>
      <c r="T614" t="inlineStr">
        <is>
          <t>No</t>
        </is>
      </c>
      <c r="U614" t="inlineStr">
        <is>
          <t>1 Year/18,000 Mile</t>
        </is>
      </c>
      <c r="V614" t="inlineStr">
        <is>
          <t>Yes</t>
        </is>
      </c>
      <c r="W614" t="inlineStr">
        <is>
          <t>Available to Order</t>
        </is>
      </c>
      <c r="X614" t="inlineStr">
        <is>
          <t>Lexus RX330 2006-04, RX350 2009-07, RX400h 2008-06</t>
        </is>
      </c>
      <c r="Y614" t="inlineStr">
        <is>
          <t>00082617774796</t>
        </is>
      </c>
      <c r="Z614" t="inlineStr">
        <is>
          <t>43-2065::98264:118880:530</t>
        </is>
      </c>
      <c r="AA614" t="inlineStr">
        <is>
          <t>Yes</t>
        </is>
      </c>
      <c r="AB614" t="inlineStr"/>
      <c r="AC614" t="inlineStr"/>
    </row>
    <row r="615">
      <c r="A615" t="inlineStr">
        <is>
          <t>614</t>
        </is>
      </c>
      <c r="B615" t="inlineStr">
        <is>
          <t>Windshield Wiper Motor</t>
        </is>
      </c>
      <c r="C615" t="inlineStr">
        <is>
          <t>43-2066</t>
        </is>
      </c>
      <c r="D615" t="inlineStr">
        <is>
          <t>Windshield Wiper Motor - 43-2066</t>
        </is>
      </c>
      <c r="E615" t="inlineStr">
        <is>
          <t>CARDONE Reman</t>
        </is>
      </c>
      <c r="F615" t="inlineStr">
        <is>
          <t>8707017130;8507017130</t>
        </is>
      </c>
      <c r="G615" t="inlineStr">
        <is>
          <t>Toyota MR2 Spyder 2000-2005</t>
        </is>
      </c>
      <c r="H615" t="inlineStr">
        <is>
          <t>Toyota MR2 Spyder 2000-2005 1.8L L4 1794cc</t>
        </is>
      </c>
      <c r="I615" t="inlineStr">
        <is>
          <t>{"0": {"productDeskExternalKey": "CPCX|43-2066"}, "1": {"Package Contents": "Wiper Motor; Instruction Sheet"}, "2": {"E-Waste": "Yes"}, "3": {"Product Condition": "Remanufactured"}, "4": {"Mounting Hole Quantity": "3"}, "5": {"Terminal Type": "Blade"}, "6": {"Mounting Type": "Eyelet; Grommet"}, "7": {"Weight PG": "2.7500"}, "8": {"Washer Pump Included": "No"}, "9": {"Part Type": "Windshield Wiper Motor"}, "10": {"Warranty Info": "1 Year/18,000 Mile"}, "11": {"Sustainable Choice": "Yes"}, "12": {"Lifecycle Status": "Available to Order"}, "13": {"Application Summary": "Toyota MR2 Spyder 2005-00"}, "14": {"ItemLevelGTIN": "00082617776448"}, "15": {"_addonCardone": "43-2066::98264:118898:530"}, "16": {"Eligible for R&amp;R Service": "Yes"}}</t>
        </is>
      </c>
      <c r="J615" t="inlineStr">
        <is>
          <t>https://www.cardone.com/product/windshield-wiper-motor-43-2066</t>
        </is>
      </c>
      <c r="K615">
        <f>DISPIMG("ID_8A9F1F96D25146BC881B679089073A08",1)</f>
        <v/>
      </c>
      <c r="L615" t="inlineStr">
        <is>
          <t>CPCX|43-2066</t>
        </is>
      </c>
      <c r="M615" t="inlineStr">
        <is>
          <t>Wiper Motor; Instruction Sheet</t>
        </is>
      </c>
      <c r="N615" t="inlineStr">
        <is>
          <t>Yes</t>
        </is>
      </c>
      <c r="O615" t="inlineStr">
        <is>
          <t>Remanufactured</t>
        </is>
      </c>
      <c r="P615" t="inlineStr">
        <is>
          <t>3</t>
        </is>
      </c>
      <c r="Q615" t="inlineStr">
        <is>
          <t>Blade</t>
        </is>
      </c>
      <c r="R615" t="inlineStr">
        <is>
          <t>Eyelet; Grommet</t>
        </is>
      </c>
      <c r="S615" t="inlineStr">
        <is>
          <t>2.7500</t>
        </is>
      </c>
      <c r="T615" t="inlineStr">
        <is>
          <t>No</t>
        </is>
      </c>
      <c r="U615" t="inlineStr">
        <is>
          <t>1 Year/18,000 Mile</t>
        </is>
      </c>
      <c r="V615" t="inlineStr">
        <is>
          <t>Yes</t>
        </is>
      </c>
      <c r="W615" t="inlineStr">
        <is>
          <t>Available to Order</t>
        </is>
      </c>
      <c r="X615" t="inlineStr">
        <is>
          <t>Toyota MR2 Spyder 2005-00</t>
        </is>
      </c>
      <c r="Y615" t="inlineStr">
        <is>
          <t>00082617776448</t>
        </is>
      </c>
      <c r="Z615" t="inlineStr">
        <is>
          <t>43-2066::98264:118898:530</t>
        </is>
      </c>
      <c r="AA615" t="inlineStr">
        <is>
          <t>Yes</t>
        </is>
      </c>
      <c r="AB615" t="inlineStr"/>
      <c r="AC615" t="inlineStr"/>
    </row>
    <row r="616">
      <c r="A616" t="inlineStr">
        <is>
          <t>615</t>
        </is>
      </c>
      <c r="B616" t="inlineStr">
        <is>
          <t>Windshield Wiper Motor</t>
        </is>
      </c>
      <c r="C616" t="inlineStr">
        <is>
          <t>43-2067</t>
        </is>
      </c>
      <c r="D616" t="inlineStr">
        <is>
          <t>Windshield Wiper Motor - 43-2067</t>
        </is>
      </c>
      <c r="E616" t="inlineStr">
        <is>
          <t>CARDONE Reman</t>
        </is>
      </c>
      <c r="F616" t="inlineStr">
        <is>
          <t>8511002271;8511012B30;8511050160;EG2167340;8511033330;8511052440;8511030590;8511052310;8511002270;8511002250;8511042150;8511006060;92212322;68040580AA;851100R030;851100E050;86510FG011;8511033050;86510FJ010;851100R010;3810080J00;8250A178;8511052510;86510FG010</t>
        </is>
      </c>
      <c r="G616" t="inlineStr">
        <is>
          <t>Chevrolet Camaro 2010-2015
Jeep Grand Cherokee 2008-2010
Lexus ES350 2007-2012
Lexus GS350 2008-2011
Lexus GS450h 2008-2011
Lexus GS460 2008-2011
Mazda CX-7 2007-2012
Mitsubishi Outlander 2007-2013
Mitsubishi Outlander Sport 2011-2012
Pontiac Vibe 2009-2010
Scion xD 2008-2009
Subaru Impreza 2008-2014
Subaru WRX 2012-2014
Subaru WRX STI 2013-2014
Subaru XV Crosstrek 2013
Suzuki SX4 2007-2012
Toyota Camry 2007-2011
Toyota Corolla 2009-2013
Toyota Highlander 2011-2013
Toyota Matrix 2009-2013
Toyota RAV4 2006-2018
Toyota Yaris 2007-2012</t>
        </is>
      </c>
      <c r="H616" t="inlineStr">
        <is>
          <t>Chevrolet Camaro 2010-2015 3.6L V6 217cid
Chevrolet Camaro 2010-2015 6.2L V8 376cid
Chevrolet Camaro 2014-2015 7L V8 427cid
Jeep Grand Cherokee 2008-2010 3.7L V6 226cid
Jeep Grand Cherokee 2008-2010 3L V6 182cid
Jeep Grand Cherokee 2008-2010 4.7L V8 287cid
Jeep Grand Cherokee 2008-2010 5.7L V8 345cid
Jeep Grand Cherokee 2008-2010 6.1L V8 370cid
Lexus ES350 2007-2012 3.5L V6 3456cc
Lexus GS350 2008-2011 3.5L V6 3456cc
Lexus GS450h 2008-2011 3.5L V6 3456cc
Lexus GS460 2008-2011 4.6L V8 4608cc
Mazda CX-7 2007-2012 2.3L L4 2260cc
Mazda CX-7 2010-2012 2.5L L4 152cid
Mitsubishi Outlander 2007-2013 3L V6 182cid
Mitsubishi Outlander 2008-2010 2.4L L4 2351cc
Mitsubishi Outlander 2008-2013 2.4L L4 144cid
Mitsubishi Outlander Sport 2011-2012 2L L4 122cid
Pontiac Vibe 2009-2010 1.8L L4 110cid
Pontiac Vibe 2009-2010 2.4L L4 2362cc
Scion xD 2008-2009 1.8L L4 110cid
Subaru Impreza 2008-2014 2.5L H4 2458cc
Subaru Impreza 2008-2014 2L H4 122cid
Subaru Impreza 2012-2014 2L H4 1995cc
Subaru WRX 2012-2014 2.5L H4 2458cc
Subaru WRX STI 2013-2014 2.5L H4 2458cc
Subaru XV Crosstrek 2013 2L H4 1995cc
Suzuki SX4 2007-2012 2L L4 122cid
Toyota Camry 2007-2011 2.4L L4 2362cc
Toyota Camry 2007-2011 3.5L V6 3456cc
Toyota Camry 2010-2011 2.5L L4 152cid
Toyota Corolla 2009 1.8L L4 1794cc
Toyota Corolla 2009-2013 1.8L L4 110cid
Toyota Corolla 2009-2013 2.4L L4 2362cc
Toyota Highlander 2011-2013 2.7L L4 163cid
Toyota Highlander 2011-2013 3.5L V6 3456cc
Toyota Matrix 2009-2013 1.8L L4 110cid
Toyota Matrix 2009-2013 2.4L L4 2362cc
Toyota RAV4 2006-2008 2.4L L4 2362cc
Toyota RAV4 2006-2012 3.5L V6 3456cc
Toyota RAV4 2009-2018 2.5L L4 152cid
Toyota RAV4 2012-2014
Toyota Yaris 2007-2012 1.5L L4 1497cc</t>
        </is>
      </c>
      <c r="I616" t="inlineStr">
        <is>
          <t>{"0": {"productDeskExternalKey": "CPCX|43-2067"},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{"ItemLevelGTIN": "00082617776493"}, "14": {"_addonCardone": "43-2067::98264:118916:530"}, "15": {"Eligible for R&amp;R Service": "Yes"}}</t>
        </is>
      </c>
      <c r="J616" t="inlineStr">
        <is>
          <t>https://www.cardone.com/product/windshield-wiper-motor-43-2067</t>
        </is>
      </c>
      <c r="K616">
        <f>DISPIMG("ID_E7BAF9CB8DB84E03A371F278E925179E",1)</f>
        <v/>
      </c>
      <c r="L616" t="inlineStr">
        <is>
          <t>CPCX|43-2067</t>
        </is>
      </c>
      <c r="M616" t="inlineStr">
        <is>
          <t>Wiper Motor; Instruction Sheet</t>
        </is>
      </c>
      <c r="N616" t="inlineStr">
        <is>
          <t>Yes</t>
        </is>
      </c>
      <c r="O616" t="inlineStr">
        <is>
          <t>Remanufactured</t>
        </is>
      </c>
      <c r="P616" t="inlineStr">
        <is>
          <t>3</t>
        </is>
      </c>
      <c r="Q616" t="inlineStr">
        <is>
          <t>Blade</t>
        </is>
      </c>
      <c r="R616" t="inlineStr">
        <is>
          <t>Direct Bolt</t>
        </is>
      </c>
      <c r="S616" t="inlineStr">
        <is>
          <t>2.5000</t>
        </is>
      </c>
      <c r="T616" t="inlineStr">
        <is>
          <t>No</t>
        </is>
      </c>
      <c r="U616" t="inlineStr">
        <is>
          <t>1 Year/18,000 Mile</t>
        </is>
      </c>
      <c r="V616" t="inlineStr">
        <is>
          <t>Yes</t>
        </is>
      </c>
      <c r="W616" t="inlineStr">
        <is>
          <t>Available to Order</t>
        </is>
      </c>
      <c r="X616" t="inlineStr"/>
      <c r="Y616" t="inlineStr">
        <is>
          <t>00082617776493</t>
        </is>
      </c>
      <c r="Z616" t="inlineStr">
        <is>
          <t>43-2067::98264:118916:530</t>
        </is>
      </c>
      <c r="AA616" t="inlineStr">
        <is>
          <t>Yes</t>
        </is>
      </c>
      <c r="AB616" t="inlineStr"/>
      <c r="AC616" t="inlineStr"/>
    </row>
    <row r="617">
      <c r="A617" t="inlineStr">
        <is>
          <t>616</t>
        </is>
      </c>
      <c r="B617" t="inlineStr">
        <is>
          <t>Windshield Wiper Motor</t>
        </is>
      </c>
      <c r="C617" t="inlineStr">
        <is>
          <t>43-2068</t>
        </is>
      </c>
      <c r="D617" t="inlineStr">
        <is>
          <t>Windshield Wiper Motor - 43-2068</t>
        </is>
      </c>
      <c r="E617" t="inlineStr">
        <is>
          <t>CARDONE Reman</t>
        </is>
      </c>
      <c r="F617" t="inlineStr">
        <is>
          <t>8511024080</t>
        </is>
      </c>
      <c r="G617" t="inlineStr">
        <is>
          <t>Lexus SC430 2002-2010</t>
        </is>
      </c>
      <c r="H617" t="inlineStr">
        <is>
          <t>Lexus SC430 2002-2010 4.3L V8 4293cc</t>
        </is>
      </c>
      <c r="I617" t="inlineStr">
        <is>
          <t>{"0": {"productDeskExternalKey": "CPCX|43-2068"},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"Lexus SC430 2010-02"}, "14": {"ItemLevelGTIN": "00082617777124"}, "15": {"_addonCardone": "43-2068::98264:118933:530"}, "16": {"Eligible for R&amp;R Service": "Yes"}}</t>
        </is>
      </c>
      <c r="J617" t="inlineStr">
        <is>
          <t>https://www.cardone.com/product/windshield-wiper-motor-43-2068</t>
        </is>
      </c>
      <c r="K617">
        <f>DISPIMG("ID_9C5E507D6FFB4B9C84FE44D5A5DFA1EC",1)</f>
        <v/>
      </c>
      <c r="L617" t="inlineStr">
        <is>
          <t>CPCX|43-2068</t>
        </is>
      </c>
      <c r="M617" t="inlineStr">
        <is>
          <t>Wiper Motor; Instruction Sheet</t>
        </is>
      </c>
      <c r="N617" t="inlineStr">
        <is>
          <t>Yes</t>
        </is>
      </c>
      <c r="O617" t="inlineStr">
        <is>
          <t>Remanufactured</t>
        </is>
      </c>
      <c r="P617" t="inlineStr">
        <is>
          <t>3</t>
        </is>
      </c>
      <c r="Q617" t="inlineStr">
        <is>
          <t>Blade</t>
        </is>
      </c>
      <c r="R617" t="inlineStr">
        <is>
          <t>Direct Bolt</t>
        </is>
      </c>
      <c r="S617" t="inlineStr">
        <is>
          <t>3.0000</t>
        </is>
      </c>
      <c r="T617" t="inlineStr">
        <is>
          <t>No</t>
        </is>
      </c>
      <c r="U617" t="inlineStr">
        <is>
          <t>1 Year/18,000 Mile</t>
        </is>
      </c>
      <c r="V617" t="inlineStr">
        <is>
          <t>Yes</t>
        </is>
      </c>
      <c r="W617" t="inlineStr">
        <is>
          <t>Available to Order</t>
        </is>
      </c>
      <c r="X617" t="inlineStr">
        <is>
          <t>Lexus SC430 2010-02</t>
        </is>
      </c>
      <c r="Y617" t="inlineStr">
        <is>
          <t>00082617777124</t>
        </is>
      </c>
      <c r="Z617" t="inlineStr">
        <is>
          <t>43-2068::98264:118933:530</t>
        </is>
      </c>
      <c r="AA617" t="inlineStr">
        <is>
          <t>Yes</t>
        </is>
      </c>
      <c r="AB617" t="inlineStr"/>
      <c r="AC617" t="inlineStr"/>
    </row>
    <row r="618">
      <c r="A618" t="inlineStr">
        <is>
          <t>617</t>
        </is>
      </c>
      <c r="B618" t="inlineStr">
        <is>
          <t>Windshield Wiper Motor</t>
        </is>
      </c>
      <c r="C618" t="inlineStr">
        <is>
          <t>43-2069</t>
        </is>
      </c>
      <c r="D618" t="inlineStr">
        <is>
          <t>Windshield Wiper Motor - 43-2069</t>
        </is>
      </c>
      <c r="E618" t="inlineStr">
        <is>
          <t>CARDONE Reman</t>
        </is>
      </c>
      <c r="F618" t="inlineStr">
        <is>
          <t>8513047010</t>
        </is>
      </c>
      <c r="G618" t="inlineStr">
        <is>
          <t>Toyota Prius 2004-2009</t>
        </is>
      </c>
      <c r="H618" t="inlineStr">
        <is>
          <t>Toyota Prius 2004-2009 1.5L L4 1497cc</t>
        </is>
      </c>
      <c r="I618" t="inlineStr">
        <is>
          <t>{"0": {"productDeskExternalKey": "CPCX|43-2069"},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"Toyota Prius 2009-04"}, "14": {"ItemLevelGTIN": "00082617784894"}, "15": {"_addonCardone": "43-2069::98264:118951:530"}, "16": {"Eligible for R&amp;R Service": "Yes"}}</t>
        </is>
      </c>
      <c r="J618" t="inlineStr">
        <is>
          <t>https://www.cardone.com/product/windshield-wiper-motor-43-2069</t>
        </is>
      </c>
      <c r="K618">
        <f>DISPIMG("ID_CEF5613A67844AA084666AA4E764D565",1)</f>
        <v/>
      </c>
      <c r="L618" t="inlineStr">
        <is>
          <t>CPCX|43-2069</t>
        </is>
      </c>
      <c r="M618" t="inlineStr">
        <is>
          <t>Wiper Motor; Instruction Sheet</t>
        </is>
      </c>
      <c r="N618" t="inlineStr">
        <is>
          <t>Yes</t>
        </is>
      </c>
      <c r="O618" t="inlineStr">
        <is>
          <t>Remanufactured</t>
        </is>
      </c>
      <c r="P618" t="inlineStr">
        <is>
          <t>3</t>
        </is>
      </c>
      <c r="Q618" t="inlineStr">
        <is>
          <t>Blade</t>
        </is>
      </c>
      <c r="R618" t="inlineStr">
        <is>
          <t>Grommet</t>
        </is>
      </c>
      <c r="S618" t="inlineStr">
        <is>
          <t>2.5000</t>
        </is>
      </c>
      <c r="T618" t="inlineStr">
        <is>
          <t>No</t>
        </is>
      </c>
      <c r="U618" t="inlineStr">
        <is>
          <t>1 Year/18,000 Mile</t>
        </is>
      </c>
      <c r="V618" t="inlineStr">
        <is>
          <t>Yes</t>
        </is>
      </c>
      <c r="W618" t="inlineStr">
        <is>
          <t>Available to Order</t>
        </is>
      </c>
      <c r="X618" t="inlineStr">
        <is>
          <t>Toyota Prius 2009-04</t>
        </is>
      </c>
      <c r="Y618" t="inlineStr">
        <is>
          <t>00082617784894</t>
        </is>
      </c>
      <c r="Z618" t="inlineStr">
        <is>
          <t>43-2069::98264:118951:530</t>
        </is>
      </c>
      <c r="AA618" t="inlineStr">
        <is>
          <t>Yes</t>
        </is>
      </c>
      <c r="AB618" t="inlineStr"/>
      <c r="AC618" t="inlineStr"/>
    </row>
    <row r="619">
      <c r="A619" t="inlineStr">
        <is>
          <t>618</t>
        </is>
      </c>
      <c r="B619" t="inlineStr">
        <is>
          <t>Windshield Wiper Motor</t>
        </is>
      </c>
      <c r="C619" t="inlineStr">
        <is>
          <t>43-2070</t>
        </is>
      </c>
      <c r="D619" t="inlineStr">
        <is>
          <t>Windshield Wiper Motor - 43-2070</t>
        </is>
      </c>
      <c r="E619" t="inlineStr">
        <is>
          <t>CARDONE Reman</t>
        </is>
      </c>
      <c r="F619" t="inlineStr">
        <is>
          <t>8513053010</t>
        </is>
      </c>
      <c r="G619" t="inlineStr">
        <is>
          <t>Lexus IS300 2002-2005</t>
        </is>
      </c>
      <c r="H619" t="inlineStr">
        <is>
          <t>Lexus IS300 2002-2005 3L L6 2997cc</t>
        </is>
      </c>
      <c r="I619" t="inlineStr">
        <is>
          <t>{"0": {"productDeskExternalKey": "CPCX|43-2070"}, "1": {"Package Contents": "Wiper Motor; Instruction Sheet"}, "2": {"E-Waste": "Yes"}, "3": {"Product Condition": "Remanufactured"}, "4": {"Mounting Hole Quantity": "3"}, "5": {"Terminal Type": "Blade"}, "6": {"Mounting Type": "Grommet"}, "7": {"Weight PG": "2.4500"}, "8": {"Washer Pump Included": "No"}, "9": {"Part Type": "Windshield Wiper Motor"}, "10": {"Warranty Info": "1 Year/18,000 Mile"}, "11": {"Sustainable Choice": "Yes"}, "12": {"Lifecycle Status": "Available to Order"}, "13": {"Application Summary": "Lexus IS300 2005-02"}, "14": {"ItemLevelGTIN": "00082617785006"}, "15": {"_addonCardone": "43-2070::98264:118969:530"}, "16": {"Eligible for R&amp;R Service": "Yes"}}</t>
        </is>
      </c>
      <c r="J619" t="inlineStr">
        <is>
          <t>https://www.cardone.com/product/windshield-wiper-motor-43-2070</t>
        </is>
      </c>
      <c r="K619">
        <f>DISPIMG("ID_C71EB6326A0E4CC99B5034C869504C22",1)</f>
        <v/>
      </c>
      <c r="L619" t="inlineStr">
        <is>
          <t>CPCX|43-2070</t>
        </is>
      </c>
      <c r="M619" t="inlineStr">
        <is>
          <t>Wiper Motor; Instruction Sheet</t>
        </is>
      </c>
      <c r="N619" t="inlineStr">
        <is>
          <t>Yes</t>
        </is>
      </c>
      <c r="O619" t="inlineStr">
        <is>
          <t>Remanufactured</t>
        </is>
      </c>
      <c r="P619" t="inlineStr">
        <is>
          <t>3</t>
        </is>
      </c>
      <c r="Q619" t="inlineStr">
        <is>
          <t>Blade</t>
        </is>
      </c>
      <c r="R619" t="inlineStr">
        <is>
          <t>Grommet</t>
        </is>
      </c>
      <c r="S619" t="inlineStr">
        <is>
          <t>2.4500</t>
        </is>
      </c>
      <c r="T619" t="inlineStr">
        <is>
          <t>No</t>
        </is>
      </c>
      <c r="U619" t="inlineStr">
        <is>
          <t>1 Year/18,000 Mile</t>
        </is>
      </c>
      <c r="V619" t="inlineStr">
        <is>
          <t>Yes</t>
        </is>
      </c>
      <c r="W619" t="inlineStr">
        <is>
          <t>Available to Order</t>
        </is>
      </c>
      <c r="X619" t="inlineStr">
        <is>
          <t>Lexus IS300 2005-02</t>
        </is>
      </c>
      <c r="Y619" t="inlineStr">
        <is>
          <t>00082617785006</t>
        </is>
      </c>
      <c r="Z619" t="inlineStr">
        <is>
          <t>43-2070::98264:118969:530</t>
        </is>
      </c>
      <c r="AA619" t="inlineStr">
        <is>
          <t>Yes</t>
        </is>
      </c>
      <c r="AB619" t="inlineStr"/>
      <c r="AC619" t="inlineStr"/>
    </row>
    <row r="620">
      <c r="A620" t="inlineStr">
        <is>
          <t>619</t>
        </is>
      </c>
      <c r="B620" t="inlineStr">
        <is>
          <t>Windshield Wiper Motor</t>
        </is>
      </c>
      <c r="C620" t="inlineStr">
        <is>
          <t>43-2071</t>
        </is>
      </c>
      <c r="D620" t="inlineStr">
        <is>
          <t>Windshield Wiper Motor - 43-2071</t>
        </is>
      </c>
      <c r="E620" t="inlineStr">
        <is>
          <t>CARDONE Reman</t>
        </is>
      </c>
      <c r="F620" t="inlineStr">
        <is>
          <t>8511050110</t>
        </is>
      </c>
      <c r="G620" t="inlineStr">
        <is>
          <t>Lexus LS430 2001-2006</t>
        </is>
      </c>
      <c r="H620" t="inlineStr">
        <is>
          <t>Lexus LS430 2001-2006 4.3L V8 4293cc</t>
        </is>
      </c>
      <c r="I620" t="inlineStr">
        <is>
          <t>{"0": {"productDeskExternalKey": "CPCX|43-2071"},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"Lexus LS430 2006-01"}, "14": {"ItemLevelGTIN": "00082617785334"}, "15": {"_addonCardone": "43-2071::98264:118989:530"}, "16": {"Eligible for R&amp;R Service": "Yes"}}</t>
        </is>
      </c>
      <c r="J620" t="inlineStr">
        <is>
          <t>https://www.cardone.com/product/windshield-wiper-motor-43-2071</t>
        </is>
      </c>
      <c r="K620">
        <f>DISPIMG("ID_F91258E794B14FE4A7CD48F405322BF6",1)</f>
        <v/>
      </c>
      <c r="L620" t="inlineStr">
        <is>
          <t>CPCX|43-2071</t>
        </is>
      </c>
      <c r="M620" t="inlineStr">
        <is>
          <t>Wiper Motor; Instruction Sheet</t>
        </is>
      </c>
      <c r="N620" t="inlineStr">
        <is>
          <t>Yes</t>
        </is>
      </c>
      <c r="O620" t="inlineStr">
        <is>
          <t>Remanufactured</t>
        </is>
      </c>
      <c r="P620" t="inlineStr">
        <is>
          <t>3</t>
        </is>
      </c>
      <c r="Q620" t="inlineStr">
        <is>
          <t>Blade</t>
        </is>
      </c>
      <c r="R620" t="inlineStr">
        <is>
          <t>Direct Bolt</t>
        </is>
      </c>
      <c r="S620" t="inlineStr">
        <is>
          <t>3.0000</t>
        </is>
      </c>
      <c r="T620" t="inlineStr">
        <is>
          <t>No</t>
        </is>
      </c>
      <c r="U620" t="inlineStr">
        <is>
          <t>1 Year/18,000 Mile</t>
        </is>
      </c>
      <c r="V620" t="inlineStr">
        <is>
          <t>Yes</t>
        </is>
      </c>
      <c r="W620" t="inlineStr">
        <is>
          <t>Available to Order</t>
        </is>
      </c>
      <c r="X620" t="inlineStr">
        <is>
          <t>Lexus LS430 2006-01</t>
        </is>
      </c>
      <c r="Y620" t="inlineStr">
        <is>
          <t>00082617785334</t>
        </is>
      </c>
      <c r="Z620" t="inlineStr">
        <is>
          <t>43-2071::98264:118989:530</t>
        </is>
      </c>
      <c r="AA620" t="inlineStr">
        <is>
          <t>Yes</t>
        </is>
      </c>
      <c r="AB620" t="inlineStr"/>
      <c r="AC620" t="inlineStr"/>
    </row>
    <row r="621">
      <c r="A621" t="inlineStr">
        <is>
          <t>620</t>
        </is>
      </c>
      <c r="B621" t="inlineStr">
        <is>
          <t>Windshield Wiper Motor</t>
        </is>
      </c>
      <c r="C621" t="inlineStr">
        <is>
          <t>43-2072</t>
        </is>
      </c>
      <c r="D621" t="inlineStr">
        <is>
          <t>Windshield Wiper Motor - 43-2072</t>
        </is>
      </c>
      <c r="E621" t="inlineStr">
        <is>
          <t>CARDONE Reman</t>
        </is>
      </c>
      <c r="F621" t="inlineStr">
        <is>
          <t>8511048110</t>
        </is>
      </c>
      <c r="G621" t="inlineStr">
        <is>
          <t>Lexus RX330 2005-2006
Lexus RX350 2007-2009
Lexus RX400h 2006-2008</t>
        </is>
      </c>
      <c r="H621" t="inlineStr">
        <is>
          <t>Lexus RX330 2005-2006 3.3L V6 202cid
Lexus RX350 2007-2009 3.5L V6 3456cc
Lexus RX400h 2006-2008 3.3L V6 202cid</t>
        </is>
      </c>
      <c r="I621" t="inlineStr">
        <is>
          <t>{"0": {"productDeskExternalKey": "CPCX|43-2072"}, "1": {"Package Contents": "Wiper Motor; Instruction Sheet"}, "2": {"E-Waste": "Yes"}, "3": {"Product Condition": "Remanufactured"}, "4": {"Mounting Hole Quantity": "3"}, "5": {"Terminal Type": "Blade"}, "6": {"Mounting Type": "Direct Bolt"}, "7": {"Weight PG": "3.2000"}, "8": {"Washer Pump Included": "No"}, "9": {"Part Type": "Windshield Wiper Motor"}, "10": {"Warranty Info": "1 Year/18,000 Mile"}, "11": {"Sustainable Choice": "Yes"}, "12": {"Lifecycle Status": "Available to Order"}, "13": {"Application Summary": "Lexus RX330 2006-05, RX350 2009-07, RX400h 2008-06"}, "14": {"ItemLevelGTIN": "00082617785341"}, "15": {"_addonCardone": "43-2072::98264:119004:530"}, "16": {"Eligible for R&amp;R Service": "Yes"}}</t>
        </is>
      </c>
      <c r="J621" t="inlineStr">
        <is>
          <t>https://www.cardone.com/product/windshield-wiper-motor-43-2072</t>
        </is>
      </c>
      <c r="K621">
        <f>DISPIMG("ID_5D83658656664DA5A7E2315286076B83",1)</f>
        <v/>
      </c>
      <c r="L621" t="inlineStr">
        <is>
          <t>CPCX|43-2072</t>
        </is>
      </c>
      <c r="M621" t="inlineStr">
        <is>
          <t>Wiper Motor; Instruction Sheet</t>
        </is>
      </c>
      <c r="N621" t="inlineStr">
        <is>
          <t>Yes</t>
        </is>
      </c>
      <c r="O621" t="inlineStr">
        <is>
          <t>Remanufactured</t>
        </is>
      </c>
      <c r="P621" t="inlineStr">
        <is>
          <t>3</t>
        </is>
      </c>
      <c r="Q621" t="inlineStr">
        <is>
          <t>Blade</t>
        </is>
      </c>
      <c r="R621" t="inlineStr">
        <is>
          <t>Direct Bolt</t>
        </is>
      </c>
      <c r="S621" t="inlineStr">
        <is>
          <t>3.2000</t>
        </is>
      </c>
      <c r="T621" t="inlineStr">
        <is>
          <t>No</t>
        </is>
      </c>
      <c r="U621" t="inlineStr">
        <is>
          <t>1 Year/18,000 Mile</t>
        </is>
      </c>
      <c r="V621" t="inlineStr">
        <is>
          <t>Yes</t>
        </is>
      </c>
      <c r="W621" t="inlineStr">
        <is>
          <t>Available to Order</t>
        </is>
      </c>
      <c r="X621" t="inlineStr">
        <is>
          <t>Lexus RX330 2006-05, RX350 2009-07, RX400h 2008-06</t>
        </is>
      </c>
      <c r="Y621" t="inlineStr">
        <is>
          <t>00082617785341</t>
        </is>
      </c>
      <c r="Z621" t="inlineStr">
        <is>
          <t>43-2072::98264:119004:530</t>
        </is>
      </c>
      <c r="AA621" t="inlineStr">
        <is>
          <t>Yes</t>
        </is>
      </c>
      <c r="AB621" t="inlineStr"/>
      <c r="AC621" t="inlineStr"/>
    </row>
    <row r="622">
      <c r="A622" t="inlineStr">
        <is>
          <t>621</t>
        </is>
      </c>
      <c r="B622" t="inlineStr">
        <is>
          <t>Windshield Wiper Motor</t>
        </is>
      </c>
      <c r="C622" t="inlineStr">
        <is>
          <t>43-2073</t>
        </is>
      </c>
      <c r="D622" t="inlineStr">
        <is>
          <t>Windshield Wiper Motor - 43-2073</t>
        </is>
      </c>
      <c r="E622" t="inlineStr">
        <is>
          <t>CARDONE Reman</t>
        </is>
      </c>
      <c r="F622" t="inlineStr">
        <is>
          <t>8513052030</t>
        </is>
      </c>
      <c r="G622" t="inlineStr">
        <is>
          <t>Scion xB 2004-2006</t>
        </is>
      </c>
      <c r="H622" t="inlineStr">
        <is>
          <t>Scion xB 2004-2006 1.5L L4 1497cc</t>
        </is>
      </c>
      <c r="I622" t="inlineStr">
        <is>
          <t>{"0": {"productDeskExternalKey": "CPCX|43-2073"}, "1": {"Package Contents": "Wiper Motor; Instruction Sheet"}, "2": {"E-Waste": "Yes"}, "3": {"Product Condition": "Remanufactured"}, "4": {"Mounting Hole Quantity": "3"}, "5": {"Terminal Type": "Blade"}, "6": {"Mounting Type": "Eyelet"}, "7": {"Weight PG": "1.7000"}, "8": {"Washer Pump Included": "No"}, "9": {"Part Type": "Windshield Wiper Motor"}, "10": {"Warranty Info": "1 Year/18,000 Mile"}, "11": {"Sustainable Choice": "Yes"}, "12": {"Lifecycle Status": "Available to Order"}, "13": {"Application Summary": "Scion xB 2006-04"}, "14": {"ItemLevelGTIN": "00082617800068"}, "15": {"_addonCardone": "43-2073::98264:119023:530"}, "16": {"Eligible for R&amp;R Service": "Yes"}}</t>
        </is>
      </c>
      <c r="J622" t="inlineStr">
        <is>
          <t>https://www.cardone.com/product/windshield-wiper-motor-43-2073</t>
        </is>
      </c>
      <c r="K622">
        <f>DISPIMG("ID_CEA9EC9BB98746D29BA4424B1CB68577",1)</f>
        <v/>
      </c>
      <c r="L622" t="inlineStr">
        <is>
          <t>CPCX|43-2073</t>
        </is>
      </c>
      <c r="M622" t="inlineStr">
        <is>
          <t>Wiper Motor; Instruction Sheet</t>
        </is>
      </c>
      <c r="N622" t="inlineStr">
        <is>
          <t>Yes</t>
        </is>
      </c>
      <c r="O622" t="inlineStr">
        <is>
          <t>Remanufactured</t>
        </is>
      </c>
      <c r="P622" t="inlineStr">
        <is>
          <t>3</t>
        </is>
      </c>
      <c r="Q622" t="inlineStr">
        <is>
          <t>Blade</t>
        </is>
      </c>
      <c r="R622" t="inlineStr">
        <is>
          <t>Eyelet</t>
        </is>
      </c>
      <c r="S622" t="inlineStr">
        <is>
          <t>1.7000</t>
        </is>
      </c>
      <c r="T622" t="inlineStr">
        <is>
          <t>No</t>
        </is>
      </c>
      <c r="U622" t="inlineStr">
        <is>
          <t>1 Year/18,000 Mile</t>
        </is>
      </c>
      <c r="V622" t="inlineStr">
        <is>
          <t>Yes</t>
        </is>
      </c>
      <c r="W622" t="inlineStr">
        <is>
          <t>Available to Order</t>
        </is>
      </c>
      <c r="X622" t="inlineStr">
        <is>
          <t>Scion xB 2006-04</t>
        </is>
      </c>
      <c r="Y622" t="inlineStr">
        <is>
          <t>00082617800068</t>
        </is>
      </c>
      <c r="Z622" t="inlineStr">
        <is>
          <t>43-2073::98264:119023:530</t>
        </is>
      </c>
      <c r="AA622" t="inlineStr">
        <is>
          <t>Yes</t>
        </is>
      </c>
      <c r="AB622" t="inlineStr"/>
      <c r="AC622" t="inlineStr"/>
    </row>
    <row r="623">
      <c r="A623" t="inlineStr">
        <is>
          <t>622</t>
        </is>
      </c>
      <c r="B623" t="inlineStr">
        <is>
          <t>Windshield Wiper Motor</t>
        </is>
      </c>
      <c r="C623" t="inlineStr">
        <is>
          <t>43-2080</t>
        </is>
      </c>
      <c r="D623" t="inlineStr">
        <is>
          <t>Windshield Wiper Motor - 43-2080</t>
        </is>
      </c>
      <c r="E623" t="inlineStr">
        <is>
          <t>CARDONE Reman</t>
        </is>
      </c>
      <c r="F623" t="inlineStr">
        <is>
          <t>8511016280</t>
        </is>
      </c>
      <c r="G623" t="inlineStr">
        <is>
          <t>Toyota Tercel 1987-1990</t>
        </is>
      </c>
      <c r="H623" t="inlineStr">
        <is>
          <t>Toyota Tercel 1987-1988 1.5L L4 1452cc
Toyota Tercel 1987-1990 1.5L L4 1456cc</t>
        </is>
      </c>
      <c r="I623" t="inlineStr">
        <is>
          <t>{"0": {"productDeskExternalKey": "CPCX|43-2080"}, "1": {"Package Contents": "Wiper Motor; Instruction Sheet"}, "2": {"E-Waste": "Yes"}, "3": {"Product Condition": "Remanufactured"}, "4": {"Mounting Hole Quantity": "3"}, "5": {"Terminal Type": "Blade"}, "6": {"Mounting Type": "Grommet"}, "7": {"Weight PG": "2.2500"}, "8": {"Washer Pump Included": "No"}, "9": {"Part Type": "Windshield Wiper Motor"}, "10": {"Warranty Info": "1 Year/18,000 Mile"}, "11": {"Sustainable Choice": "Yes"}, "12": {"Lifecycle Status": "Available to Order"}, "13": {"Application Summary": "Toyota Tercel 1990-87"}, "14": {"ItemLevelGTIN": "00082617811095"}, "15": {"_addonCardone": "43-2080::98264:119043:530"}, "16": {"Eligible for R&amp;R Service": "Yes"}}</t>
        </is>
      </c>
      <c r="J623" t="inlineStr">
        <is>
          <t>https://www.cardone.com/product/windshield-wiper-motor-43-2080</t>
        </is>
      </c>
      <c r="K623">
        <f>DISPIMG("ID_EAA63F13B82C401E836BD8DBC99C0928",1)</f>
        <v/>
      </c>
      <c r="L623" t="inlineStr">
        <is>
          <t>CPCX|43-2080</t>
        </is>
      </c>
      <c r="M623" t="inlineStr">
        <is>
          <t>Wiper Motor; Instruction Sheet</t>
        </is>
      </c>
      <c r="N623" t="inlineStr">
        <is>
          <t>Yes</t>
        </is>
      </c>
      <c r="O623" t="inlineStr">
        <is>
          <t>Remanufactured</t>
        </is>
      </c>
      <c r="P623" t="inlineStr">
        <is>
          <t>3</t>
        </is>
      </c>
      <c r="Q623" t="inlineStr">
        <is>
          <t>Blade</t>
        </is>
      </c>
      <c r="R623" t="inlineStr">
        <is>
          <t>Grommet</t>
        </is>
      </c>
      <c r="S623" t="inlineStr">
        <is>
          <t>2.2500</t>
        </is>
      </c>
      <c r="T623" t="inlineStr">
        <is>
          <t>No</t>
        </is>
      </c>
      <c r="U623" t="inlineStr">
        <is>
          <t>1 Year/18,000 Mile</t>
        </is>
      </c>
      <c r="V623" t="inlineStr">
        <is>
          <t>Yes</t>
        </is>
      </c>
      <c r="W623" t="inlineStr">
        <is>
          <t>Available to Order</t>
        </is>
      </c>
      <c r="X623" t="inlineStr">
        <is>
          <t>Toyota Tercel 1990-87</t>
        </is>
      </c>
      <c r="Y623" t="inlineStr">
        <is>
          <t>00082617811095</t>
        </is>
      </c>
      <c r="Z623" t="inlineStr">
        <is>
          <t>43-2080::98264:119043:530</t>
        </is>
      </c>
      <c r="AA623" t="inlineStr">
        <is>
          <t>Yes</t>
        </is>
      </c>
      <c r="AB623" t="inlineStr"/>
      <c r="AC623" t="inlineStr"/>
    </row>
    <row r="624">
      <c r="A624" t="inlineStr">
        <is>
          <t>623</t>
        </is>
      </c>
      <c r="B624" t="inlineStr">
        <is>
          <t>Windshield Wiper Motor</t>
        </is>
      </c>
      <c r="C624" t="inlineStr">
        <is>
          <t>43-2085</t>
        </is>
      </c>
      <c r="D624" t="inlineStr">
        <is>
          <t>Windshield Wiper Motor - 43-2085</t>
        </is>
      </c>
      <c r="E624" t="inlineStr">
        <is>
          <t>CARDONE Reman</t>
        </is>
      </c>
      <c r="F624" t="inlineStr">
        <is>
          <t>8511016290</t>
        </is>
      </c>
      <c r="G624" t="inlineStr">
        <is>
          <t>Toyota Tercel 1987-1990</t>
        </is>
      </c>
      <c r="H624" t="inlineStr">
        <is>
          <t>Toyota Tercel 1987-1988 1.5L L4 1452cc
Toyota Tercel 1987-1990 1.5L L4 1456cc</t>
        </is>
      </c>
      <c r="I624" t="inlineStr">
        <is>
          <t>{"0": {"productDeskExternalKey": "CPCX|43-2085"}, "1": {"E-Waste": "Yes"}, "2": {"Product Condition": "Remanufactured"}, "3": {"Weight PG": "2.7500"}, "4": {"Part Type": "Windshield Wiper Motor"}, "5": {"Warranty Info": "1 Year/18,000 Mile"}, "6": {"Sustainable Choice": "Yes"}, "7": {"Lifecycle Status": "Available to Order"}, "8": {"Application Summary": "Toyota Tercel 1990-87"}, "9": {"ItemLevelGTIN": "00082617811217"}, "10": {"_addonCardone": "43-2085::98264:119059:530"}, "11": {"Eligible for R&amp;R Service": "Yes"}}</t>
        </is>
      </c>
      <c r="J624" t="inlineStr">
        <is>
          <t>https://www.cardone.com/product/windshield-wiper-motor-43-2085</t>
        </is>
      </c>
      <c r="K624">
        <f>DISPIMG("ID_568E11F6CC804C258EDB64E50C4F25FF",1)</f>
        <v/>
      </c>
      <c r="L624" t="inlineStr">
        <is>
          <t>CPCX|43-2085</t>
        </is>
      </c>
      <c r="M624" t="inlineStr"/>
      <c r="N624" t="inlineStr">
        <is>
          <t>Yes</t>
        </is>
      </c>
      <c r="O624" t="inlineStr">
        <is>
          <t>Remanufactured</t>
        </is>
      </c>
      <c r="P624" t="inlineStr"/>
      <c r="Q624" t="inlineStr"/>
      <c r="R624" t="inlineStr"/>
      <c r="S624" t="inlineStr">
        <is>
          <t>2.7500</t>
        </is>
      </c>
      <c r="T624" t="inlineStr"/>
      <c r="U624" t="inlineStr">
        <is>
          <t>1 Year/18,000 Mile</t>
        </is>
      </c>
      <c r="V624" t="inlineStr">
        <is>
          <t>Yes</t>
        </is>
      </c>
      <c r="W624" t="inlineStr">
        <is>
          <t>Available to Order</t>
        </is>
      </c>
      <c r="X624" t="inlineStr">
        <is>
          <t>Toyota Tercel 1990-87</t>
        </is>
      </c>
      <c r="Y624" t="inlineStr">
        <is>
          <t>00082617811217</t>
        </is>
      </c>
      <c r="Z624" t="inlineStr">
        <is>
          <t>43-2085::98264:119059:530</t>
        </is>
      </c>
      <c r="AA624" t="inlineStr">
        <is>
          <t>Yes</t>
        </is>
      </c>
      <c r="AB624" t="inlineStr"/>
      <c r="AC624" t="inlineStr"/>
    </row>
    <row r="625">
      <c r="A625" t="inlineStr">
        <is>
          <t>624</t>
        </is>
      </c>
      <c r="B625" t="inlineStr">
        <is>
          <t>Windshield Wiper Motor</t>
        </is>
      </c>
      <c r="C625" t="inlineStr">
        <is>
          <t>43-2086</t>
        </is>
      </c>
      <c r="D625" t="inlineStr">
        <is>
          <t>Windshield Wiper Motor - 43-2086</t>
        </is>
      </c>
      <c r="E625" t="inlineStr">
        <is>
          <t>CARDONE Reman</t>
        </is>
      </c>
      <c r="F625" t="inlineStr">
        <is>
          <t>8511012470</t>
        </is>
      </c>
      <c r="G625" t="inlineStr">
        <is>
          <t>Toyota Corolla 1988-1992</t>
        </is>
      </c>
      <c r="H625" t="inlineStr">
        <is>
          <t>Toyota Corolla 1988-1992 1.6L L4 1587cc</t>
        </is>
      </c>
      <c r="I625" t="inlineStr">
        <is>
          <t>{"0": {"productDeskExternalKey": "CPCX|43-2086"}, "1": {"Package Contents": "Wiper Motor; Instruction Sheet"}, "2": {"E-Waste": "Yes"}, "3": {"Product Condition": "Remanufactured"}, "4": {"Mounting Hole Quantity": "3"}, "5": {"Terminal Type": "Blade"}, "6": {"Mounting Type": "Grommet"}, "7": {"Weight PG": "2.2500"}, "8": {"Washer Pump Included": "No"}, "9": {"Part Type": "Windshield Wiper Motor"}, "10": {"Warranty Info": "1 Year/18,000 Mile"}, "11": {"Sustainable Choice": "Yes"}, "12": {"Lifecycle Status": "Available to Order"}, "13": {"Application Summary": "Toyota Corolla 1992-88"}, "14": {"ItemLevelGTIN": "00082617811224"}, "15": {"_addonCardone": "43-2086::98264:119075:530"}, "16": {"Eligible for R&amp;R Service": "Yes"}}</t>
        </is>
      </c>
      <c r="J625" t="inlineStr">
        <is>
          <t>https://www.cardone.com/product/windshield-wiper-motor-43-2086</t>
        </is>
      </c>
      <c r="K625">
        <f>DISPIMG("ID_52C21DD4BBFB4A309887D9E06BBD9AD2",1)</f>
        <v/>
      </c>
      <c r="L625" t="inlineStr">
        <is>
          <t>CPCX|43-2086</t>
        </is>
      </c>
      <c r="M625" t="inlineStr">
        <is>
          <t>Wiper Motor; Instruction Sheet</t>
        </is>
      </c>
      <c r="N625" t="inlineStr">
        <is>
          <t>Yes</t>
        </is>
      </c>
      <c r="O625" t="inlineStr">
        <is>
          <t>Remanufactured</t>
        </is>
      </c>
      <c r="P625" t="inlineStr">
        <is>
          <t>3</t>
        </is>
      </c>
      <c r="Q625" t="inlineStr">
        <is>
          <t>Blade</t>
        </is>
      </c>
      <c r="R625" t="inlineStr">
        <is>
          <t>Grommet</t>
        </is>
      </c>
      <c r="S625" t="inlineStr">
        <is>
          <t>2.2500</t>
        </is>
      </c>
      <c r="T625" t="inlineStr">
        <is>
          <t>No</t>
        </is>
      </c>
      <c r="U625" t="inlineStr">
        <is>
          <t>1 Year/18,000 Mile</t>
        </is>
      </c>
      <c r="V625" t="inlineStr">
        <is>
          <t>Yes</t>
        </is>
      </c>
      <c r="W625" t="inlineStr">
        <is>
          <t>Available to Order</t>
        </is>
      </c>
      <c r="X625" t="inlineStr">
        <is>
          <t>Toyota Corolla 1992-88</t>
        </is>
      </c>
      <c r="Y625" t="inlineStr">
        <is>
          <t>00082617811224</t>
        </is>
      </c>
      <c r="Z625" t="inlineStr">
        <is>
          <t>43-2086::98264:119075:530</t>
        </is>
      </c>
      <c r="AA625" t="inlineStr">
        <is>
          <t>Yes</t>
        </is>
      </c>
      <c r="AB625" t="inlineStr"/>
      <c r="AC625" t="inlineStr"/>
    </row>
    <row r="626">
      <c r="A626" t="inlineStr">
        <is>
          <t>625</t>
        </is>
      </c>
      <c r="B626" t="inlineStr">
        <is>
          <t>Windshield Wiper Motor</t>
        </is>
      </c>
      <c r="C626" t="inlineStr">
        <is>
          <t>43-2089</t>
        </is>
      </c>
      <c r="D626" t="inlineStr">
        <is>
          <t>Windshield Wiper Motor - 43-2089</t>
        </is>
      </c>
      <c r="E626" t="inlineStr">
        <is>
          <t>CARDONE Reman</t>
        </is>
      </c>
      <c r="F626" t="inlineStr">
        <is>
          <t>8513052110</t>
        </is>
      </c>
      <c r="G626" t="inlineStr">
        <is>
          <t>Toyota Yaris 2007-2008</t>
        </is>
      </c>
      <c r="H626" t="inlineStr">
        <is>
          <t>Toyota Yaris 2007-2008 1.5L L4 1497cc</t>
        </is>
      </c>
      <c r="I626" t="inlineStr">
        <is>
          <t>{"0": {"productDeskExternalKey": "CPCX|43-2089"}, "1": {"Package Contents": "Wiper Motor; Instruction Sheet"}, "2": {"E-Waste": "Yes"}, "3": {"Product Condition": "Remanufactured"}, "4": {"Mounting Hole Quantity": "3"}, "5": {"Terminal Type": "Blade"}, "6": {"Mounting Type": "Eyelet"}, "7": {"Weight PG": "1.7000"}, "8": {"Washer Pump Included": "No"}, "9": {"Part Type": "Windshield Wiper Motor"}, "10": {"Warranty Info": "1 Year/18,000 Mile"}, "11": {"Sustainable Choice": "Yes"}, "12": {"Lifecycle Status": "Available to Order"}, "13": {"Application Summary": "Toyota Yaris 2008-07"}, "14": {"ItemLevelGTIN": "00082617820646"}, "15": {"_addonCardone": "43-2089::98264:119093:530"}, "16": {"Eligible for R&amp;R Service": "Yes"}}</t>
        </is>
      </c>
      <c r="J626" t="inlineStr">
        <is>
          <t>https://www.cardone.com/product/windshield-wiper-motor-43-2089</t>
        </is>
      </c>
      <c r="K626">
        <f>DISPIMG("ID_1BDFFF7460F947DCBF325E72ADD7E67F",1)</f>
        <v/>
      </c>
      <c r="L626" t="inlineStr">
        <is>
          <t>CPCX|43-2089</t>
        </is>
      </c>
      <c r="M626" t="inlineStr">
        <is>
          <t>Wiper Motor; Instruction Sheet</t>
        </is>
      </c>
      <c r="N626" t="inlineStr">
        <is>
          <t>Yes</t>
        </is>
      </c>
      <c r="O626" t="inlineStr">
        <is>
          <t>Remanufactured</t>
        </is>
      </c>
      <c r="P626" t="inlineStr">
        <is>
          <t>3</t>
        </is>
      </c>
      <c r="Q626" t="inlineStr">
        <is>
          <t>Blade</t>
        </is>
      </c>
      <c r="R626" t="inlineStr">
        <is>
          <t>Eyelet</t>
        </is>
      </c>
      <c r="S626" t="inlineStr">
        <is>
          <t>1.7000</t>
        </is>
      </c>
      <c r="T626" t="inlineStr">
        <is>
          <t>No</t>
        </is>
      </c>
      <c r="U626" t="inlineStr">
        <is>
          <t>1 Year/18,000 Mile</t>
        </is>
      </c>
      <c r="V626" t="inlineStr">
        <is>
          <t>Yes</t>
        </is>
      </c>
      <c r="W626" t="inlineStr">
        <is>
          <t>Available to Order</t>
        </is>
      </c>
      <c r="X626" t="inlineStr">
        <is>
          <t>Toyota Yaris 2008-07</t>
        </is>
      </c>
      <c r="Y626" t="inlineStr">
        <is>
          <t>00082617820646</t>
        </is>
      </c>
      <c r="Z626" t="inlineStr">
        <is>
          <t>43-2089::98264:119093:530</t>
        </is>
      </c>
      <c r="AA626" t="inlineStr">
        <is>
          <t>Yes</t>
        </is>
      </c>
      <c r="AB626" t="inlineStr"/>
      <c r="AC626" t="inlineStr"/>
    </row>
    <row r="627">
      <c r="A627" t="inlineStr">
        <is>
          <t>626</t>
        </is>
      </c>
      <c r="B627" t="inlineStr">
        <is>
          <t>Windshield Wiper Motor</t>
        </is>
      </c>
      <c r="C627" t="inlineStr">
        <is>
          <t>43-2090</t>
        </is>
      </c>
      <c r="D627" t="inlineStr">
        <is>
          <t>Windshield Wiper Motor - 43-2090</t>
        </is>
      </c>
      <c r="E627" t="inlineStr">
        <is>
          <t>CARDONE Reman</t>
        </is>
      </c>
      <c r="F627" t="inlineStr">
        <is>
          <t>8512016170</t>
        </is>
      </c>
      <c r="G627" t="inlineStr">
        <is>
          <t>Toyota Tercel 1986</t>
        </is>
      </c>
      <c r="H627" t="inlineStr">
        <is>
          <t>Toyota Tercel 1986 1.5L L4 1452cc</t>
        </is>
      </c>
      <c r="I627" t="inlineStr">
        <is>
          <t>{"0": {"productDeskExternalKey": "CPCX|43-2090"}, "1": {"Package Contents": "Wiper Motor; Instruction Sheet"}, "2": {"E-Waste": "Yes"}, "3": {"Product Condition": "Remanufactured"}, "4": {"Mounting Hole Quantity": "3"}, "5": {"Terminal Type": "Blade"}, "6": {"Mounting Type": "Grommet"}, "7": {"Weight PG": "1.8000"}, "8": {"Washer Pump Included": "No"}, "9": {"Part Type": "Windshield Wiper Motor"}, "10": {"Warranty Info": "1 Year/18,000 Mile"}, "11": {"Sustainable Choice": "Yes"}, "12": {"Lifecycle Status": "Available to Order"}, "13": {"Application Summary": "Toyota Tercel 1986"}, "14": {"ItemLevelGTIN": "00082617820653"}, "15": {"_addonCardone": "43-2090::98264:119115:530"}, "16": {"Eligible for R&amp;R Service": "Yes"}}</t>
        </is>
      </c>
      <c r="J627" t="inlineStr">
        <is>
          <t>https://www.cardone.com/product/windshield-wiper-motor-43-2090</t>
        </is>
      </c>
      <c r="K627">
        <f>DISPIMG("ID_D8F9544E9B134244B895B9BDAEB82121",1)</f>
        <v/>
      </c>
      <c r="L627" t="inlineStr">
        <is>
          <t>CPCX|43-2090</t>
        </is>
      </c>
      <c r="M627" t="inlineStr">
        <is>
          <t>Wiper Motor; Instruction Sheet</t>
        </is>
      </c>
      <c r="N627" t="inlineStr">
        <is>
          <t>Yes</t>
        </is>
      </c>
      <c r="O627" t="inlineStr">
        <is>
          <t>Remanufactured</t>
        </is>
      </c>
      <c r="P627" t="inlineStr">
        <is>
          <t>3</t>
        </is>
      </c>
      <c r="Q627" t="inlineStr">
        <is>
          <t>Blade</t>
        </is>
      </c>
      <c r="R627" t="inlineStr">
        <is>
          <t>Grommet</t>
        </is>
      </c>
      <c r="S627" t="inlineStr">
        <is>
          <t>1.8000</t>
        </is>
      </c>
      <c r="T627" t="inlineStr">
        <is>
          <t>No</t>
        </is>
      </c>
      <c r="U627" t="inlineStr">
        <is>
          <t>1 Year/18,000 Mile</t>
        </is>
      </c>
      <c r="V627" t="inlineStr">
        <is>
          <t>Yes</t>
        </is>
      </c>
      <c r="W627" t="inlineStr">
        <is>
          <t>Available to Order</t>
        </is>
      </c>
      <c r="X627" t="inlineStr">
        <is>
          <t>Toyota Tercel 1986</t>
        </is>
      </c>
      <c r="Y627" t="inlineStr">
        <is>
          <t>00082617820653</t>
        </is>
      </c>
      <c r="Z627" t="inlineStr">
        <is>
          <t>43-2090::98264:119115:530</t>
        </is>
      </c>
      <c r="AA627" t="inlineStr">
        <is>
          <t>Yes</t>
        </is>
      </c>
      <c r="AB627" t="inlineStr"/>
      <c r="AC627" t="inlineStr"/>
    </row>
    <row r="628">
      <c r="A628" t="inlineStr">
        <is>
          <t>627</t>
        </is>
      </c>
      <c r="B628" t="inlineStr">
        <is>
          <t>Windshield Wiper Motor</t>
        </is>
      </c>
      <c r="C628" t="inlineStr">
        <is>
          <t>43-2092</t>
        </is>
      </c>
      <c r="D628" t="inlineStr">
        <is>
          <t>Windshield Wiper Motor - 43-2092</t>
        </is>
      </c>
      <c r="E628" t="inlineStr">
        <is>
          <t>CARDONE Reman</t>
        </is>
      </c>
      <c r="F628" t="inlineStr">
        <is>
          <t>8513013080</t>
        </is>
      </c>
      <c r="G628" t="inlineStr">
        <is>
          <t>Toyota Corolla 1993-1997</t>
        </is>
      </c>
      <c r="H628" t="inlineStr">
        <is>
          <t>Toyota Corolla 1993-1997 1.6L L4 1587cc
Toyota Corolla 1993-1997 1.8L L4 107cid</t>
        </is>
      </c>
      <c r="I628" t="inlineStr">
        <is>
          <t>{"0": {"productDeskExternalKey": "CPCX|43-2092"},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"Toyota Corolla 1997-93"}, "14": {"ItemLevelGTIN": "00082617834285"}, "15": {"_addonCardone": "43-2092::98264:119134:530"}, "16": {"Eligible for R&amp;R Service": "Yes"}}</t>
        </is>
      </c>
      <c r="J628" t="inlineStr">
        <is>
          <t>https://www.cardone.com/product/windshield-wiper-motor-43-2092</t>
        </is>
      </c>
      <c r="K628">
        <f>DISPIMG("ID_59814FF946FC4E8BAD58793D04B98405",1)</f>
        <v/>
      </c>
      <c r="L628" t="inlineStr">
        <is>
          <t>CPCX|43-2092</t>
        </is>
      </c>
      <c r="M628" t="inlineStr">
        <is>
          <t>Wiper Motor; Instruction Sheet</t>
        </is>
      </c>
      <c r="N628" t="inlineStr">
        <is>
          <t>Yes</t>
        </is>
      </c>
      <c r="O628" t="inlineStr">
        <is>
          <t>Remanufactured</t>
        </is>
      </c>
      <c r="P628" t="inlineStr">
        <is>
          <t>3</t>
        </is>
      </c>
      <c r="Q628" t="inlineStr">
        <is>
          <t>Blade</t>
        </is>
      </c>
      <c r="R628" t="inlineStr">
        <is>
          <t>Grommet</t>
        </is>
      </c>
      <c r="S628" t="inlineStr">
        <is>
          <t>2.2000</t>
        </is>
      </c>
      <c r="T628" t="inlineStr">
        <is>
          <t>No</t>
        </is>
      </c>
      <c r="U628" t="inlineStr">
        <is>
          <t>1 Year/18,000 Mile</t>
        </is>
      </c>
      <c r="V628" t="inlineStr">
        <is>
          <t>Yes</t>
        </is>
      </c>
      <c r="W628" t="inlineStr">
        <is>
          <t>Available to Order</t>
        </is>
      </c>
      <c r="X628" t="inlineStr">
        <is>
          <t>Toyota Corolla 1997-93</t>
        </is>
      </c>
      <c r="Y628" t="inlineStr">
        <is>
          <t>00082617834285</t>
        </is>
      </c>
      <c r="Z628" t="inlineStr">
        <is>
          <t>43-2092::98264:119134:530</t>
        </is>
      </c>
      <c r="AA628" t="inlineStr">
        <is>
          <t>Yes</t>
        </is>
      </c>
      <c r="AB628" t="inlineStr"/>
      <c r="AC628" t="inlineStr"/>
    </row>
    <row r="629">
      <c r="A629" t="inlineStr">
        <is>
          <t>628</t>
        </is>
      </c>
      <c r="B629" t="inlineStr">
        <is>
          <t>Windshield Wiper Motor</t>
        </is>
      </c>
      <c r="C629" t="inlineStr">
        <is>
          <t>43-2093</t>
        </is>
      </c>
      <c r="D629" t="inlineStr">
        <is>
          <t>Windshield Wiper Motor - 43-2093</t>
        </is>
      </c>
      <c r="E629" t="inlineStr">
        <is>
          <t>CARDONE Reman</t>
        </is>
      </c>
      <c r="F629" t="inlineStr">
        <is>
          <t>8513042060;8513042061;851300R010</t>
        </is>
      </c>
      <c r="G629" t="inlineStr">
        <is>
          <t>Toyota RAV4 2006-2014</t>
        </is>
      </c>
      <c r="H629" t="inlineStr">
        <is>
          <t>Toyota RAV4 2006-2008 2.4L L4 2362cc
Toyota RAV4 2006-2012 3.5L V6 3456cc
Toyota RAV4 2009-2014 2.5L L4 152cid
Toyota RAV4 2012-2014</t>
        </is>
      </c>
      <c r="I629" t="inlineStr">
        <is>
          <t>{"0": {"productDeskExternalKey": "CPCX|43-2093"}, "1": {"Package Contents": "Wiper Motor; Instruction Sheet"}, "2": {"E-Waste": "Yes"}, "3": {"Product Condition": "Remanufactured"}, "4": {"Mounting Hole Quantity": "4"}, "5": {"Terminal Type": "Blade"}, "6": {"Mounting Type": "Grommet"}, "7": {"Weight PG": "2.6000"}, "8": {"Washer Pump Included": "No"}, "9": {"Part Type": "Windshield Wiper Motor"}, "10": {"Warranty Info": "1 Year/18,000 Mile"}, "11": {"Sustainable Choice": "Yes"}, "12": {"Lifecycle Status": "Available to Order"}, "13": {"Application Summary": "Toyota RAV4 2014 2012-06"}, "14": {"ItemLevelGTIN": "00082617822312"}, "15": {"_addonCardone": "43-2093::98264:119152:530"}, "16": {"Eligible for R&amp;R Service": "Yes"}}</t>
        </is>
      </c>
      <c r="J629" t="inlineStr">
        <is>
          <t>https://www.cardone.com/product/windshield-wiper-motor-43-2093</t>
        </is>
      </c>
      <c r="K629">
        <f>DISPIMG("ID_7A6E66AAC85545D5B61EC1B52FF5A998",1)</f>
        <v/>
      </c>
      <c r="L629" t="inlineStr">
        <is>
          <t>CPCX|43-2093</t>
        </is>
      </c>
      <c r="M629" t="inlineStr">
        <is>
          <t>Wiper Motor; Instruction Sheet</t>
        </is>
      </c>
      <c r="N629" t="inlineStr">
        <is>
          <t>Yes</t>
        </is>
      </c>
      <c r="O629" t="inlineStr">
        <is>
          <t>Remanufactured</t>
        </is>
      </c>
      <c r="P629" t="inlineStr">
        <is>
          <t>4</t>
        </is>
      </c>
      <c r="Q629" t="inlineStr">
        <is>
          <t>Blade</t>
        </is>
      </c>
      <c r="R629" t="inlineStr">
        <is>
          <t>Grommet</t>
        </is>
      </c>
      <c r="S629" t="inlineStr">
        <is>
          <t>2.6000</t>
        </is>
      </c>
      <c r="T629" t="inlineStr">
        <is>
          <t>No</t>
        </is>
      </c>
      <c r="U629" t="inlineStr">
        <is>
          <t>1 Year/18,000 Mile</t>
        </is>
      </c>
      <c r="V629" t="inlineStr">
        <is>
          <t>Yes</t>
        </is>
      </c>
      <c r="W629" t="inlineStr">
        <is>
          <t>Available to Order</t>
        </is>
      </c>
      <c r="X629" t="inlineStr">
        <is>
          <t>Toyota RAV4 2014 2012-06</t>
        </is>
      </c>
      <c r="Y629" t="inlineStr">
        <is>
          <t>00082617822312</t>
        </is>
      </c>
      <c r="Z629" t="inlineStr">
        <is>
          <t>43-2093::98264:119152:530</t>
        </is>
      </c>
      <c r="AA629" t="inlineStr">
        <is>
          <t>Yes</t>
        </is>
      </c>
      <c r="AB629" t="inlineStr"/>
      <c r="AC629" t="inlineStr"/>
    </row>
    <row r="630">
      <c r="A630" t="inlineStr">
        <is>
          <t>629</t>
        </is>
      </c>
      <c r="B630" t="inlineStr">
        <is>
          <t>Windshield Wiper Motor</t>
        </is>
      </c>
      <c r="C630" t="inlineStr">
        <is>
          <t>43-2095</t>
        </is>
      </c>
      <c r="D630" t="inlineStr">
        <is>
          <t>Windshield Wiper Motor - 43-2095</t>
        </is>
      </c>
      <c r="E630" t="inlineStr">
        <is>
          <t>CARDONE Reman</t>
        </is>
      </c>
      <c r="F630" t="inlineStr">
        <is>
          <t>8511030520</t>
        </is>
      </c>
      <c r="G630" t="inlineStr">
        <is>
          <t>Lexus GS300 2006
Lexus GS350 2007
Lexus GS430 2006-2007</t>
        </is>
      </c>
      <c r="H630" t="inlineStr">
        <is>
          <t>Lexus GS300 2006 3L V6 2994cc
Lexus GS350 2007 3.5L V6 3456cc
Lexus GS430 2006-2007 4.3L V8 4293cc</t>
        </is>
      </c>
      <c r="I630" t="inlineStr">
        <is>
          <t>{"0": {"productDeskExternalKey": "CPCX|43-2095"}, "1": {"E-Waste": "Yes"}, "2": {"Product Condition": "Remanufactured"}, "3": {"Weight PG": "2.7500"}, "4": {"Part Type": "Windshield Wiper Motor"}, "5": {"Warranty Info": "1 Year/18,000 Mile"}, "6": {"Sustainable Choice": "Yes"}, "7": {"Lifecycle Status": "Available to Order"}, "8": {"Application Summary": "Lexus GS300 2006, GS350 2007, GS430 2007-06"}, "9": {"ItemLevelGTIN": "00082617825023"}, "10": {"_addonCardone": "43-2095::98264:119173:530"}, "11": {"Eligible for R&amp;R Service": "Yes"}}</t>
        </is>
      </c>
      <c r="J630" t="inlineStr">
        <is>
          <t>https://www.cardone.com/product/windshield-wiper-motor-43-2095</t>
        </is>
      </c>
      <c r="K630">
        <f>DISPIMG("ID_3418BCD1C7C6455B9DCB4EA864581446",1)</f>
        <v/>
      </c>
      <c r="L630" t="inlineStr">
        <is>
          <t>CPCX|43-2095</t>
        </is>
      </c>
      <c r="M630" t="inlineStr"/>
      <c r="N630" t="inlineStr">
        <is>
          <t>Yes</t>
        </is>
      </c>
      <c r="O630" t="inlineStr">
        <is>
          <t>Remanufactured</t>
        </is>
      </c>
      <c r="P630" t="inlineStr"/>
      <c r="Q630" t="inlineStr"/>
      <c r="R630" t="inlineStr"/>
      <c r="S630" t="inlineStr">
        <is>
          <t>2.7500</t>
        </is>
      </c>
      <c r="T630" t="inlineStr"/>
      <c r="U630" t="inlineStr">
        <is>
          <t>1 Year/18,000 Mile</t>
        </is>
      </c>
      <c r="V630" t="inlineStr">
        <is>
          <t>Yes</t>
        </is>
      </c>
      <c r="W630" t="inlineStr">
        <is>
          <t>Available to Order</t>
        </is>
      </c>
      <c r="X630" t="inlineStr">
        <is>
          <t>Lexus GS300 2006, GS350 2007, GS430 2007-06</t>
        </is>
      </c>
      <c r="Y630" t="inlineStr">
        <is>
          <t>00082617825023</t>
        </is>
      </c>
      <c r="Z630" t="inlineStr">
        <is>
          <t>43-2095::98264:119173:530</t>
        </is>
      </c>
      <c r="AA630" t="inlineStr">
        <is>
          <t>Yes</t>
        </is>
      </c>
      <c r="AB630" t="inlineStr"/>
      <c r="AC630" t="inlineStr"/>
    </row>
    <row r="631">
      <c r="A631" t="inlineStr">
        <is>
          <t>630</t>
        </is>
      </c>
      <c r="B631" t="inlineStr">
        <is>
          <t>Windshield Wiper Motor</t>
        </is>
      </c>
      <c r="C631" t="inlineStr">
        <is>
          <t>43-2097</t>
        </is>
      </c>
      <c r="D631" t="inlineStr">
        <is>
          <t>Windshield Wiper Motor - 43-2097</t>
        </is>
      </c>
      <c r="E631" t="inlineStr">
        <is>
          <t>CARDONE Reman</t>
        </is>
      </c>
      <c r="F631" t="inlineStr">
        <is>
          <t>8512016160</t>
        </is>
      </c>
      <c r="G631" t="inlineStr">
        <is>
          <t>Toyota Tercel 1986-1988</t>
        </is>
      </c>
      <c r="H631" t="inlineStr">
        <is>
          <t>Toyota Tercel 1986-1988 1.5L L4 1452cc
Toyota Tercel 1987-1988 1.5L L4 1456cc</t>
        </is>
      </c>
      <c r="I631" t="inlineStr">
        <is>
          <t>{"0": {"productDeskExternalKey": "CPCX|43-2097"}, "1": {"Package Contents": "Wiper Motor; Instruction Sheet"}, "2": {"E-Waste": "Yes"}, "3": {"Product Condition": "Remanufactured"}, "4": {"Mounting Hole Quantity": "3"}, "5": {"Terminal Type": "Blade"}, "6": {"Mounting Type": "Grommet"}, "7": {"Weight PG": "1.9000"}, "8": {"Washer Pump Included": "No"}, "9": {"Part Type": "Windshield Wiper Motor"}, "10": {"Warranty Info": "1 Year/18,000 Mile"}, "11": {"Sustainable Choice": "Yes"}, "12": {"Lifecycle Status": "Available to Order"}, "13": {"Application Summary": "Toyota Tercel 1988-86"}, "14": {"ItemLevelGTIN": "00082617831802"}, "15": {"_addonCardone": "43-2097::98264:119190:530"}, "16": {"Eligible for R&amp;R Service": "Yes"}}</t>
        </is>
      </c>
      <c r="J631" t="inlineStr">
        <is>
          <t>https://www.cardone.com/product/windshield-wiper-motor-43-2097</t>
        </is>
      </c>
      <c r="K631">
        <f>DISPIMG("ID_FBC998C00E504E1AA7FBB09D1B05EC82",1)</f>
        <v/>
      </c>
      <c r="L631" t="inlineStr">
        <is>
          <t>CPCX|43-2097</t>
        </is>
      </c>
      <c r="M631" t="inlineStr">
        <is>
          <t>Wiper Motor; Instruction Sheet</t>
        </is>
      </c>
      <c r="N631" t="inlineStr">
        <is>
          <t>Yes</t>
        </is>
      </c>
      <c r="O631" t="inlineStr">
        <is>
          <t>Remanufactured</t>
        </is>
      </c>
      <c r="P631" t="inlineStr">
        <is>
          <t>3</t>
        </is>
      </c>
      <c r="Q631" t="inlineStr">
        <is>
          <t>Blade</t>
        </is>
      </c>
      <c r="R631" t="inlineStr">
        <is>
          <t>Grommet</t>
        </is>
      </c>
      <c r="S631" t="inlineStr">
        <is>
          <t>1.9000</t>
        </is>
      </c>
      <c r="T631" t="inlineStr">
        <is>
          <t>No</t>
        </is>
      </c>
      <c r="U631" t="inlineStr">
        <is>
          <t>1 Year/18,000 Mile</t>
        </is>
      </c>
      <c r="V631" t="inlineStr">
        <is>
          <t>Yes</t>
        </is>
      </c>
      <c r="W631" t="inlineStr">
        <is>
          <t>Available to Order</t>
        </is>
      </c>
      <c r="X631" t="inlineStr">
        <is>
          <t>Toyota Tercel 1988-86</t>
        </is>
      </c>
      <c r="Y631" t="inlineStr">
        <is>
          <t>00082617831802</t>
        </is>
      </c>
      <c r="Z631" t="inlineStr">
        <is>
          <t>43-2097::98264:119190:530</t>
        </is>
      </c>
      <c r="AA631" t="inlineStr">
        <is>
          <t>Yes</t>
        </is>
      </c>
      <c r="AB631" t="inlineStr"/>
      <c r="AC631" t="inlineStr"/>
    </row>
    <row r="632">
      <c r="A632" t="inlineStr">
        <is>
          <t>631</t>
        </is>
      </c>
      <c r="B632" t="inlineStr">
        <is>
          <t>Windshield Wiper Motor</t>
        </is>
      </c>
      <c r="C632" t="inlineStr">
        <is>
          <t>43-2100</t>
        </is>
      </c>
      <c r="D632" t="inlineStr">
        <is>
          <t>Windshield Wiper Motor - 43-2100</t>
        </is>
      </c>
      <c r="E632" t="inlineStr">
        <is>
          <t>CARDONE Reman</t>
        </is>
      </c>
      <c r="F632" t="inlineStr">
        <is>
          <t>61611378650</t>
        </is>
      </c>
      <c r="G632" t="inlineStr">
        <is>
          <t>BMW 525i 1989-1995
BMW 525iT 1993
BMW 530i 1994-1995
BMW 535i 1989-1993
BMW 540i 1994-1995
BMW 735i 1987-1992
BMW 735iL 1988-1992
BMW 740i 1993-1994
BMW 740iL 1993-1994
BMW 750iL 1988-1994
BMW L7 1987
BMW M5 1991-1993</t>
        </is>
      </c>
      <c r="H632" t="inlineStr">
        <is>
          <t>BMW 525i 1989-1995 2.5L L6 152cid
BMW 525iT 1993 2.5L L6 152cid
BMW 530i 1994-1995 3L V8 2997cc
BMW 535i 1989-1993 3.5L L6 3430cc
BMW 540i 1994-1995 4L V8 3982cc
BMW 735i 1987-1992 3.5L L6 3430cc
BMW 735iL 1988-1992 3.5L L6 3430cc
BMW 740i 1993-1994 4L V8 3982cc
BMW 740iL 1993-1994 4L V8 3982cc
BMW 750iL 1988-1994 5L V12 4988cc
BMW L7 1987 3.5L L6 3430cc
BMW M5 1991-1993 3.6L L6 3553cc</t>
        </is>
      </c>
      <c r="I632" t="inlineStr">
        <is>
          <t>{"0": {"productDeskExternalKey": "CPCX|43-2100"}, "1": {"Package Contents": "Wiper Motor; Instruction Sheet"}, "2": {"E-Waste": "Yes"}, "3": {"Product Condition": "Remanufactured"}, "4": {"Mounting Hole Quantity": "3"}, "5": {"Terminal Type": "Bullet"}, "6": {"Mounting Type": "Direct Bolt"}, "7": {"Weight PG": "3.6000"}, "8": {"Washer Pump Included": "No"}, "9": {"Part Type": "Windshield Wiper Motor"}, "10": {"Warranty Info": "1 Year/18,000 Mile"}, "11": {"Sustainable Choice": "Yes"}, "12": {"Lifecycle Status": "Available to Order"}, "13": {"Application Summary": "BMW 525i 1995-89, 525iT 1993, 530i 1995-94, 535i 1993-89, 540i 1995-94, 735i 1992-87, 735iL 1992-88, 740i 1994-93, 740iL 1994-93, 750iL 1994-88, L7 1987, M5 1993-91"}, "14": {"ItemLevelGTIN": "00082617513470"}, "15": {"_addonCardone": "43-2100::98264:119207:530"}, "16": {"Eligible for R&amp;R Service": "Yes"}}</t>
        </is>
      </c>
      <c r="J632" t="inlineStr">
        <is>
          <t>https://www.cardone.com/product/windshield-wiper-motor-43-2100</t>
        </is>
      </c>
      <c r="K632">
        <f>DISPIMG("ID_8FA089C544FA49B299342B5C38B2FCA7",1)</f>
        <v/>
      </c>
      <c r="L632" t="inlineStr">
        <is>
          <t>CPCX|43-2100</t>
        </is>
      </c>
      <c r="M632" t="inlineStr">
        <is>
          <t>Wiper Motor; Instruction Sheet</t>
        </is>
      </c>
      <c r="N632" t="inlineStr">
        <is>
          <t>Yes</t>
        </is>
      </c>
      <c r="O632" t="inlineStr">
        <is>
          <t>Remanufactured</t>
        </is>
      </c>
      <c r="P632" t="inlineStr">
        <is>
          <t>3</t>
        </is>
      </c>
      <c r="Q632" t="inlineStr">
        <is>
          <t>Bullet</t>
        </is>
      </c>
      <c r="R632" t="inlineStr">
        <is>
          <t>Direct Bolt</t>
        </is>
      </c>
      <c r="S632" t="inlineStr">
        <is>
          <t>3.6000</t>
        </is>
      </c>
      <c r="T632" t="inlineStr">
        <is>
          <t>No</t>
        </is>
      </c>
      <c r="U632" t="inlineStr">
        <is>
          <t>1 Year/18,000 Mile</t>
        </is>
      </c>
      <c r="V632" t="inlineStr">
        <is>
          <t>Yes</t>
        </is>
      </c>
      <c r="W632" t="inlineStr">
        <is>
          <t>Available to Order</t>
        </is>
      </c>
      <c r="X632" t="inlineStr">
        <is>
          <t>BMW 525i 1995-89, 525iT 1993, 530i 1995-94, 535i 1993-89, 540i 1995-94, 735i 1992-87, 735iL 1992-88, 740i 1994-93, 740iL 1994-93, 750iL 1994-88, L7 1987, M5 1993-91</t>
        </is>
      </c>
      <c r="Y632" t="inlineStr">
        <is>
          <t>00082617513470</t>
        </is>
      </c>
      <c r="Z632" t="inlineStr">
        <is>
          <t>43-2100::98264:119207:530</t>
        </is>
      </c>
      <c r="AA632" t="inlineStr">
        <is>
          <t>Yes</t>
        </is>
      </c>
      <c r="AB632" t="inlineStr"/>
      <c r="AC632" t="inlineStr"/>
    </row>
    <row r="633">
      <c r="A633" t="inlineStr">
        <is>
          <t>632</t>
        </is>
      </c>
      <c r="B633" t="inlineStr">
        <is>
          <t>Windshield Wiper Motor</t>
        </is>
      </c>
      <c r="C633" t="inlineStr">
        <is>
          <t>43-2101</t>
        </is>
      </c>
      <c r="D633" t="inlineStr">
        <is>
          <t>Windshield Wiper Motor - 43-2101</t>
        </is>
      </c>
      <c r="E633" t="inlineStr">
        <is>
          <t>CARDONE Reman</t>
        </is>
      </c>
      <c r="F633" t="inlineStr">
        <is>
          <t>67638352150;60638352150</t>
        </is>
      </c>
      <c r="G633" t="inlineStr">
        <is>
          <t>BMW 740i 1995-2001
BMW 740iL 1995-2001
BMW 750iL 1995-2001</t>
        </is>
      </c>
      <c r="H633" t="inlineStr">
        <is>
          <t>BMW 740i 1995 4L V8 3982cc
BMW 740i 1997-2001 4.4L V8 4398cc
BMW 740iL 1995 4L V8 3982cc
BMW 740iL 1996-2001 4.4L V8 4398cc
BMW 750iL 1995-2001 5.4L V12 5379cc</t>
        </is>
      </c>
      <c r="I633" t="inlineStr">
        <is>
          <t>{"0": {"productDeskExternalKey": "CPCX|43-2101"}, "1": {"Package Contents": "Wiper Motor; Instruction Sheet"}, "2": {"E-Waste": "Yes"}, "3": {"Product Condition": "Remanufactured"}, "4": {"Mounting Hole Quantity": "3"}, "5": {"Terminal Type": "Bullet"}, "6": {"Mounting Type": "Direct Bolt"}, "7": {"Weight PG": "3.6000"}, "8": {"Washer Pump Included": "No"}, "9": {"Part Type": "Windshield Wiper Motor"}, "10": {"Warranty Info": "1 Year/18,000 Mile"}, "11": {"Sustainable Choice": "Yes"}, "12": {"Lifecycle Status": "Available to Order"}, "13": {"Application Summary": "BMW 740i 2001-97 1995, 740iL 2001-95, 750iL 2001-95"}, "14": {"ItemLevelGTIN": "00082617616379"}, "15": {"_addonCardone": "43-2101::98264:119227:530"}, "16": {"Eligible for R&amp;R Service": "Yes"}}</t>
        </is>
      </c>
      <c r="J633" t="inlineStr">
        <is>
          <t>https://www.cardone.com/product/windshield-wiper-motor-43-2101</t>
        </is>
      </c>
      <c r="K633">
        <f>DISPIMG("ID_DCB75E97E0054A7A9BE9F9F3849CDDF4",1)</f>
        <v/>
      </c>
      <c r="L633" t="inlineStr">
        <is>
          <t>CPCX|43-2101</t>
        </is>
      </c>
      <c r="M633" t="inlineStr">
        <is>
          <t>Wiper Motor; Instruction Sheet</t>
        </is>
      </c>
      <c r="N633" t="inlineStr">
        <is>
          <t>Yes</t>
        </is>
      </c>
      <c r="O633" t="inlineStr">
        <is>
          <t>Remanufactured</t>
        </is>
      </c>
      <c r="P633" t="inlineStr">
        <is>
          <t>3</t>
        </is>
      </c>
      <c r="Q633" t="inlineStr">
        <is>
          <t>Bullet</t>
        </is>
      </c>
      <c r="R633" t="inlineStr">
        <is>
          <t>Direct Bolt</t>
        </is>
      </c>
      <c r="S633" t="inlineStr">
        <is>
          <t>3.6000</t>
        </is>
      </c>
      <c r="T633" t="inlineStr">
        <is>
          <t>No</t>
        </is>
      </c>
      <c r="U633" t="inlineStr">
        <is>
          <t>1 Year/18,000 Mile</t>
        </is>
      </c>
      <c r="V633" t="inlineStr">
        <is>
          <t>Yes</t>
        </is>
      </c>
      <c r="W633" t="inlineStr">
        <is>
          <t>Available to Order</t>
        </is>
      </c>
      <c r="X633" t="inlineStr">
        <is>
          <t>BMW 740i 2001-97 1995, 740iL 2001-95, 750iL 2001-95</t>
        </is>
      </c>
      <c r="Y633" t="inlineStr">
        <is>
          <t>00082617616379</t>
        </is>
      </c>
      <c r="Z633" t="inlineStr">
        <is>
          <t>43-2101::98264:119227:530</t>
        </is>
      </c>
      <c r="AA633" t="inlineStr">
        <is>
          <t>Yes</t>
        </is>
      </c>
      <c r="AB633" t="inlineStr"/>
      <c r="AC633" t="inlineStr"/>
    </row>
    <row r="634">
      <c r="A634" t="inlineStr">
        <is>
          <t>633</t>
        </is>
      </c>
      <c r="B634" t="inlineStr">
        <is>
          <t>Windshield Wiper Motor</t>
        </is>
      </c>
      <c r="C634" t="inlineStr">
        <is>
          <t>43-2102</t>
        </is>
      </c>
      <c r="D634" t="inlineStr">
        <is>
          <t>Windshield Wiper Motor - 43-2102</t>
        </is>
      </c>
      <c r="E634" t="inlineStr">
        <is>
          <t>CARDONE Reman</t>
        </is>
      </c>
      <c r="F634" t="inlineStr">
        <is>
          <t>61638363512</t>
        </is>
      </c>
      <c r="G634" t="inlineStr">
        <is>
          <t>BMW 318i 1995-1998
BMW 318ti 1995-1999
BMW 325i 1995
BMW 328i 1996-1998</t>
        </is>
      </c>
      <c r="H634" t="inlineStr">
        <is>
          <t>BMW 318i 1995 1.8L L4 1796cc
BMW 318i 1996-1998 1.9L L4 1895cc
BMW 318ti 1995 1.8L L4 1796cc
BMW 318ti 1996-1999 1.9L L4 1895cc
BMW 325i 1995 2.5L L6 152cid
BMW 328i 1996-1998 2.8L L6 2793cc</t>
        </is>
      </c>
      <c r="I634" t="inlineStr">
        <is>
          <t>{"0": {"productDeskExternalKey": "CPCX|43-2102"}, "1": {"Package Contents": "Wiper Motor; Instruction Sheet"}, "2": {"E-Waste": "Yes"}, "3": {"Product Condition": "Remanufactured"}, "4": {"Mounting Hole Quantity": "3"}, "5": {"Terminal Type": "Bullet"}, "6": {"Mounting Type": "Direct Bolt"}, "7": {"Weight PG": "3.0000"}, "8": {"Washer Pump Included": "No"}, "9": {"Part Type": "Windshield Wiper Motor"}, "10": {"Warranty Info": "1 Year/18,000 Mile"}, "11": {"Sustainable Choice": "Yes"}, "12": {"Lifecycle Status": "Available to Order"}, "13": {"Application Summary": "BMW 318i 1998-95, 318ti 1999-95, 325i 1995, 328i 1998-96"}, "14": {"ItemLevelGTIN": "00082617616386"}, "15": {"_addonCardone": "43-2102::98264:119244:530"}, "16": {"Eligible for R&amp;R Service": "Yes"}}</t>
        </is>
      </c>
      <c r="J634" t="inlineStr">
        <is>
          <t>https://www.cardone.com/product/windshield-wiper-motor-43-2102</t>
        </is>
      </c>
      <c r="K634">
        <f>DISPIMG("ID_0A295EA6BDCA4A1FB96E683D826E7F68",1)</f>
        <v/>
      </c>
      <c r="L634" t="inlineStr">
        <is>
          <t>CPCX|43-2102</t>
        </is>
      </c>
      <c r="M634" t="inlineStr">
        <is>
          <t>Wiper Motor; Instruction Sheet</t>
        </is>
      </c>
      <c r="N634" t="inlineStr">
        <is>
          <t>Yes</t>
        </is>
      </c>
      <c r="O634" t="inlineStr">
        <is>
          <t>Remanufactured</t>
        </is>
      </c>
      <c r="P634" t="inlineStr">
        <is>
          <t>3</t>
        </is>
      </c>
      <c r="Q634" t="inlineStr">
        <is>
          <t>Bullet</t>
        </is>
      </c>
      <c r="R634" t="inlineStr">
        <is>
          <t>Direct Bolt</t>
        </is>
      </c>
      <c r="S634" t="inlineStr">
        <is>
          <t>3.0000</t>
        </is>
      </c>
      <c r="T634" t="inlineStr">
        <is>
          <t>No</t>
        </is>
      </c>
      <c r="U634" t="inlineStr">
        <is>
          <t>1 Year/18,000 Mile</t>
        </is>
      </c>
      <c r="V634" t="inlineStr">
        <is>
          <t>Yes</t>
        </is>
      </c>
      <c r="W634" t="inlineStr">
        <is>
          <t>Available to Order</t>
        </is>
      </c>
      <c r="X634" t="inlineStr">
        <is>
          <t>BMW 318i 1998-95, 318ti 1999-95, 325i 1995, 328i 1998-96</t>
        </is>
      </c>
      <c r="Y634" t="inlineStr">
        <is>
          <t>00082617616386</t>
        </is>
      </c>
      <c r="Z634" t="inlineStr">
        <is>
          <t>43-2102::98264:119244:530</t>
        </is>
      </c>
      <c r="AA634" t="inlineStr">
        <is>
          <t>Yes</t>
        </is>
      </c>
      <c r="AB634" t="inlineStr"/>
      <c r="AC634" t="inlineStr"/>
    </row>
    <row r="635">
      <c r="A635" t="inlineStr">
        <is>
          <t>634</t>
        </is>
      </c>
      <c r="B635" t="inlineStr">
        <is>
          <t>Windshield Wiper Motor</t>
        </is>
      </c>
      <c r="C635" t="inlineStr">
        <is>
          <t>43-2103</t>
        </is>
      </c>
      <c r="D635" t="inlineStr">
        <is>
          <t>Windshield Wiper Motor - 43-2103</t>
        </is>
      </c>
      <c r="E635" t="inlineStr">
        <is>
          <t>CARDONE Reman</t>
        </is>
      </c>
      <c r="F635" t="inlineStr">
        <is>
          <t>DKD000010;67638360603</t>
        </is>
      </c>
      <c r="G635" t="inlineStr">
        <is>
          <t>BMW 525i 2001-2003
BMW 528i 1997-2000
BMW 530i 2001-2003
BMW 540i 1997-2003
BMW M5 2000-2003
Land Rover Range Rover 2003-2012</t>
        </is>
      </c>
      <c r="H635" t="inlineStr">
        <is>
          <t>BMW 525i 2001-2003 2.5L L6 152cid
BMW 528i 1997-2000 2.8L L6 2793cc
BMW 530i 2001-2003 3L L6 2979cc
BMW 540i 1997-2003 4.4L V8 4398cc
BMW M5 2000-2003 4.9L V8 302cid
BMW M5 2000-2003 5L V8 4941cc
Land Rover Range Rover 2003-2005 4.4L V8 4398cc
Land Rover Range Rover 2003-2009 4.4L V8 4394cc
Land Rover Range Rover 2006-2009 4.2L V8 256cid
Land Rover Range Rover 2010-2012 5L V8 5000cc
Land Rover Range Rover 2011 5L V8 305cid</t>
        </is>
      </c>
      <c r="I635" t="inlineStr">
        <is>
          <t>{"0": {"productDeskExternalKey": "CPCX|43-2103"}, "1": {"Package Contents": "Wiper Motor; Instruction Sheet"}, "2": {"E-Waste": "Yes"}, "3": {"Product Condition": "Remanufactured"}, "4": {"Mounting Hole Quantity": "3"}, "5": {"Terminal Type": "Bullet"}, "6": {"Mounting Type": "Direct Bolt"}, "7": {"Weight PG": "3.0000"}, "8": {"Washer Pump Included": "No"}, "9": {"Part Type": "Windshield Wiper Motor"}, "10": {"Warranty Info": "1 Year/18,000 Mile"}, "11": {"Sustainable Choice": "Yes"}, "12": {"Lifecycle Status": "Available to Order"}, "13": {"Application Summary": "BMW 525i 2003-01, 528i 2000-97, 530i 2003-01, 540i 2003-97, M5 2003-00; Land Rover Range Rover 2012-03"}, "14": {"ItemLevelGTIN": "00082617616393"}, "15": {"_addonCardone": "43-2103::98264:119267:530"}, "16": {"Eligible for R&amp;R Service": "Yes"}}</t>
        </is>
      </c>
      <c r="J635" t="inlineStr">
        <is>
          <t>https://www.cardone.com/product/windshield-wiper-motor-43-2103</t>
        </is>
      </c>
      <c r="K635">
        <f>DISPIMG("ID_1B356CD289414450A9C1AB66B9045DCF",1)</f>
        <v/>
      </c>
      <c r="L635" t="inlineStr">
        <is>
          <t>CPCX|43-2103</t>
        </is>
      </c>
      <c r="M635" t="inlineStr">
        <is>
          <t>Wiper Motor; Instruction Sheet</t>
        </is>
      </c>
      <c r="N635" t="inlineStr">
        <is>
          <t>Yes</t>
        </is>
      </c>
      <c r="O635" t="inlineStr">
        <is>
          <t>Remanufactured</t>
        </is>
      </c>
      <c r="P635" t="inlineStr">
        <is>
          <t>3</t>
        </is>
      </c>
      <c r="Q635" t="inlineStr">
        <is>
          <t>Bullet</t>
        </is>
      </c>
      <c r="R635" t="inlineStr">
        <is>
          <t>Direct Bolt</t>
        </is>
      </c>
      <c r="S635" t="inlineStr">
        <is>
          <t>3.0000</t>
        </is>
      </c>
      <c r="T635" t="inlineStr">
        <is>
          <t>No</t>
        </is>
      </c>
      <c r="U635" t="inlineStr">
        <is>
          <t>1 Year/18,000 Mile</t>
        </is>
      </c>
      <c r="V635" t="inlineStr">
        <is>
          <t>Yes</t>
        </is>
      </c>
      <c r="W635" t="inlineStr">
        <is>
          <t>Available to Order</t>
        </is>
      </c>
      <c r="X635" t="inlineStr">
        <is>
          <t>BMW 525i 2003-01, 528i 2000-97, 530i 2003-01, 540i 2003-97, M5 2003-00; Land Rover Range Rover 2012-03</t>
        </is>
      </c>
      <c r="Y635" t="inlineStr">
        <is>
          <t>00082617616393</t>
        </is>
      </c>
      <c r="Z635" t="inlineStr">
        <is>
          <t>43-2103::98264:119267:530</t>
        </is>
      </c>
      <c r="AA635" t="inlineStr">
        <is>
          <t>Yes</t>
        </is>
      </c>
      <c r="AB635" t="inlineStr"/>
      <c r="AC635" t="inlineStr"/>
    </row>
    <row r="636">
      <c r="A636" t="inlineStr">
        <is>
          <t>635</t>
        </is>
      </c>
      <c r="B636" t="inlineStr">
        <is>
          <t>Windshield Wiper Motor</t>
        </is>
      </c>
      <c r="C636" t="inlineStr">
        <is>
          <t>43-2104</t>
        </is>
      </c>
      <c r="D636" t="inlineStr">
        <is>
          <t>Windshield Wiper Motor - 43-2104</t>
        </is>
      </c>
      <c r="E636" t="inlineStr">
        <is>
          <t>CARDONE Reman</t>
        </is>
      </c>
      <c r="F636" t="inlineStr">
        <is>
          <t>61618391303;61617051669;61617071693</t>
        </is>
      </c>
      <c r="G636" t="inlineStr">
        <is>
          <t>BMW 323Ci 2000
BMW 323i 1999-2000
BMW 323is 1999
BMW 325Ci 2001-2006
BMW 325i 2001-2005
BMW 325xi 2001-2006
BMW 328Ci 2000
BMW 328i 1999-2000
BMW 330Ci 2001-2006
BMW 330i 2001-2005
BMW 330xi 2001-2005
BMW M3 2001-2006
BMW X3 2004-2010</t>
        </is>
      </c>
      <c r="H636" t="inlineStr">
        <is>
          <t>BMW 323Ci 2000 2.5L L6 152cid
BMW 323i 1999-2000 2.5L L6 152cid
BMW 323is 1999 2.5L L6 152cid
BMW 325Ci 2001-2006 2.5L L6 152cid
BMW 325i 2001-2005 2.5L L6 152cid
BMW 325xi 2001-2005 2.5L L6 152cid
BMW 325xi 2006 3L L6 2996cc
BMW 328Ci 2000 2.8L L6 2793cc
BMW 328i 1999-2000 2.8L L6 2793cc
BMW 330Ci 2001-2006 3L L6 2979cc
BMW 330i 2001-2005 3L L6 2979cc
BMW 330xi 2001-2005 3L L6 2979cc
BMW M3 2001-2006 3.2L L6 3246cc
BMW X3 2004-2006 3L L6 2979cc
BMW X3 2004-2010 2.5L L6 152cid
BMW X3 2007-2010 3L L6 2996cc</t>
        </is>
      </c>
      <c r="I636" t="inlineStr">
        <is>
          <t>{"0": {"productDeskExternalKey": "CPCX|43-2104"},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"BMW 323Ci 2000, 323i 2000-99, 323is 1999, 325Ci 2006-01, 325i 2005-01, 325xi 2006-01, 328Ci 2000, 328i 2000-99, 330Ci 2006-01, 330i 2005-01, 330xi 2005-01, M3 2006-01, X3 2010-04"}, "14": {"ItemLevelGTIN": "00082617621618"}, "15": {"_addonCardone": "43-2104::98264:119287:530"}, "16": {"Eligible for R&amp;R Service": "Yes"}}</t>
        </is>
      </c>
      <c r="J636" t="inlineStr">
        <is>
          <t>https://www.cardone.com/product/windshield-wiper-motor-43-2104</t>
        </is>
      </c>
      <c r="K636">
        <f>DISPIMG("ID_D3841730A9D7484FB274689E0CD58D94",1)</f>
        <v/>
      </c>
      <c r="L636" t="inlineStr">
        <is>
          <t>CPCX|43-2104</t>
        </is>
      </c>
      <c r="M636" t="inlineStr">
        <is>
          <t>Wiper Motor; Instruction Sheet</t>
        </is>
      </c>
      <c r="N636" t="inlineStr">
        <is>
          <t>Yes</t>
        </is>
      </c>
      <c r="O636" t="inlineStr">
        <is>
          <t>Remanufactured</t>
        </is>
      </c>
      <c r="P636" t="inlineStr">
        <is>
          <t>3</t>
        </is>
      </c>
      <c r="Q636" t="inlineStr">
        <is>
          <t>Blade</t>
        </is>
      </c>
      <c r="R636" t="inlineStr">
        <is>
          <t>Direct Bolt</t>
        </is>
      </c>
      <c r="S636" t="inlineStr">
        <is>
          <t>3.0000</t>
        </is>
      </c>
      <c r="T636" t="inlineStr">
        <is>
          <t>No</t>
        </is>
      </c>
      <c r="U636" t="inlineStr">
        <is>
          <t>1 Year/18,000 Mile</t>
        </is>
      </c>
      <c r="V636" t="inlineStr">
        <is>
          <t>Yes</t>
        </is>
      </c>
      <c r="W636" t="inlineStr">
        <is>
          <t>Available to Order</t>
        </is>
      </c>
      <c r="X636" t="inlineStr">
        <is>
          <t>BMW 323Ci 2000, 323i 2000-99, 323is 1999, 325Ci 2006-01, 325i 2005-01, 325xi 2006-01, 328Ci 2000, 328i 2000-99, 330Ci 2006-01, 330i 2005-01, 330xi 2005-01, M3 2006-01, X3 2010-04</t>
        </is>
      </c>
      <c r="Y636" t="inlineStr">
        <is>
          <t>00082617621618</t>
        </is>
      </c>
      <c r="Z636" t="inlineStr">
        <is>
          <t>43-2104::98264:119287:530</t>
        </is>
      </c>
      <c r="AA636" t="inlineStr">
        <is>
          <t>Yes</t>
        </is>
      </c>
      <c r="AB636" t="inlineStr"/>
      <c r="AC636" t="inlineStr"/>
    </row>
    <row r="637">
      <c r="A637" t="inlineStr">
        <is>
          <t>636</t>
        </is>
      </c>
      <c r="B637" t="inlineStr">
        <is>
          <t>Windshield Wiper Motor</t>
        </is>
      </c>
      <c r="C637" t="inlineStr">
        <is>
          <t>43-2105</t>
        </is>
      </c>
      <c r="D637" t="inlineStr">
        <is>
          <t>Windshield Wiper Motor - 43-2105</t>
        </is>
      </c>
      <c r="E637" t="inlineStr">
        <is>
          <t>CARDONE Reman</t>
        </is>
      </c>
      <c r="F637" t="inlineStr">
        <is>
          <t>61628402372;61626927851</t>
        </is>
      </c>
      <c r="G637" t="inlineStr">
        <is>
          <t>BMW X5 2000-2006</t>
        </is>
      </c>
      <c r="H637" t="inlineStr">
        <is>
          <t>BMW X5 2000-2006 4.4L V8 4398cc
BMW X5 2001-2006 3L L6 2979cc
BMW X5 2002-2003 4.6L V8 4598cc
BMW X5 2004-2006 4.8L V8 4837cc
BMW X5 2005-2006 4.8L V8 4799cc</t>
        </is>
      </c>
      <c r="I637" t="inlineStr">
        <is>
          <t>{"0": {"productDeskExternalKey": "CPCX|43-2105"}, "1": {"Package Contents": "Wiper Motor; Instruction Sheet"}, "2": {"E-Waste": "Yes"}, "3": {"Product Condition": "Remanufactured"}, "4": {"Mounting Hole Quantity": "3"}, "5": {"Terminal Type": "Blade; Pin"}, "6": {"Mounting Type": "Grommet"}, "7": {"Weight PG": "2.2000"}, "8": {"Washer Pump Included": "No"}, "9": {"Part Type": "Windshield Wiper Motor"}, "10": {"Warranty Info": "1 Year/18,000 Mile"}, "11": {"Sustainable Choice": "Yes"}, "12": {"Lifecycle Status": "Available to Order"}, "13": {"Application Summary": "BMW X5 2006-00"}, "14": {"ItemLevelGTIN": "00082617641388"}, "15": {"_addonCardone": "43-2105::98264:119309:530"}, "16": {"Eligible for R&amp;R Service": "Yes"}}</t>
        </is>
      </c>
      <c r="J637" t="inlineStr">
        <is>
          <t>https://www.cardone.com/product/windshield-wiper-motor-43-2105</t>
        </is>
      </c>
      <c r="K637">
        <f>DISPIMG("ID_1FA14F28723C421D8DF046438A6C4E9E",1)</f>
        <v/>
      </c>
      <c r="L637" t="inlineStr">
        <is>
          <t>CPCX|43-2105</t>
        </is>
      </c>
      <c r="M637" t="inlineStr">
        <is>
          <t>Wiper Motor; Instruction Sheet</t>
        </is>
      </c>
      <c r="N637" t="inlineStr">
        <is>
          <t>Yes</t>
        </is>
      </c>
      <c r="O637" t="inlineStr">
        <is>
          <t>Remanufactured</t>
        </is>
      </c>
      <c r="P637" t="inlineStr">
        <is>
          <t>3</t>
        </is>
      </c>
      <c r="Q637" t="inlineStr">
        <is>
          <t>Blade; Pin</t>
        </is>
      </c>
      <c r="R637" t="inlineStr">
        <is>
          <t>Grommet</t>
        </is>
      </c>
      <c r="S637" t="inlineStr">
        <is>
          <t>2.2000</t>
        </is>
      </c>
      <c r="T637" t="inlineStr">
        <is>
          <t>No</t>
        </is>
      </c>
      <c r="U637" t="inlineStr">
        <is>
          <t>1 Year/18,000 Mile</t>
        </is>
      </c>
      <c r="V637" t="inlineStr">
        <is>
          <t>Yes</t>
        </is>
      </c>
      <c r="W637" t="inlineStr">
        <is>
          <t>Available to Order</t>
        </is>
      </c>
      <c r="X637" t="inlineStr">
        <is>
          <t>BMW X5 2006-00</t>
        </is>
      </c>
      <c r="Y637" t="inlineStr">
        <is>
          <t>00082617641388</t>
        </is>
      </c>
      <c r="Z637" t="inlineStr">
        <is>
          <t>43-2105::98264:119309:530</t>
        </is>
      </c>
      <c r="AA637" t="inlineStr">
        <is>
          <t>Yes</t>
        </is>
      </c>
      <c r="AB637" t="inlineStr"/>
      <c r="AC637" t="inlineStr"/>
    </row>
    <row r="638">
      <c r="A638" t="inlineStr">
        <is>
          <t>637</t>
        </is>
      </c>
      <c r="B638" t="inlineStr">
        <is>
          <t>Windshield Wiper Motor</t>
        </is>
      </c>
      <c r="C638" t="inlineStr">
        <is>
          <t>43-2106</t>
        </is>
      </c>
      <c r="D638" t="inlineStr">
        <is>
          <t>Windshield Wiper Motor - 43-2106</t>
        </is>
      </c>
      <c r="E638" t="inlineStr">
        <is>
          <t>CARDONE Reman</t>
        </is>
      </c>
      <c r="F638" t="inlineStr">
        <is>
          <t>6161111535;61617111535</t>
        </is>
      </c>
      <c r="G638" t="inlineStr">
        <is>
          <t>BMW X5 2000-2006</t>
        </is>
      </c>
      <c r="H638" t="inlineStr">
        <is>
          <t>BMW X5 2000-2006 4.4L V8 4398cc
BMW X5 2001-2006 3L L6 2979cc
BMW X5 2002-2003 4.6L V8 4598cc
BMW X5 2004-2006 4.8L V8 4837cc
BMW X5 2005-2006 4.8L V8 4799cc</t>
        </is>
      </c>
      <c r="I638" t="inlineStr">
        <is>
          <t>{"0": {"productDeskExternalKey": "CPCX|43-2106"}, "1": {"Package Contents": "Wiper Motor; Instruction Sheet"}, "2": {"E-Waste": "Yes"}, "3": {"Product Condition": "Remanufactured"}, "4": {"Mounting Hole Quantity": "3"}, "5": {"Terminal Type": "Bullet"}, "6": {"Mounting Type": "Direct Bolt"}, "7": {"Weight PG": "3.0000"}, "8": {"Washer Pump Included": "No"}, "9": {"Part Type": "Windshield Wiper Motor"}, "10": {"Warranty Info": "1 Year/18,000 Mile"}, "11": {"Sustainable Choice": "Yes"}, "12": {"Lifecycle Status": "Available to Order"}, "13": {"Application Summary": "BMW X5 2006-00"}, "14": {"ItemLevelGTIN": "00082617776172"}, "15": {"_addonCardone": "43-2106::98264:119329:530"}, "16": {"Eligible for R&amp;R Service": "Yes"}}</t>
        </is>
      </c>
      <c r="J638" t="inlineStr">
        <is>
          <t>https://www.cardone.com/product/windshield-wiper-motor-43-2106</t>
        </is>
      </c>
      <c r="K638">
        <f>DISPIMG("ID_72A821E8B1B14FBA9C718820DB85A45F",1)</f>
        <v/>
      </c>
      <c r="L638" t="inlineStr">
        <is>
          <t>CPCX|43-2106</t>
        </is>
      </c>
      <c r="M638" t="inlineStr">
        <is>
          <t>Wiper Motor; Instruction Sheet</t>
        </is>
      </c>
      <c r="N638" t="inlineStr">
        <is>
          <t>Yes</t>
        </is>
      </c>
      <c r="O638" t="inlineStr">
        <is>
          <t>Remanufactured</t>
        </is>
      </c>
      <c r="P638" t="inlineStr">
        <is>
          <t>3</t>
        </is>
      </c>
      <c r="Q638" t="inlineStr">
        <is>
          <t>Bullet</t>
        </is>
      </c>
      <c r="R638" t="inlineStr">
        <is>
          <t>Direct Bolt</t>
        </is>
      </c>
      <c r="S638" t="inlineStr">
        <is>
          <t>3.0000</t>
        </is>
      </c>
      <c r="T638" t="inlineStr">
        <is>
          <t>No</t>
        </is>
      </c>
      <c r="U638" t="inlineStr">
        <is>
          <t>1 Year/18,000 Mile</t>
        </is>
      </c>
      <c r="V638" t="inlineStr">
        <is>
          <t>Yes</t>
        </is>
      </c>
      <c r="W638" t="inlineStr">
        <is>
          <t>Available to Order</t>
        </is>
      </c>
      <c r="X638" t="inlineStr">
        <is>
          <t>BMW X5 2006-00</t>
        </is>
      </c>
      <c r="Y638" t="inlineStr">
        <is>
          <t>00082617776172</t>
        </is>
      </c>
      <c r="Z638" t="inlineStr">
        <is>
          <t>43-2106::98264:119329:530</t>
        </is>
      </c>
      <c r="AA638" t="inlineStr">
        <is>
          <t>Yes</t>
        </is>
      </c>
      <c r="AB638" t="inlineStr"/>
      <c r="AC638" t="inlineStr"/>
    </row>
    <row r="639">
      <c r="A639" t="inlineStr">
        <is>
          <t>638</t>
        </is>
      </c>
      <c r="B639" t="inlineStr">
        <is>
          <t>Windshield Wiper Motor</t>
        </is>
      </c>
      <c r="C639" t="inlineStr">
        <is>
          <t>43-2107</t>
        </is>
      </c>
      <c r="D639" t="inlineStr">
        <is>
          <t>Windshield Wiper Motor - 43-2107</t>
        </is>
      </c>
      <c r="E639" t="inlineStr">
        <is>
          <t>CARDONE Reman</t>
        </is>
      </c>
      <c r="F639" t="inlineStr">
        <is>
          <t>61617174969</t>
        </is>
      </c>
      <c r="G639" t="inlineStr">
        <is>
          <t>BMW 745Li 2003-2005
BMW 745i 2002-2005
BMW 750Li 2006-2008
BMW 750i 2006-2008
BMW 760Li 2003-2008
BMW 760i 2004-2006
BMW Alpina B7 2007-2008</t>
        </is>
      </c>
      <c r="H639" t="inlineStr">
        <is>
          <t>BMW 745Li 2003-2005 4.4L V8 4398cc
BMW 745i 2002-2005 4.4L V8 4398cc
BMW 750Li 2006-2008 4.8L V8 4799cc
BMW 750Li 2006-2008 4.8L V8 4837cc
BMW 750i 2006-2008 4.8L V8 4799cc
BMW 750i 2006-2008 4.8L V8 4837cc
BMW 760Li 2003-2008 6L V12 5972cc
BMW 760i 2004-2006 6L V12 5972cc
BMW Alpina B7 2007-2008 4.4L V8 4398cc</t>
        </is>
      </c>
      <c r="I639" t="inlineStr">
        <is>
          <t>{"0": {"productDeskExternalKey": "CPCX|43-2107"}, "1": {"E-Waste": "Yes"}, "2": {"Product Condition": "Remanufactured"}, "3": {"Weight PG": "4.3500"}, "4": {"Part Type": "Windshield Wiper Motor"}, "5": {"Warranty Info": "1 Year/18,000 Mile"}, "6": {"Sustainable Choice": "Yes"}, "7": {"Lifecycle Status": "Available to Order"}, "8": {"Application Summary": "BMW 745i 2005-02, 745Li 2005-03, 750i 2008-06, 750Li 2008-06, 760i 2006-04, 760Li 2008-03, Alpina B7 2008-07"}, "9": {"ItemLevelGTIN": "00082617785303"}, "10": {"_addonCardone": "43-2107::98264:119347:530"}, "11": {"Eligible for R&amp;R Service": "Yes"}}</t>
        </is>
      </c>
      <c r="J639" t="inlineStr">
        <is>
          <t>https://www.cardone.com/product/windshield-wiper-motor-43-2107</t>
        </is>
      </c>
      <c r="K639">
        <f>DISPIMG("ID_3D67E84055C04BC59636E15D89AC98D9",1)</f>
        <v/>
      </c>
      <c r="L639" t="inlineStr">
        <is>
          <t>CPCX|43-2107</t>
        </is>
      </c>
      <c r="M639" t="inlineStr"/>
      <c r="N639" t="inlineStr">
        <is>
          <t>Yes</t>
        </is>
      </c>
      <c r="O639" t="inlineStr">
        <is>
          <t>Remanufactured</t>
        </is>
      </c>
      <c r="P639" t="inlineStr"/>
      <c r="Q639" t="inlineStr"/>
      <c r="R639" t="inlineStr"/>
      <c r="S639" t="inlineStr">
        <is>
          <t>4.3500</t>
        </is>
      </c>
      <c r="T639" t="inlineStr"/>
      <c r="U639" t="inlineStr">
        <is>
          <t>1 Year/18,000 Mile</t>
        </is>
      </c>
      <c r="V639" t="inlineStr">
        <is>
          <t>Yes</t>
        </is>
      </c>
      <c r="W639" t="inlineStr">
        <is>
          <t>Available to Order</t>
        </is>
      </c>
      <c r="X639" t="inlineStr">
        <is>
          <t>BMW 745i 2005-02, 745Li 2005-03, 750i 2008-06, 750Li 2008-06, 760i 2006-04, 760Li 2008-03, Alpina B7 2008-07</t>
        </is>
      </c>
      <c r="Y639" t="inlineStr">
        <is>
          <t>00082617785303</t>
        </is>
      </c>
      <c r="Z639" t="inlineStr">
        <is>
          <t>43-2107::98264:119347:530</t>
        </is>
      </c>
      <c r="AA639" t="inlineStr">
        <is>
          <t>Yes</t>
        </is>
      </c>
      <c r="AB639" t="inlineStr"/>
      <c r="AC639" t="inlineStr"/>
    </row>
    <row r="640">
      <c r="A640" t="inlineStr">
        <is>
          <t>639</t>
        </is>
      </c>
      <c r="B640" t="inlineStr">
        <is>
          <t>Windshield Wiper Motor</t>
        </is>
      </c>
      <c r="C640" t="inlineStr">
        <is>
          <t>43-2108</t>
        </is>
      </c>
      <c r="D640" t="inlineStr">
        <is>
          <t>Windshield Wiper Motor - 43-2108</t>
        </is>
      </c>
      <c r="E640" t="inlineStr">
        <is>
          <t>CARDONE Reman</t>
        </is>
      </c>
      <c r="F640" t="inlineStr">
        <is>
          <t>61627010295</t>
        </is>
      </c>
      <c r="G640" t="inlineStr">
        <is>
          <t>BMW 325i 2001-2005
BMW 325xi 2001-2005</t>
        </is>
      </c>
      <c r="H640" t="inlineStr">
        <is>
          <t>BMW 325i 2001-2005 2.5L L6 152cid
BMW 325xi 2001-2005 2.5L L6 152cid</t>
        </is>
      </c>
      <c r="I640" t="inlineStr">
        <is>
          <t>{"0": {"productDeskExternalKey": "CPCX|43-2108"}, "1": {"Package Contents": "Wiper Motor; Instruction Sheet"}, "2": {"E-Waste": "Yes"}, "3": {"Product Condition": "Remanufactured"}, "4": {"Mounting Hole Quantity": "3"}, "5": {"Terminal Type": "Bullet; Pin"}, "6": {"Mounting Type": "Grommet"}, "7": {"Weight PG": "3.2000"}, "8": {"Washer Pump Included": "No"}, "9": {"Part Type": "Windshield Wiper Motor"}, "10": {"Warranty Info": "1 Year/18,000 Mile"}, "11": {"Sustainable Choice": "Yes"}, "12": {"Lifecycle Status": "Available to Order"}, "13": {"Application Summary": "BMW 325i 2005-01, 325xi 2005-01"}, "14": {"ItemLevelGTIN": "00082617785716"}, "15": {"_addonCardone": "43-2108::98264:119367:530"}, "16": {"Eligible for R&amp;R Service": "Yes"}}</t>
        </is>
      </c>
      <c r="J640" t="inlineStr">
        <is>
          <t>https://www.cardone.com/product/windshield-wiper-motor-43-2108</t>
        </is>
      </c>
      <c r="K640">
        <f>DISPIMG("ID_645E376AAD9A4CC982859285821FD227",1)</f>
        <v/>
      </c>
      <c r="L640" t="inlineStr">
        <is>
          <t>CPCX|43-2108</t>
        </is>
      </c>
      <c r="M640" t="inlineStr">
        <is>
          <t>Wiper Motor; Instruction Sheet</t>
        </is>
      </c>
      <c r="N640" t="inlineStr">
        <is>
          <t>Yes</t>
        </is>
      </c>
      <c r="O640" t="inlineStr">
        <is>
          <t>Remanufactured</t>
        </is>
      </c>
      <c r="P640" t="inlineStr">
        <is>
          <t>3</t>
        </is>
      </c>
      <c r="Q640" t="inlineStr">
        <is>
          <t>Bullet; Pin</t>
        </is>
      </c>
      <c r="R640" t="inlineStr">
        <is>
          <t>Grommet</t>
        </is>
      </c>
      <c r="S640" t="inlineStr">
        <is>
          <t>3.2000</t>
        </is>
      </c>
      <c r="T640" t="inlineStr">
        <is>
          <t>No</t>
        </is>
      </c>
      <c r="U640" t="inlineStr">
        <is>
          <t>1 Year/18,000 Mile</t>
        </is>
      </c>
      <c r="V640" t="inlineStr">
        <is>
          <t>Yes</t>
        </is>
      </c>
      <c r="W640" t="inlineStr">
        <is>
          <t>Available to Order</t>
        </is>
      </c>
      <c r="X640" t="inlineStr">
        <is>
          <t>BMW 325i 2005-01, 325xi 2005-01</t>
        </is>
      </c>
      <c r="Y640" t="inlineStr">
        <is>
          <t>00082617785716</t>
        </is>
      </c>
      <c r="Z640" t="inlineStr">
        <is>
          <t>43-2108::98264:119367:530</t>
        </is>
      </c>
      <c r="AA640" t="inlineStr">
        <is>
          <t>Yes</t>
        </is>
      </c>
      <c r="AB640" t="inlineStr"/>
      <c r="AC640" t="inlineStr"/>
    </row>
    <row r="641">
      <c r="A641" t="inlineStr">
        <is>
          <t>640</t>
        </is>
      </c>
      <c r="B641" t="inlineStr">
        <is>
          <t>Windshield Wiper Motor</t>
        </is>
      </c>
      <c r="C641" t="inlineStr">
        <is>
          <t>43-2109</t>
        </is>
      </c>
      <c r="D641" t="inlineStr">
        <is>
          <t>Windshield Wiper Motor - 43-2109</t>
        </is>
      </c>
      <c r="E641" t="inlineStr">
        <is>
          <t>CARDONE Reman</t>
        </is>
      </c>
      <c r="F641" t="inlineStr">
        <is>
          <t>61617194029;61617176377;61617131164;61617179433</t>
        </is>
      </c>
      <c r="G641" t="inlineStr">
        <is>
          <t>BMW 525i 2004-2007
BMW 525xi 2006-2007
BMW 528i 2008-2011
BMW 528i xDrive 2009-2010
BMW 528xi 2008
BMW 530i 2004-2007
BMW 530xi 2006-2007
BMW 535i 2008-2010
BMW 535i GT 2010
BMW 535i xDrive 2009-2010
BMW 535xi 2008
BMW 545i 2004-2005
BMW 550i 2006-2010
BMW 645Ci 2004-2005
BMW 650i 2006-2010
BMW M5 2006-2010
BMW M6 2006-2010</t>
        </is>
      </c>
      <c r="H641" t="inlineStr">
        <is>
          <t>BMW 525i 2004-2005 2.5L L6 152cid
BMW 525i 2006-2007 2.5L L6 2497cc
BMW 525i 2006-2007 3L L6 2996cc
BMW 525xi 2006-2007 3L L6 2996cc
BMW 528i 2008-2011 3L L6 2996cc
BMW 528i 2011 3L L6 183cid
BMW 528i 2011 3L L6 2979cc
BMW 528i xDrive 2009-2010 3L L6 2996cc
BMW 528xi 2008 3L L6 2996cc
BMW 530i 2004-2005 3L L6 2979cc
BMW 530i 2006-2007 3L L6 2996cc
BMW 530xi 2006-2007 3L L6 2996cc
BMW 535i 2008-2010 3L L6 2979cc
BMW 535i GT 2010 3L L6 2979cc
BMW 535i xDrive 2009-2010 3L L6 2979cc
BMW 535xi 2008 3L L6 2979cc
BMW 545i 2004-2005 4.4L V8 4398cc
BMW 550i 2006-2009 4.8L V8 4799cc
BMW 550i 2006-2010 4.8L V8 4837cc
BMW 550i 2010 4.8L V8 293cid
BMW 645Ci 2004-2005 4.4L V8 4398cc
BMW 650i 2006-2010 4.8L V8 4837cc
BMW M5 2006-2010 5L V10 4999cc
BMW M6 2006-2010 5L V10 4999cc</t>
        </is>
      </c>
      <c r="I641" t="inlineStr">
        <is>
          <t>{"0": {"productDeskExternalKey": "CPCX|43-2109"}, "1": {"Package Contents": "Wiper Motor; Instruction Sheet"}, "2": {"E-Waste": "Yes"}, "3": {"Product Condition": "Remanufactured"}, "4": {"Mounting Hole Quantity": "4"}, "5": {"Terminal Type": "Blade"}, "6": {"Mounting Type": "Direct Bolt"}, "7": {"Weight PG": "3.4500"}, "8": {"Washer Pump Included": "No"}, "9": {"Part Type": "Windshield Wiper Motor"}, "10": {"Warranty Info": "1 Year/18,000 Mile"}, "11": {"Sustainable Choice": "Yes"}, "12": {"Lifecycle Status": "Available to Order"}, "13": {"Application Summary": "BMW 525i 2007-04, 525xi 2007-06, 528i 2011-08, 528i xDrive 2010-09, 528xi 2008, 530i 2007-04, 530xi 2007-06, 535i 2010-08, 535i GT 2010, 535i xDrive 2010-09, 535xi 2008, 545i 2005-04, 550i 2010-06, 645Ci 2005-04, 650i 2010-06, M5 2010-06, M6 2010-06"}, "14": {"ItemLevelGTIN": "00082617785723"}, "15": {"_addonCardone": "43-2109::98264:119389:530"}, "16": {"Eligible for R&amp;R Service": "Yes"}}</t>
        </is>
      </c>
      <c r="J641" t="inlineStr">
        <is>
          <t>https://www.cardone.com/product/windshield-wiper-motor-43-2109</t>
        </is>
      </c>
      <c r="K641">
        <f>DISPIMG("ID_97293DFB5D684547862F77061CD682F5",1)</f>
        <v/>
      </c>
      <c r="L641" t="inlineStr">
        <is>
          <t>CPCX|43-2109</t>
        </is>
      </c>
      <c r="M641" t="inlineStr">
        <is>
          <t>Wiper Motor; Instruction Sheet</t>
        </is>
      </c>
      <c r="N641" t="inlineStr">
        <is>
          <t>Yes</t>
        </is>
      </c>
      <c r="O641" t="inlineStr">
        <is>
          <t>Remanufactured</t>
        </is>
      </c>
      <c r="P641" t="inlineStr">
        <is>
          <t>4</t>
        </is>
      </c>
      <c r="Q641" t="inlineStr">
        <is>
          <t>Blade</t>
        </is>
      </c>
      <c r="R641" t="inlineStr">
        <is>
          <t>Direct Bolt</t>
        </is>
      </c>
      <c r="S641" t="inlineStr">
        <is>
          <t>3.4500</t>
        </is>
      </c>
      <c r="T641" t="inlineStr">
        <is>
          <t>No</t>
        </is>
      </c>
      <c r="U641" t="inlineStr">
        <is>
          <t>1 Year/18,000 Mile</t>
        </is>
      </c>
      <c r="V641" t="inlineStr">
        <is>
          <t>Yes</t>
        </is>
      </c>
      <c r="W641" t="inlineStr">
        <is>
          <t>Available to Order</t>
        </is>
      </c>
      <c r="X641" t="inlineStr">
        <is>
          <t>BMW 525i 2007-04, 525xi 2007-06, 528i 2011-08, 528i xDrive 2010-09, 528xi 2008, 530i 2007-04, 530xi 2007-06, 535i 2010-08, 535i GT 2010, 535i xDrive 2010-09, 535xi 2008, 545i 2005-04, 550i 2010-06, 645Ci 2005-04, 650i 2010-06, M5 2010-06, M6 2010-06</t>
        </is>
      </c>
      <c r="Y641" t="inlineStr">
        <is>
          <t>00082617785723</t>
        </is>
      </c>
      <c r="Z641" t="inlineStr">
        <is>
          <t>43-2109::98264:119389:530</t>
        </is>
      </c>
      <c r="AA641" t="inlineStr">
        <is>
          <t>Yes</t>
        </is>
      </c>
      <c r="AB641" t="inlineStr"/>
      <c r="AC641" t="inlineStr"/>
    </row>
    <row r="642">
      <c r="A642" t="inlineStr">
        <is>
          <t>641</t>
        </is>
      </c>
      <c r="B642" t="inlineStr">
        <is>
          <t>Windshield Wiper Motor</t>
        </is>
      </c>
      <c r="C642" t="inlineStr">
        <is>
          <t>43-2110</t>
        </is>
      </c>
      <c r="D642" t="inlineStr">
        <is>
          <t>Windshield Wiper Motor - 43-2110</t>
        </is>
      </c>
      <c r="E642" t="inlineStr">
        <is>
          <t>CARDONE Reman</t>
        </is>
      </c>
      <c r="F642" t="inlineStr">
        <is>
          <t>67636917907</t>
        </is>
      </c>
      <c r="G642" t="inlineStr">
        <is>
          <t>BMW X3 2004-2010</t>
        </is>
      </c>
      <c r="H642" t="inlineStr">
        <is>
          <t>BMW X3 2004-2006 3L L6 2979cc
BMW X3 2004-2010 2.5L L6 152cid
BMW X3 2007-2010 3L L6 2996cc</t>
        </is>
      </c>
      <c r="I642" t="inlineStr">
        <is>
          <t>{"0": {"productDeskExternalKey": "CPCX|43-2110"}, "1": {"Package Contents": "Wiper Motor; Instruction Sheet"}, "2": {"E-Waste": "Yes"}, "3": {"Product Condition": "Remanufactured"}, "4": {"Mounting Hole Quantity": "3"}, "5": {"Terminal Type": "Bullet; Pin"}, "6": {"Mounting Type": "Grommet"}, "7": {"Weight PG": "2.6000"}, "8": {"Washer Pump Included": "No"}, "9": {"Part Type": "Windshield Wiper Motor"}, "10": {"Warranty Info": "1 Year/18,000 Mile"}, "11": {"Sustainable Choice": "Yes"}, "12": {"Lifecycle Status": "Available to Order"}, "13": {"Application Summary": "BMW X3 2010-04"}, "14": {"ItemLevelGTIN": "00082617798259"}, "15": {"_addonCardone": "43-2110::98264:119408:530"}, "16": {"Eligible for R&amp;R Service": "Yes"}}</t>
        </is>
      </c>
      <c r="J642" t="inlineStr">
        <is>
          <t>https://www.cardone.com/product/windshield-wiper-motor-43-2110</t>
        </is>
      </c>
      <c r="K642">
        <f>DISPIMG("ID_6C390A3B3A5C4F8FBA12582B5CD9EFC8",1)</f>
        <v/>
      </c>
      <c r="L642" t="inlineStr">
        <is>
          <t>CPCX|43-2110</t>
        </is>
      </c>
      <c r="M642" t="inlineStr">
        <is>
          <t>Wiper Motor; Instruction Sheet</t>
        </is>
      </c>
      <c r="N642" t="inlineStr">
        <is>
          <t>Yes</t>
        </is>
      </c>
      <c r="O642" t="inlineStr">
        <is>
          <t>Remanufactured</t>
        </is>
      </c>
      <c r="P642" t="inlineStr">
        <is>
          <t>3</t>
        </is>
      </c>
      <c r="Q642" t="inlineStr">
        <is>
          <t>Bullet; Pin</t>
        </is>
      </c>
      <c r="R642" t="inlineStr">
        <is>
          <t>Grommet</t>
        </is>
      </c>
      <c r="S642" t="inlineStr">
        <is>
          <t>2.6000</t>
        </is>
      </c>
      <c r="T642" t="inlineStr">
        <is>
          <t>No</t>
        </is>
      </c>
      <c r="U642" t="inlineStr">
        <is>
          <t>1 Year/18,000 Mile</t>
        </is>
      </c>
      <c r="V642" t="inlineStr">
        <is>
          <t>Yes</t>
        </is>
      </c>
      <c r="W642" t="inlineStr">
        <is>
          <t>Available to Order</t>
        </is>
      </c>
      <c r="X642" t="inlineStr">
        <is>
          <t>BMW X3 2010-04</t>
        </is>
      </c>
      <c r="Y642" t="inlineStr">
        <is>
          <t>00082617798259</t>
        </is>
      </c>
      <c r="Z642" t="inlineStr">
        <is>
          <t>43-2110::98264:119408:530</t>
        </is>
      </c>
      <c r="AA642" t="inlineStr">
        <is>
          <t>Yes</t>
        </is>
      </c>
      <c r="AB642" t="inlineStr"/>
      <c r="AC642" t="inlineStr"/>
    </row>
    <row r="643">
      <c r="A643" t="inlineStr">
        <is>
          <t>642</t>
        </is>
      </c>
      <c r="B643" t="inlineStr">
        <is>
          <t>Windshield Wiper Motor</t>
        </is>
      </c>
      <c r="C643" t="inlineStr">
        <is>
          <t>43-2111</t>
        </is>
      </c>
      <c r="D643" t="inlineStr">
        <is>
          <t>Windshield Wiper Motor - 43-2111</t>
        </is>
      </c>
      <c r="E643" t="inlineStr">
        <is>
          <t>CARDONE Reman</t>
        </is>
      </c>
      <c r="F643" t="inlineStr">
        <is>
          <t>67636932013</t>
        </is>
      </c>
      <c r="G643" t="inlineStr">
        <is>
          <t>Mini Cooper Paceman 2013-2016</t>
        </is>
      </c>
      <c r="H643" t="inlineStr">
        <is>
          <t>Mini Cooper Paceman 2013-2016 1.6L L4 1598cc
Mini Cooper Paceman 2013-2016 1.6L L4 98cid</t>
        </is>
      </c>
      <c r="I643" t="inlineStr">
        <is>
          <t>{"0": {"productDeskExternalKey": "CPCX|43-2111"}, "1": {"Package Contents": "Wiper Motor; Instruction Sheet"}, "2": {"E-Waste": "Yes"}, "3": {"Product Condition": "Remanufactured"}, "4": {"Mounting Hole Quantity": "3"}, "5": {"Terminal Type": "Blade"}, "6": {"Mounting Type": "Grommet"}, "7": {"Weight PG": "1.7500"}, "8": {"Washer Pump Included": "No"}, "9": {"Part Type": "Windshield Wiper Motor"}, "10": {"Warranty Info": "1 Year/18,000 Mile"}, "11": {"Sustainable Choice": "Yes"}, "12": {"Lifecycle Status": "Available to Order"}, "13": {"Application Summary": "Mini Cooper 2015-02, Cooper Countryman 2016-11, Cooper Paceman 2016-13"}, "14": {"ItemLevelGTIN": "00082617800082"}, "15": {"_addonCardone": "43-2111::98264:119428:530"}, "16": {"Eligible for R&amp;R Service": "Yes"}}</t>
        </is>
      </c>
      <c r="J643" t="inlineStr">
        <is>
          <t>https://www.cardone.com/product/windshield-wiper-motor-43-2111</t>
        </is>
      </c>
      <c r="K643">
        <f>DISPIMG("ID_F8BD3AFF484046AA98CD59429B87251C",1)</f>
        <v/>
      </c>
      <c r="L643" t="inlineStr">
        <is>
          <t>CPCX|43-2111</t>
        </is>
      </c>
      <c r="M643" t="inlineStr">
        <is>
          <t>Wiper Motor; Instruction Sheet</t>
        </is>
      </c>
      <c r="N643" t="inlineStr">
        <is>
          <t>Yes</t>
        </is>
      </c>
      <c r="O643" t="inlineStr">
        <is>
          <t>Remanufactured</t>
        </is>
      </c>
      <c r="P643" t="inlineStr">
        <is>
          <t>3</t>
        </is>
      </c>
      <c r="Q643" t="inlineStr">
        <is>
          <t>Blade</t>
        </is>
      </c>
      <c r="R643" t="inlineStr">
        <is>
          <t>Grommet</t>
        </is>
      </c>
      <c r="S643" t="inlineStr">
        <is>
          <t>1.7500</t>
        </is>
      </c>
      <c r="T643" t="inlineStr">
        <is>
          <t>No</t>
        </is>
      </c>
      <c r="U643" t="inlineStr">
        <is>
          <t>1 Year/18,000 Mile</t>
        </is>
      </c>
      <c r="V643" t="inlineStr">
        <is>
          <t>Yes</t>
        </is>
      </c>
      <c r="W643" t="inlineStr">
        <is>
          <t>Available to Order</t>
        </is>
      </c>
      <c r="X643" t="inlineStr">
        <is>
          <t>Mini Cooper 2015-02, Cooper Countryman 2016-11, Cooper Paceman 2016-13</t>
        </is>
      </c>
      <c r="Y643" t="inlineStr">
        <is>
          <t>00082617800082</t>
        </is>
      </c>
      <c r="Z643" t="inlineStr">
        <is>
          <t>43-2111::98264:119428:530</t>
        </is>
      </c>
      <c r="AA643" t="inlineStr">
        <is>
          <t>Yes</t>
        </is>
      </c>
      <c r="AB643" t="inlineStr"/>
      <c r="AC643" t="inlineStr"/>
    </row>
    <row r="644">
      <c r="A644" t="inlineStr">
        <is>
          <t>643</t>
        </is>
      </c>
      <c r="B644" t="inlineStr">
        <is>
          <t>Windshield Wiper Motor</t>
        </is>
      </c>
      <c r="C644" t="inlineStr">
        <is>
          <t>43-2121</t>
        </is>
      </c>
      <c r="D644" t="inlineStr">
        <is>
          <t>Windshield Wiper Motor - 43-2121</t>
        </is>
      </c>
      <c r="E644" t="inlineStr">
        <is>
          <t>CARDONE Reman</t>
        </is>
      </c>
      <c r="F644" t="inlineStr">
        <is>
          <t>61617200510</t>
        </is>
      </c>
      <c r="G644" t="inlineStr">
        <is>
          <t>BMW X5 2007-2013
BMW X6 2008-2015</t>
        </is>
      </c>
      <c r="H644" t="inlineStr">
        <is>
          <t>BMW X5 2007-2010 3L L6 2996cc
BMW X5 2007-2010 4.8L V8 4799cc
BMW X5 2007-2010 4.8L V8 4837cc
BMW X5 2009-2013 3L L6 2993cc
BMW X5 2010-2013 4.4L V8 4395cc
BMW X5 2011-2013 3L L6 2979cc
BMW X5 2011-2013 4.4L V8 268cid
BMW X6 2008-2015 3L L6 2979cc
BMW X6 2008-2015 4.4L V8 4395cc
BMW X6 2011-2015 4.4L V8 268cid</t>
        </is>
      </c>
      <c r="I644" t="inlineStr">
        <is>
          <t>{"0": {"productDeskExternalKey": "CPCX|43-2121"}, "1": {"Package Contents": "Wiper Motor; Instruction Sheet"}, "2": {"E-Waste": "Yes"}, "3": {"Product Condition": "Remanufactured"}, "4": {"Mounting Hole Quantity": "4"}, "5": {"Terminal Type": "Blade"}, "6": {"Mounting Type": "Direct Bolt"}, "7": {"Weight PG": "3.1500"}, "8": {"Washer Pump Included": "No"}, "9": {"Part Type": "Windshield Wiper Motor"}, "10": {"Warranty Info": "1 Year/18,000 Mile"}, "11": {"Sustainable Choice": "Yes"}, "12": {"Lifecycle Status": "Available to Order"}, "13": {"Application Summary": "BMW X5 2013-07, X6 2015-08"}, "14": {"ItemLevelGTIN": "00082617843140"}, "15": {"_addonCardone": "43-2121::98264:119446:530"}, "16": {"Eligible for R&amp;R Service": "Yes"}}</t>
        </is>
      </c>
      <c r="J644" t="inlineStr">
        <is>
          <t>https://www.cardone.com/product/windshield-wiper-motor-43-2121</t>
        </is>
      </c>
      <c r="K644">
        <f>DISPIMG("ID_A90D89234924493AAB0CF122AD6AFFBF",1)</f>
        <v/>
      </c>
      <c r="L644" t="inlineStr">
        <is>
          <t>CPCX|43-2121</t>
        </is>
      </c>
      <c r="M644" t="inlineStr">
        <is>
          <t>Wiper Motor; Instruction Sheet</t>
        </is>
      </c>
      <c r="N644" t="inlineStr">
        <is>
          <t>Yes</t>
        </is>
      </c>
      <c r="O644" t="inlineStr">
        <is>
          <t>Remanufactured</t>
        </is>
      </c>
      <c r="P644" t="inlineStr">
        <is>
          <t>4</t>
        </is>
      </c>
      <c r="Q644" t="inlineStr">
        <is>
          <t>Blade</t>
        </is>
      </c>
      <c r="R644" t="inlineStr">
        <is>
          <t>Direct Bolt</t>
        </is>
      </c>
      <c r="S644" t="inlineStr">
        <is>
          <t>3.1500</t>
        </is>
      </c>
      <c r="T644" t="inlineStr">
        <is>
          <t>No</t>
        </is>
      </c>
      <c r="U644" t="inlineStr">
        <is>
          <t>1 Year/18,000 Mile</t>
        </is>
      </c>
      <c r="V644" t="inlineStr">
        <is>
          <t>Yes</t>
        </is>
      </c>
      <c r="W644" t="inlineStr">
        <is>
          <t>Available to Order</t>
        </is>
      </c>
      <c r="X644" t="inlineStr">
        <is>
          <t>BMW X5 2013-07, X6 2015-08</t>
        </is>
      </c>
      <c r="Y644" t="inlineStr">
        <is>
          <t>00082617843140</t>
        </is>
      </c>
      <c r="Z644" t="inlineStr">
        <is>
          <t>43-2121::98264:119446:530</t>
        </is>
      </c>
      <c r="AA644" t="inlineStr">
        <is>
          <t>Yes</t>
        </is>
      </c>
      <c r="AB644" t="inlineStr"/>
      <c r="AC644" t="inlineStr"/>
    </row>
    <row r="645">
      <c r="A645" t="inlineStr">
        <is>
          <t>644</t>
        </is>
      </c>
      <c r="B645" t="inlineStr">
        <is>
          <t>Windshield Wiper Motor</t>
        </is>
      </c>
      <c r="C645" t="inlineStr">
        <is>
          <t>43-2122</t>
        </is>
      </c>
      <c r="D645" t="inlineStr">
        <is>
          <t>Windshield Wiper Motor - 43-2122</t>
        </is>
      </c>
      <c r="E645" t="inlineStr">
        <is>
          <t>CARDONE Reman</t>
        </is>
      </c>
      <c r="F645" t="inlineStr">
        <is>
          <t>61617161711</t>
        </is>
      </c>
      <c r="G645" t="inlineStr">
        <is>
          <t>BMW 325i 2006
BMW 328i 2007-2013
BMW 328i xDrive 2009-2013
BMW 328xi 2007-2008
BMW 330i 2006
BMW 330xi 2006
BMW 335d 2009-2011
BMW 335i 2007-2013
BMW 335i xDrive 2009-2013
BMW 335is 2011-2013
BMW 335xi 2007-2008
BMW M3 2008-2013</t>
        </is>
      </c>
      <c r="H645" t="inlineStr">
        <is>
          <t>BMW 325i 2006 2.5L L6 152cid
BMW 325i 2006 3L L6 2996cc
BMW 328i 2007-2013 3L L6 2996cc
BMW 328i 2012-2013 2L L4 122cid
BMW 328i 2012-2013 3L L6 2979cc
BMW 328i xDrive 2009-2013 3L L6 2996cc
BMW 328i xDrive 2013 2L L4 122cid
BMW 328xi 2007-2008 3L L6 2996cc
BMW 330i 2006 3L L6 2979cc
BMW 330i 2006 3L L6 2996cc
BMW 330xi 2006 3L L6 2996cc
BMW 335d 2009-2011 3L L6 2993cc
BMW 335i 2007-2013 3L L6 2979cc
BMW 335i xDrive 2009-2013 3L L6 2979cc
BMW 335is 2011-2013 3L L6 2979cc
BMW 335xi 2007-2008 3L L6 2979cc
BMW M3 2008-2013 4L V8 3999cc</t>
        </is>
      </c>
      <c r="I645" t="inlineStr">
        <is>
          <t>{"0": {"productDeskExternalKey": "CPCX|43-2122"}, "1": {"Package Contents": "Wiper Motor; Instruction Sheet"}, "2": {"E-Waste": "Yes"}, "3": {"Product Condition": "Remanufactured"}, "4": {"Mounting Hole Quantity": "4"}, "5": {"Terminal Type": "Blade"}, "6": {"Mounting Type": "Direct Bolt"}, "7": {"Weight PG": "3.1000"}, "8": {"Washer Pump Included": "No"}, "9": {"Part Type": "Windshield Wiper Motor"}, "10": {"Warranty Info": "1 Year/18,000 Mile"}, "11": {"Sustainable Choice": "Yes"}, "12": {"Lifecycle Status": "Available to Order"}, "13": {"Application Summary": "BMW 325i 2006, 328i 2013-07, 328i xDrive 2013-09, 328xi 2008-07, 330i 2006, 330xi 2006, 335d 2011-09, 335i 2013-07, 335i xDrive 2013-09, 335is 2013-11, 335xi 2008-07, M3 2013-08"}, "14": {"ItemLevelGTIN": "00082617843157"}, "15": {"_addonCardone": "43-2122::98264:119467:530"}, "16": {"Eligible for R&amp;R Service": "Yes"}}</t>
        </is>
      </c>
      <c r="J645" t="inlineStr">
        <is>
          <t>https://www.cardone.com/product/windshield-wiper-motor-43-2122</t>
        </is>
      </c>
      <c r="K645">
        <f>DISPIMG("ID_3F981D8033784FF39F77EA041AD932C0",1)</f>
        <v/>
      </c>
      <c r="L645" t="inlineStr">
        <is>
          <t>CPCX|43-2122</t>
        </is>
      </c>
      <c r="M645" t="inlineStr">
        <is>
          <t>Wiper Motor; Instruction Sheet</t>
        </is>
      </c>
      <c r="N645" t="inlineStr">
        <is>
          <t>Yes</t>
        </is>
      </c>
      <c r="O645" t="inlineStr">
        <is>
          <t>Remanufactured</t>
        </is>
      </c>
      <c r="P645" t="inlineStr">
        <is>
          <t>4</t>
        </is>
      </c>
      <c r="Q645" t="inlineStr">
        <is>
          <t>Blade</t>
        </is>
      </c>
      <c r="R645" t="inlineStr">
        <is>
          <t>Direct Bolt</t>
        </is>
      </c>
      <c r="S645" t="inlineStr">
        <is>
          <t>3.1000</t>
        </is>
      </c>
      <c r="T645" t="inlineStr">
        <is>
          <t>No</t>
        </is>
      </c>
      <c r="U645" t="inlineStr">
        <is>
          <t>1 Year/18,000 Mile</t>
        </is>
      </c>
      <c r="V645" t="inlineStr">
        <is>
          <t>Yes</t>
        </is>
      </c>
      <c r="W645" t="inlineStr">
        <is>
          <t>Available to Order</t>
        </is>
      </c>
      <c r="X645" t="inlineStr">
        <is>
          <t>BMW 325i 2006, 328i 2013-07, 328i xDrive 2013-09, 328xi 2008-07, 330i 2006, 330xi 2006, 335d 2011-09, 335i 2013-07, 335i xDrive 2013-09, 335is 2013-11, 335xi 2008-07, M3 2013-08</t>
        </is>
      </c>
      <c r="Y645" t="inlineStr">
        <is>
          <t>00082617843157</t>
        </is>
      </c>
      <c r="Z645" t="inlineStr">
        <is>
          <t>43-2122::98264:119467:530</t>
        </is>
      </c>
      <c r="AA645" t="inlineStr">
        <is>
          <t>Yes</t>
        </is>
      </c>
      <c r="AB645" t="inlineStr"/>
      <c r="AC645" t="inlineStr"/>
    </row>
    <row r="646">
      <c r="A646" t="inlineStr">
        <is>
          <t>645</t>
        </is>
      </c>
      <c r="B646" t="inlineStr">
        <is>
          <t>Windshield Wiper Motor</t>
        </is>
      </c>
      <c r="C646" t="inlineStr">
        <is>
          <t>43-2123</t>
        </is>
      </c>
      <c r="D646" t="inlineStr">
        <is>
          <t>Windshield Wiper Motor - 43-2123</t>
        </is>
      </c>
      <c r="E646" t="inlineStr">
        <is>
          <t>CARDONE Reman</t>
        </is>
      </c>
      <c r="F646" t="inlineStr">
        <is>
          <t>67636942165</t>
        </is>
      </c>
      <c r="G646" t="inlineStr">
        <is>
          <t>BMW X5 2007-2013</t>
        </is>
      </c>
      <c r="H646" t="inlineStr">
        <is>
          <t>BMW X5 2007-2010 3L L6 2996cc
BMW X5 2007-2010 4.8L V8 4799cc
BMW X5 2007-2010 4.8L V8 4837cc
BMW X5 2009-2013 3L L6 2993cc
BMW X5 2010-2013 4.4L V8 4395cc
BMW X5 2011-2013 3L L6 2979cc
BMW X5 2011-2013 4.4L V8 268cid</t>
        </is>
      </c>
      <c r="I646" t="inlineStr">
        <is>
          <t>{"0": {"productDeskExternalKey": "CPCX|43-2123"}, "1": {"Package Contents": "Wiper Motor; Instruction Sheet"}, "2": {"E-Waste": "Yes"}, "3": {"Product Condition": "Remanufactured"}, "4": {"Mounting Hole Quantity": "3"}, "5": {"Terminal Type": "Blade"}, "6": {"Mounting Type": "Grommet"}, "7": {"Weight PG": "2.0500"}, "8": {"Washer Pump Included": "No"}, "9": {"Part Type": "Windshield Wiper Motor"}, "10": {"Warranty Info": "1 Year/18,000 Mile"}, "11": {"Sustainable Choice": "Yes"}, "12": {"Lifecycle Status": "Available to Order"}, "13": {"Application Summary": "BMW X5 2013-07"}, "14": {"ItemLevelGTIN": "00082617848091"}, "15": {"_addonCardone": "43-2123::98264:119489:530"}, "16": {"Eligible for R&amp;R Service": "Yes"}}</t>
        </is>
      </c>
      <c r="J646" t="inlineStr">
        <is>
          <t>https://www.cardone.com/product/windshield-wiper-motor-43-2123</t>
        </is>
      </c>
      <c r="K646">
        <f>DISPIMG("ID_48AE4856E6144DC3A85379E5CDF4A247",1)</f>
        <v/>
      </c>
      <c r="L646" t="inlineStr">
        <is>
          <t>CPCX|43-2123</t>
        </is>
      </c>
      <c r="M646" t="inlineStr">
        <is>
          <t>Wiper Motor; Instruction Sheet</t>
        </is>
      </c>
      <c r="N646" t="inlineStr">
        <is>
          <t>Yes</t>
        </is>
      </c>
      <c r="O646" t="inlineStr">
        <is>
          <t>Remanufactured</t>
        </is>
      </c>
      <c r="P646" t="inlineStr">
        <is>
          <t>3</t>
        </is>
      </c>
      <c r="Q646" t="inlineStr">
        <is>
          <t>Blade</t>
        </is>
      </c>
      <c r="R646" t="inlineStr">
        <is>
          <t>Grommet</t>
        </is>
      </c>
      <c r="S646" t="inlineStr">
        <is>
          <t>2.0500</t>
        </is>
      </c>
      <c r="T646" t="inlineStr">
        <is>
          <t>No</t>
        </is>
      </c>
      <c r="U646" t="inlineStr">
        <is>
          <t>1 Year/18,000 Mile</t>
        </is>
      </c>
      <c r="V646" t="inlineStr">
        <is>
          <t>Yes</t>
        </is>
      </c>
      <c r="W646" t="inlineStr">
        <is>
          <t>Available to Order</t>
        </is>
      </c>
      <c r="X646" t="inlineStr">
        <is>
          <t>BMW X5 2013-07</t>
        </is>
      </c>
      <c r="Y646" t="inlineStr">
        <is>
          <t>00082617848091</t>
        </is>
      </c>
      <c r="Z646" t="inlineStr">
        <is>
          <t>43-2123::98264:119489:530</t>
        </is>
      </c>
      <c r="AA646" t="inlineStr">
        <is>
          <t>Yes</t>
        </is>
      </c>
      <c r="AB646" t="inlineStr"/>
      <c r="AC646" t="inlineStr"/>
    </row>
    <row r="647">
      <c r="A647" t="inlineStr">
        <is>
          <t>646</t>
        </is>
      </c>
      <c r="B647" t="inlineStr">
        <is>
          <t>Windshield Wiper Motor</t>
        </is>
      </c>
      <c r="C647" t="inlineStr">
        <is>
          <t>43-2124</t>
        </is>
      </c>
      <c r="D647" t="inlineStr">
        <is>
          <t>Windshield Wiper Motor - 43-2124</t>
        </is>
      </c>
      <c r="E647" t="inlineStr">
        <is>
          <t>CARDONE Reman</t>
        </is>
      </c>
      <c r="F647" t="inlineStr">
        <is>
          <t>61617138789;61618229128</t>
        </is>
      </c>
      <c r="G647" t="inlineStr"/>
      <c r="H647" t="inlineStr"/>
      <c r="I647" t="inlineStr">
        <is>
          <t>{"0": {"productDeskExternalKey": "CPCX|43-2124"}, "1": {"Package Contents": "Wiper Motor; Instruction Sheet"}, "2": {"E-Waste": "Yes"}, "3": {"Product Condition": "Remanufactured"}, "4": {"Mounting Hole Quantity": "3"}, "5": {"Terminal Type": "Blade"}, "6": {"Mounting Type": "Direct Bolt"}, "7": {"Weight PG": "2.3500"}, "8": {"Washer Pump Included": "No"}, "9": {"Part Type": "Windshield Wiper Motor"}, "10": {"Warranty Info": "1 Year/18,000 Mile"}, "11": {"Sustainable Choice": "Yes"}, "12": {"Lifecycle Status": "Available to Order"}, "13": {"Application Summary": "Mini Cooper 2015-02"}, "14": {"ItemLevelGTIN": "00082617848534"}, "15": {"_addonCardone": "43-2124::98264:119512:530"}, "16": {"Eligible for R&amp;R Service": "Yes"}}</t>
        </is>
      </c>
      <c r="J647" t="inlineStr">
        <is>
          <t>https://www.cardone.com/product/windshield-wiper-motor-43-2124</t>
        </is>
      </c>
      <c r="K647">
        <f>DISPIMG("ID_35B115B12CDD48B197393317E78024A2",1)</f>
        <v/>
      </c>
      <c r="L647" t="inlineStr">
        <is>
          <t>CPCX|43-2124</t>
        </is>
      </c>
      <c r="M647" t="inlineStr">
        <is>
          <t>Wiper Motor; Instruction Sheet</t>
        </is>
      </c>
      <c r="N647" t="inlineStr">
        <is>
          <t>Yes</t>
        </is>
      </c>
      <c r="O647" t="inlineStr">
        <is>
          <t>Remanufactured</t>
        </is>
      </c>
      <c r="P647" t="inlineStr">
        <is>
          <t>3</t>
        </is>
      </c>
      <c r="Q647" t="inlineStr">
        <is>
          <t>Blade</t>
        </is>
      </c>
      <c r="R647" t="inlineStr">
        <is>
          <t>Direct Bolt</t>
        </is>
      </c>
      <c r="S647" t="inlineStr">
        <is>
          <t>2.3500</t>
        </is>
      </c>
      <c r="T647" t="inlineStr">
        <is>
          <t>No</t>
        </is>
      </c>
      <c r="U647" t="inlineStr">
        <is>
          <t>1 Year/18,000 Mile</t>
        </is>
      </c>
      <c r="V647" t="inlineStr">
        <is>
          <t>Yes</t>
        </is>
      </c>
      <c r="W647" t="inlineStr">
        <is>
          <t>Available to Order</t>
        </is>
      </c>
      <c r="X647" t="inlineStr">
        <is>
          <t>Mini Cooper 2015-02</t>
        </is>
      </c>
      <c r="Y647" t="inlineStr">
        <is>
          <t>00082617848534</t>
        </is>
      </c>
      <c r="Z647" t="inlineStr">
        <is>
          <t>43-2124::98264:119512:530</t>
        </is>
      </c>
      <c r="AA647" t="inlineStr">
        <is>
          <t>Yes</t>
        </is>
      </c>
      <c r="AB647" t="inlineStr"/>
      <c r="AC647" t="inlineStr"/>
    </row>
    <row r="648">
      <c r="A648" t="inlineStr">
        <is>
          <t>647</t>
        </is>
      </c>
      <c r="B648" t="inlineStr">
        <is>
          <t>Windshield Wiper Motor</t>
        </is>
      </c>
      <c r="C648" t="inlineStr">
        <is>
          <t>43-2126</t>
        </is>
      </c>
      <c r="D648" t="inlineStr">
        <is>
          <t>Windshield Wiper Motor - 43-2126</t>
        </is>
      </c>
      <c r="E648" t="inlineStr">
        <is>
          <t>CARDONE Reman</t>
        </is>
      </c>
      <c r="F648" t="inlineStr">
        <is>
          <t>61617192969;61617014601</t>
        </is>
      </c>
      <c r="G648" t="inlineStr">
        <is>
          <t>BMW Z4 2003-2008</t>
        </is>
      </c>
      <c r="H648" t="inlineStr">
        <is>
          <t>BMW Z4 2003-2006 3L L6 2979cc
BMW Z4 2003-2008 2.5L L6 152cid
BMW Z4 2006-2008 3.2L L6 3246cc
BMW Z4 2006-2008 3L L6 2996cc</t>
        </is>
      </c>
      <c r="I648" t="inlineStr">
        <is>
          <t>{"0": {"productDeskExternalKey": "CPCX|43-2126"}, "1": {"Package Contents": "Wiper Motor; Instruction Sheet"}, "2": {"E-Waste": "Yes"}, "3": {"Product Condition": "Remanufactured"}, "4": {"Mounting Hole Quantity": "4"}, "5": {"Terminal Type": "Blade"}, "6": {"Mounting Type": "Direct Bolt"}, "7": {"Weight PG": "2.7000"}, "8": {"Washer Pump Included": "No"}, "9": {"Part Type": "Windshield Wiper Motor"}, "10": {"Warranty Info": "1 Year/18,000 Mile"}, "11": {"Sustainable Choice": "Yes"}, "12": {"Lifecycle Status": "Available to Order"}, "13": {"Application Summary": "BMW Z4 2008-03"}, "14": {"ItemLevelGTIN": "00082617853736"}, "15": {"_addonCardone": "43-2126::98264:119533:530"}, "16": {"Eligible for R&amp;R Service": "Yes"}}</t>
        </is>
      </c>
      <c r="J648" t="inlineStr">
        <is>
          <t>https://www.cardone.com/product/windshield-wiper-motor-43-2126</t>
        </is>
      </c>
      <c r="K648">
        <f>DISPIMG("ID_1CC510E3A2BF43D78087D1CB2891DD56",1)</f>
        <v/>
      </c>
      <c r="L648" t="inlineStr">
        <is>
          <t>CPCX|43-2126</t>
        </is>
      </c>
      <c r="M648" t="inlineStr">
        <is>
          <t>Wiper Motor; Instruction Sheet</t>
        </is>
      </c>
      <c r="N648" t="inlineStr">
        <is>
          <t>Yes</t>
        </is>
      </c>
      <c r="O648" t="inlineStr">
        <is>
          <t>Remanufactured</t>
        </is>
      </c>
      <c r="P648" t="inlineStr">
        <is>
          <t>4</t>
        </is>
      </c>
      <c r="Q648" t="inlineStr">
        <is>
          <t>Blade</t>
        </is>
      </c>
      <c r="R648" t="inlineStr">
        <is>
          <t>Direct Bolt</t>
        </is>
      </c>
      <c r="S648" t="inlineStr">
        <is>
          <t>2.7000</t>
        </is>
      </c>
      <c r="T648" t="inlineStr">
        <is>
          <t>No</t>
        </is>
      </c>
      <c r="U648" t="inlineStr">
        <is>
          <t>1 Year/18,000 Mile</t>
        </is>
      </c>
      <c r="V648" t="inlineStr">
        <is>
          <t>Yes</t>
        </is>
      </c>
      <c r="W648" t="inlineStr">
        <is>
          <t>Available to Order</t>
        </is>
      </c>
      <c r="X648" t="inlineStr">
        <is>
          <t>BMW Z4 2008-03</t>
        </is>
      </c>
      <c r="Y648" t="inlineStr">
        <is>
          <t>00082617853736</t>
        </is>
      </c>
      <c r="Z648" t="inlineStr">
        <is>
          <t>43-2126::98264:119533:530</t>
        </is>
      </c>
      <c r="AA648" t="inlineStr">
        <is>
          <t>Yes</t>
        </is>
      </c>
      <c r="AB648" t="inlineStr"/>
      <c r="AC648" t="inlineStr"/>
    </row>
    <row r="649">
      <c r="A649" t="inlineStr">
        <is>
          <t>648</t>
        </is>
      </c>
      <c r="B649" t="inlineStr">
        <is>
          <t>Windshield Wiper Motor</t>
        </is>
      </c>
      <c r="C649" t="inlineStr">
        <is>
          <t>43-2127</t>
        </is>
      </c>
      <c r="D649" t="inlineStr">
        <is>
          <t>Windshield Wiper Motor - 43-2127</t>
        </is>
      </c>
      <c r="E649" t="inlineStr">
        <is>
          <t>CARDONE Reman</t>
        </is>
      </c>
      <c r="F649" t="inlineStr">
        <is>
          <t>61627208602;61627135353</t>
        </is>
      </c>
      <c r="G649" t="inlineStr">
        <is>
          <t>BMW 325xi 2006
BMW 328i 2007-2013
BMW 328i xDrive 2010-2012
BMW 328xi 2007-2008
BMW 530xi 2006-2007
BMW 535xi 2008</t>
        </is>
      </c>
      <c r="H649" t="inlineStr">
        <is>
          <t>BMW 325xi 2006 3L L6 2996cc
BMW 328i 2007-2013 3L L6 2996cc
BMW 328i 2012-2013 2L L4 122cid
BMW 328i 2012-2013 3L L6 2979cc
BMW 328i xDrive 2010-2012 3L L6 2996cc
BMW 328xi 2007-2008 3L L6 2996cc
BMW 530xi 2006-2007 3L L6 2996cc
BMW 535xi 2008 3L L6 2979cc</t>
        </is>
      </c>
      <c r="I649" t="inlineStr">
        <is>
          <t>{"0": {"productDeskExternalKey": "CPCX|43-2127"}, "1": {"E-Waste": "Yes"}, "2": {"Product Condition": "Remanufactured"}, "3": {"Weight PG": "3.0000"}, "4": {"Part Type": "Windshield Wiper Motor"}, "5": {"Warranty Info": "1 Year/18,000 Mile"}, "6": {"Sustainable Choice": "Yes"}, "7": {"Lifecycle Status": "Available to Order"}, "8": {"Application Summary": "BMW 325xi 2006, 328i 2013-07, 328i xDrive 2012-10, 328xi 2008-07, 530xi 2007-06, 535xi 2008"}, "9": {"ItemLevelGTIN": "00082617864756"}, "10": {"_addonCardone": "43-2127::98264:119551:530"}, "11": {"Eligible for R&amp;R Service": "Yes"}}</t>
        </is>
      </c>
      <c r="J649" t="inlineStr">
        <is>
          <t>https://www.cardone.com/product/windshield-wiper-motor-43-2127</t>
        </is>
      </c>
      <c r="K649">
        <f>DISPIMG("ID_9D36D2D819614C7F9ED6D8358EBFD432",1)</f>
        <v/>
      </c>
      <c r="L649" t="inlineStr">
        <is>
          <t>CPCX|43-2127</t>
        </is>
      </c>
      <c r="M649" t="inlineStr"/>
      <c r="N649" t="inlineStr">
        <is>
          <t>Yes</t>
        </is>
      </c>
      <c r="O649" t="inlineStr">
        <is>
          <t>Remanufactured</t>
        </is>
      </c>
      <c r="P649" t="inlineStr"/>
      <c r="Q649" t="inlineStr"/>
      <c r="R649" t="inlineStr"/>
      <c r="S649" t="inlineStr">
        <is>
          <t>3.0000</t>
        </is>
      </c>
      <c r="T649" t="inlineStr"/>
      <c r="U649" t="inlineStr">
        <is>
          <t>1 Year/18,000 Mile</t>
        </is>
      </c>
      <c r="V649" t="inlineStr">
        <is>
          <t>Yes</t>
        </is>
      </c>
      <c r="W649" t="inlineStr">
        <is>
          <t>Available to Order</t>
        </is>
      </c>
      <c r="X649" t="inlineStr">
        <is>
          <t>BMW 325xi 2006, 328i 2013-07, 328i xDrive 2012-10, 328xi 2008-07, 530xi 2007-06, 535xi 2008</t>
        </is>
      </c>
      <c r="Y649" t="inlineStr">
        <is>
          <t>00082617864756</t>
        </is>
      </c>
      <c r="Z649" t="inlineStr">
        <is>
          <t>43-2127::98264:119551:530</t>
        </is>
      </c>
      <c r="AA649" t="inlineStr">
        <is>
          <t>Yes</t>
        </is>
      </c>
      <c r="AB649" t="inlineStr"/>
      <c r="AC649" t="inlineStr"/>
    </row>
    <row r="650">
      <c r="A650" t="inlineStr">
        <is>
          <t>649</t>
        </is>
      </c>
      <c r="B650" t="inlineStr">
        <is>
          <t>Windshield Wiper Motor</t>
        </is>
      </c>
      <c r="C650" t="inlineStr">
        <is>
          <t>43-2128</t>
        </is>
      </c>
      <c r="D650" t="inlineStr">
        <is>
          <t>Windshield Wiper Motor - 43-2128</t>
        </is>
      </c>
      <c r="E650" t="inlineStr">
        <is>
          <t>CARDONE Reman</t>
        </is>
      </c>
      <c r="F650" t="inlineStr">
        <is>
          <t>61617192963</t>
        </is>
      </c>
      <c r="G650" t="inlineStr">
        <is>
          <t>BMW 1 Series M 2011
BMW 128i 2008-2013
BMW 135i 2008-2013
BMW 135is 2013</t>
        </is>
      </c>
      <c r="H650" t="inlineStr">
        <is>
          <t>BMW 1 Series M 2011 3L L6 2979cc
BMW 128i 2008-2013 3L L6 2996cc
BMW 128i 2013 3L L6 183cid
BMW 135i 2008-2013 3L L6 2979cc
BMW 135is 2013 3L L6 2979cc</t>
        </is>
      </c>
      <c r="I650" t="inlineStr">
        <is>
          <t>{"0": {"productDeskExternalKey": "CPCX|43-2128"}, "1": {"E-Waste": "Yes"}, "2": {"Product Condition": "Remanufactured"}, "3": {"Weight PG": "2.5000"}, "4": {"Part Type": "Windshield Wiper Motor"}, "5": {"Warranty Info": "1 Year/18,000 Mile"}, "6": {"Sustainable Choice": "Yes"}, "7": {"Lifecycle Status": "Available to Order"}, "8": {"Application Summary": "BMW 1 Series M 2011, 128i 2013-08, 135i 2013-08, 135is 2013"}, "9": {"ItemLevelGTIN": "00082617884143"}, "10": {"_addonCardone": "43-2128::98264:119567:530"}, "11": {"Eligible for R&amp;R Service": "Yes"}}</t>
        </is>
      </c>
      <c r="J650" t="inlineStr">
        <is>
          <t>https://www.cardone.com/product/windshield-wiper-motor-43-2128</t>
        </is>
      </c>
      <c r="K650">
        <f>DISPIMG("ID_F9FC504F5E99436EB064E9C25D57A94C",1)</f>
        <v/>
      </c>
      <c r="L650" t="inlineStr">
        <is>
          <t>CPCX|43-2128</t>
        </is>
      </c>
      <c r="M650" t="inlineStr"/>
      <c r="N650" t="inlineStr">
        <is>
          <t>Yes</t>
        </is>
      </c>
      <c r="O650" t="inlineStr">
        <is>
          <t>Remanufactured</t>
        </is>
      </c>
      <c r="P650" t="inlineStr"/>
      <c r="Q650" t="inlineStr"/>
      <c r="R650" t="inlineStr"/>
      <c r="S650" t="inlineStr">
        <is>
          <t>2.5000</t>
        </is>
      </c>
      <c r="T650" t="inlineStr"/>
      <c r="U650" t="inlineStr">
        <is>
          <t>1 Year/18,000 Mile</t>
        </is>
      </c>
      <c r="V650" t="inlineStr">
        <is>
          <t>Yes</t>
        </is>
      </c>
      <c r="W650" t="inlineStr">
        <is>
          <t>Available to Order</t>
        </is>
      </c>
      <c r="X650" t="inlineStr">
        <is>
          <t>BMW 1 Series M 2011, 128i 2013-08, 135i 2013-08, 135is 2013</t>
        </is>
      </c>
      <c r="Y650" t="inlineStr">
        <is>
          <t>00082617884143</t>
        </is>
      </c>
      <c r="Z650" t="inlineStr">
        <is>
          <t>43-2128::98264:119567:530</t>
        </is>
      </c>
      <c r="AA650" t="inlineStr">
        <is>
          <t>Yes</t>
        </is>
      </c>
      <c r="AB650" t="inlineStr"/>
      <c r="AC650" t="inlineStr"/>
    </row>
    <row r="651">
      <c r="A651" t="inlineStr">
        <is>
          <t>650</t>
        </is>
      </c>
      <c r="B651" t="inlineStr">
        <is>
          <t>Windshield Wiper Motor</t>
        </is>
      </c>
      <c r="C651" t="inlineStr">
        <is>
          <t>43-2131</t>
        </is>
      </c>
      <c r="D651" t="inlineStr">
        <is>
          <t>Windshield Wiper Motor - 43-2131</t>
        </is>
      </c>
      <c r="E651" t="inlineStr">
        <is>
          <t>CARDONE Reman</t>
        </is>
      </c>
      <c r="F651" t="inlineStr">
        <is>
          <t>61627168153</t>
        </is>
      </c>
      <c r="G651" t="inlineStr"/>
      <c r="H651" t="inlineStr"/>
      <c r="I651" t="inlineStr">
        <is>
          <t>{"0": {"productDeskExternalKey": "CPCX|43-2131"}, "1": {"E-Waste": "Yes"}, "2": {"Product Condition": "Remanufactured"}, "3": {"Weight PG": "2.0000"}, "4": {"Part Type": "Windshield Wiper Motor"}, "5": {"Warranty Info": "1 Year/18,000 Mile"}, "6": {"Sustainable Choice": "Yes"}, "7": {"Lifecycle Status": "Available to Order"}, "8": {"Application Summary": "Mini Cooper 2014-09"}, "9": {"ItemLevelGTIN": "00082617900713"}, "10": {"_addonCardone": "43-2131::98264:119583:530"}, "11": {"Eligible for R&amp;R Service": "Yes"}}</t>
        </is>
      </c>
      <c r="J651" t="inlineStr">
        <is>
          <t>https://www.cardone.com/product/windshield-wiper-motor-43-2131</t>
        </is>
      </c>
      <c r="K651">
        <f>DISPIMG("ID_38ED548394E44903906B3FE202F5BD63",1)</f>
        <v/>
      </c>
      <c r="L651" t="inlineStr">
        <is>
          <t>CPCX|43-2131</t>
        </is>
      </c>
      <c r="M651" t="inlineStr"/>
      <c r="N651" t="inlineStr">
        <is>
          <t>Yes</t>
        </is>
      </c>
      <c r="O651" t="inlineStr">
        <is>
          <t>Remanufactured</t>
        </is>
      </c>
      <c r="P651" t="inlineStr"/>
      <c r="Q651" t="inlineStr"/>
      <c r="R651" t="inlineStr"/>
      <c r="S651" t="inlineStr">
        <is>
          <t>2.0000</t>
        </is>
      </c>
      <c r="T651" t="inlineStr"/>
      <c r="U651" t="inlineStr">
        <is>
          <t>1 Year/18,000 Mile</t>
        </is>
      </c>
      <c r="V651" t="inlineStr">
        <is>
          <t>Yes</t>
        </is>
      </c>
      <c r="W651" t="inlineStr">
        <is>
          <t>Available to Order</t>
        </is>
      </c>
      <c r="X651" t="inlineStr">
        <is>
          <t>Mini Cooper 2014-09</t>
        </is>
      </c>
      <c r="Y651" t="inlineStr">
        <is>
          <t>00082617900713</t>
        </is>
      </c>
      <c r="Z651" t="inlineStr">
        <is>
          <t>43-2131::98264:119583:530</t>
        </is>
      </c>
      <c r="AA651" t="inlineStr">
        <is>
          <t>Yes</t>
        </is>
      </c>
      <c r="AB651" t="inlineStr"/>
      <c r="AC651" t="inlineStr"/>
    </row>
    <row r="652">
      <c r="A652" t="inlineStr">
        <is>
          <t>651</t>
        </is>
      </c>
      <c r="B652" t="inlineStr">
        <is>
          <t>Windshield Wiper Motor</t>
        </is>
      </c>
      <c r="C652" t="inlineStr">
        <is>
          <t>43-2132</t>
        </is>
      </c>
      <c r="D652" t="inlineStr">
        <is>
          <t>Windshield Wiper Motor - 43-2132</t>
        </is>
      </c>
      <c r="E652" t="inlineStr">
        <is>
          <t>CARDONE Reman</t>
        </is>
      </c>
      <c r="F652" t="inlineStr">
        <is>
          <t>61627168154</t>
        </is>
      </c>
      <c r="G652" t="inlineStr"/>
      <c r="H652" t="inlineStr"/>
      <c r="I652" t="inlineStr">
        <is>
          <t>{"0": {"productDeskExternalKey": "CPCX|43-2132"}, "1": {"E-Waste": "Yes"}, "2": {"Product Condition": "Remanufactured"}, "3": {"Weight PG": "2.0000"}, "4": {"Part Type": "Windshield Wiper Motor"}, "5": {"Warranty Info": "1 Year/18,000 Mile"}, "6": {"Sustainable Choice": "Yes"}, "7": {"Lifecycle Status": "Available to Order"}, "8": {"Application Summary": "Mini Cooper 2014-09"}, "9": {"ItemLevelGTIN": "00082617900720"}, "10": {"_addonCardone": "43-2132::98264:119601:530"}, "11": {"Eligible for R&amp;R Service": "Yes"}}</t>
        </is>
      </c>
      <c r="J652" t="inlineStr">
        <is>
          <t>https://www.cardone.com/product/windshield-wiper-motor-43-2132</t>
        </is>
      </c>
      <c r="K652">
        <f>DISPIMG("ID_22D171BFD3604051A90D109153CA5CBE",1)</f>
        <v/>
      </c>
      <c r="L652" t="inlineStr">
        <is>
          <t>CPCX|43-2132</t>
        </is>
      </c>
      <c r="M652" t="inlineStr"/>
      <c r="N652" t="inlineStr">
        <is>
          <t>Yes</t>
        </is>
      </c>
      <c r="O652" t="inlineStr">
        <is>
          <t>Remanufactured</t>
        </is>
      </c>
      <c r="P652" t="inlineStr"/>
      <c r="Q652" t="inlineStr"/>
      <c r="R652" t="inlineStr"/>
      <c r="S652" t="inlineStr">
        <is>
          <t>2.0000</t>
        </is>
      </c>
      <c r="T652" t="inlineStr"/>
      <c r="U652" t="inlineStr">
        <is>
          <t>1 Year/18,000 Mile</t>
        </is>
      </c>
      <c r="V652" t="inlineStr">
        <is>
          <t>Yes</t>
        </is>
      </c>
      <c r="W652" t="inlineStr">
        <is>
          <t>Available to Order</t>
        </is>
      </c>
      <c r="X652" t="inlineStr">
        <is>
          <t>Mini Cooper 2014-09</t>
        </is>
      </c>
      <c r="Y652" t="inlineStr">
        <is>
          <t>00082617900720</t>
        </is>
      </c>
      <c r="Z652" t="inlineStr">
        <is>
          <t>43-2132::98264:119601:530</t>
        </is>
      </c>
      <c r="AA652" t="inlineStr">
        <is>
          <t>Yes</t>
        </is>
      </c>
      <c r="AB652" t="inlineStr"/>
      <c r="AC652" t="inlineStr"/>
    </row>
    <row r="653">
      <c r="A653" t="inlineStr">
        <is>
          <t>652</t>
        </is>
      </c>
      <c r="B653" t="inlineStr">
        <is>
          <t>Windshield Wiper Motor</t>
        </is>
      </c>
      <c r="C653" t="inlineStr">
        <is>
          <t>43-2137</t>
        </is>
      </c>
      <c r="D653" t="inlineStr">
        <is>
          <t>Windshield Wiper Motor - 43-2137</t>
        </is>
      </c>
      <c r="E653" t="inlineStr">
        <is>
          <t>CARDONE Reman</t>
        </is>
      </c>
      <c r="F653" t="inlineStr">
        <is>
          <t>61617272451</t>
        </is>
      </c>
      <c r="G653" t="inlineStr">
        <is>
          <t>BMW 535i 2011
BMW 535i GT 2011
BMW 535i GT xDrive 2011
BMW 535i xDrive 2011
BMW 550i 2011
BMW 550i xDrive 2011
BMW 740Li 2011
BMW 740i 2011
BMW 750Li 2011
BMW 750Li xDrive 2011
BMW 750i 2011
BMW 750i xDrive 2011
BMW 760Li 2011
BMW Alpina B7 2011
BMW Alpina B7 xDrive 2011
BMW Alpina B7L 2011
BMW Alpina B7L xDrive 2011</t>
        </is>
      </c>
      <c r="H653" t="inlineStr">
        <is>
          <t>BMW 535i 2011 3L L6 2979cc
BMW 535i GT 2011 3L L6 2979cc
BMW 535i GT xDrive 2011 3L L6 2979cc
BMW 535i xDrive 2011 3L L6 2979cc
BMW 550i 2011 4.4L V8 4395cc
BMW 550i xDrive 2011 4.4L V8 4395cc
BMW 740Li 2011 3L L6 2979cc
BMW 740i 2011 3L L6 2979cc
BMW 750Li 2011 4.4L V8 4395cc
BMW 750Li xDrive 2011 4.4L V8 4395cc
BMW 750i 2011 4.4L V8 4395cc
BMW 750i xDrive 2011 4.4L V8 4395cc
BMW 760Li 2011 6L V12 5972cc
BMW Alpina B7 2011 4.4L V8 4395cc
BMW Alpina B7 xDrive 2011 4.4L V8 4395cc
BMW Alpina B7L 2011 4.4L V8 4395cc
BMW Alpina B7L xDrive 2011 4.4L V8 4395cc</t>
        </is>
      </c>
      <c r="I653" t="inlineStr">
        <is>
          <t>{"0": {"productDeskExternalKey": "CPCX|43-2137"}, "1": {"E-Waste": "Yes"}, "2": {"Product Condition": "Remanufactured"}, "3": {"Weight PG": "3.0000"}, "4": {"Part Type": "Windshield Wiper Motor"}, "5": {"Warranty Info": "1 Year/18,000 Mile"}, "6": {"Sustainable Choice": "Yes"}, "7": {"Lifecycle Status": "Available to Order"}, "8": {"ItemLevelGTIN": "00884548028333"}, "9": {"_addonCardone": "43-2137::98264:119623:530"}, "10": {"Eligible for R&amp;R Service": "Yes"}}</t>
        </is>
      </c>
      <c r="J653" t="inlineStr">
        <is>
          <t>https://www.cardone.com/product/windshield-wiper-motor-43-2137</t>
        </is>
      </c>
      <c r="K653">
        <f>DISPIMG("ID_70CD0AB2B049476C866EF675C81C81B0",1)</f>
        <v/>
      </c>
      <c r="L653" t="inlineStr">
        <is>
          <t>CPCX|43-2137</t>
        </is>
      </c>
      <c r="M653" t="inlineStr"/>
      <c r="N653" t="inlineStr">
        <is>
          <t>Yes</t>
        </is>
      </c>
      <c r="O653" t="inlineStr">
        <is>
          <t>Remanufactured</t>
        </is>
      </c>
      <c r="P653" t="inlineStr"/>
      <c r="Q653" t="inlineStr"/>
      <c r="R653" t="inlineStr"/>
      <c r="S653" t="inlineStr">
        <is>
          <t>3.0000</t>
        </is>
      </c>
      <c r="T653" t="inlineStr"/>
      <c r="U653" t="inlineStr">
        <is>
          <t>1 Year/18,000 Mile</t>
        </is>
      </c>
      <c r="V653" t="inlineStr">
        <is>
          <t>Yes</t>
        </is>
      </c>
      <c r="W653" t="inlineStr">
        <is>
          <t>Available to Order</t>
        </is>
      </c>
      <c r="X653" t="inlineStr"/>
      <c r="Y653" t="inlineStr">
        <is>
          <t>00884548028333</t>
        </is>
      </c>
      <c r="Z653" t="inlineStr">
        <is>
          <t>43-2137::98264:119623:530</t>
        </is>
      </c>
      <c r="AA653" t="inlineStr">
        <is>
          <t>Yes</t>
        </is>
      </c>
      <c r="AB653" t="inlineStr"/>
      <c r="AC653" t="inlineStr"/>
    </row>
    <row r="654">
      <c r="A654" t="inlineStr">
        <is>
          <t>653</t>
        </is>
      </c>
      <c r="B654" t="inlineStr">
        <is>
          <t>Windshield Wiper Motor</t>
        </is>
      </c>
      <c r="C654" t="inlineStr">
        <is>
          <t>43-2138</t>
        </is>
      </c>
      <c r="D654" t="inlineStr">
        <is>
          <t>Windshield Wiper Motor - 43-2138</t>
        </is>
      </c>
      <c r="E654" t="inlineStr">
        <is>
          <t>CARDONE Reman</t>
        </is>
      </c>
      <c r="F654" t="inlineStr">
        <is>
          <t>61617213275</t>
        </is>
      </c>
      <c r="G654" t="inlineStr">
        <is>
          <t>BMW X3 2011-2017</t>
        </is>
      </c>
      <c r="H654" t="inlineStr">
        <is>
          <t>BMW X3 2011 2.5L L6 2497cc
BMW X3 2011-2012 3L L6 2996cc
BMW X3 2011-2014 3L L6 183cid
BMW X3 2011-2017 3L L6 2979cc
BMW X3 2013-2017 2L L4 122cid</t>
        </is>
      </c>
      <c r="I654" t="inlineStr">
        <is>
          <t>{"0": {"productDeskExternalKey": "CPCX|43-2138"}, "1": {"E-Waste": "Yes"}, "2": {"Product Condition": "Remanufactured"}, "3": {"Weight PG": "3.0000"}, "4": {"Part Type": "Windshield Wiper Motor"}, "5": {"Warranty Info": "1 Year/18,000 Mile"}, "6": {"Sustainable Choice": "Yes"}, "7": {"Lifecycle Status": "Available to Order"}, "8": {"Application Summary": "BMW X3 2017-11"}, "9": {"ItemLevelGTIN": "00884548028340"}, "10": {"_addonCardone": "43-2138::98264:119642:530"}, "11": {"Eligible for R&amp;R Service": "Yes"}}</t>
        </is>
      </c>
      <c r="J654" t="inlineStr">
        <is>
          <t>https://www.cardone.com/product/windshield-wiper-motor-43-2138</t>
        </is>
      </c>
      <c r="K654">
        <f>DISPIMG("ID_00A4CD745DAB4AC0BA02E7E9262B8A8C",1)</f>
        <v/>
      </c>
      <c r="L654" t="inlineStr">
        <is>
          <t>CPCX|43-2138</t>
        </is>
      </c>
      <c r="M654" t="inlineStr"/>
      <c r="N654" t="inlineStr">
        <is>
          <t>Yes</t>
        </is>
      </c>
      <c r="O654" t="inlineStr">
        <is>
          <t>Remanufactured</t>
        </is>
      </c>
      <c r="P654" t="inlineStr"/>
      <c r="Q654" t="inlineStr"/>
      <c r="R654" t="inlineStr"/>
      <c r="S654" t="inlineStr">
        <is>
          <t>3.0000</t>
        </is>
      </c>
      <c r="T654" t="inlineStr"/>
      <c r="U654" t="inlineStr">
        <is>
          <t>1 Year/18,000 Mile</t>
        </is>
      </c>
      <c r="V654" t="inlineStr">
        <is>
          <t>Yes</t>
        </is>
      </c>
      <c r="W654" t="inlineStr">
        <is>
          <t>Available to Order</t>
        </is>
      </c>
      <c r="X654" t="inlineStr">
        <is>
          <t>BMW X3 2017-11</t>
        </is>
      </c>
      <c r="Y654" t="inlineStr">
        <is>
          <t>00884548028340</t>
        </is>
      </c>
      <c r="Z654" t="inlineStr">
        <is>
          <t>43-2138::98264:119642:530</t>
        </is>
      </c>
      <c r="AA654" t="inlineStr">
        <is>
          <t>Yes</t>
        </is>
      </c>
      <c r="AB654" t="inlineStr"/>
      <c r="AC654" t="inlineStr"/>
    </row>
    <row r="655">
      <c r="A655" t="inlineStr">
        <is>
          <t>654</t>
        </is>
      </c>
      <c r="B655" t="inlineStr">
        <is>
          <t>Windshield Wiper Motor</t>
        </is>
      </c>
      <c r="C655" t="inlineStr">
        <is>
          <t>43-2139</t>
        </is>
      </c>
      <c r="D655" t="inlineStr">
        <is>
          <t>Windshield Wiper Motor - 43-2139</t>
        </is>
      </c>
      <c r="E655" t="inlineStr">
        <is>
          <t>CARDONE Reman</t>
        </is>
      </c>
      <c r="F655" t="inlineStr">
        <is>
          <t>67637237062</t>
        </is>
      </c>
      <c r="G655" t="inlineStr">
        <is>
          <t>BMW X3 2011-2016</t>
        </is>
      </c>
      <c r="H655" t="inlineStr">
        <is>
          <t>BMW X3 2011 2.5L L6 2497cc
BMW X3 2011-2012 3L L6 2996cc
BMW X3 2011-2014 3L L6 183cid
BMW X3 2011-2016 3L L6 2979cc
BMW X3 2013-2016 2L L4 122cid</t>
        </is>
      </c>
      <c r="I655" t="inlineStr">
        <is>
          <t>{"0": {"productDeskExternalKey": "CPCX|43-2139"}, "1": {"E-Waste": "Yes"}, "2": {"Product Condition": "Remanufactured"}, "3": {"Weight PG": "3.0000"}, "4": {"Part Type": "Windshield Wiper Motor"}, "5": {"Warranty Info": "1 Year/18,000 Mile"}, "6": {"Sustainable Choice": "Yes"}, "7": {"Lifecycle Status": "Available to Order"}, "8": {"Application Summary": "BMW X3 2016-11"}, "9": {"ItemLevelGTIN": "00884548028357"}, "10": {"_addonCardone": "43-2139::98264:119658:530"}, "11": {"Eligible for R&amp;R Service": "Yes"}}</t>
        </is>
      </c>
      <c r="J655" t="inlineStr">
        <is>
          <t>https://www.cardone.com/product/windshield-wiper-motor-43-2139</t>
        </is>
      </c>
      <c r="K655">
        <f>DISPIMG("ID_2D8AA6612B804C9B830B8846E6660B50",1)</f>
        <v/>
      </c>
      <c r="L655" t="inlineStr">
        <is>
          <t>CPCX|43-2139</t>
        </is>
      </c>
      <c r="M655" t="inlineStr"/>
      <c r="N655" t="inlineStr">
        <is>
          <t>Yes</t>
        </is>
      </c>
      <c r="O655" t="inlineStr">
        <is>
          <t>Remanufactured</t>
        </is>
      </c>
      <c r="P655" t="inlineStr"/>
      <c r="Q655" t="inlineStr"/>
      <c r="R655" t="inlineStr"/>
      <c r="S655" t="inlineStr">
        <is>
          <t>3.0000</t>
        </is>
      </c>
      <c r="T655" t="inlineStr"/>
      <c r="U655" t="inlineStr">
        <is>
          <t>1 Year/18,000 Mile</t>
        </is>
      </c>
      <c r="V655" t="inlineStr">
        <is>
          <t>Yes</t>
        </is>
      </c>
      <c r="W655" t="inlineStr">
        <is>
          <t>Available to Order</t>
        </is>
      </c>
      <c r="X655" t="inlineStr">
        <is>
          <t>BMW X3 2016-11</t>
        </is>
      </c>
      <c r="Y655" t="inlineStr">
        <is>
          <t>00884548028357</t>
        </is>
      </c>
      <c r="Z655" t="inlineStr">
        <is>
          <t>43-2139::98264:119658:530</t>
        </is>
      </c>
      <c r="AA655" t="inlineStr">
        <is>
          <t>Yes</t>
        </is>
      </c>
      <c r="AB655" t="inlineStr"/>
      <c r="AC655" t="inlineStr"/>
    </row>
    <row r="656">
      <c r="A656" t="inlineStr">
        <is>
          <t>655</t>
        </is>
      </c>
      <c r="B656" t="inlineStr">
        <is>
          <t>Windshield Wiper Motor</t>
        </is>
      </c>
      <c r="C656" t="inlineStr">
        <is>
          <t>43-2140</t>
        </is>
      </c>
      <c r="D656" t="inlineStr">
        <is>
          <t>Windshield Wiper Motor - 43-2140</t>
        </is>
      </c>
      <c r="E656" t="inlineStr">
        <is>
          <t>CARDONE Reman</t>
        </is>
      </c>
      <c r="F656" t="inlineStr">
        <is>
          <t>61619800894</t>
        </is>
      </c>
      <c r="G656" t="inlineStr">
        <is>
          <t>Mini Cooper Countryman 2011-2016
Mini Cooper Paceman 2013-2016</t>
        </is>
      </c>
      <c r="H656" t="inlineStr">
        <is>
          <t>Mini Cooper Countryman 2011-2016 1.6L L4 1598cc
Mini Cooper Countryman 2011-2016 1.6L L4 98cid
Mini Cooper Paceman 2013-2016 1.6L L4 1598cc
Mini Cooper Paceman 2013-2016 1.6L L4 98cid</t>
        </is>
      </c>
      <c r="I656" t="inlineStr">
        <is>
          <t>{"0": {"productDeskExternalKey": "CPCX|43-2140"}, "1": {"E-Waste": "Yes"}, "2": {"Product Condition": "Remanufactured"}, "3": {"Weight PG": "3.0000"}, "4": {"Part Type": "Windshield Wiper Motor"}, "5": {"Warranty Info": "1 Year/18,000 Mile"}, "6": {"Sustainable Choice": "Yes"}, "7": {"Lifecycle Status": "Available to Order"}, "8": {"Application Summary": "Mini Cooper Countryman 2016-11, Cooper Paceman 2016-13"}, "9": {"ItemLevelGTIN": "00884548028364"}, "10": {"_addonCardone": "43-2140::98264:119677:530"}, "11": {"Eligible for R&amp;R Service": "Yes"}}</t>
        </is>
      </c>
      <c r="J656" t="inlineStr">
        <is>
          <t>https://www.cardone.com/product/windshield-wiper-motor-43-2140</t>
        </is>
      </c>
      <c r="K656">
        <f>DISPIMG("ID_DF3E71E1E5094506A9879AF20349AEC6",1)</f>
        <v/>
      </c>
      <c r="L656" t="inlineStr">
        <is>
          <t>CPCX|43-2140</t>
        </is>
      </c>
      <c r="M656" t="inlineStr"/>
      <c r="N656" t="inlineStr">
        <is>
          <t>Yes</t>
        </is>
      </c>
      <c r="O656" t="inlineStr">
        <is>
          <t>Remanufactured</t>
        </is>
      </c>
      <c r="P656" t="inlineStr"/>
      <c r="Q656" t="inlineStr"/>
      <c r="R656" t="inlineStr"/>
      <c r="S656" t="inlineStr">
        <is>
          <t>3.0000</t>
        </is>
      </c>
      <c r="T656" t="inlineStr"/>
      <c r="U656" t="inlineStr">
        <is>
          <t>1 Year/18,000 Mile</t>
        </is>
      </c>
      <c r="V656" t="inlineStr">
        <is>
          <t>Yes</t>
        </is>
      </c>
      <c r="W656" t="inlineStr">
        <is>
          <t>Available to Order</t>
        </is>
      </c>
      <c r="X656" t="inlineStr">
        <is>
          <t>Mini Cooper Countryman 2016-11, Cooper Paceman 2016-13</t>
        </is>
      </c>
      <c r="Y656" t="inlineStr">
        <is>
          <t>00884548028364</t>
        </is>
      </c>
      <c r="Z656" t="inlineStr">
        <is>
          <t>43-2140::98264:119677:530</t>
        </is>
      </c>
      <c r="AA656" t="inlineStr">
        <is>
          <t>Yes</t>
        </is>
      </c>
      <c r="AB656" t="inlineStr"/>
      <c r="AC656" t="inlineStr"/>
    </row>
    <row r="657">
      <c r="A657" t="inlineStr">
        <is>
          <t>656</t>
        </is>
      </c>
      <c r="B657" t="inlineStr">
        <is>
          <t>Windshield Wiper Motor</t>
        </is>
      </c>
      <c r="C657" t="inlineStr">
        <is>
          <t>43-2800</t>
        </is>
      </c>
      <c r="D657" t="inlineStr">
        <is>
          <t>Windshield Wiper Motor - 43-2800</t>
        </is>
      </c>
      <c r="E657" t="inlineStr">
        <is>
          <t>CARDONE Reman</t>
        </is>
      </c>
      <c r="F657" t="inlineStr">
        <is>
          <t>DBC4939</t>
        </is>
      </c>
      <c r="G657" t="inlineStr">
        <is>
          <t>Jaguar Vanden Plas 1988-1992
Jaguar XJ6 1988-1992</t>
        </is>
      </c>
      <c r="H657" t="inlineStr">
        <is>
          <t>Jaguar Vanden Plas 1988-1989 3.6L L6 3590cc
Jaguar Vanden Plas 1990-1992 4L L6 3980cc
Jaguar XJ6 1988-1989 3.6L L6 3590cc
Jaguar XJ6 1990-1992 4L L6 3980cc</t>
        </is>
      </c>
      <c r="I657" t="inlineStr">
        <is>
          <t>{"0": {"productDeskExternalKey": "CPCX|43-2800"}, "1": {"Package Contents": "Wiper Motor; Instruction Sheet"}, "2": {"E-Waste": "Yes"}, "3": {"Product Condition": "Remanufactured"}, "4": {"Mounting Hole Quantity": "3"}, "5": {"Terminal Type": "Bullet"}, "6": {"Mounting Type": "Direct Bolt"}, "7": {"Weight PG": "3.5000"}, "8": {"Washer Pump Included": "No"}, "9": {"Part Type": "Windshield Wiper Motor"}, "10": {"Warranty Info": "1 Year/18,000 Mile"}, "11": {"Sustainable Choice": "Yes"}, "12": {"Lifecycle Status": "Available to Order"}, "13": {"Application Summary": "Jaguar Vanden Plas 1992-88, XJ6 1992-88"}, "14": {"ItemLevelGTIN": "00082617498883"}, "15": {"_addonCardone": "43-2800::98264:119695:530"}, "16": {"Eligible for R&amp;R Service": "Yes"}}</t>
        </is>
      </c>
      <c r="J657" t="inlineStr">
        <is>
          <t>https://www.cardone.com/product/windshield-wiper-motor-43-2800</t>
        </is>
      </c>
      <c r="K657">
        <f>DISPIMG("ID_28E5434D888D48C28C713AE11C7A7857",1)</f>
        <v/>
      </c>
      <c r="L657" t="inlineStr">
        <is>
          <t>CPCX|43-2800</t>
        </is>
      </c>
      <c r="M657" t="inlineStr">
        <is>
          <t>Wiper Motor; Instruction Sheet</t>
        </is>
      </c>
      <c r="N657" t="inlineStr">
        <is>
          <t>Yes</t>
        </is>
      </c>
      <c r="O657" t="inlineStr">
        <is>
          <t>Remanufactured</t>
        </is>
      </c>
      <c r="P657" t="inlineStr">
        <is>
          <t>3</t>
        </is>
      </c>
      <c r="Q657" t="inlineStr">
        <is>
          <t>Bullet</t>
        </is>
      </c>
      <c r="R657" t="inlineStr">
        <is>
          <t>Direct Bolt</t>
        </is>
      </c>
      <c r="S657" t="inlineStr">
        <is>
          <t>3.5000</t>
        </is>
      </c>
      <c r="T657" t="inlineStr">
        <is>
          <t>No</t>
        </is>
      </c>
      <c r="U657" t="inlineStr">
        <is>
          <t>1 Year/18,000 Mile</t>
        </is>
      </c>
      <c r="V657" t="inlineStr">
        <is>
          <t>Yes</t>
        </is>
      </c>
      <c r="W657" t="inlineStr">
        <is>
          <t>Available to Order</t>
        </is>
      </c>
      <c r="X657" t="inlineStr">
        <is>
          <t>Jaguar Vanden Plas 1992-88, XJ6 1992-88</t>
        </is>
      </c>
      <c r="Y657" t="inlineStr">
        <is>
          <t>00082617498883</t>
        </is>
      </c>
      <c r="Z657" t="inlineStr">
        <is>
          <t>43-2800::98264:119695:530</t>
        </is>
      </c>
      <c r="AA657" t="inlineStr">
        <is>
          <t>Yes</t>
        </is>
      </c>
      <c r="AB657" t="inlineStr"/>
      <c r="AC657" t="inlineStr"/>
    </row>
    <row r="658">
      <c r="A658" t="inlineStr">
        <is>
          <t>657</t>
        </is>
      </c>
      <c r="B658" t="inlineStr">
        <is>
          <t>Windshield Wiper Motor</t>
        </is>
      </c>
      <c r="C658" t="inlineStr">
        <is>
          <t>43-2802</t>
        </is>
      </c>
      <c r="D658" t="inlineStr">
        <is>
          <t>Windshield Wiper Motor - 43-2802</t>
        </is>
      </c>
      <c r="E658" t="inlineStr">
        <is>
          <t>CARDONE Reman</t>
        </is>
      </c>
      <c r="F658" t="inlineStr">
        <is>
          <t>GNC8951AA;GNC8951AB</t>
        </is>
      </c>
      <c r="G658" t="inlineStr">
        <is>
          <t>Jaguar Vanden Plas 1998-2003
Jaguar XJ8 1998-2003
Jaguar XJR 1998-2003</t>
        </is>
      </c>
      <c r="H658" t="inlineStr">
        <is>
          <t>Jaguar Vanden Plas 1998-2003 4L V8 244cid
Jaguar XJ8 1998-2003 4L V8 244cid
Jaguar XJR 1998-2003 4L V8 244cid</t>
        </is>
      </c>
      <c r="I658" t="inlineStr">
        <is>
          <t>{"0": {"productDeskExternalKey": "CPCX|43-2802"}, "1": {"Package Contents": "Wiper Motor; Instruction Sheet"}, "2": {"E-Waste": "Yes"}, "3": {"Product Condition": "Remanufactured"}, "4": {"Mounting Hole Quantity": "3"}, "5": {"Terminal Type": "Pin"}, "6": {"Mounting Type": "Direct Bolt"}, "7": {"Weight PG": "2.0000"}, "8": {"Washer Pump Included": "No"}, "9": {"Part Type": "Windshield Wiper Motor"}, "10": {"Warranty Info": "1 Year/18,000 Mile"}, "11": {"Sustainable Choice": "Yes"}, "12": {"Lifecycle Status": "Available to Order"}, "13": {"Application Summary": "Jaguar Vanden Plas 2003-98, XJ8 2003-98, XJR 2003-98"}, "14": {"ItemLevelGTIN": "00082617780483"}, "15": {"_addonCardone": "43-2802::98264:119708:530"}, "16": {"Eligible for R&amp;R Service": "Yes"}}</t>
        </is>
      </c>
      <c r="J658" t="inlineStr">
        <is>
          <t>https://www.cardone.com/product/windshield-wiper-motor-43-2802</t>
        </is>
      </c>
      <c r="K658">
        <f>DISPIMG("ID_A88860D07E334B9D8E30B61B051DC735",1)</f>
        <v/>
      </c>
      <c r="L658" t="inlineStr">
        <is>
          <t>CPCX|43-2802</t>
        </is>
      </c>
      <c r="M658" t="inlineStr">
        <is>
          <t>Wiper Motor; Instruction Sheet</t>
        </is>
      </c>
      <c r="N658" t="inlineStr">
        <is>
          <t>Yes</t>
        </is>
      </c>
      <c r="O658" t="inlineStr">
        <is>
          <t>Remanufactured</t>
        </is>
      </c>
      <c r="P658" t="inlineStr">
        <is>
          <t>3</t>
        </is>
      </c>
      <c r="Q658" t="inlineStr">
        <is>
          <t>Pin</t>
        </is>
      </c>
      <c r="R658" t="inlineStr">
        <is>
          <t>Direct Bolt</t>
        </is>
      </c>
      <c r="S658" t="inlineStr">
        <is>
          <t>2.0000</t>
        </is>
      </c>
      <c r="T658" t="inlineStr">
        <is>
          <t>No</t>
        </is>
      </c>
      <c r="U658" t="inlineStr">
        <is>
          <t>1 Year/18,000 Mile</t>
        </is>
      </c>
      <c r="V658" t="inlineStr">
        <is>
          <t>Yes</t>
        </is>
      </c>
      <c r="W658" t="inlineStr">
        <is>
          <t>Available to Order</t>
        </is>
      </c>
      <c r="X658" t="inlineStr">
        <is>
          <t>Jaguar Vanden Plas 2003-98, XJ8 2003-98, XJR 2003-98</t>
        </is>
      </c>
      <c r="Y658" t="inlineStr">
        <is>
          <t>00082617780483</t>
        </is>
      </c>
      <c r="Z658" t="inlineStr">
        <is>
          <t>43-2802::98264:119708:530</t>
        </is>
      </c>
      <c r="AA658" t="inlineStr">
        <is>
          <t>Yes</t>
        </is>
      </c>
      <c r="AB658" t="inlineStr"/>
      <c r="AC658" t="inlineStr"/>
    </row>
    <row r="659">
      <c r="A659" t="inlineStr">
        <is>
          <t>658</t>
        </is>
      </c>
      <c r="B659" t="inlineStr">
        <is>
          <t>Windshield Wiper Motor</t>
        </is>
      </c>
      <c r="C659" t="inlineStr">
        <is>
          <t>43-2803</t>
        </is>
      </c>
      <c r="D659" t="inlineStr">
        <is>
          <t>Windshield Wiper Motor - 43-2803</t>
        </is>
      </c>
      <c r="E659" t="inlineStr">
        <is>
          <t>CARDONE Reman</t>
        </is>
      </c>
      <c r="F659" t="inlineStr">
        <is>
          <t>C2C20637;C2C22203;C2C29438;C2C1657;C2C34187</t>
        </is>
      </c>
      <c r="G659" t="inlineStr">
        <is>
          <t>Jaguar Super V8 2005-2009
Jaguar Vanden Plas 2004-2009
Jaguar XJ8 2004-2009
Jaguar XJR 2004-2009</t>
        </is>
      </c>
      <c r="H659" t="inlineStr">
        <is>
          <t>Jaguar Super V8 2005-2009 4.2L V8 256cid
Jaguar Vanden Plas 2004-2009 4.2L V8 256cid
Jaguar XJ8 2004-2009 4.2L V8 256cid
Jaguar XJR 2004-2009 4.2L V8 256cid</t>
        </is>
      </c>
      <c r="I659" t="inlineStr">
        <is>
          <t>{"0": {"productDeskExternalKey": "CPCX|43-2803"}, "1": {"Package Contents": "Wiper Motor; Instruction Sheet"}, "2": {"E-Waste": "Yes"}, "3": {"Product Condition": "Remanufactured"}, "4": {"Mounting Hole Quantity": "3"}, "5": {"Terminal Type": "Blade"}, "6": {"Mounting Type": "Direct Bolt"}, "7": {"Weight PG": "2.8000"}, "8": {"Washer Pump Included": "No"}, "9": {"Part Type": "Windshield Wiper Motor"}, "10": {"Warranty Info": "1 Year/18,000 Mile"}, "11": {"Sustainable Choice": "Yes"}, "12": {"Lifecycle Status": "Available to Order"}, "13": {"Application Summary": "Jaguar Super V8 2009-05, Vanden Plas 2009-04, XJ8 2009-04, XJR 2009-04"}, "14": {"ItemLevelGTIN": "00082617805896"}, "15": {"_addonCardone": "43-2803::98264:119725:530"}, "16": {"Eligible for R&amp;R Service": "Yes"}}</t>
        </is>
      </c>
      <c r="J659" t="inlineStr">
        <is>
          <t>https://www.cardone.com/product/windshield-wiper-motor-43-2803</t>
        </is>
      </c>
      <c r="K659">
        <f>DISPIMG("ID_DD9472334A8241E5B59335200399F5C9",1)</f>
        <v/>
      </c>
      <c r="L659" t="inlineStr">
        <is>
          <t>CPCX|43-2803</t>
        </is>
      </c>
      <c r="M659" t="inlineStr">
        <is>
          <t>Wiper Motor; Instruction Sheet</t>
        </is>
      </c>
      <c r="N659" t="inlineStr">
        <is>
          <t>Yes</t>
        </is>
      </c>
      <c r="O659" t="inlineStr">
        <is>
          <t>Remanufactured</t>
        </is>
      </c>
      <c r="P659" t="inlineStr">
        <is>
          <t>3</t>
        </is>
      </c>
      <c r="Q659" t="inlineStr">
        <is>
          <t>Blade</t>
        </is>
      </c>
      <c r="R659" t="inlineStr">
        <is>
          <t>Direct Bolt</t>
        </is>
      </c>
      <c r="S659" t="inlineStr">
        <is>
          <t>2.8000</t>
        </is>
      </c>
      <c r="T659" t="inlineStr">
        <is>
          <t>No</t>
        </is>
      </c>
      <c r="U659" t="inlineStr">
        <is>
          <t>1 Year/18,000 Mile</t>
        </is>
      </c>
      <c r="V659" t="inlineStr">
        <is>
          <t>Yes</t>
        </is>
      </c>
      <c r="W659" t="inlineStr">
        <is>
          <t>Available to Order</t>
        </is>
      </c>
      <c r="X659" t="inlineStr">
        <is>
          <t>Jaguar Super V8 2009-05, Vanden Plas 2009-04, XJ8 2009-04, XJR 2009-04</t>
        </is>
      </c>
      <c r="Y659" t="inlineStr">
        <is>
          <t>00082617805896</t>
        </is>
      </c>
      <c r="Z659" t="inlineStr">
        <is>
          <t>43-2803::98264:119725:530</t>
        </is>
      </c>
      <c r="AA659" t="inlineStr">
        <is>
          <t>Yes</t>
        </is>
      </c>
      <c r="AB659" t="inlineStr"/>
      <c r="AC659" t="inlineStr"/>
    </row>
    <row r="660">
      <c r="A660" t="inlineStr">
        <is>
          <t>659</t>
        </is>
      </c>
      <c r="B660" t="inlineStr">
        <is>
          <t>Windshield Wiper Motor</t>
        </is>
      </c>
      <c r="C660" t="inlineStr">
        <is>
          <t>43-2810</t>
        </is>
      </c>
      <c r="D660" t="inlineStr">
        <is>
          <t>Windshield Wiper Motor - 43-2810</t>
        </is>
      </c>
      <c r="E660" t="inlineStr">
        <is>
          <t>CARDONE Reman</t>
        </is>
      </c>
      <c r="F660" t="inlineStr">
        <is>
          <t>GJA8951AE;GJA8951AF</t>
        </is>
      </c>
      <c r="G660" t="inlineStr">
        <is>
          <t>Jaguar XK8 1997-2006
Jaguar XKR 2000-2006</t>
        </is>
      </c>
      <c r="H660" t="inlineStr">
        <is>
          <t>Jaguar XK8 1997-2002 4L V8 244cid
Jaguar XK8 2003-2006 4.2L V8 256cid
Jaguar XKR 2000-2002 4L V8 244cid
Jaguar XKR 2003-2006 4.2L V8 256cid</t>
        </is>
      </c>
      <c r="I660" t="inlineStr">
        <is>
          <t>{"0": {"productDeskExternalKey": "CPCX|43-2810"},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"Jaguar XK8 2006-97, XKR 2006-00"}, "14": {"ItemLevelGTIN": "00082617838665"}, "15": {"_addonCardone": "43-2810::98264:119738:530"}, "16": {"Eligible for R&amp;R Service": "Yes"}}</t>
        </is>
      </c>
      <c r="J660" t="inlineStr">
        <is>
          <t>https://www.cardone.com/product/windshield-wiper-motor-43-2810</t>
        </is>
      </c>
      <c r="K660">
        <f>DISPIMG("ID_504FDA972721435F8BABFBB2731BFD36",1)</f>
        <v/>
      </c>
      <c r="L660" t="inlineStr">
        <is>
          <t>CPCX|43-2810</t>
        </is>
      </c>
      <c r="M660" t="inlineStr">
        <is>
          <t>Wiper Motor; Instruction Sheet</t>
        </is>
      </c>
      <c r="N660" t="inlineStr">
        <is>
          <t>Yes</t>
        </is>
      </c>
      <c r="O660" t="inlineStr">
        <is>
          <t>Remanufactured</t>
        </is>
      </c>
      <c r="P660" t="inlineStr">
        <is>
          <t>3</t>
        </is>
      </c>
      <c r="Q660" t="inlineStr">
        <is>
          <t>Blade</t>
        </is>
      </c>
      <c r="R660" t="inlineStr">
        <is>
          <t>Direct Bolt</t>
        </is>
      </c>
      <c r="S660" t="inlineStr">
        <is>
          <t>3.0000</t>
        </is>
      </c>
      <c r="T660" t="inlineStr">
        <is>
          <t>No</t>
        </is>
      </c>
      <c r="U660" t="inlineStr">
        <is>
          <t>1 Year/18,000 Mile</t>
        </is>
      </c>
      <c r="V660" t="inlineStr">
        <is>
          <t>Yes</t>
        </is>
      </c>
      <c r="W660" t="inlineStr">
        <is>
          <t>Available to Order</t>
        </is>
      </c>
      <c r="X660" t="inlineStr">
        <is>
          <t>Jaguar XK8 2006-97, XKR 2006-00</t>
        </is>
      </c>
      <c r="Y660" t="inlineStr">
        <is>
          <t>00082617838665</t>
        </is>
      </c>
      <c r="Z660" t="inlineStr">
        <is>
          <t>43-2810::98264:119738:530</t>
        </is>
      </c>
      <c r="AA660" t="inlineStr">
        <is>
          <t>Yes</t>
        </is>
      </c>
      <c r="AB660" t="inlineStr"/>
      <c r="AC660" t="inlineStr"/>
    </row>
    <row r="661">
      <c r="A661" t="inlineStr">
        <is>
          <t>660</t>
        </is>
      </c>
      <c r="B661" t="inlineStr">
        <is>
          <t>Windshield Wiper Motor</t>
        </is>
      </c>
      <c r="C661" t="inlineStr">
        <is>
          <t>43-2811</t>
        </is>
      </c>
      <c r="D661" t="inlineStr">
        <is>
          <t>Windshield Wiper Motor - 43-2811</t>
        </is>
      </c>
      <c r="E661" t="inlineStr">
        <is>
          <t>CARDONE Reman</t>
        </is>
      </c>
      <c r="F661" t="inlineStr">
        <is>
          <t>C2Z3314;C2D3544</t>
        </is>
      </c>
      <c r="G661" t="inlineStr">
        <is>
          <t>Jaguar XF 2009-2015
Jaguar XFR 2010-2015
Jaguar XFR-S 2013-2015</t>
        </is>
      </c>
      <c r="H661" t="inlineStr">
        <is>
          <t>Jaguar XF 2009-2010 4.2L V8 256cid
Jaguar XF 2010-2015 5L V8 5000cc
Jaguar XF 2012 3L V6 182cid
Jaguar XF 2013-2015 2L L4 122cid
Jaguar XF 2013-2015 3L V6 183cid
Jaguar XFR 2010-2015 5L V8 5000cc
Jaguar XFR 2011 5L V8 305cid
Jaguar XFR-S 2013-2015 5L V8 5000cc</t>
        </is>
      </c>
      <c r="I661" t="inlineStr">
        <is>
          <t>{"0": {"productDeskExternalKey": "CPCX|43-2811"}, "1": {"E-Waste": "Yes"}, "2": {"Product Condition": "Remanufactured"}, "3": {"Weight PG": "2.5000"}, "4": {"Part Type": "Windshield Wiper Motor"}, "5": {"Warranty Info": "1 Year/18,000 Mile"}, "6": {"Sustainable Choice": "Yes"}, "7": {"Lifecycle Status": "Available to Order"}, "8": {"Application Summary": "Jaguar XF 2015-09, XFR 2015-10, XFR-S 2015-13"}, "9": {"ItemLevelGTIN": "00082617900904"}, "10": {"_addonCardone": "43-2811::98264:119755:530"}, "11": {"Eligible for R&amp;R Service": "Yes"}}</t>
        </is>
      </c>
      <c r="J661" t="inlineStr">
        <is>
          <t>https://www.cardone.com/product/windshield-wiper-motor-43-2811</t>
        </is>
      </c>
      <c r="K661">
        <f>DISPIMG("ID_37180699F8A84A9E98EC88195621FE35",1)</f>
        <v/>
      </c>
      <c r="L661" t="inlineStr">
        <is>
          <t>CPCX|43-2811</t>
        </is>
      </c>
      <c r="M661" t="inlineStr"/>
      <c r="N661" t="inlineStr">
        <is>
          <t>Yes</t>
        </is>
      </c>
      <c r="O661" t="inlineStr">
        <is>
          <t>Remanufactured</t>
        </is>
      </c>
      <c r="P661" t="inlineStr"/>
      <c r="Q661" t="inlineStr"/>
      <c r="R661" t="inlineStr"/>
      <c r="S661" t="inlineStr">
        <is>
          <t>2.5000</t>
        </is>
      </c>
      <c r="T661" t="inlineStr"/>
      <c r="U661" t="inlineStr">
        <is>
          <t>1 Year/18,000 Mile</t>
        </is>
      </c>
      <c r="V661" t="inlineStr">
        <is>
          <t>Yes</t>
        </is>
      </c>
      <c r="W661" t="inlineStr">
        <is>
          <t>Available to Order</t>
        </is>
      </c>
      <c r="X661" t="inlineStr">
        <is>
          <t>Jaguar XF 2015-09, XFR 2015-10, XFR-S 2015-13</t>
        </is>
      </c>
      <c r="Y661" t="inlineStr">
        <is>
          <t>00082617900904</t>
        </is>
      </c>
      <c r="Z661" t="inlineStr">
        <is>
          <t>43-2811::98264:119755:530</t>
        </is>
      </c>
      <c r="AA661" t="inlineStr">
        <is>
          <t>Yes</t>
        </is>
      </c>
      <c r="AB661" t="inlineStr"/>
      <c r="AC661" t="inlineStr"/>
    </row>
    <row r="662">
      <c r="A662" t="inlineStr">
        <is>
          <t>661</t>
        </is>
      </c>
      <c r="B662" t="inlineStr">
        <is>
          <t>Windshield Wiper Motor</t>
        </is>
      </c>
      <c r="C662" t="inlineStr">
        <is>
          <t>43-2900</t>
        </is>
      </c>
      <c r="D662" t="inlineStr">
        <is>
          <t>Windshield Wiper Motor - 43-2900</t>
        </is>
      </c>
      <c r="E662" t="inlineStr">
        <is>
          <t>CARDONE Reman</t>
        </is>
      </c>
      <c r="F662" t="inlineStr">
        <is>
          <t>9123662</t>
        </is>
      </c>
      <c r="G662" t="inlineStr">
        <is>
          <t>Saab 9000 1990-1998</t>
        </is>
      </c>
      <c r="H662" t="inlineStr">
        <is>
          <t>Saab 9000 1990 2L L4 1985cc
Saab 9000 1990-1994 2.3L L4 140cid
Saab 9000 1991-1998 2.3L L4 2290cc
Saab 9000 1995-1997 3L V6 181cid</t>
        </is>
      </c>
      <c r="I662" t="inlineStr">
        <is>
          <t>{"0": {"productDeskExternalKey": "CPCX|43-2900"}, "1": {"Package Contents": "Wiper Motor; Instruction Sheet"}, "2": {"E-Waste": "Yes"}, "3": {"Product Condition": "Remanufactured"}, "4": {"Mounting Hole Quantity": "3"}, "5": {"Terminal Type": "Bullet"}, "6": {"Mounting Type": "Direct Bolt"}, "7": {"Weight PG": "2.5000"}, "8": {"Washer Pump Included": "No"}, "9": {"Part Type": "Windshield Wiper Motor"}, "10": {"Warranty Info": "1 Year/18,000 Mile"}, "11": {"Sustainable Choice": "Yes"}, "12": {"Lifecycle Status": "Available to Order"}, "13": {"Application Summary": "Saab 9000 1998-90"}, "14": {"ItemLevelGTIN": "00082617498890"}, "15": {"_addonCardone": "43-2900::98264:119768:530"}, "16": {"Eligible for R&amp;R Service": "Yes"}}</t>
        </is>
      </c>
      <c r="J662" t="inlineStr">
        <is>
          <t>https://www.cardone.com/product/windshield-wiper-motor-43-2900</t>
        </is>
      </c>
      <c r="K662">
        <f>DISPIMG("ID_8D49D9B01F09405C8EE51C203E4B3D53",1)</f>
        <v/>
      </c>
      <c r="L662" t="inlineStr">
        <is>
          <t>CPCX|43-2900</t>
        </is>
      </c>
      <c r="M662" t="inlineStr">
        <is>
          <t>Wiper Motor; Instruction Sheet</t>
        </is>
      </c>
      <c r="N662" t="inlineStr">
        <is>
          <t>Yes</t>
        </is>
      </c>
      <c r="O662" t="inlineStr">
        <is>
          <t>Remanufactured</t>
        </is>
      </c>
      <c r="P662" t="inlineStr">
        <is>
          <t>3</t>
        </is>
      </c>
      <c r="Q662" t="inlineStr">
        <is>
          <t>Bullet</t>
        </is>
      </c>
      <c r="R662" t="inlineStr">
        <is>
          <t>Direct Bolt</t>
        </is>
      </c>
      <c r="S662" t="inlineStr">
        <is>
          <t>2.5000</t>
        </is>
      </c>
      <c r="T662" t="inlineStr">
        <is>
          <t>No</t>
        </is>
      </c>
      <c r="U662" t="inlineStr">
        <is>
          <t>1 Year/18,000 Mile</t>
        </is>
      </c>
      <c r="V662" t="inlineStr">
        <is>
          <t>Yes</t>
        </is>
      </c>
      <c r="W662" t="inlineStr">
        <is>
          <t>Available to Order</t>
        </is>
      </c>
      <c r="X662" t="inlineStr">
        <is>
          <t>Saab 9000 1998-90</t>
        </is>
      </c>
      <c r="Y662" t="inlineStr">
        <is>
          <t>00082617498890</t>
        </is>
      </c>
      <c r="Z662" t="inlineStr">
        <is>
          <t>43-2900::98264:119768:530</t>
        </is>
      </c>
      <c r="AA662" t="inlineStr">
        <is>
          <t>Yes</t>
        </is>
      </c>
      <c r="AB662" t="inlineStr"/>
      <c r="AC662" t="inlineStr"/>
    </row>
    <row r="663">
      <c r="A663" t="inlineStr">
        <is>
          <t>662</t>
        </is>
      </c>
      <c r="B663" t="inlineStr">
        <is>
          <t>Windshield Wiper Motor</t>
        </is>
      </c>
      <c r="C663" t="inlineStr">
        <is>
          <t>43-2901</t>
        </is>
      </c>
      <c r="D663" t="inlineStr">
        <is>
          <t>Windshield Wiper Motor - 43-2901</t>
        </is>
      </c>
      <c r="E663" t="inlineStr">
        <is>
          <t>CARDONE Reman</t>
        </is>
      </c>
      <c r="F663" t="inlineStr">
        <is>
          <t>4832333</t>
        </is>
      </c>
      <c r="G663" t="inlineStr">
        <is>
          <t>Saab 9-5 1999-2009</t>
        </is>
      </c>
      <c r="H663" t="inlineStr">
        <is>
          <t>Saab 9-5 1999-2003 3L V6 181cid
Saab 9-5 1999-2009 2.3L L4 140cid</t>
        </is>
      </c>
      <c r="I663" t="inlineStr">
        <is>
          <t>{"0": {"productDeskExternalKey": "CPCX|43-2901"},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"Saab 9-5 2009-99"}, "14": {"ItemLevelGTIN": "00082617589840"}, "15": {"_addonCardone": "43-2901::98264:119789:530"}, "16": {"Eligible for R&amp;R Service": "Yes"}}</t>
        </is>
      </c>
      <c r="J663" t="inlineStr">
        <is>
          <t>https://www.cardone.com/product/windshield-wiper-motor-43-2901</t>
        </is>
      </c>
      <c r="K663">
        <f>DISPIMG("ID_11B87DB3AD20479BBECCC43587829ECD",1)</f>
        <v/>
      </c>
      <c r="L663" t="inlineStr">
        <is>
          <t>CPCX|43-2901</t>
        </is>
      </c>
      <c r="M663" t="inlineStr">
        <is>
          <t>Wiper Motor; Instruction Sheet</t>
        </is>
      </c>
      <c r="N663" t="inlineStr">
        <is>
          <t>Yes</t>
        </is>
      </c>
      <c r="O663" t="inlineStr">
        <is>
          <t>Remanufactured</t>
        </is>
      </c>
      <c r="P663" t="inlineStr">
        <is>
          <t>3</t>
        </is>
      </c>
      <c r="Q663" t="inlineStr">
        <is>
          <t>Blade</t>
        </is>
      </c>
      <c r="R663" t="inlineStr">
        <is>
          <t>Direct Bolt</t>
        </is>
      </c>
      <c r="S663" t="inlineStr">
        <is>
          <t>3.5000</t>
        </is>
      </c>
      <c r="T663" t="inlineStr">
        <is>
          <t>No</t>
        </is>
      </c>
      <c r="U663" t="inlineStr">
        <is>
          <t>1 Year/18,000 Mile</t>
        </is>
      </c>
      <c r="V663" t="inlineStr">
        <is>
          <t>Yes</t>
        </is>
      </c>
      <c r="W663" t="inlineStr">
        <is>
          <t>Available to Order</t>
        </is>
      </c>
      <c r="X663" t="inlineStr">
        <is>
          <t>Saab 9-5 2009-99</t>
        </is>
      </c>
      <c r="Y663" t="inlineStr">
        <is>
          <t>00082617589840</t>
        </is>
      </c>
      <c r="Z663" t="inlineStr">
        <is>
          <t>43-2901::98264:119789:530</t>
        </is>
      </c>
      <c r="AA663" t="inlineStr">
        <is>
          <t>Yes</t>
        </is>
      </c>
      <c r="AB663" t="inlineStr"/>
      <c r="AC663" t="inlineStr"/>
    </row>
    <row r="664">
      <c r="A664" t="inlineStr">
        <is>
          <t>663</t>
        </is>
      </c>
      <c r="B664" t="inlineStr">
        <is>
          <t>Windshield Wiper Motor</t>
        </is>
      </c>
      <c r="C664" t="inlineStr">
        <is>
          <t>43-2902</t>
        </is>
      </c>
      <c r="D664" t="inlineStr">
        <is>
          <t>Windshield Wiper Motor - 43-2902</t>
        </is>
      </c>
      <c r="E664" t="inlineStr">
        <is>
          <t>CARDONE Reman</t>
        </is>
      </c>
      <c r="F664" t="inlineStr">
        <is>
          <t>9086869</t>
        </is>
      </c>
      <c r="G664" t="inlineStr">
        <is>
          <t>Saab 9000 1990-1998</t>
        </is>
      </c>
      <c r="H664" t="inlineStr">
        <is>
          <t>Saab 9000 1990 2L L4 1985cc
Saab 9000 1990-1994 2.3L L4 140cid
Saab 9000 1991-1998 2.3L L4 2290cc
Saab 9000 1995-1997 3L V6 181cid</t>
        </is>
      </c>
      <c r="I664" t="inlineStr">
        <is>
          <t>{"0": {"productDeskExternalKey": "CPCX|43-2902"},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"Saab 9000 1998-90"}, "14": {"ItemLevelGTIN": "00082617595018"}, "15": {"_addonCardone": "43-2902::98264:119803:530"}, "16": {"Eligible for R&amp;R Service": "Yes"}}</t>
        </is>
      </c>
      <c r="J664" t="inlineStr">
        <is>
          <t>https://www.cardone.com/product/windshield-wiper-motor-43-2902</t>
        </is>
      </c>
      <c r="K664">
        <f>DISPIMG("ID_BC8B676FD32B42B8BA35E834993E071B",1)</f>
        <v/>
      </c>
      <c r="L664" t="inlineStr">
        <is>
          <t>CPCX|43-2902</t>
        </is>
      </c>
      <c r="M664" t="inlineStr">
        <is>
          <t>Wiper Motor; Instruction Sheet</t>
        </is>
      </c>
      <c r="N664" t="inlineStr">
        <is>
          <t>Yes</t>
        </is>
      </c>
      <c r="O664" t="inlineStr">
        <is>
          <t>Remanufactured</t>
        </is>
      </c>
      <c r="P664" t="inlineStr">
        <is>
          <t>3</t>
        </is>
      </c>
      <c r="Q664" t="inlineStr">
        <is>
          <t>Blade</t>
        </is>
      </c>
      <c r="R664" t="inlineStr">
        <is>
          <t>Grommet</t>
        </is>
      </c>
      <c r="S664" t="inlineStr">
        <is>
          <t>2.5000</t>
        </is>
      </c>
      <c r="T664" t="inlineStr">
        <is>
          <t>No</t>
        </is>
      </c>
      <c r="U664" t="inlineStr">
        <is>
          <t>1 Year/18,000 Mile</t>
        </is>
      </c>
      <c r="V664" t="inlineStr">
        <is>
          <t>Yes</t>
        </is>
      </c>
      <c r="W664" t="inlineStr">
        <is>
          <t>Available to Order</t>
        </is>
      </c>
      <c r="X664" t="inlineStr">
        <is>
          <t>Saab 9000 1998-90</t>
        </is>
      </c>
      <c r="Y664" t="inlineStr">
        <is>
          <t>00082617595018</t>
        </is>
      </c>
      <c r="Z664" t="inlineStr">
        <is>
          <t>43-2902::98264:119803:530</t>
        </is>
      </c>
      <c r="AA664" t="inlineStr">
        <is>
          <t>Yes</t>
        </is>
      </c>
      <c r="AB664" t="inlineStr"/>
      <c r="AC664" t="inlineStr"/>
    </row>
    <row r="665">
      <c r="A665" t="inlineStr">
        <is>
          <t>664</t>
        </is>
      </c>
      <c r="B665" t="inlineStr">
        <is>
          <t>Windshield Wiper Motor</t>
        </is>
      </c>
      <c r="C665" t="inlineStr">
        <is>
          <t>43-2903</t>
        </is>
      </c>
      <c r="D665" t="inlineStr">
        <is>
          <t>Windshield Wiper Motor - 43-2903</t>
        </is>
      </c>
      <c r="E665" t="inlineStr">
        <is>
          <t>CARDONE Reman</t>
        </is>
      </c>
      <c r="F665" t="inlineStr">
        <is>
          <t>30550877;4401618</t>
        </is>
      </c>
      <c r="G665" t="inlineStr">
        <is>
          <t>Saab 9-3 1999-2003
Saab 900 1994-1998</t>
        </is>
      </c>
      <c r="H665" t="inlineStr">
        <is>
          <t>Saab 9-3 1999-2002 2.3L L4 140cid
Saab 9-3 1999-2003 2L L4 1985cc
Saab 9-3 2001-2003 2L L4 122cid
Saab 900 1994 2.1L L4 2119cc
Saab 900 1994-1997 2.5L V6 2498cc
Saab 900 1994-1998 2.3L L4 140cid
Saab 900 1994-1998 2L L4 1985cc</t>
        </is>
      </c>
      <c r="I665" t="inlineStr">
        <is>
          <t>{"0": {"productDeskExternalKey": "CPCX|43-2903"}, "1": {"Package Contents": "Wiper Motor; Instruction Sheet"}, "2": {"E-Waste": "Yes"}, "3": {"Product Condition": "Remanufactured"}, "4": {"Mounting Hole Quantity": "3"}, "5": {"Terminal Type": "Blade"}, "6": {"Mounting Type": "Grommet"}, "7": {"Weight PG": "2.3500"}, "8": {"Washer Pump Included": "No"}, "9": {"Part Type": "Windshield Wiper Motor"}, "10": {"Warranty Info": "1 Year/18,000 Mile"}, "11": {"Sustainable Choice": "Yes"}, "12": {"Lifecycle Status": "Available to Order"}, "13": {"Application Summary": "Saab 900 1998-94, 9-3 2003-99"}, "14": {"ItemLevelGTIN": "00082617595001"}, "15": {"_addonCardone": "43-2903::98264:119819:530"}, "16": {"Eligible for R&amp;R Service": "Yes"}}</t>
        </is>
      </c>
      <c r="J665" t="inlineStr">
        <is>
          <t>https://www.cardone.com/product/windshield-wiper-motor-43-2903</t>
        </is>
      </c>
      <c r="K665">
        <f>DISPIMG("ID_D556400D1A87466D8B0EF4B2D0CAC4C7",1)</f>
        <v/>
      </c>
      <c r="L665" t="inlineStr">
        <is>
          <t>CPCX|43-2903</t>
        </is>
      </c>
      <c r="M665" t="inlineStr">
        <is>
          <t>Wiper Motor; Instruction Sheet</t>
        </is>
      </c>
      <c r="N665" t="inlineStr">
        <is>
          <t>Yes</t>
        </is>
      </c>
      <c r="O665" t="inlineStr">
        <is>
          <t>Remanufactured</t>
        </is>
      </c>
      <c r="P665" t="inlineStr">
        <is>
          <t>3</t>
        </is>
      </c>
      <c r="Q665" t="inlineStr">
        <is>
          <t>Blade</t>
        </is>
      </c>
      <c r="R665" t="inlineStr">
        <is>
          <t>Grommet</t>
        </is>
      </c>
      <c r="S665" t="inlineStr">
        <is>
          <t>2.3500</t>
        </is>
      </c>
      <c r="T665" t="inlineStr">
        <is>
          <t>No</t>
        </is>
      </c>
      <c r="U665" t="inlineStr">
        <is>
          <t>1 Year/18,000 Mile</t>
        </is>
      </c>
      <c r="V665" t="inlineStr">
        <is>
          <t>Yes</t>
        </is>
      </c>
      <c r="W665" t="inlineStr">
        <is>
          <t>Available to Order</t>
        </is>
      </c>
      <c r="X665" t="inlineStr">
        <is>
          <t>Saab 900 1998-94, 9-3 2003-99</t>
        </is>
      </c>
      <c r="Y665" t="inlineStr">
        <is>
          <t>00082617595001</t>
        </is>
      </c>
      <c r="Z665" t="inlineStr">
        <is>
          <t>43-2903::98264:119819:530</t>
        </is>
      </c>
      <c r="AA665" t="inlineStr">
        <is>
          <t>Yes</t>
        </is>
      </c>
      <c r="AB665" t="inlineStr"/>
      <c r="AC665" t="inlineStr"/>
    </row>
    <row r="666">
      <c r="A666" t="inlineStr">
        <is>
          <t>665</t>
        </is>
      </c>
      <c r="B666" t="inlineStr">
        <is>
          <t>Windshield Wiper Motor</t>
        </is>
      </c>
      <c r="C666" t="inlineStr">
        <is>
          <t>43-2904</t>
        </is>
      </c>
      <c r="D666" t="inlineStr">
        <is>
          <t>Windshield Wiper Motor - 43-2904</t>
        </is>
      </c>
      <c r="E666" t="inlineStr">
        <is>
          <t>CARDONE Reman</t>
        </is>
      </c>
      <c r="F666" t="inlineStr">
        <is>
          <t>12805859</t>
        </is>
      </c>
      <c r="G666" t="inlineStr">
        <is>
          <t>Saab 9-3 2003-2005</t>
        </is>
      </c>
      <c r="H666" t="inlineStr">
        <is>
          <t>Saab 9-3 2003-2005 2L L4 122cid</t>
        </is>
      </c>
      <c r="I666" t="inlineStr">
        <is>
          <t>{"0": {"productDeskExternalKey": "CPCX|43-2904"}, "1": {"Package Contents": "Wiper Motor; Instruction Sheet"}, "2": {"E-Waste": "Yes"}, "3": {"Product Condition": "Remanufactured"}, "4": {"Mounting Hole Quantity": "4"}, "5": {"Terminal Type": "Blade"}, "6": {"Mounting Type": "Direct Bolt; Grommet"}, "7": {"Weight PG": "3.8500"}, "8": {"Washer Pump Included": "No"}, "9": {"Part Type": "Windshield Wiper Motor"}, "10": {"Warranty Info": "1 Year/18,000 Mile"}, "11": {"Sustainable Choice": "Yes"}, "12": {"Lifecycle Status": "Available to Order"}, "13": {"Application Summary": "Saab 9-3 2005-03"}, "14": {"ItemLevelGTIN": "00082617766821"}, "15": {"_addonCardone": "43-2904::98264:119835:530"}, "16": {"Eligible for R&amp;R Service": "Yes"}}</t>
        </is>
      </c>
      <c r="J666" t="inlineStr">
        <is>
          <t>https://www.cardone.com/product/windshield-wiper-motor-43-2904</t>
        </is>
      </c>
      <c r="K666">
        <f>DISPIMG("ID_12782401576B4B47A6BC2FA71B4F750C",1)</f>
        <v/>
      </c>
      <c r="L666" t="inlineStr">
        <is>
          <t>CPCX|43-2904</t>
        </is>
      </c>
      <c r="M666" t="inlineStr">
        <is>
          <t>Wiper Motor; Instruction Sheet</t>
        </is>
      </c>
      <c r="N666" t="inlineStr">
        <is>
          <t>Yes</t>
        </is>
      </c>
      <c r="O666" t="inlineStr">
        <is>
          <t>Remanufactured</t>
        </is>
      </c>
      <c r="P666" t="inlineStr">
        <is>
          <t>4</t>
        </is>
      </c>
      <c r="Q666" t="inlineStr">
        <is>
          <t>Blade</t>
        </is>
      </c>
      <c r="R666" t="inlineStr">
        <is>
          <t>Direct Bolt; Grommet</t>
        </is>
      </c>
      <c r="S666" t="inlineStr">
        <is>
          <t>3.8500</t>
        </is>
      </c>
      <c r="T666" t="inlineStr">
        <is>
          <t>No</t>
        </is>
      </c>
      <c r="U666" t="inlineStr">
        <is>
          <t>1 Year/18,000 Mile</t>
        </is>
      </c>
      <c r="V666" t="inlineStr">
        <is>
          <t>Yes</t>
        </is>
      </c>
      <c r="W666" t="inlineStr">
        <is>
          <t>Available to Order</t>
        </is>
      </c>
      <c r="X666" t="inlineStr">
        <is>
          <t>Saab 9-3 2005-03</t>
        </is>
      </c>
      <c r="Y666" t="inlineStr">
        <is>
          <t>00082617766821</t>
        </is>
      </c>
      <c r="Z666" t="inlineStr">
        <is>
          <t>43-2904::98264:119835:530</t>
        </is>
      </c>
      <c r="AA666" t="inlineStr">
        <is>
          <t>Yes</t>
        </is>
      </c>
      <c r="AB666" t="inlineStr"/>
      <c r="AC666" t="inlineStr"/>
    </row>
    <row r="667">
      <c r="A667" t="inlineStr">
        <is>
          <t>666</t>
        </is>
      </c>
      <c r="B667" t="inlineStr">
        <is>
          <t>Windshield Wiper Motor</t>
        </is>
      </c>
      <c r="C667" t="inlineStr">
        <is>
          <t>43-2907</t>
        </is>
      </c>
      <c r="D667" t="inlineStr">
        <is>
          <t>Windshield Wiper Motor - 43-2907</t>
        </is>
      </c>
      <c r="E667" t="inlineStr">
        <is>
          <t>CARDONE Reman</t>
        </is>
      </c>
      <c r="F667" t="inlineStr">
        <is>
          <t>5587241</t>
        </is>
      </c>
      <c r="G667" t="inlineStr">
        <is>
          <t>Saab 9-5 1999-2005</t>
        </is>
      </c>
      <c r="H667" t="inlineStr">
        <is>
          <t>Saab 9-5 1999-2003 3L V6 181cid
Saab 9-5 1999-2005 2.3L L4 140cid</t>
        </is>
      </c>
      <c r="I667" t="inlineStr">
        <is>
          <t>{"0": {"productDeskExternalKey": "CPCX|43-2907"}, "1": {"Package Contents": "Wiper Motor; Instruction Sheet"}, "2": {"E-Waste": "Yes"}, "3": {"Product Condition": "Remanufactured"}, "4": {"Mounting Hole Quantity": "2"}, "5": {"Terminal Type": "Blade"}, "6": {"Mounting Type": "Grommet"}, "7": {"Weight PG": "3.0000"}, "8": {"Washer Pump Included": "No"}, "9": {"Part Type": "Windshield Wiper Motor"}, "10": {"Warranty Info": "1 Year/18,000 Mile"}, "11": {"Sustainable Choice": "Yes"}, "12": {"Lifecycle Status": "Available to Order"}, "13": {"Application Summary": "Saab 9-5 2005-99"}, "14": {"ItemLevelGTIN": "00082617814362"}, "15": {"_addonCardone": "43-2907::98264:119850:530"}, "16": {"Eligible for R&amp;R Service": "Yes"}}</t>
        </is>
      </c>
      <c r="J667" t="inlineStr">
        <is>
          <t>https://www.cardone.com/product/windshield-wiper-motor-43-2907</t>
        </is>
      </c>
      <c r="K667">
        <f>DISPIMG("ID_6E741C33B2574593837A5D562612C14A",1)</f>
        <v/>
      </c>
      <c r="L667" t="inlineStr">
        <is>
          <t>CPCX|43-2907</t>
        </is>
      </c>
      <c r="M667" t="inlineStr">
        <is>
          <t>Wiper Motor; Instruction Sheet</t>
        </is>
      </c>
      <c r="N667" t="inlineStr">
        <is>
          <t>Yes</t>
        </is>
      </c>
      <c r="O667" t="inlineStr">
        <is>
          <t>Remanufactured</t>
        </is>
      </c>
      <c r="P667" t="inlineStr">
        <is>
          <t>2</t>
        </is>
      </c>
      <c r="Q667" t="inlineStr">
        <is>
          <t>Blade</t>
        </is>
      </c>
      <c r="R667" t="inlineStr">
        <is>
          <t>Grommet</t>
        </is>
      </c>
      <c r="S667" t="inlineStr">
        <is>
          <t>3.0000</t>
        </is>
      </c>
      <c r="T667" t="inlineStr">
        <is>
          <t>No</t>
        </is>
      </c>
      <c r="U667" t="inlineStr">
        <is>
          <t>1 Year/18,000 Mile</t>
        </is>
      </c>
      <c r="V667" t="inlineStr">
        <is>
          <t>Yes</t>
        </is>
      </c>
      <c r="W667" t="inlineStr">
        <is>
          <t>Available to Order</t>
        </is>
      </c>
      <c r="X667" t="inlineStr">
        <is>
          <t>Saab 9-5 2005-99</t>
        </is>
      </c>
      <c r="Y667" t="inlineStr">
        <is>
          <t>00082617814362</t>
        </is>
      </c>
      <c r="Z667" t="inlineStr">
        <is>
          <t>43-2907::98264:119850:530</t>
        </is>
      </c>
      <c r="AA667" t="inlineStr">
        <is>
          <t>Yes</t>
        </is>
      </c>
      <c r="AB667" t="inlineStr"/>
      <c r="AC667" t="inlineStr"/>
    </row>
    <row r="668">
      <c r="A668" t="inlineStr">
        <is>
          <t>667</t>
        </is>
      </c>
      <c r="B668" t="inlineStr">
        <is>
          <t>Windshield Wiper Motor</t>
        </is>
      </c>
      <c r="C668" t="inlineStr">
        <is>
          <t>43-2909</t>
        </is>
      </c>
      <c r="D668" t="inlineStr">
        <is>
          <t>Windshield Wiper Motor - 43-2909</t>
        </is>
      </c>
      <c r="E668" t="inlineStr">
        <is>
          <t>CARDONE Reman</t>
        </is>
      </c>
      <c r="F668" t="inlineStr">
        <is>
          <t>95562808003;95562808000;95562808002;95562808001;7L0995712A;95562808004</t>
        </is>
      </c>
      <c r="G668" t="inlineStr">
        <is>
          <t>Porsche Cayenne 2003-2010</t>
        </is>
      </c>
      <c r="H668" t="inlineStr">
        <is>
          <t>Porsche Cayenne 2003-2006 4.5L V8 4511cc
Porsche Cayenne 2004-2006 3.2L V6 195cid
Porsche Cayenne 2008-2010 3.6L V6 219cid
Porsche Cayenne 2008-2010 4.8L V8 4806cc</t>
        </is>
      </c>
      <c r="I668" t="inlineStr">
        <is>
          <t>{"0": {"productDeskExternalKey": "CPCX|43-2909"}, "1": {"Package Contents": "Wiper Motor; Instruction Sheet"}, "2": {"E-Waste": "Yes"}, "3": {"Product Condition": "Remanufactured"}, "4": {"Mounting Hole Quantity": "3"}, "5": {"Terminal Type": "Blade"}, "6": {"Mounting Type": "Grommet"}, "7": {"Weight PG": "1.7000"}, "8": {"Washer Pump Included": "No"}, "9": {"Part Type": "Windshield Wiper Motor"}, "10": {"Warranty Info": "1 Year/18,000 Mile"}, "11": {"Sustainable Choice": "Yes"}, "12": {"Lifecycle Status": "Available to Order"}, "13": {"Application Summary": "Porsche Cayenne 2010-08 2006-03"}, "14": {"ItemLevelGTIN": "00082617806664"}, "15": {"_addonCardone": "43-2909::98264:119865:530"}, "16": {"Eligible for R&amp;R Service": "Yes"}}</t>
        </is>
      </c>
      <c r="J668" t="inlineStr">
        <is>
          <t>https://www.cardone.com/product/windshield-wiper-motor-43-2909</t>
        </is>
      </c>
      <c r="K668">
        <f>DISPIMG("ID_78F9DAF66DF7488CB8EE2B1CC8DAAD7A",1)</f>
        <v/>
      </c>
      <c r="L668" t="inlineStr">
        <is>
          <t>CPCX|43-2909</t>
        </is>
      </c>
      <c r="M668" t="inlineStr">
        <is>
          <t>Wiper Motor; Instruction Sheet</t>
        </is>
      </c>
      <c r="N668" t="inlineStr">
        <is>
          <t>Yes</t>
        </is>
      </c>
      <c r="O668" t="inlineStr">
        <is>
          <t>Remanufactured</t>
        </is>
      </c>
      <c r="P668" t="inlineStr">
        <is>
          <t>3</t>
        </is>
      </c>
      <c r="Q668" t="inlineStr">
        <is>
          <t>Blade</t>
        </is>
      </c>
      <c r="R668" t="inlineStr">
        <is>
          <t>Grommet</t>
        </is>
      </c>
      <c r="S668" t="inlineStr">
        <is>
          <t>1.7000</t>
        </is>
      </c>
      <c r="T668" t="inlineStr">
        <is>
          <t>No</t>
        </is>
      </c>
      <c r="U668" t="inlineStr">
        <is>
          <t>1 Year/18,000 Mile</t>
        </is>
      </c>
      <c r="V668" t="inlineStr">
        <is>
          <t>Yes</t>
        </is>
      </c>
      <c r="W668" t="inlineStr">
        <is>
          <t>Available to Order</t>
        </is>
      </c>
      <c r="X668" t="inlineStr">
        <is>
          <t>Porsche Cayenne 2010-08 2006-03</t>
        </is>
      </c>
      <c r="Y668" t="inlineStr">
        <is>
          <t>00082617806664</t>
        </is>
      </c>
      <c r="Z668" t="inlineStr">
        <is>
          <t>43-2909::98264:119865:530</t>
        </is>
      </c>
      <c r="AA668" t="inlineStr">
        <is>
          <t>Yes</t>
        </is>
      </c>
      <c r="AB668" t="inlineStr"/>
      <c r="AC668" t="inlineStr"/>
    </row>
    <row r="669">
      <c r="A669" t="inlineStr">
        <is>
          <t>668</t>
        </is>
      </c>
      <c r="B669" t="inlineStr">
        <is>
          <t>Windshield Wiper Motor</t>
        </is>
      </c>
      <c r="C669" t="inlineStr">
        <is>
          <t>43-2910</t>
        </is>
      </c>
      <c r="D669" t="inlineStr">
        <is>
          <t>Windshield Wiper Motor - 43-2910</t>
        </is>
      </c>
      <c r="E669" t="inlineStr">
        <is>
          <t>CARDONE Reman</t>
        </is>
      </c>
      <c r="F669" t="inlineStr">
        <is>
          <t>C2S1702;C2S36553;C2S39494</t>
        </is>
      </c>
      <c r="G669" t="inlineStr">
        <is>
          <t>Jaguar X-Type 2002-2005</t>
        </is>
      </c>
      <c r="H669" t="inlineStr">
        <is>
          <t>Jaguar X-Type 2002-2005 2.5L V6 152cid
Jaguar X-Type 2002-2005 3L V6 181cid</t>
        </is>
      </c>
      <c r="I669" t="inlineStr">
        <is>
          <t>{"0": {"productDeskExternalKey": "CPCX|43-2910"},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"Jaguar X-Type 2005-02"}, "14": {"ItemLevelGTIN": "00082617813105"}, "15": {"_addonCardone": "43-2910::98264:119884:530"}, "16": {"Eligible for R&amp;R Service": "Yes"}}</t>
        </is>
      </c>
      <c r="J669" t="inlineStr">
        <is>
          <t>https://www.cardone.com/product/windshield-wiper-motor-43-2910</t>
        </is>
      </c>
      <c r="K669">
        <f>DISPIMG("ID_B01C082F843F49C5B3AC790977762D5F",1)</f>
        <v/>
      </c>
      <c r="L669" t="inlineStr">
        <is>
          <t>CPCX|43-2910</t>
        </is>
      </c>
      <c r="M669" t="inlineStr">
        <is>
          <t>Wiper Motor; Instruction Sheet</t>
        </is>
      </c>
      <c r="N669" t="inlineStr">
        <is>
          <t>Yes</t>
        </is>
      </c>
      <c r="O669" t="inlineStr">
        <is>
          <t>Remanufactured</t>
        </is>
      </c>
      <c r="P669" t="inlineStr">
        <is>
          <t>3</t>
        </is>
      </c>
      <c r="Q669" t="inlineStr">
        <is>
          <t>Blade</t>
        </is>
      </c>
      <c r="R669" t="inlineStr">
        <is>
          <t>Direct Bolt</t>
        </is>
      </c>
      <c r="S669" t="inlineStr">
        <is>
          <t>3.0000</t>
        </is>
      </c>
      <c r="T669" t="inlineStr">
        <is>
          <t>No</t>
        </is>
      </c>
      <c r="U669" t="inlineStr">
        <is>
          <t>1 Year/18,000 Mile</t>
        </is>
      </c>
      <c r="V669" t="inlineStr">
        <is>
          <t>Yes</t>
        </is>
      </c>
      <c r="W669" t="inlineStr">
        <is>
          <t>Available to Order</t>
        </is>
      </c>
      <c r="X669" t="inlineStr">
        <is>
          <t>Jaguar X-Type 2005-02</t>
        </is>
      </c>
      <c r="Y669" t="inlineStr">
        <is>
          <t>00082617813105</t>
        </is>
      </c>
      <c r="Z669" t="inlineStr">
        <is>
          <t>43-2910::98264:119884:530</t>
        </is>
      </c>
      <c r="AA669" t="inlineStr">
        <is>
          <t>Yes</t>
        </is>
      </c>
      <c r="AB669" t="inlineStr"/>
      <c r="AC669" t="inlineStr"/>
    </row>
    <row r="670">
      <c r="A670" t="inlineStr">
        <is>
          <t>669</t>
        </is>
      </c>
      <c r="B670" t="inlineStr">
        <is>
          <t>Windshield Wiper Motor</t>
        </is>
      </c>
      <c r="C670" t="inlineStr">
        <is>
          <t>43-2916</t>
        </is>
      </c>
      <c r="D670" t="inlineStr">
        <is>
          <t>Windshield Wiper Motor - 43-2916</t>
        </is>
      </c>
      <c r="E670" t="inlineStr">
        <is>
          <t>CARDONE Reman</t>
        </is>
      </c>
      <c r="F670" t="inlineStr">
        <is>
          <t>99762808000</t>
        </is>
      </c>
      <c r="G670" t="inlineStr">
        <is>
          <t>Porsche 911 2006-2016
Porsche Cayman 2006</t>
        </is>
      </c>
      <c r="H670" t="inlineStr">
        <is>
          <t>Porsche 911 2006-2008 3.6L H6 3596cc
Porsche 911 2006-2013 3.8L H6 3824cc
Porsche 911 2009-2012 3.6L H6 3614cc
Porsche 911 2012-2016 3.4L H6 3436cc
Porsche 911 2013-2016 3.8L H6 3800cc
Porsche 911 2016 4L H6 3996cc
Porsche Cayman 2006 3.4L H6 3387cc</t>
        </is>
      </c>
      <c r="I670" t="inlineStr">
        <is>
          <t>{"0": {"productDeskExternalKey": "CPCX|43-2916"}, "1": {"E-Waste": "Yes"}, "2": {"Product Condition": "Remanufactured"}, "3": {"Weight PG": "2.7500"}, "4": {"Part Type": "Windshield Wiper Motor"}, "5": {"Warranty Info": "1 Year/18,000 Mile"}, "6": {"Sustainable Choice": "Yes"}, "7": {"Lifecycle Status": "Available to Order"}, "8": {"Application Summary": "Porsche 911 2016-06, Cayman 2006"}, "9": {"ItemLevelGTIN": "00082617825108"}, "10": {"_addonCardone": "43-2916::98264:119901:530"}, "11": {"Eligible for R&amp;R Service": "Yes"}}</t>
        </is>
      </c>
      <c r="J670" t="inlineStr">
        <is>
          <t>https://www.cardone.com/product/windshield-wiper-motor-43-2916</t>
        </is>
      </c>
      <c r="K670">
        <f>DISPIMG("ID_36E3CA14E18646F4A38184ABB17BA65E",1)</f>
        <v/>
      </c>
      <c r="L670" t="inlineStr">
        <is>
          <t>CPCX|43-2916</t>
        </is>
      </c>
      <c r="M670" t="inlineStr"/>
      <c r="N670" t="inlineStr">
        <is>
          <t>Yes</t>
        </is>
      </c>
      <c r="O670" t="inlineStr">
        <is>
          <t>Remanufactured</t>
        </is>
      </c>
      <c r="P670" t="inlineStr"/>
      <c r="Q670" t="inlineStr"/>
      <c r="R670" t="inlineStr"/>
      <c r="S670" t="inlineStr">
        <is>
          <t>2.7500</t>
        </is>
      </c>
      <c r="T670" t="inlineStr"/>
      <c r="U670" t="inlineStr">
        <is>
          <t>1 Year/18,000 Mile</t>
        </is>
      </c>
      <c r="V670" t="inlineStr">
        <is>
          <t>Yes</t>
        </is>
      </c>
      <c r="W670" t="inlineStr">
        <is>
          <t>Available to Order</t>
        </is>
      </c>
      <c r="X670" t="inlineStr">
        <is>
          <t>Porsche 911 2016-06, Cayman 2006</t>
        </is>
      </c>
      <c r="Y670" t="inlineStr">
        <is>
          <t>00082617825108</t>
        </is>
      </c>
      <c r="Z670" t="inlineStr">
        <is>
          <t>43-2916::98264:119901:530</t>
        </is>
      </c>
      <c r="AA670" t="inlineStr">
        <is>
          <t>Yes</t>
        </is>
      </c>
      <c r="AB670" t="inlineStr"/>
      <c r="AC670" t="inlineStr"/>
    </row>
    <row r="671">
      <c r="A671" t="inlineStr">
        <is>
          <t>670</t>
        </is>
      </c>
      <c r="B671" t="inlineStr">
        <is>
          <t>Windshield Wiper Motor</t>
        </is>
      </c>
      <c r="C671" t="inlineStr">
        <is>
          <t>43-2918</t>
        </is>
      </c>
      <c r="D671" t="inlineStr">
        <is>
          <t>Windshield Wiper Motor - 43-2918</t>
        </is>
      </c>
      <c r="E671" t="inlineStr">
        <is>
          <t>CARDONE Reman</t>
        </is>
      </c>
      <c r="F671" t="inlineStr">
        <is>
          <t>99662809000</t>
        </is>
      </c>
      <c r="G671" t="inlineStr">
        <is>
          <t>Porsche 911 2002-2005</t>
        </is>
      </c>
      <c r="H671" t="inlineStr">
        <is>
          <t>Porsche 911 2002-2005 3.6L H6 3596cc
Porsche 911 2003 3.6L H6 219cid
Porsche 911 2003-2005 3.6L H6 3606cc
Porsche 911 2005 3.8L H6 3824cc</t>
        </is>
      </c>
      <c r="I671" t="inlineStr">
        <is>
          <t>{"0": {"productDeskExternalKey": "CPCX|43-2918"}, "1": {"E-Waste": "Yes"}, "2": {"Product Condition": "Remanufactured"}, "3": {"Weight PG": "2.7500"}, "4": {"Part Type": "Windshield Wiper Motor"}, "5": {"Warranty Info": "1 Year/18,000 Mile"}, "6": {"Sustainable Choice": "Yes"}, "7": {"Lifecycle Status": "Available to Order"}, "8": {"Application Summary": "Porsche 911 2005-02"}, "9": {"ItemLevelGTIN": "00082617831826"}, "10": {"_addonCardone": "43-2918::98264:119921:530"}, "11": {"Eligible for R&amp;R Service": "Yes"}}</t>
        </is>
      </c>
      <c r="J671" t="inlineStr">
        <is>
          <t>https://www.cardone.com/product/windshield-wiper-motor-43-2918</t>
        </is>
      </c>
      <c r="K671">
        <f>DISPIMG("ID_C2D93574D98842CC90B95E01F9993CC1",1)</f>
        <v/>
      </c>
      <c r="L671" t="inlineStr">
        <is>
          <t>CPCX|43-2918</t>
        </is>
      </c>
      <c r="M671" t="inlineStr"/>
      <c r="N671" t="inlineStr">
        <is>
          <t>Yes</t>
        </is>
      </c>
      <c r="O671" t="inlineStr">
        <is>
          <t>Remanufactured</t>
        </is>
      </c>
      <c r="P671" t="inlineStr"/>
      <c r="Q671" t="inlineStr"/>
      <c r="R671" t="inlineStr"/>
      <c r="S671" t="inlineStr">
        <is>
          <t>2.7500</t>
        </is>
      </c>
      <c r="T671" t="inlineStr"/>
      <c r="U671" t="inlineStr">
        <is>
          <t>1 Year/18,000 Mile</t>
        </is>
      </c>
      <c r="V671" t="inlineStr">
        <is>
          <t>Yes</t>
        </is>
      </c>
      <c r="W671" t="inlineStr">
        <is>
          <t>Available to Order</t>
        </is>
      </c>
      <c r="X671" t="inlineStr">
        <is>
          <t>Porsche 911 2005-02</t>
        </is>
      </c>
      <c r="Y671" t="inlineStr">
        <is>
          <t>00082617831826</t>
        </is>
      </c>
      <c r="Z671" t="inlineStr">
        <is>
          <t>43-2918::98264:119921:530</t>
        </is>
      </c>
      <c r="AA671" t="inlineStr">
        <is>
          <t>Yes</t>
        </is>
      </c>
      <c r="AB671" t="inlineStr"/>
      <c r="AC671" t="inlineStr"/>
    </row>
    <row r="672">
      <c r="A672" t="inlineStr">
        <is>
          <t>671</t>
        </is>
      </c>
      <c r="B672" t="inlineStr">
        <is>
          <t>Windshield Wiper Motor</t>
        </is>
      </c>
      <c r="C672" t="inlineStr">
        <is>
          <t>43-2931</t>
        </is>
      </c>
      <c r="D672" t="inlineStr">
        <is>
          <t>Windshield Wiper Motor - 43-2931</t>
        </is>
      </c>
      <c r="E672" t="inlineStr">
        <is>
          <t>CARDONE Reman</t>
        </is>
      </c>
      <c r="F672" t="inlineStr">
        <is>
          <t>12757153</t>
        </is>
      </c>
      <c r="G672" t="inlineStr">
        <is>
          <t>Cadillac BLS 2007-2008
Saab 9-3 2006-2011
Saab 9-3X 2010-2011</t>
        </is>
      </c>
      <c r="H672" t="inlineStr">
        <is>
          <t>Cadillac BLS 2007-2008 2L L4 122cid
Saab 9-3 2006-2009 2.8L V6 170cid
Saab 9-3 2006-2011 2L L4 122cid
Saab 9-3X 2010-2011 2L L4 122cid</t>
        </is>
      </c>
      <c r="I672" t="inlineStr">
        <is>
          <t>{"0": {"productDeskExternalKey": "CPCX|43-2931"}, "1": {"Package Contents": "Wiper Motor; Instruction Sheet"}, "2": {"E-Waste": "Yes"}, "3": {"Product Condition": "Remanufactured"}, "4": {"Mounting Hole Quantity": "2"}, "5": {"Terminal Type": "Blade"}, "6": {"Mounting Type": "Grommet"}, "7": {"Weight PG": "3.6000"}, "8": {"Washer Pump Included": "No"}, "9": {"Part Type": "Windshield Wiper Motor"}, "10": {"Warranty Info": "1 Year/18,000 Mile"}, "11": {"Sustainable Choice": "Yes"}, "12": {"Lifecycle Status": "Available to Order"}, "13": {"Application Summary": "Cadillac BLS 2008-07; Saab 9-3 2011-06, 9-3X 2011-10"}, "14": {"ItemLevelGTIN": "00082617867368"}, "15": {"_addonCardone": "43-2931::98264:119942:530"}, "16": {"Eligible for R&amp;R Service": "Yes"}}</t>
        </is>
      </c>
      <c r="J672" t="inlineStr">
        <is>
          <t>https://www.cardone.com/product/windshield-wiper-motor-43-2931</t>
        </is>
      </c>
      <c r="K672">
        <f>DISPIMG("ID_D6D8FC704270487D91946A5ED61DCB76",1)</f>
        <v/>
      </c>
      <c r="L672" t="inlineStr">
        <is>
          <t>CPCX|43-2931</t>
        </is>
      </c>
      <c r="M672" t="inlineStr">
        <is>
          <t>Wiper Motor; Instruction Sheet</t>
        </is>
      </c>
      <c r="N672" t="inlineStr">
        <is>
          <t>Yes</t>
        </is>
      </c>
      <c r="O672" t="inlineStr">
        <is>
          <t>Remanufactured</t>
        </is>
      </c>
      <c r="P672" t="inlineStr">
        <is>
          <t>2</t>
        </is>
      </c>
      <c r="Q672" t="inlineStr">
        <is>
          <t>Blade</t>
        </is>
      </c>
      <c r="R672" t="inlineStr">
        <is>
          <t>Grommet</t>
        </is>
      </c>
      <c r="S672" t="inlineStr">
        <is>
          <t>3.6000</t>
        </is>
      </c>
      <c r="T672" t="inlineStr">
        <is>
          <t>No</t>
        </is>
      </c>
      <c r="U672" t="inlineStr">
        <is>
          <t>1 Year/18,000 Mile</t>
        </is>
      </c>
      <c r="V672" t="inlineStr">
        <is>
          <t>Yes</t>
        </is>
      </c>
      <c r="W672" t="inlineStr">
        <is>
          <t>Available to Order</t>
        </is>
      </c>
      <c r="X672" t="inlineStr">
        <is>
          <t>Cadillac BLS 2008-07; Saab 9-3 2011-06, 9-3X 2011-10</t>
        </is>
      </c>
      <c r="Y672" t="inlineStr">
        <is>
          <t>00082617867368</t>
        </is>
      </c>
      <c r="Z672" t="inlineStr">
        <is>
          <t>43-2931::98264:119942:530</t>
        </is>
      </c>
      <c r="AA672" t="inlineStr">
        <is>
          <t>Yes</t>
        </is>
      </c>
      <c r="AB672" t="inlineStr"/>
      <c r="AC672" t="inlineStr"/>
    </row>
    <row r="673">
      <c r="A673" t="inlineStr">
        <is>
          <t>672</t>
        </is>
      </c>
      <c r="B673" t="inlineStr">
        <is>
          <t>Windshield Wiper Motor</t>
        </is>
      </c>
      <c r="C673" t="inlineStr">
        <is>
          <t>43-3300</t>
        </is>
      </c>
      <c r="D673" t="inlineStr">
        <is>
          <t>Windshield Wiper Motor - 43-3300</t>
        </is>
      </c>
      <c r="E673" t="inlineStr">
        <is>
          <t>CARDONE Reman</t>
        </is>
      </c>
      <c r="F673" t="inlineStr">
        <is>
          <t>94462830301</t>
        </is>
      </c>
      <c r="G673" t="inlineStr">
        <is>
          <t>Porsche 928 1985-1995
Porsche 944 1985-1991
Porsche 968 1992-1995</t>
        </is>
      </c>
      <c r="H673" t="inlineStr">
        <is>
          <t>Porsche 928 1985-1991 5L V8 4950cc
Porsche 928 1993-1995 5.4L V8 5392cc
Porsche 944 1985-1989 2.5L L4 2475cc
Porsche 944 1989 2.7L L4 2688cc
Porsche 944 1989 3L L4 2999cc
Porsche 944 1990-1991 3L L4 2983cc
Porsche 968 1992-1995 3L L4 2983cc</t>
        </is>
      </c>
      <c r="I673" t="inlineStr">
        <is>
          <t>{"0": {"productDeskExternalKey": "CPCX|43-3300"}, "1": {"Package Contents": "Wiper Motor; Instruction Sheet"}, "2": {"E-Waste": "Yes"}, "3": {"Product Condition": "Remanufactured"}, "4": {"Mounting Hole Quantity": "3"}, "5": {"Terminal Type": "Bullet"}, "6": {"Mounting Type": "Direct Bolt"}, "7": {"Weight PG": "3.5800"}, "8": {"Washer Pump Included": "No"}, "9": {"Part Type": "Windshield Wiper Motor"}, "10": {"Warranty Info": "1 Year/18,000 Mile"}, "11": {"Sustainable Choice": "Yes"}, "12": {"Lifecycle Status": "Available to Order"}, "13": {"Application Summary": "Porsche 928 1995-93 1991-85, 944 1991-85, 968 1995-92"}, "14": {"ItemLevelGTIN": "00082617496339"}, "15": {"_addonCardone": "43-3300::98264:119956:530"}, "16": {"Eligible for R&amp;R Service": "Yes"}}</t>
        </is>
      </c>
      <c r="J673" t="inlineStr">
        <is>
          <t>https://www.cardone.com/product/windshield-wiper-motor-43-3300</t>
        </is>
      </c>
      <c r="K673">
        <f>DISPIMG("ID_8242458D25194A7B9946307F0ECA4306",1)</f>
        <v/>
      </c>
      <c r="L673" t="inlineStr">
        <is>
          <t>CPCX|43-3300</t>
        </is>
      </c>
      <c r="M673" t="inlineStr">
        <is>
          <t>Wiper Motor; Instruction Sheet</t>
        </is>
      </c>
      <c r="N673" t="inlineStr">
        <is>
          <t>Yes</t>
        </is>
      </c>
      <c r="O673" t="inlineStr">
        <is>
          <t>Remanufactured</t>
        </is>
      </c>
      <c r="P673" t="inlineStr">
        <is>
          <t>3</t>
        </is>
      </c>
      <c r="Q673" t="inlineStr">
        <is>
          <t>Bullet</t>
        </is>
      </c>
      <c r="R673" t="inlineStr">
        <is>
          <t>Direct Bolt</t>
        </is>
      </c>
      <c r="S673" t="inlineStr">
        <is>
          <t>3.5800</t>
        </is>
      </c>
      <c r="T673" t="inlineStr">
        <is>
          <t>No</t>
        </is>
      </c>
      <c r="U673" t="inlineStr">
        <is>
          <t>1 Year/18,000 Mile</t>
        </is>
      </c>
      <c r="V673" t="inlineStr">
        <is>
          <t>Yes</t>
        </is>
      </c>
      <c r="W673" t="inlineStr">
        <is>
          <t>Available to Order</t>
        </is>
      </c>
      <c r="X673" t="inlineStr">
        <is>
          <t>Porsche 928 1995-93 1991-85, 944 1991-85, 968 1995-92</t>
        </is>
      </c>
      <c r="Y673" t="inlineStr">
        <is>
          <t>00082617496339</t>
        </is>
      </c>
      <c r="Z673" t="inlineStr">
        <is>
          <t>43-3300::98264:119956:530</t>
        </is>
      </c>
      <c r="AA673" t="inlineStr">
        <is>
          <t>Yes</t>
        </is>
      </c>
      <c r="AB673" t="inlineStr"/>
      <c r="AC673" t="inlineStr"/>
    </row>
    <row r="674">
      <c r="A674" t="inlineStr">
        <is>
          <t>673</t>
        </is>
      </c>
      <c r="B674" t="inlineStr">
        <is>
          <t>Windshield Wiper Motor</t>
        </is>
      </c>
      <c r="C674" t="inlineStr">
        <is>
          <t>43-3301</t>
        </is>
      </c>
      <c r="D674" t="inlineStr">
        <is>
          <t>Windshield Wiper Motor - 43-3301</t>
        </is>
      </c>
      <c r="E674" t="inlineStr">
        <is>
          <t>CARDONE Reman</t>
        </is>
      </c>
      <c r="F674" t="inlineStr">
        <is>
          <t>99662410500</t>
        </is>
      </c>
      <c r="G674" t="inlineStr">
        <is>
          <t>Porsche 911 2001-2005
Porsche Boxster 1997-2005</t>
        </is>
      </c>
      <c r="H674" t="inlineStr">
        <is>
          <t>Porsche 911 2001-2002 3.4L H6 3400cc
Porsche 911 2001-2005 3.6L H6 3606cc
Porsche 911 2002-2005 3.6L H6 3596cc
Porsche 911 2003 3.6L H6 219cid
Porsche 911 2005 3.8L H6 3824cc
Porsche Boxster 1997-2000 2.5L H6 2480cc
Porsche Boxster 2000-2005 2.7L H6 2687cc
Porsche Boxster 2000-2005 3.2L H6 3179cc</t>
        </is>
      </c>
      <c r="I674" t="inlineStr">
        <is>
          <t>{"0": {"productDeskExternalKey": "CPCX|43-3301"},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"Porsche 911 2005-01, Boxster 2005-97"}, "14": {"ItemLevelGTIN": "00082617588119"}, "15": {"_addonCardone": "43-3301::98264:119981:530"}, "16": {"Eligible for R&amp;R Service": "Yes"}}</t>
        </is>
      </c>
      <c r="J674" t="inlineStr">
        <is>
          <t>https://www.cardone.com/product/windshield-wiper-motor-43-3301</t>
        </is>
      </c>
      <c r="K674">
        <f>DISPIMG("ID_DA1B849DBD8D4EDFA6FEB70A80CE683A",1)</f>
        <v/>
      </c>
      <c r="L674" t="inlineStr">
        <is>
          <t>CPCX|43-3301</t>
        </is>
      </c>
      <c r="M674" t="inlineStr">
        <is>
          <t>Wiper Motor; Instruction Sheet</t>
        </is>
      </c>
      <c r="N674" t="inlineStr">
        <is>
          <t>Yes</t>
        </is>
      </c>
      <c r="O674" t="inlineStr">
        <is>
          <t>Remanufactured</t>
        </is>
      </c>
      <c r="P674" t="inlineStr">
        <is>
          <t>3</t>
        </is>
      </c>
      <c r="Q674" t="inlineStr">
        <is>
          <t>Blade</t>
        </is>
      </c>
      <c r="R674" t="inlineStr">
        <is>
          <t>Direct Bolt</t>
        </is>
      </c>
      <c r="S674" t="inlineStr">
        <is>
          <t>2.5000</t>
        </is>
      </c>
      <c r="T674" t="inlineStr">
        <is>
          <t>No</t>
        </is>
      </c>
      <c r="U674" t="inlineStr">
        <is>
          <t>1 Year/18,000 Mile</t>
        </is>
      </c>
      <c r="V674" t="inlineStr">
        <is>
          <t>Yes</t>
        </is>
      </c>
      <c r="W674" t="inlineStr">
        <is>
          <t>Available to Order</t>
        </is>
      </c>
      <c r="X674" t="inlineStr">
        <is>
          <t>Porsche 911 2005-01, Boxster 2005-97</t>
        </is>
      </c>
      <c r="Y674" t="inlineStr">
        <is>
          <t>00082617588119</t>
        </is>
      </c>
      <c r="Z674" t="inlineStr">
        <is>
          <t>43-3301::98264:119981:530</t>
        </is>
      </c>
      <c r="AA674" t="inlineStr">
        <is>
          <t>Yes</t>
        </is>
      </c>
      <c r="AB674" t="inlineStr"/>
      <c r="AC674" t="inlineStr"/>
    </row>
    <row r="675">
      <c r="A675" t="inlineStr">
        <is>
          <t>674</t>
        </is>
      </c>
      <c r="B675" t="inlineStr">
        <is>
          <t>Windshield Wiper Motor</t>
        </is>
      </c>
      <c r="C675" t="inlineStr">
        <is>
          <t>43-3305</t>
        </is>
      </c>
      <c r="D675" t="inlineStr">
        <is>
          <t>Windshield Wiper Motor - 43-3305</t>
        </is>
      </c>
      <c r="E675" t="inlineStr">
        <is>
          <t>CARDONE Reman</t>
        </is>
      </c>
      <c r="F675" t="inlineStr">
        <is>
          <t>95562410501;95562410500</t>
        </is>
      </c>
      <c r="G675" t="inlineStr">
        <is>
          <t>Porsche Cayenne 2003-2005</t>
        </is>
      </c>
      <c r="H675" t="inlineStr">
        <is>
          <t>Porsche Cayenne 2003-2005 4.5L V8 4511cc
Porsche Cayenne 2004-2005 3.2L V6 195cid</t>
        </is>
      </c>
      <c r="I675" t="inlineStr">
        <is>
          <t>{"0": {"productDeskExternalKey": "CPCX|43-3305"}, "1": {"E-Waste": "Yes"}, "2": {"Product Condition": "Remanufactured"}, "3": {"Weight PG": "3.5000"}, "4": {"Part Type": "Windshield Wiper Motor"}, "5": {"Warranty Info": "1 Year/18,000 Mile"}, "6": {"Sustainable Choice": "Yes"}, "7": {"Lifecycle Status": "Available to Order"}, "8": {"Application Summary": "Porsche Cayenne 2005-03"}, "9": {"ItemLevelGTIN": "00082617834377"}, "10": {"_addonCardone": "43-3305::98264:119998:530"}, "11": {"Eligible for R&amp;R Service": "Yes"}}</t>
        </is>
      </c>
      <c r="J675" t="inlineStr">
        <is>
          <t>https://www.cardone.com/product/windshield-wiper-motor-43-3305</t>
        </is>
      </c>
      <c r="K675">
        <f>DISPIMG("ID_B486E78B5EE647A5A7821588F0C26866",1)</f>
        <v/>
      </c>
      <c r="L675" t="inlineStr">
        <is>
          <t>CPCX|43-3305</t>
        </is>
      </c>
      <c r="M675" t="inlineStr"/>
      <c r="N675" t="inlineStr">
        <is>
          <t>Yes</t>
        </is>
      </c>
      <c r="O675" t="inlineStr">
        <is>
          <t>Remanufactured</t>
        </is>
      </c>
      <c r="P675" t="inlineStr"/>
      <c r="Q675" t="inlineStr"/>
      <c r="R675" t="inlineStr"/>
      <c r="S675" t="inlineStr">
        <is>
          <t>3.5000</t>
        </is>
      </c>
      <c r="T675" t="inlineStr"/>
      <c r="U675" t="inlineStr">
        <is>
          <t>1 Year/18,000 Mile</t>
        </is>
      </c>
      <c r="V675" t="inlineStr">
        <is>
          <t>Yes</t>
        </is>
      </c>
      <c r="W675" t="inlineStr">
        <is>
          <t>Available to Order</t>
        </is>
      </c>
      <c r="X675" t="inlineStr">
        <is>
          <t>Porsche Cayenne 2005-03</t>
        </is>
      </c>
      <c r="Y675" t="inlineStr">
        <is>
          <t>00082617834377</t>
        </is>
      </c>
      <c r="Z675" t="inlineStr">
        <is>
          <t>43-3305::98264:119998:530</t>
        </is>
      </c>
      <c r="AA675" t="inlineStr">
        <is>
          <t>Yes</t>
        </is>
      </c>
      <c r="AB675" t="inlineStr"/>
      <c r="AC675" t="inlineStr"/>
    </row>
    <row r="676">
      <c r="A676" t="inlineStr">
        <is>
          <t>675</t>
        </is>
      </c>
      <c r="B676" t="inlineStr">
        <is>
          <t>Windshield Wiper Motor</t>
        </is>
      </c>
      <c r="C676" t="inlineStr">
        <is>
          <t>43-3308</t>
        </is>
      </c>
      <c r="D676" t="inlineStr">
        <is>
          <t>Windshield Wiper Motor - 43-3308</t>
        </is>
      </c>
      <c r="E676" t="inlineStr">
        <is>
          <t>CARDONE Reman</t>
        </is>
      </c>
      <c r="F676" t="inlineStr">
        <is>
          <t>99362410500</t>
        </is>
      </c>
      <c r="G676" t="inlineStr">
        <is>
          <t>Porsche 911 1994-2000</t>
        </is>
      </c>
      <c r="H676" t="inlineStr">
        <is>
          <t>Porsche 911 1994-1998 3.6L H6 3606cc
Porsche 911 1999-2000 3.4L H6 3400cc</t>
        </is>
      </c>
      <c r="I676" t="inlineStr">
        <is>
          <t>{"0": {"productDeskExternalKey": "CPCX|43-3308"}, "1": {"E-Waste": "Yes"}, "2": {"Product Condition": "Remanufactured"}, "3": {"Weight PG": "2.7500"}, "4": {"Part Type": "Windshield Wiper Motor"}, "5": {"Warranty Info": "1 Year/18,000 Mile"}, "6": {"Sustainable Choice": "Yes"}, "7": {"Lifecycle Status": "Available to Order"}, "8": {"Application Summary": "Porsche 911 2000-94"}, "9": {"ItemLevelGTIN": "00082617838559"}, "10": {"_addonCardone": "43-3308::98264:120016:530"}, "11": {"Eligible for R&amp;R Service": "Yes"}}</t>
        </is>
      </c>
      <c r="J676" t="inlineStr">
        <is>
          <t>https://www.cardone.com/product/windshield-wiper-motor-43-3308</t>
        </is>
      </c>
      <c r="K676">
        <f>DISPIMG("ID_747CE968A86E4798BC07F9368A3F6B2A",1)</f>
        <v/>
      </c>
      <c r="L676" t="inlineStr">
        <is>
          <t>CPCX|43-3308</t>
        </is>
      </c>
      <c r="M676" t="inlineStr"/>
      <c r="N676" t="inlineStr">
        <is>
          <t>Yes</t>
        </is>
      </c>
      <c r="O676" t="inlineStr">
        <is>
          <t>Remanufactured</t>
        </is>
      </c>
      <c r="P676" t="inlineStr"/>
      <c r="Q676" t="inlineStr"/>
      <c r="R676" t="inlineStr"/>
      <c r="S676" t="inlineStr">
        <is>
          <t>2.7500</t>
        </is>
      </c>
      <c r="T676" t="inlineStr"/>
      <c r="U676" t="inlineStr">
        <is>
          <t>1 Year/18,000 Mile</t>
        </is>
      </c>
      <c r="V676" t="inlineStr">
        <is>
          <t>Yes</t>
        </is>
      </c>
      <c r="W676" t="inlineStr">
        <is>
          <t>Available to Order</t>
        </is>
      </c>
      <c r="X676" t="inlineStr">
        <is>
          <t>Porsche 911 2000-94</t>
        </is>
      </c>
      <c r="Y676" t="inlineStr">
        <is>
          <t>00082617838559</t>
        </is>
      </c>
      <c r="Z676" t="inlineStr">
        <is>
          <t>43-3308::98264:120016:530</t>
        </is>
      </c>
      <c r="AA676" t="inlineStr">
        <is>
          <t>Yes</t>
        </is>
      </c>
      <c r="AB676" t="inlineStr"/>
      <c r="AC676" t="inlineStr"/>
    </row>
    <row r="677">
      <c r="A677" t="inlineStr">
        <is>
          <t>676</t>
        </is>
      </c>
      <c r="B677" t="inlineStr">
        <is>
          <t>Windshield Wiper Motor</t>
        </is>
      </c>
      <c r="C677" t="inlineStr">
        <is>
          <t>43-3309</t>
        </is>
      </c>
      <c r="D677" t="inlineStr">
        <is>
          <t>Windshield Wiper Motor - 43-3309</t>
        </is>
      </c>
      <c r="E677" t="inlineStr">
        <is>
          <t>CARDONE Reman</t>
        </is>
      </c>
      <c r="F677" t="inlineStr">
        <is>
          <t>99662808000</t>
        </is>
      </c>
      <c r="G677" t="inlineStr">
        <is>
          <t>Porsche 911 1999-2005</t>
        </is>
      </c>
      <c r="H677" t="inlineStr">
        <is>
          <t>Porsche 911 1999-2001 3.4L H6 3400cc
Porsche 911 2001-2002 3.6L H6 3606cc
Porsche 911 2004-2005 3.6L H6 3596cc</t>
        </is>
      </c>
      <c r="I677" t="inlineStr">
        <is>
          <t>{"0": {"productDeskExternalKey": "CPCX|43-3309"}, "1": {"E-Waste": "Yes"}, "2": {"Product Condition": "Remanufactured"}, "3": {"Weight PG": "2.7500"}, "4": {"Part Type": "Windshield Wiper Motor"}, "5": {"Warranty Info": "1 Year/18,000 Mile"}, "6": {"Sustainable Choice": "Yes"}, "7": {"Lifecycle Status": "Available to Order"}, "8": {"Application Summary": "Porsche 911 2005-04 2002-99"}, "9": {"ItemLevelGTIN": "00082617838603"}, "10": {"_addonCardone": "43-3309::98264:120038:530"}, "11": {"Eligible for R&amp;R Service": "Yes"}}</t>
        </is>
      </c>
      <c r="J677" t="inlineStr">
        <is>
          <t>https://www.cardone.com/product/windshield-wiper-motor-43-3309</t>
        </is>
      </c>
      <c r="K677">
        <f>DISPIMG("ID_EB642E4D02814DBEA67ADBCE3450C79B",1)</f>
        <v/>
      </c>
      <c r="L677" t="inlineStr">
        <is>
          <t>CPCX|43-3309</t>
        </is>
      </c>
      <c r="M677" t="inlineStr"/>
      <c r="N677" t="inlineStr">
        <is>
          <t>Yes</t>
        </is>
      </c>
      <c r="O677" t="inlineStr">
        <is>
          <t>Remanufactured</t>
        </is>
      </c>
      <c r="P677" t="inlineStr"/>
      <c r="Q677" t="inlineStr"/>
      <c r="R677" t="inlineStr"/>
      <c r="S677" t="inlineStr">
        <is>
          <t>2.7500</t>
        </is>
      </c>
      <c r="T677" t="inlineStr"/>
      <c r="U677" t="inlineStr">
        <is>
          <t>1 Year/18,000 Mile</t>
        </is>
      </c>
      <c r="V677" t="inlineStr">
        <is>
          <t>Yes</t>
        </is>
      </c>
      <c r="W677" t="inlineStr">
        <is>
          <t>Available to Order</t>
        </is>
      </c>
      <c r="X677" t="inlineStr">
        <is>
          <t>Porsche 911 2005-04 2002-99</t>
        </is>
      </c>
      <c r="Y677" t="inlineStr">
        <is>
          <t>00082617838603</t>
        </is>
      </c>
      <c r="Z677" t="inlineStr">
        <is>
          <t>43-3309::98264:120038:530</t>
        </is>
      </c>
      <c r="AA677" t="inlineStr">
        <is>
          <t>Yes</t>
        </is>
      </c>
      <c r="AB677" t="inlineStr"/>
      <c r="AC677" t="inlineStr"/>
    </row>
    <row r="678">
      <c r="A678" t="inlineStr">
        <is>
          <t>677</t>
        </is>
      </c>
      <c r="B678" t="inlineStr">
        <is>
          <t>Windshield Wiper Motor</t>
        </is>
      </c>
      <c r="C678" t="inlineStr">
        <is>
          <t>43-3310</t>
        </is>
      </c>
      <c r="D678" t="inlineStr">
        <is>
          <t>Windshield Wiper Motor - 43-3310</t>
        </is>
      </c>
      <c r="E678" t="inlineStr">
        <is>
          <t>CARDONE Reman</t>
        </is>
      </c>
      <c r="F678" t="inlineStr">
        <is>
          <t>99762410501;99762410500</t>
        </is>
      </c>
      <c r="G678" t="inlineStr">
        <is>
          <t>Porsche 911 2006-2013
Porsche Boxster 2006-2013
Porsche Cayman 2006-2012
Porsche Panamera 2010</t>
        </is>
      </c>
      <c r="H678" t="inlineStr">
        <is>
          <t>Porsche 911 2006-2009 3.6L H6 3596cc
Porsche 911 2006-2013 3.8L H6 3824cc
Porsche 911 2007-2008 3.6L H6 3598cc
Porsche 911 2007-2009 3.6L H6 3606cc
Porsche 911 2009-2012 3.6L H6 3614cc
Porsche 911 2009-2013 3.8L H6 3800cc
Porsche 911 2011 3.6L H6 220cid
Porsche 911 2011 4L H6 3996cc
Porsche 911 2012 3.4L H6 3436cc
Porsche Boxster 2006 3.2L H6 3179cc
Porsche Boxster 2006-2008 2.7L H6 2687cc
Porsche Boxster 2007-2013 3.4L H6 3387cc
Porsche Boxster 2009-2012 2.9L H6 2893cc
Porsche Boxster 2011-2013 3.4L H6 3436cc
Porsche Boxster 2013 2.7L H6 165cid
Porsche Cayman 2006-2012 3.4L H6 3387cc
Porsche Cayman 2007-2008 2.7L H6 2687cc
Porsche Cayman 2009-2012 2.9L H6 2893cc
Porsche Cayman 2011-2012 3.4L H6 3436cc
Porsche Panamera 2010 4.8L V8 4806cc</t>
        </is>
      </c>
      <c r="I678" t="inlineStr">
        <is>
          <t>{"0": {"productDeskExternalKey": "CPCX|43-3310"}, "1": {"E-Waste": "Yes"}, "2": {"Product Condition": "Remanufactured"}, "3": {"Weight PG": "2.7500"}, "4": {"Part Type": "Windshield Wiper Motor"}, "5": {"Warranty Info": "1 Year/18,000 Mile"}, "6": {"Sustainable Choice": "Yes"}, "7": {"Lifecycle Status": "Available to Order"}, "8": {"Application Summary": "Porsche 911 2013-06, Boxster 2013-06, Cayman 2012-06, Panamera 2010"}, "9": {"ItemLevelGTIN": "00082617838740"}, "10": {"_addonCardone": "43-3310::98264:120059:530"}, "11": {"Eligible for R&amp;R Service": "Yes"}}</t>
        </is>
      </c>
      <c r="J678" t="inlineStr">
        <is>
          <t>https://www.cardone.com/product/windshield-wiper-motor-43-3310</t>
        </is>
      </c>
      <c r="K678">
        <f>DISPIMG("ID_6D56621E21EB44B2A17FABFA8A2435D5",1)</f>
        <v/>
      </c>
      <c r="L678" t="inlineStr">
        <is>
          <t>CPCX|43-3310</t>
        </is>
      </c>
      <c r="M678" t="inlineStr"/>
      <c r="N678" t="inlineStr">
        <is>
          <t>Yes</t>
        </is>
      </c>
      <c r="O678" t="inlineStr">
        <is>
          <t>Remanufactured</t>
        </is>
      </c>
      <c r="P678" t="inlineStr"/>
      <c r="Q678" t="inlineStr"/>
      <c r="R678" t="inlineStr"/>
      <c r="S678" t="inlineStr">
        <is>
          <t>2.7500</t>
        </is>
      </c>
      <c r="T678" t="inlineStr"/>
      <c r="U678" t="inlineStr">
        <is>
          <t>1 Year/18,000 Mile</t>
        </is>
      </c>
      <c r="V678" t="inlineStr">
        <is>
          <t>Yes</t>
        </is>
      </c>
      <c r="W678" t="inlineStr">
        <is>
          <t>Available to Order</t>
        </is>
      </c>
      <c r="X678" t="inlineStr">
        <is>
          <t>Porsche 911 2013-06, Boxster 2013-06, Cayman 2012-06, Panamera 2010</t>
        </is>
      </c>
      <c r="Y678" t="inlineStr">
        <is>
          <t>00082617838740</t>
        </is>
      </c>
      <c r="Z678" t="inlineStr">
        <is>
          <t>43-3310::98264:120059:530</t>
        </is>
      </c>
      <c r="AA678" t="inlineStr">
        <is>
          <t>Yes</t>
        </is>
      </c>
      <c r="AB678" t="inlineStr"/>
      <c r="AC678" t="inlineStr"/>
    </row>
    <row r="679">
      <c r="A679" t="inlineStr">
        <is>
          <t>678</t>
        </is>
      </c>
      <c r="B679" t="inlineStr">
        <is>
          <t>Windshield Wiper Motor</t>
        </is>
      </c>
      <c r="C679" t="inlineStr">
        <is>
          <t>43-3311</t>
        </is>
      </c>
      <c r="D679" t="inlineStr">
        <is>
          <t>Windshield Wiper Motor - 43-3311</t>
        </is>
      </c>
      <c r="E679" t="inlineStr">
        <is>
          <t>CARDONE Reman</t>
        </is>
      </c>
      <c r="F679" t="inlineStr">
        <is>
          <t>95562410503;95562410502</t>
        </is>
      </c>
      <c r="G679" t="inlineStr">
        <is>
          <t>Porsche Cayenne 2006-2010</t>
        </is>
      </c>
      <c r="H679" t="inlineStr">
        <is>
          <t>Porsche Cayenne 2006 3.2L V6 195cid
Porsche Cayenne 2006 4.5L V8 4511cc
Porsche Cayenne 2008-2010 3.6L V6 219cid
Porsche Cayenne 2008-2010 4.8L V8 4806cc</t>
        </is>
      </c>
      <c r="I679" t="inlineStr">
        <is>
          <t>{"0": {"productDeskExternalKey": "CPCX|43-3311"}, "1": {"E-Waste": "Yes"}, "2": {"Product Condition": "Remanufactured"}, "3": {"Weight PG": "3.5000"}, "4": {"Part Type": "Windshield Wiper Motor"}, "5": {"Warranty Info": "1 Year/18,000 Mile"}, "6": {"Sustainable Choice": "Yes"}, "7": {"Lifecycle Status": "Available to Order"}, "8": {"Application Summary": "Porsche Cayenne 2010-08 2006"}, "9": {"ItemLevelGTIN": "00082617864657"}, "10": {"_addonCardone": "43-3311::98264:120080:530"}, "11": {"Eligible for R&amp;R Service": "Yes"}}</t>
        </is>
      </c>
      <c r="J679" t="inlineStr">
        <is>
          <t>https://www.cardone.com/product/windshield-wiper-motor-43-3311</t>
        </is>
      </c>
      <c r="K679">
        <f>DISPIMG("ID_8FE587D73EB048FAA5AB055735FC1B71",1)</f>
        <v/>
      </c>
      <c r="L679" t="inlineStr">
        <is>
          <t>CPCX|43-3311</t>
        </is>
      </c>
      <c r="M679" t="inlineStr"/>
      <c r="N679" t="inlineStr">
        <is>
          <t>Yes</t>
        </is>
      </c>
      <c r="O679" t="inlineStr">
        <is>
          <t>Remanufactured</t>
        </is>
      </c>
      <c r="P679" t="inlineStr"/>
      <c r="Q679" t="inlineStr"/>
      <c r="R679" t="inlineStr"/>
      <c r="S679" t="inlineStr">
        <is>
          <t>3.5000</t>
        </is>
      </c>
      <c r="T679" t="inlineStr"/>
      <c r="U679" t="inlineStr">
        <is>
          <t>1 Year/18,000 Mile</t>
        </is>
      </c>
      <c r="V679" t="inlineStr">
        <is>
          <t>Yes</t>
        </is>
      </c>
      <c r="W679" t="inlineStr">
        <is>
          <t>Available to Order</t>
        </is>
      </c>
      <c r="X679" t="inlineStr">
        <is>
          <t>Porsche Cayenne 2010-08 2006</t>
        </is>
      </c>
      <c r="Y679" t="inlineStr">
        <is>
          <t>00082617864657</t>
        </is>
      </c>
      <c r="Z679" t="inlineStr">
        <is>
          <t>43-3311::98264:120080:530</t>
        </is>
      </c>
      <c r="AA679" t="inlineStr">
        <is>
          <t>Yes</t>
        </is>
      </c>
      <c r="AB679" t="inlineStr"/>
      <c r="AC679" t="inlineStr"/>
    </row>
    <row r="680">
      <c r="A680" t="inlineStr">
        <is>
          <t>679</t>
        </is>
      </c>
      <c r="B680" t="inlineStr">
        <is>
          <t>Windshield Wiper Motor</t>
        </is>
      </c>
      <c r="C680" t="inlineStr">
        <is>
          <t>43-3318</t>
        </is>
      </c>
      <c r="D680" t="inlineStr">
        <is>
          <t>Windshield Wiper Motor - 43-3318</t>
        </is>
      </c>
      <c r="E680" t="inlineStr">
        <is>
          <t>CARDONE Reman</t>
        </is>
      </c>
      <c r="F680" t="inlineStr">
        <is>
          <t>95862808001;95862808000</t>
        </is>
      </c>
      <c r="G680" t="inlineStr">
        <is>
          <t>Porsche Cayenne 2011-2015</t>
        </is>
      </c>
      <c r="H680" t="inlineStr">
        <is>
          <t>Porsche Cayenne 2011-2014 3.6L V6 219cid
Porsche Cayenne 2011-2015 3L V6 181cid
Porsche Cayenne 2011-2015 3L V6 183cid
Porsche Cayenne 2011-2015 4.8L V8 4806cc
Porsche Cayenne 2015 3.6L V6 220cid</t>
        </is>
      </c>
      <c r="I680" t="inlineStr">
        <is>
          <t>{"0": {"productDeskExternalKey": "CPCX|43-3318"}, "1": {"E-Waste": "Yes"}, "2": {"Product Condition": "Remanufactured"}, "3": {"Weight PG": "3.0000"}, "4": {"Part Type": "Windshield Wiper Motor"}, "5": {"Warranty Info": "1 Year/18,000 Mile"}, "6": {"Sustainable Choice": "Yes"}, "7": {"Lifecycle Status": "Available to Order"}, "8": {"Application Summary": "Porsche Cayenne 2015-11"}, "9": {"ItemLevelGTIN": "00884548028401"}, "10": {"_addonCardone": "43-3318::98264:120101:530"}, "11": {"Eligible for R&amp;R Service": "Yes"}}</t>
        </is>
      </c>
      <c r="J680" t="inlineStr">
        <is>
          <t>https://www.cardone.com/product/windshield-wiper-motor-43-3318</t>
        </is>
      </c>
      <c r="K680">
        <f>DISPIMG("ID_1FBD02BF17A943EEAAC573472EDD9425",1)</f>
        <v/>
      </c>
      <c r="L680" t="inlineStr">
        <is>
          <t>CPCX|43-3318</t>
        </is>
      </c>
      <c r="M680" t="inlineStr"/>
      <c r="N680" t="inlineStr">
        <is>
          <t>Yes</t>
        </is>
      </c>
      <c r="O680" t="inlineStr">
        <is>
          <t>Remanufactured</t>
        </is>
      </c>
      <c r="P680" t="inlineStr"/>
      <c r="Q680" t="inlineStr"/>
      <c r="R680" t="inlineStr"/>
      <c r="S680" t="inlineStr">
        <is>
          <t>3.0000</t>
        </is>
      </c>
      <c r="T680" t="inlineStr"/>
      <c r="U680" t="inlineStr">
        <is>
          <t>1 Year/18,000 Mile</t>
        </is>
      </c>
      <c r="V680" t="inlineStr">
        <is>
          <t>Yes</t>
        </is>
      </c>
      <c r="W680" t="inlineStr">
        <is>
          <t>Available to Order</t>
        </is>
      </c>
      <c r="X680" t="inlineStr">
        <is>
          <t>Porsche Cayenne 2015-11</t>
        </is>
      </c>
      <c r="Y680" t="inlineStr">
        <is>
          <t>00884548028401</t>
        </is>
      </c>
      <c r="Z680" t="inlineStr">
        <is>
          <t>43-3318::98264:120101:530</t>
        </is>
      </c>
      <c r="AA680" t="inlineStr">
        <is>
          <t>Yes</t>
        </is>
      </c>
      <c r="AB680" t="inlineStr"/>
      <c r="AC680" t="inlineStr"/>
    </row>
    <row r="681">
      <c r="A681" t="inlineStr">
        <is>
          <t>680</t>
        </is>
      </c>
      <c r="B681" t="inlineStr">
        <is>
          <t>Windshield Wiper Motor</t>
        </is>
      </c>
      <c r="C681" t="inlineStr">
        <is>
          <t>43-3319</t>
        </is>
      </c>
      <c r="D681" t="inlineStr">
        <is>
          <t>Windshield Wiper Motor - 43-3319</t>
        </is>
      </c>
      <c r="E681" t="inlineStr">
        <is>
          <t>CARDONE Reman</t>
        </is>
      </c>
      <c r="F681" t="inlineStr">
        <is>
          <t>95862802300</t>
        </is>
      </c>
      <c r="G681" t="inlineStr">
        <is>
          <t>Porsche Cayenne 2011-2018</t>
        </is>
      </c>
      <c r="H681" t="inlineStr">
        <is>
          <t>Porsche Cayenne 2011-2018 3.6L V6 219cid
Porsche Cayenne 2011-2018 3L V6 181cid
Porsche Cayenne 2011-2018 3L V6 183cid
Porsche Cayenne 2011-2018 4.8L V8 4806cc
Porsche Cayenne 2015-2018 3.6L V6 220cid
Porsche Cayenne 2016 4.2L V8 252cid
Porsche Cayenne 2017-2018 3L V6 2995cc</t>
        </is>
      </c>
      <c r="I681" t="inlineStr">
        <is>
          <t>{"0": {"productDeskExternalKey": "CPCX|43-3319"}, "1": {"E-Waste": "Yes"}, "2": {"Product Condition": "Remanufactured"}, "3": {"Weight PG": "1.5000"}, "4": {"Part Type": "Windshield Wiper Motor"}, "5": {"Warranty Info": "1 Year/18,000 Mile"}, "6": {"Sustainable Choice": "Yes"}, "7": {"Lifecycle Status": "Available to Order"}, "8": {"Application Summary": "Porsche Cayenne 2018-11"}, "9": {"ItemLevelGTIN": "00884548068827"}, "10": {"_addonCardone": "43-3319::98264:120124:530"}, "11": {"Eligible for R&amp;R Service": "Yes"}}</t>
        </is>
      </c>
      <c r="J681" t="inlineStr">
        <is>
          <t>https://www.cardone.com/product/windshield-wiper-motor-43-3319</t>
        </is>
      </c>
      <c r="K681">
        <f>DISPIMG("ID_990B38394F9247729FDE81321554C9A7",1)</f>
        <v/>
      </c>
      <c r="L681" t="inlineStr">
        <is>
          <t>CPCX|43-3319</t>
        </is>
      </c>
      <c r="M681" t="inlineStr"/>
      <c r="N681" t="inlineStr">
        <is>
          <t>Yes</t>
        </is>
      </c>
      <c r="O681" t="inlineStr">
        <is>
          <t>Remanufactured</t>
        </is>
      </c>
      <c r="P681" t="inlineStr"/>
      <c r="Q681" t="inlineStr"/>
      <c r="R681" t="inlineStr"/>
      <c r="S681" t="inlineStr">
        <is>
          <t>1.5000</t>
        </is>
      </c>
      <c r="T681" t="inlineStr"/>
      <c r="U681" t="inlineStr">
        <is>
          <t>1 Year/18,000 Mile</t>
        </is>
      </c>
      <c r="V681" t="inlineStr">
        <is>
          <t>Yes</t>
        </is>
      </c>
      <c r="W681" t="inlineStr">
        <is>
          <t>Available to Order</t>
        </is>
      </c>
      <c r="X681" t="inlineStr">
        <is>
          <t>Porsche Cayenne 2018-11</t>
        </is>
      </c>
      <c r="Y681" t="inlineStr">
        <is>
          <t>00884548068827</t>
        </is>
      </c>
      <c r="Z681" t="inlineStr">
        <is>
          <t>43-3319::98264:120124:530</t>
        </is>
      </c>
      <c r="AA681" t="inlineStr">
        <is>
          <t>Yes</t>
        </is>
      </c>
      <c r="AB681" t="inlineStr"/>
      <c r="AC681" t="inlineStr"/>
    </row>
    <row r="682">
      <c r="A682" t="inlineStr">
        <is>
          <t>681</t>
        </is>
      </c>
      <c r="B682" t="inlineStr">
        <is>
          <t>Windshield Wiper Motor</t>
        </is>
      </c>
      <c r="C682" t="inlineStr">
        <is>
          <t>43-3400</t>
        </is>
      </c>
      <c r="D682" t="inlineStr">
        <is>
          <t>Windshield Wiper Motor - 43-3400</t>
        </is>
      </c>
      <c r="E682" t="inlineStr">
        <is>
          <t>CARDONE Reman</t>
        </is>
      </c>
      <c r="F682" t="inlineStr">
        <is>
          <t>2108201742</t>
        </is>
      </c>
      <c r="G682" t="inlineStr">
        <is>
          <t>Mercedes-Benz CLK320 1998-2002
Mercedes-Benz CLK430 1999-2003
Mercedes-Benz E300 1997-1999
Mercedes-Benz E320 1996-2002
Mercedes-Benz E420 1997
Mercedes-Benz E430 1998-2002
Mercedes-Benz E55 AMG 2001-2003</t>
        </is>
      </c>
      <c r="H682" t="inlineStr">
        <is>
          <t>Mercedes-Benz CLK320 1998-2002 3.2L V6 3199cc
Mercedes-Benz CLK430 1999-2003 4.3L V8 260cid
Mercedes-Benz CLK430 1999-2003 4.3L V8 4266cc
Mercedes-Benz E300 1997-1999 3L L6 2996cc
Mercedes-Benz E320 1996-1997 3.2L L6 3199cc
Mercedes-Benz E320 1997-2002 3.2L V6 3199cc
Mercedes-Benz E420 1997 4.2L V8 256cid
Mercedes-Benz E420 1997 4.2L V8 4196cc
Mercedes-Benz E430 1998-1999 4.3L V8 260cid
Mercedes-Benz E430 1998-2002 4.3L V8 4266cc
Mercedes-Benz E55 AMG 2001-2003 5.5L V8 332cid
Mercedes-Benz E55 AMG 2002-2003 5.4L V8 332cid</t>
        </is>
      </c>
      <c r="I682" t="inlineStr">
        <is>
          <t>{"0": {"productDeskExternalKey": "CPCX|43-3400"}, "1": {"Package Contents": "Wiper Motor; Instruction Sheet"}, "2": {"E-Waste": "Yes"}, "3": {"Product Condition": "Remanufactured"}, "4": {"Mounting Hole Quantity": "3"}, "5": {"Terminal Type": "Blade"}, "6": {"Mounting Type": "Direct Bolt"}, "7": {"Weight PG": "2.7800"}, "8": {"Washer Pump Included": "No"}, "9": {"Part Type": "Windshield Wiper Motor"}, "10": {"Warranty Info": "1 Year/18,000 Mile"}, "11": {"Sustainable Choice": "Yes"}, "12": {"Lifecycle Status": "Available to Order"}, "13": {"Application Summary": "Mercedes-Benz CLK320 2002-98, CLK430 2003-99, CLK55 AMG 2002-01, E300 1999-97, E320 2002-96, E420 1997, E430 2002-98, E55 AMG 2003-01"}, "14": {"ItemLevelGTIN": "00082617496223"}, "15": {"_addonCardone": "43-3400::98264:120142:530"}, "16": {"Eligible for R&amp;R Service": "Yes"}}</t>
        </is>
      </c>
      <c r="J682" t="inlineStr">
        <is>
          <t>https://www.cardone.com/product/windshield-wiper-motor-43-3400</t>
        </is>
      </c>
      <c r="K682">
        <f>DISPIMG("ID_6F7C12F9229E4935B626D294C0D42F39",1)</f>
        <v/>
      </c>
      <c r="L682" t="inlineStr">
        <is>
          <t>CPCX|43-3400</t>
        </is>
      </c>
      <c r="M682" t="inlineStr">
        <is>
          <t>Wiper Motor; Instruction Sheet</t>
        </is>
      </c>
      <c r="N682" t="inlineStr">
        <is>
          <t>Yes</t>
        </is>
      </c>
      <c r="O682" t="inlineStr">
        <is>
          <t>Remanufactured</t>
        </is>
      </c>
      <c r="P682" t="inlineStr">
        <is>
          <t>3</t>
        </is>
      </c>
      <c r="Q682" t="inlineStr">
        <is>
          <t>Blade</t>
        </is>
      </c>
      <c r="R682" t="inlineStr">
        <is>
          <t>Direct Bolt</t>
        </is>
      </c>
      <c r="S682" t="inlineStr">
        <is>
          <t>2.7800</t>
        </is>
      </c>
      <c r="T682" t="inlineStr">
        <is>
          <t>No</t>
        </is>
      </c>
      <c r="U682" t="inlineStr">
        <is>
          <t>1 Year/18,000 Mile</t>
        </is>
      </c>
      <c r="V682" t="inlineStr">
        <is>
          <t>Yes</t>
        </is>
      </c>
      <c r="W682" t="inlineStr">
        <is>
          <t>Available to Order</t>
        </is>
      </c>
      <c r="X682" t="inlineStr">
        <is>
          <t>Mercedes-Benz CLK320 2002-98, CLK430 2003-99, CLK55 AMG 2002-01, E300 1999-97, E320 2002-96, E420 1997, E430 2002-98, E55 AMG 2003-01</t>
        </is>
      </c>
      <c r="Y682" t="inlineStr">
        <is>
          <t>00082617496223</t>
        </is>
      </c>
      <c r="Z682" t="inlineStr">
        <is>
          <t>43-3400::98264:120142:530</t>
        </is>
      </c>
      <c r="AA682" t="inlineStr">
        <is>
          <t>Yes</t>
        </is>
      </c>
      <c r="AB682" t="inlineStr"/>
      <c r="AC682" t="inlineStr"/>
    </row>
    <row r="683">
      <c r="A683" t="inlineStr">
        <is>
          <t>682</t>
        </is>
      </c>
      <c r="B683" t="inlineStr">
        <is>
          <t>Windshield Wiper Motor</t>
        </is>
      </c>
      <c r="C683" t="inlineStr">
        <is>
          <t>43-3401</t>
        </is>
      </c>
      <c r="D683" t="inlineStr">
        <is>
          <t>Windshield Wiper Motor - 43-3401</t>
        </is>
      </c>
      <c r="E683" t="inlineStr">
        <is>
          <t>CARDONE Reman</t>
        </is>
      </c>
      <c r="F683" t="inlineStr">
        <is>
          <t>2028200408</t>
        </is>
      </c>
      <c r="G683" t="inlineStr">
        <is>
          <t>Mercedes-Benz C230 1998-1999</t>
        </is>
      </c>
      <c r="H683" t="inlineStr">
        <is>
          <t>Mercedes-Benz C230 1998-1999 2.3L L4 2295cc</t>
        </is>
      </c>
      <c r="I683" t="inlineStr">
        <is>
          <t>{"0": {"productDeskExternalKey": "CPCX|43-3401"}, "1": {"Package Contents": "Wiper Motor; Instruction Sheet"}, "2": {"E-Waste": "Yes"}, "3": {"Product Condition": "Remanufactured"}, "4": {"Mounting Hole Quantity": "3"}, "5": {"Terminal Type": "Blade"}, "6": {"Mounting Type": "Direct Bolt"}, "7": {"Weight PG": "2.2500"}, "8": {"Washer Pump Included": "No"}, "9": {"Part Type": "Windshield Wiper Motor"}, "10": {"Warranty Info": "1 Year/18,000 Mile"}, "11": {"Sustainable Choice": "Yes"}, "12": {"Lifecycle Status": "Available to Order"}, "13": {"Application Summary": "Mercedes-Benz C230 1999-98, C280 1999-98, C43 AMG 1999"}, "14": {"ItemLevelGTIN": "00082617588065"}, "15": {"_addonCardone": "43-3401::98264:120167:530"}, "16": {"Eligible for R&amp;R Service": "Yes"}}</t>
        </is>
      </c>
      <c r="J683" t="inlineStr">
        <is>
          <t>https://www.cardone.com/product/windshield-wiper-motor-43-3401</t>
        </is>
      </c>
      <c r="K683">
        <f>DISPIMG("ID_781A93689E494E5A8B00DBECC0BF6D4F",1)</f>
        <v/>
      </c>
      <c r="L683" t="inlineStr">
        <is>
          <t>CPCX|43-3401</t>
        </is>
      </c>
      <c r="M683" t="inlineStr">
        <is>
          <t>Wiper Motor; Instruction Sheet</t>
        </is>
      </c>
      <c r="N683" t="inlineStr">
        <is>
          <t>Yes</t>
        </is>
      </c>
      <c r="O683" t="inlineStr">
        <is>
          <t>Remanufactured</t>
        </is>
      </c>
      <c r="P683" t="inlineStr">
        <is>
          <t>3</t>
        </is>
      </c>
      <c r="Q683" t="inlineStr">
        <is>
          <t>Blade</t>
        </is>
      </c>
      <c r="R683" t="inlineStr">
        <is>
          <t>Direct Bolt</t>
        </is>
      </c>
      <c r="S683" t="inlineStr">
        <is>
          <t>2.2500</t>
        </is>
      </c>
      <c r="T683" t="inlineStr">
        <is>
          <t>No</t>
        </is>
      </c>
      <c r="U683" t="inlineStr">
        <is>
          <t>1 Year/18,000 Mile</t>
        </is>
      </c>
      <c r="V683" t="inlineStr">
        <is>
          <t>Yes</t>
        </is>
      </c>
      <c r="W683" t="inlineStr">
        <is>
          <t>Available to Order</t>
        </is>
      </c>
      <c r="X683" t="inlineStr">
        <is>
          <t>Mercedes-Benz C230 1999-98, C280 1999-98, C43 AMG 1999</t>
        </is>
      </c>
      <c r="Y683" t="inlineStr">
        <is>
          <t>00082617588065</t>
        </is>
      </c>
      <c r="Z683" t="inlineStr">
        <is>
          <t>43-3401::98264:120167:530</t>
        </is>
      </c>
      <c r="AA683" t="inlineStr">
        <is>
          <t>Yes</t>
        </is>
      </c>
      <c r="AB683" t="inlineStr"/>
      <c r="AC683" t="inlineStr"/>
    </row>
    <row r="684">
      <c r="A684" t="inlineStr">
        <is>
          <t>683</t>
        </is>
      </c>
      <c r="B684" t="inlineStr">
        <is>
          <t>Windshield Wiper Motor</t>
        </is>
      </c>
      <c r="C684" t="inlineStr">
        <is>
          <t>43-3402</t>
        </is>
      </c>
      <c r="D684" t="inlineStr">
        <is>
          <t>Windshield Wiper Motor - 43-3402</t>
        </is>
      </c>
      <c r="E684" t="inlineStr">
        <is>
          <t>CARDONE Reman</t>
        </is>
      </c>
      <c r="F684" t="inlineStr">
        <is>
          <t>1638200542;1638203142;1638202642</t>
        </is>
      </c>
      <c r="G684" t="inlineStr">
        <is>
          <t>Mercedes-Benz ML320 1998-2003
Mercedes-Benz ML430 1999-2001
Mercedes-Benz ML500 2002-2005
Mercedes-Benz ML55 AMG 2000-2003</t>
        </is>
      </c>
      <c r="H684" t="inlineStr">
        <is>
          <t>Mercedes-Benz ML320 1998-2003 3.2L V6 3199cc
Mercedes-Benz ML430 1999-2001 4.3L V8 4266cc
Mercedes-Benz ML500 2002-2005 5L V8 4966cc
Mercedes-Benz ML55 AMG 2000-2003 5.5L V8 332cid
Mercedes-Benz ML55 AMG 2002-2003 5.4L V8 332cid</t>
        </is>
      </c>
      <c r="I684" t="inlineStr">
        <is>
          <t>{"0": {"productDeskExternalKey": "CPCX|43-3402"}, "1": {"Package Contents": "Wiper Motor; Instruction Sheet"}, "2": {"E-Waste": "Yes"}, "3": {"Product Condition": "Remanufactured"}, "4": {"Mounting Hole Quantity": "3"}, "5": {"Terminal Type": "Blade"}, "6": {"Mounting Type": "Grommet"}, "7": {"Weight PG": "3.0000"}, "8": {"Washer Pump Included": "No"}, "9": {"Part Type": "Windshield Wiper Motor"}, "10": {"Warranty Info": "1 Year/18,000 Mile"}, "11": {"Sustainable Choice": "Yes"}, "12": {"Lifecycle Status": "Available to Order"}, "13": {"Application Summary": "Mercedes-Benz ML320 2003-98, ML350 2005-03, ML430 2001-99, ML500 2005-02, ML55 AMG 2003-00"}, "14": {"ItemLevelGTIN": "00082617631235"}, "15": {"_addonCardone": "43-3402::98264:120195:530"}, "16": {"Eligible for R&amp;R Service": "Yes"}}</t>
        </is>
      </c>
      <c r="J684" t="inlineStr">
        <is>
          <t>https://www.cardone.com/product/windshield-wiper-motor-43-3402</t>
        </is>
      </c>
      <c r="K684">
        <f>DISPIMG("ID_AFAD94F481804A66A5D13DE6CDD9C5AB",1)</f>
        <v/>
      </c>
      <c r="L684" t="inlineStr">
        <is>
          <t>CPCX|43-3402</t>
        </is>
      </c>
      <c r="M684" t="inlineStr">
        <is>
          <t>Wiper Motor; Instruction Sheet</t>
        </is>
      </c>
      <c r="N684" t="inlineStr">
        <is>
          <t>Yes</t>
        </is>
      </c>
      <c r="O684" t="inlineStr">
        <is>
          <t>Remanufactured</t>
        </is>
      </c>
      <c r="P684" t="inlineStr">
        <is>
          <t>3</t>
        </is>
      </c>
      <c r="Q684" t="inlineStr">
        <is>
          <t>Blade</t>
        </is>
      </c>
      <c r="R684" t="inlineStr">
        <is>
          <t>Grommet</t>
        </is>
      </c>
      <c r="S684" t="inlineStr">
        <is>
          <t>3.0000</t>
        </is>
      </c>
      <c r="T684" t="inlineStr">
        <is>
          <t>No</t>
        </is>
      </c>
      <c r="U684" t="inlineStr">
        <is>
          <t>1 Year/18,000 Mile</t>
        </is>
      </c>
      <c r="V684" t="inlineStr">
        <is>
          <t>Yes</t>
        </is>
      </c>
      <c r="W684" t="inlineStr">
        <is>
          <t>Available to Order</t>
        </is>
      </c>
      <c r="X684" t="inlineStr">
        <is>
          <t>Mercedes-Benz ML320 2003-98, ML350 2005-03, ML430 2001-99, ML500 2005-02, ML55 AMG 2003-00</t>
        </is>
      </c>
      <c r="Y684" t="inlineStr">
        <is>
          <t>00082617631235</t>
        </is>
      </c>
      <c r="Z684" t="inlineStr">
        <is>
          <t>43-3402::98264:120195:530</t>
        </is>
      </c>
      <c r="AA684" t="inlineStr">
        <is>
          <t>Yes</t>
        </is>
      </c>
      <c r="AB684" t="inlineStr"/>
      <c r="AC684" t="inlineStr"/>
    </row>
    <row r="685">
      <c r="A685" t="inlineStr">
        <is>
          <t>684</t>
        </is>
      </c>
      <c r="B685" t="inlineStr">
        <is>
          <t>Windshield Wiper Motor</t>
        </is>
      </c>
      <c r="C685" t="inlineStr">
        <is>
          <t>43-3403</t>
        </is>
      </c>
      <c r="D685" t="inlineStr">
        <is>
          <t>Windshield Wiper Motor - 43-3403</t>
        </is>
      </c>
      <c r="E685" t="inlineStr">
        <is>
          <t>CARDONE Reman</t>
        </is>
      </c>
      <c r="F685" t="inlineStr">
        <is>
          <t>2028202308</t>
        </is>
      </c>
      <c r="G685" t="inlineStr">
        <is>
          <t>Mercedes-Benz C230 1998-2000
Mercedes-Benz C280 1998-1999</t>
        </is>
      </c>
      <c r="H685" t="inlineStr">
        <is>
          <t>Mercedes-Benz C230 1998-2000 2.3L L4 2295cc
Mercedes-Benz C280 1998 2.8L L6 2799cc
Mercedes-Benz C280 1998-1999 2.8L V6 2799cc</t>
        </is>
      </c>
      <c r="I685" t="inlineStr">
        <is>
          <t>{"0": {"productDeskExternalKey": "CPCX|43-3403"},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"Mercedes-Benz C230 2000-98, C280 2000-98, C43 AMG 2000-99"}, "14": {"ItemLevelGTIN": "00082617705134"}, "15": {"_addonCardone": "43-3403::98264:120220:530"}, "16": {"Eligible for R&amp;R Service": "Yes"}}</t>
        </is>
      </c>
      <c r="J685" t="inlineStr">
        <is>
          <t>https://www.cardone.com/product/windshield-wiper-motor-43-3403</t>
        </is>
      </c>
      <c r="K685">
        <f>DISPIMG("ID_7D9EBA13A53445949AD0E721EB8EC284",1)</f>
        <v/>
      </c>
      <c r="L685" t="inlineStr">
        <is>
          <t>CPCX|43-3403</t>
        </is>
      </c>
      <c r="M685" t="inlineStr">
        <is>
          <t>Wiper Motor; Instruction Sheet</t>
        </is>
      </c>
      <c r="N685" t="inlineStr">
        <is>
          <t>Yes</t>
        </is>
      </c>
      <c r="O685" t="inlineStr">
        <is>
          <t>Remanufactured</t>
        </is>
      </c>
      <c r="P685" t="inlineStr">
        <is>
          <t>3</t>
        </is>
      </c>
      <c r="Q685" t="inlineStr">
        <is>
          <t>Blade</t>
        </is>
      </c>
      <c r="R685" t="inlineStr">
        <is>
          <t>Direct Bolt</t>
        </is>
      </c>
      <c r="S685" t="inlineStr">
        <is>
          <t>3.0000</t>
        </is>
      </c>
      <c r="T685" t="inlineStr">
        <is>
          <t>No</t>
        </is>
      </c>
      <c r="U685" t="inlineStr">
        <is>
          <t>1 Year/18,000 Mile</t>
        </is>
      </c>
      <c r="V685" t="inlineStr">
        <is>
          <t>Yes</t>
        </is>
      </c>
      <c r="W685" t="inlineStr">
        <is>
          <t>Available to Order</t>
        </is>
      </c>
      <c r="X685" t="inlineStr">
        <is>
          <t>Mercedes-Benz C230 2000-98, C280 2000-98, C43 AMG 2000-99</t>
        </is>
      </c>
      <c r="Y685" t="inlineStr">
        <is>
          <t>00082617705134</t>
        </is>
      </c>
      <c r="Z685" t="inlineStr">
        <is>
          <t>43-3403::98264:120220:530</t>
        </is>
      </c>
      <c r="AA685" t="inlineStr">
        <is>
          <t>Yes</t>
        </is>
      </c>
      <c r="AB685" t="inlineStr"/>
      <c r="AC685" t="inlineStr"/>
    </row>
    <row r="686">
      <c r="A686" t="inlineStr">
        <is>
          <t>685</t>
        </is>
      </c>
      <c r="B686" t="inlineStr">
        <is>
          <t>Windshield Wiper Motor</t>
        </is>
      </c>
      <c r="C686" t="inlineStr">
        <is>
          <t>43-3404</t>
        </is>
      </c>
      <c r="D686" t="inlineStr">
        <is>
          <t>Windshield Wiper Motor - 43-3404</t>
        </is>
      </c>
      <c r="E686" t="inlineStr">
        <is>
          <t>CARDONE Reman</t>
        </is>
      </c>
      <c r="F686" t="inlineStr">
        <is>
          <t>2038200342</t>
        </is>
      </c>
      <c r="G686" t="inlineStr">
        <is>
          <t>Mercedes-Benz C230 2002-2007
Mercedes-Benz C240 2001-2005
Mercedes-Benz C280 2006-2007
Mercedes-Benz CLK320 2003-2005
Mercedes-Benz CLK350 2006-2007</t>
        </is>
      </c>
      <c r="H686" t="inlineStr">
        <is>
          <t>Mercedes-Benz C230 2002 2.3L L4 2295cc
Mercedes-Benz C230 2003-2005 1.8L L4 1796cc
Mercedes-Benz C230 2004-2005 1.8L L4 110cid
Mercedes-Benz C230 2006-2007 2.5L V6 2496cc
Mercedes-Benz C240 2001-2005 2.6L V6 2597cc
Mercedes-Benz C280 2006-2007 3L V6 2996cc
Mercedes-Benz CLK320 2003-2005 3.2L V6 3199cc
Mercedes-Benz CLK350 2006-2007 3.5L V6 3498cc</t>
        </is>
      </c>
      <c r="I686" t="inlineStr">
        <is>
          <t>{"0": {"productDeskExternalKey": "CPCX|43-3404"},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"Mercedes-Benz C230 2007-02, C240 2005-01, C280 2007-06, C32 AMG 2004-02, C320 2005-01, C350 2007-06, C55 AMG 2006-05, CLK320 2005-03, CLK350 2007-06, CLK500 2006-03, CLK55 AMG 2006-03, CLK63 AMG 2007"}, "14": {"ItemLevelGTIN": "00082617751308"}, "15": {"_addonCardone": "43-3404::98264:120237:530"}, "16": {"Eligible for R&amp;R Service": "Yes"}}</t>
        </is>
      </c>
      <c r="J686" t="inlineStr">
        <is>
          <t>https://www.cardone.com/product/windshield-wiper-motor-43-3404</t>
        </is>
      </c>
      <c r="K686">
        <f>DISPIMG("ID_98F0A8BAE2EA48689D1B29D4B85F45A0",1)</f>
        <v/>
      </c>
      <c r="L686" t="inlineStr">
        <is>
          <t>CPCX|43-3404</t>
        </is>
      </c>
      <c r="M686" t="inlineStr">
        <is>
          <t>Wiper Motor; Instruction Sheet</t>
        </is>
      </c>
      <c r="N686" t="inlineStr">
        <is>
          <t>Yes</t>
        </is>
      </c>
      <c r="O686" t="inlineStr">
        <is>
          <t>Remanufactured</t>
        </is>
      </c>
      <c r="P686" t="inlineStr">
        <is>
          <t>3</t>
        </is>
      </c>
      <c r="Q686" t="inlineStr">
        <is>
          <t>Blade</t>
        </is>
      </c>
      <c r="R686" t="inlineStr">
        <is>
          <t>Direct Bolt</t>
        </is>
      </c>
      <c r="S686" t="inlineStr">
        <is>
          <t>3.5000</t>
        </is>
      </c>
      <c r="T686" t="inlineStr">
        <is>
          <t>No</t>
        </is>
      </c>
      <c r="U686" t="inlineStr">
        <is>
          <t>1 Year/18,000 Mile</t>
        </is>
      </c>
      <c r="V686" t="inlineStr">
        <is>
          <t>Yes</t>
        </is>
      </c>
      <c r="W686" t="inlineStr">
        <is>
          <t>Available to Order</t>
        </is>
      </c>
      <c r="X686" t="inlineStr">
        <is>
          <t>Mercedes-Benz C230 2007-02, C240 2005-01, C280 2007-06, C32 AMG 2004-02, C320 2005-01, C350 2007-06, C55 AMG 2006-05, CLK320 2005-03, CLK350 2007-06, CLK500 2006-03, CLK55 AMG 2006-03, CLK63 AMG 2007</t>
        </is>
      </c>
      <c r="Y686" t="inlineStr">
        <is>
          <t>00082617751308</t>
        </is>
      </c>
      <c r="Z686" t="inlineStr">
        <is>
          <t>43-3404::98264:120237:530</t>
        </is>
      </c>
      <c r="AA686" t="inlineStr">
        <is>
          <t>Yes</t>
        </is>
      </c>
      <c r="AB686" t="inlineStr"/>
      <c r="AC686" t="inlineStr"/>
    </row>
    <row r="687">
      <c r="A687" t="inlineStr">
        <is>
          <t>686</t>
        </is>
      </c>
      <c r="B687" t="inlineStr">
        <is>
          <t>Windshield Wiper Motor</t>
        </is>
      </c>
      <c r="C687" t="inlineStr">
        <is>
          <t>43-3407</t>
        </is>
      </c>
      <c r="D687" t="inlineStr">
        <is>
          <t>Windshield Wiper Motor - 43-3407</t>
        </is>
      </c>
      <c r="E687" t="inlineStr">
        <is>
          <t>CARDONE Reman</t>
        </is>
      </c>
      <c r="F687" t="inlineStr">
        <is>
          <t>2038200442</t>
        </is>
      </c>
      <c r="G687" t="inlineStr">
        <is>
          <t>Mercedes-Benz C240 2001-2005</t>
        </is>
      </c>
      <c r="H687" t="inlineStr">
        <is>
          <t>Mercedes-Benz C240 2001-2005 2.6L V6 2597cc</t>
        </is>
      </c>
      <c r="I687" t="inlineStr">
        <is>
          <t>{"0": {"productDeskExternalKey": "CPCX|43-3407"},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"Mercedes-Benz C240 2005-01, C320 2005-01"}, "14": {"ItemLevelGTIN": "00082617781206"}, "15": {"_addonCardone": "43-3407::98264:120256:530"}, "16": {"Eligible for R&amp;R Service": "Yes"}}</t>
        </is>
      </c>
      <c r="J687" t="inlineStr">
        <is>
          <t>https://www.cardone.com/product/windshield-wiper-motor-43-3407</t>
        </is>
      </c>
      <c r="K687">
        <f>DISPIMG("ID_4AF9F3B8BB7F4B4C82F863C2CFCAAC6C",1)</f>
        <v/>
      </c>
      <c r="L687" t="inlineStr">
        <is>
          <t>CPCX|43-3407</t>
        </is>
      </c>
      <c r="M687" t="inlineStr">
        <is>
          <t>Wiper Motor; Instruction Sheet</t>
        </is>
      </c>
      <c r="N687" t="inlineStr">
        <is>
          <t>Yes</t>
        </is>
      </c>
      <c r="O687" t="inlineStr">
        <is>
          <t>Remanufactured</t>
        </is>
      </c>
      <c r="P687" t="inlineStr">
        <is>
          <t>3</t>
        </is>
      </c>
      <c r="Q687" t="inlineStr">
        <is>
          <t>Blade</t>
        </is>
      </c>
      <c r="R687" t="inlineStr">
        <is>
          <t>Direct Bolt</t>
        </is>
      </c>
      <c r="S687" t="inlineStr">
        <is>
          <t>3.0000</t>
        </is>
      </c>
      <c r="T687" t="inlineStr">
        <is>
          <t>No</t>
        </is>
      </c>
      <c r="U687" t="inlineStr">
        <is>
          <t>1 Year/18,000 Mile</t>
        </is>
      </c>
      <c r="V687" t="inlineStr">
        <is>
          <t>Yes</t>
        </is>
      </c>
      <c r="W687" t="inlineStr">
        <is>
          <t>Available to Order</t>
        </is>
      </c>
      <c r="X687" t="inlineStr">
        <is>
          <t>Mercedes-Benz C240 2005-01, C320 2005-01</t>
        </is>
      </c>
      <c r="Y687" t="inlineStr">
        <is>
          <t>00082617781206</t>
        </is>
      </c>
      <c r="Z687" t="inlineStr">
        <is>
          <t>43-3407::98264:120256:530</t>
        </is>
      </c>
      <c r="AA687" t="inlineStr">
        <is>
          <t>Yes</t>
        </is>
      </c>
      <c r="AB687" t="inlineStr"/>
      <c r="AC687" t="inlineStr"/>
    </row>
    <row r="688">
      <c r="A688" t="inlineStr">
        <is>
          <t>687</t>
        </is>
      </c>
      <c r="B688" t="inlineStr">
        <is>
          <t>Windshield Wiper Motor</t>
        </is>
      </c>
      <c r="C688" t="inlineStr">
        <is>
          <t>43-3408</t>
        </is>
      </c>
      <c r="D688" t="inlineStr">
        <is>
          <t>Windshield Wiper Motor - 43-3408</t>
        </is>
      </c>
      <c r="E688" t="inlineStr">
        <is>
          <t>CARDONE Reman</t>
        </is>
      </c>
      <c r="F688" t="inlineStr">
        <is>
          <t>2208200742</t>
        </is>
      </c>
      <c r="G688" t="inlineStr">
        <is>
          <t>Mercedes-Benz CL600 2001-2006
Mercedes-Benz CL65 AMG 2005-2006
Mercedes-Benz S350 2006
Mercedes-Benz S430 2000-2006
Mercedes-Benz S500 2000-2006
Mercedes-Benz S55 AMG 2001-2006
Mercedes-Benz S600 2001-2006
Mercedes-Benz S65 AMG 2006</t>
        </is>
      </c>
      <c r="H688" t="inlineStr">
        <is>
          <t>Mercedes-Benz CL600 2001-2002 5.8L V12 5786cc
Mercedes-Benz CL600 2003-2006 5.5L V12 336cid
Mercedes-Benz CL65 AMG 2005-2006 6L V12 365cid
Mercedes-Benz S350 2006 3.7L V6 3724cc
Mercedes-Benz S430 2000-2005 4.3L V8 260cid
Mercedes-Benz S430 2000-2006 4.3L V8 4266cc
Mercedes-Benz S500 2000-2006 5L V8 4966cc
Mercedes-Benz S55 AMG 2001-2006 5.5L V8 332cid
Mercedes-Benz S55 AMG 2003-2005 5.4L V8 332cid
Mercedes-Benz S600 2001-2002 5.8L V12 5786cc
Mercedes-Benz S600 2003-2006 5.5L V12 336cid
Mercedes-Benz S65 AMG 2006 6L V12 365cid</t>
        </is>
      </c>
      <c r="I688" t="inlineStr">
        <is>
          <t>{"0": {"productDeskExternalKey": "CPCX|43-3408"}, "1": {"Package Contents": "Wiper Motor; Instruction Sheet"}, "2": {"E-Waste": "Yes"}, "3": {"Product Condition": "Remanufactured"}, "4": {"Mounting Hole Quantity": "3"}, "5": {"Terminal Type": "Blade"}, "6": {"Mounting Type": "Direct Bolt"}, "7": {"Weight PG": "3.5500"}, "8": {"Washer Pump Included": "No"}, "9": {"Part Type": "Windshield Wiper Motor"}, "10": {"Warranty Info": "1 Year/18,000 Mile"}, "11": {"Sustainable Choice": "Yes"}, "12": {"Lifecycle Status": "Available to Order"}, "13": {"Application Summary": "Mercedes-Benz CL500 2006-00, CL55 AMG 2006-01, CL600 2006-01, CL65 AMG 2006-05, S350 2006, S430 2006-00, S500 2006-00, S55 AMG 2006-01, S600 2006-01, S65 AMG 2006"}, "14": {"ItemLevelGTIN": "00082617784962"}, "15": {"_addonCardone": "43-3408::98264:120274:530"}, "16": {"Eligible for R&amp;R Service": "Yes"}}</t>
        </is>
      </c>
      <c r="J688" t="inlineStr">
        <is>
          <t>https://www.cardone.com/product/windshield-wiper-motor-43-3408</t>
        </is>
      </c>
      <c r="K688">
        <f>DISPIMG("ID_BBBD6DBF0EBD40CE9D301D790EDDA846",1)</f>
        <v/>
      </c>
      <c r="L688" t="inlineStr">
        <is>
          <t>CPCX|43-3408</t>
        </is>
      </c>
      <c r="M688" t="inlineStr">
        <is>
          <t>Wiper Motor; Instruction Sheet</t>
        </is>
      </c>
      <c r="N688" t="inlineStr">
        <is>
          <t>Yes</t>
        </is>
      </c>
      <c r="O688" t="inlineStr">
        <is>
          <t>Remanufactured</t>
        </is>
      </c>
      <c r="P688" t="inlineStr">
        <is>
          <t>3</t>
        </is>
      </c>
      <c r="Q688" t="inlineStr">
        <is>
          <t>Blade</t>
        </is>
      </c>
      <c r="R688" t="inlineStr">
        <is>
          <t>Direct Bolt</t>
        </is>
      </c>
      <c r="S688" t="inlineStr">
        <is>
          <t>3.5500</t>
        </is>
      </c>
      <c r="T688" t="inlineStr">
        <is>
          <t>No</t>
        </is>
      </c>
      <c r="U688" t="inlineStr">
        <is>
          <t>1 Year/18,000 Mile</t>
        </is>
      </c>
      <c r="V688" t="inlineStr">
        <is>
          <t>Yes</t>
        </is>
      </c>
      <c r="W688" t="inlineStr">
        <is>
          <t>Available to Order</t>
        </is>
      </c>
      <c r="X688" t="inlineStr">
        <is>
          <t>Mercedes-Benz CL500 2006-00, CL55 AMG 2006-01, CL600 2006-01, CL65 AMG 2006-05, S350 2006, S430 2006-00, S500 2006-00, S55 AMG 2006-01, S600 2006-01, S65 AMG 2006</t>
        </is>
      </c>
      <c r="Y688" t="inlineStr">
        <is>
          <t>00082617784962</t>
        </is>
      </c>
      <c r="Z688" t="inlineStr">
        <is>
          <t>43-3408::98264:120274:530</t>
        </is>
      </c>
      <c r="AA688" t="inlineStr">
        <is>
          <t>Yes</t>
        </is>
      </c>
      <c r="AB688" t="inlineStr"/>
      <c r="AC688" t="inlineStr"/>
    </row>
    <row r="689">
      <c r="A689" t="inlineStr">
        <is>
          <t>688</t>
        </is>
      </c>
      <c r="B689" t="inlineStr">
        <is>
          <t>Windshield Wiper Motor</t>
        </is>
      </c>
      <c r="C689" t="inlineStr">
        <is>
          <t>43-3415</t>
        </is>
      </c>
      <c r="D689" t="inlineStr">
        <is>
          <t>Windshield Wiper Motor - 43-3415</t>
        </is>
      </c>
      <c r="E689" t="inlineStr">
        <is>
          <t>CARDONE Reman</t>
        </is>
      </c>
      <c r="F689" t="inlineStr">
        <is>
          <t>1298202242</t>
        </is>
      </c>
      <c r="G689" t="inlineStr">
        <is>
          <t>Mercedes-Benz 300SL 1990-1993
Mercedes-Benz 500SL 1990-1993
Mercedes-Benz SL320 1994-1995</t>
        </is>
      </c>
      <c r="H689" t="inlineStr">
        <is>
          <t>Mercedes-Benz 300SL 1990-1993 3L L6 2962cc
Mercedes-Benz 500SL 1990-1993 5L V8 4973cc
Mercedes-Benz SL320 1994-1995 3.2L L6 3199cc</t>
        </is>
      </c>
      <c r="I689" t="inlineStr">
        <is>
          <t>{"0": {"productDeskExternalKey": "CPCX|43-3415"}, "1": {"Package Contents": "Wiper Motor; Instruction Sheet"}, "2": {"E-Waste": "Yes"}, "3": {"Product Condition": "Remanufactured"}, "4": {"Mounting Hole Quantity": "3"}, "5": {"Terminal Type": "Bullet"}, "6": {"Mounting Type": "Direct Bolt"}, "7": {"Weight PG": "3.4000"}, "8": {"Washer Pump Included": "No"}, "9": {"Part Type": "Windshield Wiper Motor"}, "10": {"Warranty Info": "1 Year/18,000 Mile"}, "11": {"Sustainable Choice": "Yes"}, "12": {"Lifecycle Status": "Available to Order"}, "13": {"Application Summary": "Mercedes-Benz 300SL 1993-90, 500SL 1993-90, SL320 1995-94"}, "14": {"ItemLevelGTIN": "00082617811118"}, "15": {"_addonCardone": "43-3415::98264:120293:530"}, "16": {"Eligible for R&amp;R Service": "Yes"}}</t>
        </is>
      </c>
      <c r="J689" t="inlineStr">
        <is>
          <t>https://www.cardone.com/product/windshield-wiper-motor-43-3415</t>
        </is>
      </c>
      <c r="K689">
        <f>DISPIMG("ID_AE70D36C766B44C0AA6CF7A93E052C97",1)</f>
        <v/>
      </c>
      <c r="L689" t="inlineStr">
        <is>
          <t>CPCX|43-3415</t>
        </is>
      </c>
      <c r="M689" t="inlineStr">
        <is>
          <t>Wiper Motor; Instruction Sheet</t>
        </is>
      </c>
      <c r="N689" t="inlineStr">
        <is>
          <t>Yes</t>
        </is>
      </c>
      <c r="O689" t="inlineStr">
        <is>
          <t>Remanufactured</t>
        </is>
      </c>
      <c r="P689" t="inlineStr">
        <is>
          <t>3</t>
        </is>
      </c>
      <c r="Q689" t="inlineStr">
        <is>
          <t>Bullet</t>
        </is>
      </c>
      <c r="R689" t="inlineStr">
        <is>
          <t>Direct Bolt</t>
        </is>
      </c>
      <c r="S689" t="inlineStr">
        <is>
          <t>3.4000</t>
        </is>
      </c>
      <c r="T689" t="inlineStr">
        <is>
          <t>No</t>
        </is>
      </c>
      <c r="U689" t="inlineStr">
        <is>
          <t>1 Year/18,000 Mile</t>
        </is>
      </c>
      <c r="V689" t="inlineStr">
        <is>
          <t>Yes</t>
        </is>
      </c>
      <c r="W689" t="inlineStr">
        <is>
          <t>Available to Order</t>
        </is>
      </c>
      <c r="X689" t="inlineStr">
        <is>
          <t>Mercedes-Benz 300SL 1993-90, 500SL 1993-90, SL320 1995-94</t>
        </is>
      </c>
      <c r="Y689" t="inlineStr">
        <is>
          <t>00082617811118</t>
        </is>
      </c>
      <c r="Z689" t="inlineStr">
        <is>
          <t>43-3415::98264:120293:530</t>
        </is>
      </c>
      <c r="AA689" t="inlineStr">
        <is>
          <t>Yes</t>
        </is>
      </c>
      <c r="AB689" t="inlineStr"/>
      <c r="AC689" t="inlineStr"/>
    </row>
    <row r="690">
      <c r="A690" t="inlineStr">
        <is>
          <t>689</t>
        </is>
      </c>
      <c r="B690" t="inlineStr">
        <is>
          <t>Windshield Wiper Motor</t>
        </is>
      </c>
      <c r="C690" t="inlineStr">
        <is>
          <t>43-3416</t>
        </is>
      </c>
      <c r="D690" t="inlineStr">
        <is>
          <t>Windshield Wiper Motor - 43-3416</t>
        </is>
      </c>
      <c r="E690" t="inlineStr">
        <is>
          <t>CARDONE Reman</t>
        </is>
      </c>
      <c r="F690" t="inlineStr">
        <is>
          <t>1428200008;1408200008</t>
        </is>
      </c>
      <c r="G690" t="inlineStr">
        <is>
          <t>Mercedes-Benz 300SE 1992-1993
Mercedes-Benz 400SEL 1993
Mercedes-Benz 500SEL 1992-1993
Mercedes-Benz 600SEL 1992
Mercedes-Benz S320 1994-1999
Mercedes-Benz S350 1995
Mercedes-Benz S420 1994-1999
Mercedes-Benz S500 1994-1999
Mercedes-Benz S600 1994-1999</t>
        </is>
      </c>
      <c r="H690" t="inlineStr">
        <is>
          <t>Mercedes-Benz 300SE 1992-1993 3.2L L6 3199cc
Mercedes-Benz 400SEL 1993 4.2L V8 4196cc
Mercedes-Benz 500SEL 1992-1993 5L V8 4973cc
Mercedes-Benz 600SEL 1992 6L V12 5987cc
Mercedes-Benz S320 1994-1999 3.2L L6 3199cc
Mercedes-Benz S350 1995 3.4L L6 3449cc
Mercedes-Benz S420 1994-1999 4.2L V8 4196cc
Mercedes-Benz S500 1994-1999 5L V8 4973cc
Mercedes-Benz S500 1996-1998 5L V8 303cid
Mercedes-Benz S500 1999 5L V8 4966cc
Mercedes-Benz S600 1994-1999 6L V12 5987cc</t>
        </is>
      </c>
      <c r="I690" t="inlineStr">
        <is>
          <t>{"0": {"productDeskExternalKey": "CPCX|43-3416"}, "1": {"Package Contents": "Wiper Motor; Instruction Sheet"}, "2": {"E-Waste": "Yes"}, "3": {"Product Condition": "Remanufactured"}, "4": {"Mounting Hole Quantity": "3"}, "5": {"Terminal Type": "Blade"}, "6": {"Mounting Type": "Direct Bolt"}, "7": {"Weight PG": "5.6000"}, "8": {"Washer Pump Included": "No"}, "9": {"Part Type": "Windshield Wiper Motor"}, "10": {"Warranty Info": "1 Year/18,000 Mile"}, "11": {"Sustainable Choice": "Yes"}, "12": {"Lifecycle Status": "Available to Order"}, "13": {"Application Summary": "Mercedes-Benz 300SE 1993-92, 400SEL 1993, 500SEL 1993-92, 600SEL 1992, CL500 1999-98, S320 1999-94, S350 1995, S420 1999-94, S500 1999-94, S600 1999-94"}, "14": {"ItemLevelGTIN": "00082617811125"}, "15": {"_addonCardone": "43-3416::98264:120319:530"}, "16": {"Eligible for R&amp;R Service": "Yes"}}</t>
        </is>
      </c>
      <c r="J690" t="inlineStr">
        <is>
          <t>https://www.cardone.com/product/windshield-wiper-motor-43-3416</t>
        </is>
      </c>
      <c r="K690">
        <f>DISPIMG("ID_B6B82768D18045E0B817BFC02CC5156A",1)</f>
        <v/>
      </c>
      <c r="L690" t="inlineStr">
        <is>
          <t>CPCX|43-3416</t>
        </is>
      </c>
      <c r="M690" t="inlineStr">
        <is>
          <t>Wiper Motor; Instruction Sheet</t>
        </is>
      </c>
      <c r="N690" t="inlineStr">
        <is>
          <t>Yes</t>
        </is>
      </c>
      <c r="O690" t="inlineStr">
        <is>
          <t>Remanufactured</t>
        </is>
      </c>
      <c r="P690" t="inlineStr">
        <is>
          <t>3</t>
        </is>
      </c>
      <c r="Q690" t="inlineStr">
        <is>
          <t>Blade</t>
        </is>
      </c>
      <c r="R690" t="inlineStr">
        <is>
          <t>Direct Bolt</t>
        </is>
      </c>
      <c r="S690" t="inlineStr">
        <is>
          <t>5.6000</t>
        </is>
      </c>
      <c r="T690" t="inlineStr">
        <is>
          <t>No</t>
        </is>
      </c>
      <c r="U690" t="inlineStr">
        <is>
          <t>1 Year/18,000 Mile</t>
        </is>
      </c>
      <c r="V690" t="inlineStr">
        <is>
          <t>Yes</t>
        </is>
      </c>
      <c r="W690" t="inlineStr">
        <is>
          <t>Available to Order</t>
        </is>
      </c>
      <c r="X690" t="inlineStr">
        <is>
          <t>Mercedes-Benz 300SE 1993-92, 400SEL 1993, 500SEL 1993-92, 600SEL 1992, CL500 1999-98, S320 1999-94, S350 1995, S420 1999-94, S500 1999-94, S600 1999-94</t>
        </is>
      </c>
      <c r="Y690" t="inlineStr">
        <is>
          <t>00082617811125</t>
        </is>
      </c>
      <c r="Z690" t="inlineStr">
        <is>
          <t>43-3416::98264:120319:530</t>
        </is>
      </c>
      <c r="AA690" t="inlineStr">
        <is>
          <t>Yes</t>
        </is>
      </c>
      <c r="AB690" t="inlineStr"/>
      <c r="AC690" t="inlineStr"/>
    </row>
    <row r="691">
      <c r="A691" t="inlineStr">
        <is>
          <t>690</t>
        </is>
      </c>
      <c r="B691" t="inlineStr">
        <is>
          <t>Windshield Wiper Motor</t>
        </is>
      </c>
      <c r="C691" t="inlineStr">
        <is>
          <t>43-3417</t>
        </is>
      </c>
      <c r="D691" t="inlineStr">
        <is>
          <t>Windshield Wiper Motor - 43-3417</t>
        </is>
      </c>
      <c r="E691" t="inlineStr">
        <is>
          <t>CARDONE Reman</t>
        </is>
      </c>
      <c r="F691" t="inlineStr">
        <is>
          <t>2118204842;2198200140</t>
        </is>
      </c>
      <c r="G691" t="inlineStr">
        <is>
          <t>Mercedes-Benz E350 2008-2009</t>
        </is>
      </c>
      <c r="H691" t="inlineStr">
        <is>
          <t>Mercedes-Benz E350 2008-2009 3.5L V6 3498cc</t>
        </is>
      </c>
      <c r="I691" t="inlineStr">
        <is>
          <t>{"0": {"productDeskExternalKey": "CPCX|43-3417"}, "1": {"E-Waste": "Yes"}, "2": {"Product Condition": "Remanufactured"}, "3": {"Weight PG": "3.4500"}, "4": {"Part Type": "Windshield Wiper Motor"}, "5": {"Warranty Info": "1 Year/18,000 Mile"}, "6": {"Sustainable Choice": "Yes"}, "7": {"Lifecycle Status": "Available to Order"}, "8": {"Application Summary": "Mercedes-Benz CLS550 2011-07, CLS63 AMG 2011-07, E350 2009-08"}, "9": {"ItemLevelGTIN": "00082617817172"}, "10": {"_addonCardone": "43-3417::98264:120338:530"}, "11": {"Eligible for R&amp;R Service": "Yes"}}</t>
        </is>
      </c>
      <c r="J691" t="inlineStr">
        <is>
          <t>https://www.cardone.com/product/windshield-wiper-motor-43-3417</t>
        </is>
      </c>
      <c r="K691">
        <f>DISPIMG("ID_49909E8A800846B58C6B2D40CED23652",1)</f>
        <v/>
      </c>
      <c r="L691" t="inlineStr">
        <is>
          <t>CPCX|43-3417</t>
        </is>
      </c>
      <c r="M691" t="inlineStr"/>
      <c r="N691" t="inlineStr">
        <is>
          <t>Yes</t>
        </is>
      </c>
      <c r="O691" t="inlineStr">
        <is>
          <t>Remanufactured</t>
        </is>
      </c>
      <c r="P691" t="inlineStr"/>
      <c r="Q691" t="inlineStr"/>
      <c r="R691" t="inlineStr"/>
      <c r="S691" t="inlineStr">
        <is>
          <t>3.4500</t>
        </is>
      </c>
      <c r="T691" t="inlineStr"/>
      <c r="U691" t="inlineStr">
        <is>
          <t>1 Year/18,000 Mile</t>
        </is>
      </c>
      <c r="V691" t="inlineStr">
        <is>
          <t>Yes</t>
        </is>
      </c>
      <c r="W691" t="inlineStr">
        <is>
          <t>Available to Order</t>
        </is>
      </c>
      <c r="X691" t="inlineStr">
        <is>
          <t>Mercedes-Benz CLS550 2011-07, CLS63 AMG 2011-07, E350 2009-08</t>
        </is>
      </c>
      <c r="Y691" t="inlineStr">
        <is>
          <t>00082617817172</t>
        </is>
      </c>
      <c r="Z691" t="inlineStr">
        <is>
          <t>43-3417::98264:120338:530</t>
        </is>
      </c>
      <c r="AA691" t="inlineStr">
        <is>
          <t>Yes</t>
        </is>
      </c>
      <c r="AB691" t="inlineStr"/>
      <c r="AC691" t="inlineStr"/>
    </row>
    <row r="692">
      <c r="A692" t="inlineStr">
        <is>
          <t>691</t>
        </is>
      </c>
      <c r="B692" t="inlineStr">
        <is>
          <t>Windshield Wiper Motor</t>
        </is>
      </c>
      <c r="C692" t="inlineStr">
        <is>
          <t>43-3418</t>
        </is>
      </c>
      <c r="D692" t="inlineStr">
        <is>
          <t>Windshield Wiper Motor - 43-3418</t>
        </is>
      </c>
      <c r="E692" t="inlineStr">
        <is>
          <t>CARDONE Reman</t>
        </is>
      </c>
      <c r="F692" t="inlineStr">
        <is>
          <t>2218201842</t>
        </is>
      </c>
      <c r="G692" t="inlineStr">
        <is>
          <t>Mercedes-Benz S550 2007
Mercedes-Benz S600 2007
Mercedes-Benz S65 AMG 2007</t>
        </is>
      </c>
      <c r="H692" t="inlineStr">
        <is>
          <t>Mercedes-Benz S550 2007 5.5L V8 333cid
Mercedes-Benz S600 2007 5.5L V12 336cid
Mercedes-Benz S65 AMG 2007 6L V12 365cid</t>
        </is>
      </c>
      <c r="I692" t="inlineStr">
        <is>
          <t>{"0": {"productDeskExternalKey": "CPCX|43-3418"}, "1": {"E-Waste": "Yes"}, "2": {"Product Condition": "Remanufactured"}, "3": {"Weight PG": "2.7500"}, "4": {"Part Type": "Windshield Wiper Motor"}, "5": {"Warranty Info": "1 Year/18,000 Mile"}, "6": {"Sustainable Choice": "Yes"}, "7": {"Lifecycle Status": "Available to Order"}, "8": {"Application Summary": "Mercedes-Benz S550 2007, S600 2007, S65 AMG 2007"}, "9": {"ItemLevelGTIN": "00082617817189"}, "10": {"_addonCardone": "43-3418::98264:120358:530"}, "11": {"Eligible for R&amp;R Service": "Yes"}}</t>
        </is>
      </c>
      <c r="J692" t="inlineStr">
        <is>
          <t>https://www.cardone.com/product/windshield-wiper-motor-43-3418</t>
        </is>
      </c>
      <c r="K692">
        <f>DISPIMG("ID_72E41098E6F145F78E2CB6192CB96CDB",1)</f>
        <v/>
      </c>
      <c r="L692" t="inlineStr">
        <is>
          <t>CPCX|43-3418</t>
        </is>
      </c>
      <c r="M692" t="inlineStr"/>
      <c r="N692" t="inlineStr">
        <is>
          <t>Yes</t>
        </is>
      </c>
      <c r="O692" t="inlineStr">
        <is>
          <t>Remanufactured</t>
        </is>
      </c>
      <c r="P692" t="inlineStr"/>
      <c r="Q692" t="inlineStr"/>
      <c r="R692" t="inlineStr"/>
      <c r="S692" t="inlineStr">
        <is>
          <t>2.7500</t>
        </is>
      </c>
      <c r="T692" t="inlineStr"/>
      <c r="U692" t="inlineStr">
        <is>
          <t>1 Year/18,000 Mile</t>
        </is>
      </c>
      <c r="V692" t="inlineStr">
        <is>
          <t>Yes</t>
        </is>
      </c>
      <c r="W692" t="inlineStr">
        <is>
          <t>Available to Order</t>
        </is>
      </c>
      <c r="X692" t="inlineStr">
        <is>
          <t>Mercedes-Benz S550 2007, S600 2007, S65 AMG 2007</t>
        </is>
      </c>
      <c r="Y692" t="inlineStr">
        <is>
          <t>00082617817189</t>
        </is>
      </c>
      <c r="Z692" t="inlineStr">
        <is>
          <t>43-3418::98264:120358:530</t>
        </is>
      </c>
      <c r="AA692" t="inlineStr">
        <is>
          <t>Yes</t>
        </is>
      </c>
      <c r="AB692" t="inlineStr"/>
      <c r="AC692" t="inlineStr"/>
    </row>
    <row r="693">
      <c r="A693" t="inlineStr">
        <is>
          <t>692</t>
        </is>
      </c>
      <c r="B693" t="inlineStr">
        <is>
          <t>Windshield Wiper Motor</t>
        </is>
      </c>
      <c r="C693" t="inlineStr">
        <is>
          <t>43-3422</t>
        </is>
      </c>
      <c r="D693" t="inlineStr">
        <is>
          <t>Windshield Wiper Motor - 43-3422</t>
        </is>
      </c>
      <c r="E693" t="inlineStr">
        <is>
          <t>CARDONE Reman</t>
        </is>
      </c>
      <c r="F693" t="inlineStr">
        <is>
          <t>1718200342</t>
        </is>
      </c>
      <c r="G693" t="inlineStr">
        <is>
          <t>Mercedes-Benz SLK280 2006-2007</t>
        </is>
      </c>
      <c r="H693" t="inlineStr">
        <is>
          <t>Mercedes-Benz SLK280 2006-2007 3L V6 2996cc</t>
        </is>
      </c>
      <c r="I693" t="inlineStr">
        <is>
          <t>{"0": {"productDeskExternalKey": "CPCX|43-3422"}, "1": {"E-Waste": "Yes"}, "2": {"Product Condition": "Remanufactured"}, "3": {"Weight PG": "2.7500"}, "4": {"Part Type": "Windshield Wiper Motor"}, "5": {"Warranty Info": "1 Year/18,000 Mile"}, "6": {"Sustainable Choice": "Yes"}, "7": {"Lifecycle Status": "Available to Order"}, "8": {"Application Summary": "Mercedes-Benz SLK280 2007-06, SLK350 2007-05, SLK55 AMG 2007-05"}, "9": {"ItemLevelGTIN": "00082617817561"}, "10": {"_addonCardone": "43-3422::98264:120374:530"}, "11": {"Eligible for R&amp;R Service": "Yes"}}</t>
        </is>
      </c>
      <c r="J693" t="inlineStr">
        <is>
          <t>https://www.cardone.com/product/windshield-wiper-motor-43-3422</t>
        </is>
      </c>
      <c r="K693">
        <f>DISPIMG("ID_E03A5FD2FE6A4CC4B786E065B7ED85FD",1)</f>
        <v/>
      </c>
      <c r="L693" t="inlineStr">
        <is>
          <t>CPCX|43-3422</t>
        </is>
      </c>
      <c r="M693" t="inlineStr"/>
      <c r="N693" t="inlineStr">
        <is>
          <t>Yes</t>
        </is>
      </c>
      <c r="O693" t="inlineStr">
        <is>
          <t>Remanufactured</t>
        </is>
      </c>
      <c r="P693" t="inlineStr"/>
      <c r="Q693" t="inlineStr"/>
      <c r="R693" t="inlineStr"/>
      <c r="S693" t="inlineStr">
        <is>
          <t>2.7500</t>
        </is>
      </c>
      <c r="T693" t="inlineStr"/>
      <c r="U693" t="inlineStr">
        <is>
          <t>1 Year/18,000 Mile</t>
        </is>
      </c>
      <c r="V693" t="inlineStr">
        <is>
          <t>Yes</t>
        </is>
      </c>
      <c r="W693" t="inlineStr">
        <is>
          <t>Available to Order</t>
        </is>
      </c>
      <c r="X693" t="inlineStr">
        <is>
          <t>Mercedes-Benz SLK280 2007-06, SLK350 2007-05, SLK55 AMG 2007-05</t>
        </is>
      </c>
      <c r="Y693" t="inlineStr">
        <is>
          <t>00082617817561</t>
        </is>
      </c>
      <c r="Z693" t="inlineStr">
        <is>
          <t>43-3422::98264:120374:530</t>
        </is>
      </c>
      <c r="AA693" t="inlineStr">
        <is>
          <t>Yes</t>
        </is>
      </c>
      <c r="AB693" t="inlineStr"/>
      <c r="AC693" t="inlineStr"/>
    </row>
    <row r="694">
      <c r="A694" t="inlineStr">
        <is>
          <t>693</t>
        </is>
      </c>
      <c r="B694" t="inlineStr">
        <is>
          <t>Windshield Wiper Motor</t>
        </is>
      </c>
      <c r="C694" t="inlineStr">
        <is>
          <t>43-3423</t>
        </is>
      </c>
      <c r="D694" t="inlineStr">
        <is>
          <t>Windshield Wiper Motor - 43-3423</t>
        </is>
      </c>
      <c r="E694" t="inlineStr">
        <is>
          <t>CARDONE Reman</t>
        </is>
      </c>
      <c r="F694" t="inlineStr">
        <is>
          <t>2038205342</t>
        </is>
      </c>
      <c r="G694" t="inlineStr">
        <is>
          <t>Mercedes-Benz C240 2003-2005</t>
        </is>
      </c>
      <c r="H694" t="inlineStr">
        <is>
          <t>Mercedes-Benz C240 2003-2005 2.6L V6 2597cc</t>
        </is>
      </c>
      <c r="I694" t="inlineStr">
        <is>
          <t>{"0": {"productDeskExternalKey": "CPCX|43-3423"}, "1": {"Package Contents": "Wiper Motor; Instruction Sheet"}, "2": {"E-Waste": "Yes"}, "3": {"Product Condition": "Remanufactured"}, "4": {"Mounting Hole Quantity": "3"}, "5": {"Terminal Type": "Blade"}, "6": {"Mounting Type": "Eyelet; Grommet"}, "7": {"Weight PG": "2.2000"}, "8": {"Washer Pump Included": "No"}, "9": {"Part Type": "Windshield Wiper Motor"}, "10": {"Warranty Info": "1 Year/18,000 Mile"}, "11": {"Sustainable Choice": "Yes"}, "12": {"Lifecycle Status": "Available to Order"}, "13": {"Application Summary": "Mercedes-Benz C240 2005-03, C320 2004-02"}, "14": {"ItemLevelGTIN": "00082617817639"}, "15": {"_addonCardone": "43-3423::98264:120393:530"}, "16": {"Eligible for R&amp;R Service": "Yes"}}</t>
        </is>
      </c>
      <c r="J694" t="inlineStr">
        <is>
          <t>https://www.cardone.com/product/windshield-wiper-motor-43-3423</t>
        </is>
      </c>
      <c r="K694">
        <f>DISPIMG("ID_67136B04BCAD4987B20EF8B05D44F5EB",1)</f>
        <v/>
      </c>
      <c r="L694" t="inlineStr">
        <is>
          <t>CPCX|43-3423</t>
        </is>
      </c>
      <c r="M694" t="inlineStr">
        <is>
          <t>Wiper Motor; Instruction Sheet</t>
        </is>
      </c>
      <c r="N694" t="inlineStr">
        <is>
          <t>Yes</t>
        </is>
      </c>
      <c r="O694" t="inlineStr">
        <is>
          <t>Remanufactured</t>
        </is>
      </c>
      <c r="P694" t="inlineStr">
        <is>
          <t>3</t>
        </is>
      </c>
      <c r="Q694" t="inlineStr">
        <is>
          <t>Blade</t>
        </is>
      </c>
      <c r="R694" t="inlineStr">
        <is>
          <t>Eyelet; Grommet</t>
        </is>
      </c>
      <c r="S694" t="inlineStr">
        <is>
          <t>2.2000</t>
        </is>
      </c>
      <c r="T694" t="inlineStr">
        <is>
          <t>No</t>
        </is>
      </c>
      <c r="U694" t="inlineStr">
        <is>
          <t>1 Year/18,000 Mile</t>
        </is>
      </c>
      <c r="V694" t="inlineStr">
        <is>
          <t>Yes</t>
        </is>
      </c>
      <c r="W694" t="inlineStr">
        <is>
          <t>Available to Order</t>
        </is>
      </c>
      <c r="X694" t="inlineStr">
        <is>
          <t>Mercedes-Benz C240 2005-03, C320 2004-02</t>
        </is>
      </c>
      <c r="Y694" t="inlineStr">
        <is>
          <t>00082617817639</t>
        </is>
      </c>
      <c r="Z694" t="inlineStr">
        <is>
          <t>43-3423::98264:120393:530</t>
        </is>
      </c>
      <c r="AA694" t="inlineStr">
        <is>
          <t>Yes</t>
        </is>
      </c>
      <c r="AB694" t="inlineStr"/>
      <c r="AC694" t="inlineStr"/>
    </row>
    <row r="695">
      <c r="A695" t="inlineStr">
        <is>
          <t>694</t>
        </is>
      </c>
      <c r="B695" t="inlineStr">
        <is>
          <t>Windshield Wiper Motor</t>
        </is>
      </c>
      <c r="C695" t="inlineStr">
        <is>
          <t>43-3425</t>
        </is>
      </c>
      <c r="D695" t="inlineStr">
        <is>
          <t>Windshield Wiper Motor - 43-3425</t>
        </is>
      </c>
      <c r="E695" t="inlineStr">
        <is>
          <t>CARDONE Reman</t>
        </is>
      </c>
      <c r="F695" t="inlineStr">
        <is>
          <t>2308200042</t>
        </is>
      </c>
      <c r="G695" t="inlineStr">
        <is>
          <t>Mercedes-Benz SL500 2005-2006
Mercedes-Benz SL55 AMG 2005-2008
Mercedes-Benz SL550 2009-2012
Mercedes-Benz SL600 2005-2009
Mercedes-Benz SL63 AMG 2009-2012
Mercedes-Benz SL65 AMG 2005-2011</t>
        </is>
      </c>
      <c r="H695" t="inlineStr">
        <is>
          <t>Mercedes-Benz SL500 2005-2006 5L V8 4966cc
Mercedes-Benz SL55 AMG 2005-2006 5.4L V8 332cid
Mercedes-Benz SL55 AMG 2005-2008 5.5L V8 332cid
Mercedes-Benz SL55 AMG 2008 5.5L V12 336cid
Mercedes-Benz SL55 AMG 2008 6L V12 365cid
Mercedes-Benz SL550 2009-2012 5.5L V8 333cid
Mercedes-Benz SL600 2005-2009 5.5L V12 336cid
Mercedes-Benz SL63 AMG 2009-2012 6.3L V8 6208cc
Mercedes-Benz SL63 AMG 2011-2012 6L V12 365cid
Mercedes-Benz SL65 AMG 2005-2011 6L V12 365cid</t>
        </is>
      </c>
      <c r="I695" t="inlineStr">
        <is>
          <t>{"0": {"productDeskExternalKey": "CPCX|43-3425"}, "1": {"E-Waste": "Yes"}, "2": {"Product Condition": "Remanufactured"}, "3": {"Weight PG": "2.7500"}, "4": {"Part Type": "Windshield Wiper Motor"}, "5": {"Warranty Info": "1 Year/18,000 Mile"}, "6": {"Sustainable Choice": "Yes"}, "7": {"Lifecycle Status": "Available to Order"}, "8": {"Application Summary": "Mercedes-Benz SL500 2006-05, SL55 AMG 2008 2006-05, SL550 2012-11 2009, SL600 2009 2006-05, SL63 AMG 2012-11 2009, SL65 AMG 2011 2009-08 2006-05"}, "9": {"ItemLevelGTIN": "00082617820752"}, "10": {"_addonCardone": "43-3425::98264:120410:530"}, "11": {"Eligible for R&amp;R Service": "Yes"}}</t>
        </is>
      </c>
      <c r="J695" t="inlineStr">
        <is>
          <t>https://www.cardone.com/product/windshield-wiper-motor-43-3425</t>
        </is>
      </c>
      <c r="K695">
        <f>DISPIMG("ID_127DE7F8B5904D9E985322D132B49500",1)</f>
        <v/>
      </c>
      <c r="L695" t="inlineStr">
        <is>
          <t>CPCX|43-3425</t>
        </is>
      </c>
      <c r="M695" t="inlineStr"/>
      <c r="N695" t="inlineStr">
        <is>
          <t>Yes</t>
        </is>
      </c>
      <c r="O695" t="inlineStr">
        <is>
          <t>Remanufactured</t>
        </is>
      </c>
      <c r="P695" t="inlineStr"/>
      <c r="Q695" t="inlineStr"/>
      <c r="R695" t="inlineStr"/>
      <c r="S695" t="inlineStr">
        <is>
          <t>2.7500</t>
        </is>
      </c>
      <c r="T695" t="inlineStr"/>
      <c r="U695" t="inlineStr">
        <is>
          <t>1 Year/18,000 Mile</t>
        </is>
      </c>
      <c r="V695" t="inlineStr">
        <is>
          <t>Yes</t>
        </is>
      </c>
      <c r="W695" t="inlineStr">
        <is>
          <t>Available to Order</t>
        </is>
      </c>
      <c r="X695" t="inlineStr">
        <is>
          <t>Mercedes-Benz SL500 2006-05, SL55 AMG 2008 2006-05, SL550 2012-11 2009, SL600 2009 2006-05, SL63 AMG 2012-11 2009, SL65 AMG 2011 2009-08 2006-05</t>
        </is>
      </c>
      <c r="Y695" t="inlineStr">
        <is>
          <t>00082617820752</t>
        </is>
      </c>
      <c r="Z695" t="inlineStr">
        <is>
          <t>43-3425::98264:120410:530</t>
        </is>
      </c>
      <c r="AA695" t="inlineStr">
        <is>
          <t>Yes</t>
        </is>
      </c>
      <c r="AB695" t="inlineStr"/>
      <c r="AC695" t="inlineStr"/>
    </row>
    <row r="696">
      <c r="A696" t="inlineStr">
        <is>
          <t>695</t>
        </is>
      </c>
      <c r="B696" t="inlineStr">
        <is>
          <t>Windshield Wiper Motor</t>
        </is>
      </c>
      <c r="C696" t="inlineStr">
        <is>
          <t>43-3426</t>
        </is>
      </c>
      <c r="D696" t="inlineStr">
        <is>
          <t>Windshield Wiper Motor - 43-3426</t>
        </is>
      </c>
      <c r="E696" t="inlineStr">
        <is>
          <t>CARDONE Reman</t>
        </is>
      </c>
      <c r="F696" t="inlineStr">
        <is>
          <t>1648201742;1648202442</t>
        </is>
      </c>
      <c r="G696" t="inlineStr">
        <is>
          <t>Mercedes-Benz GL320 2007-2009
Mercedes-Benz GL350 2010-2012
Mercedes-Benz GL450 2007-2012
Mercedes-Benz GL550 2008-2012
Mercedes-Benz ML320 2007-2009
Mercedes-Benz ML350 2006-2011
Mercedes-Benz ML450 2010-2011
Mercedes-Benz ML500 2006-2007
Mercedes-Benz ML550 2008-2011
Mercedes-Benz ML63 AMG 2007-2011</t>
        </is>
      </c>
      <c r="H696" t="inlineStr">
        <is>
          <t>Mercedes-Benz GL320 2007-2009 3L V6 2987cc
Mercedes-Benz GL350 2010-2012 3L V6 2987cc
Mercedes-Benz GL450 2007-2012 4.7L V8 285cid
Mercedes-Benz GL550 2008-2012 5.5L V8 333cid
Mercedes-Benz ML320 2007-2009 3L V6 2987cc
Mercedes-Benz ML350 2006-2011 3.5L V6 3498cc
Mercedes-Benz ML350 2010-2011 3L V6 2987cc
Mercedes-Benz ML350 2010-2011 5.5L V8 333cid
Mercedes-Benz ML450 2010-2011 3.5L V6 3498cc
Mercedes-Benz ML500 2006 5L V8 4966cc
Mercedes-Benz ML500 2006-2007 5L V8 303cid
Mercedes-Benz ML500 2007 5L V8 4973cc
Mercedes-Benz ML550 2008-2011 5.5L V8 333cid
Mercedes-Benz ML63 AMG 2007-2011 6.3L V8 6208cc</t>
        </is>
      </c>
      <c r="I696" t="inlineStr">
        <is>
          <t>{"0": {"productDeskExternalKey": "CPCX|43-3426"}, "1": {"Package Contents": "Wiper Motor; Instruction Sheet"}, "2": {"E-Waste": "Yes"}, "3": {"Product Condition": "Remanufactured"}, "4": {"Mounting Hole Quantity": "3"}, "5": {"Terminal Type": "Blade"}, "6": {"Mounting Type": "Direct Bolt"}, "7": {"Weight PG": "3.4500"}, "8": {"Washer Pump Included": "No"}, "9": {"Part Type": "Windshield Wiper Motor"}, "10": {"Warranty Info": "1 Year/18,000 Mile"}, "11": {"Sustainable Choice": "Yes"}, "12": {"Lifecycle Status": "Available to Order"}, "13": {"Application Summary": "Mercedes-Benz GL320 2009-07, GL350 2012-10, GL450 2012-07, GL550 2012-08, ML320 2009-07, ML350 2011-06, ML450 2011-10, ML500 2007-06, ML550 2011-08, ML63 AMG 2011-07"}, "14": {"ItemLevelGTIN": "00082617823500"}, "15": {"_addonCardone": "43-3426::98264:120434:530"}, "16": {"Eligible for R&amp;R Service": "Yes"}}</t>
        </is>
      </c>
      <c r="J696" t="inlineStr">
        <is>
          <t>https://www.cardone.com/product/windshield-wiper-motor-43-3426</t>
        </is>
      </c>
      <c r="K696">
        <f>DISPIMG("ID_AC966222FFC74D7996E738383C41454B",1)</f>
        <v/>
      </c>
      <c r="L696" t="inlineStr">
        <is>
          <t>CPCX|43-3426</t>
        </is>
      </c>
      <c r="M696" t="inlineStr">
        <is>
          <t>Wiper Motor; Instruction Sheet</t>
        </is>
      </c>
      <c r="N696" t="inlineStr">
        <is>
          <t>Yes</t>
        </is>
      </c>
      <c r="O696" t="inlineStr">
        <is>
          <t>Remanufactured</t>
        </is>
      </c>
      <c r="P696" t="inlineStr">
        <is>
          <t>3</t>
        </is>
      </c>
      <c r="Q696" t="inlineStr">
        <is>
          <t>Blade</t>
        </is>
      </c>
      <c r="R696" t="inlineStr">
        <is>
          <t>Direct Bolt</t>
        </is>
      </c>
      <c r="S696" t="inlineStr">
        <is>
          <t>3.4500</t>
        </is>
      </c>
      <c r="T696" t="inlineStr">
        <is>
          <t>No</t>
        </is>
      </c>
      <c r="U696" t="inlineStr">
        <is>
          <t>1 Year/18,000 Mile</t>
        </is>
      </c>
      <c r="V696" t="inlineStr">
        <is>
          <t>Yes</t>
        </is>
      </c>
      <c r="W696" t="inlineStr">
        <is>
          <t>Available to Order</t>
        </is>
      </c>
      <c r="X696" t="inlineStr">
        <is>
          <t>Mercedes-Benz GL320 2009-07, GL350 2012-10, GL450 2012-07, GL550 2012-08, ML320 2009-07, ML350 2011-06, ML450 2011-10, ML500 2007-06, ML550 2011-08, ML63 AMG 2011-07</t>
        </is>
      </c>
      <c r="Y696" t="inlineStr">
        <is>
          <t>00082617823500</t>
        </is>
      </c>
      <c r="Z696" t="inlineStr">
        <is>
          <t>43-3426::98264:120434:530</t>
        </is>
      </c>
      <c r="AA696" t="inlineStr">
        <is>
          <t>Yes</t>
        </is>
      </c>
      <c r="AB696" t="inlineStr"/>
      <c r="AC696" t="inlineStr"/>
    </row>
    <row r="697">
      <c r="A697" t="inlineStr">
        <is>
          <t>696</t>
        </is>
      </c>
      <c r="B697" t="inlineStr">
        <is>
          <t>Windshield Wiper Motor</t>
        </is>
      </c>
      <c r="C697" t="inlineStr">
        <is>
          <t>43-3427</t>
        </is>
      </c>
      <c r="D697" t="inlineStr">
        <is>
          <t>Windshield Wiper Motor - 43-3427</t>
        </is>
      </c>
      <c r="E697" t="inlineStr">
        <is>
          <t>CARDONE Reman</t>
        </is>
      </c>
      <c r="F697" t="inlineStr">
        <is>
          <t>2518201442</t>
        </is>
      </c>
      <c r="G697" t="inlineStr">
        <is>
          <t>Mercedes-Benz R320 2007
Mercedes-Benz R350 2006-2007
Mercedes-Benz R500 2006-2007
Mercedes-Benz R63 AMG 2007</t>
        </is>
      </c>
      <c r="H697" t="inlineStr">
        <is>
          <t>Mercedes-Benz R320 2007 3L V6 2987cc
Mercedes-Benz R350 2006-2007 3.5L V6 3498cc
Mercedes-Benz R500 2006-2007 5L V8 4966cc
Mercedes-Benz R500 2007 5L V8 4973cc
Mercedes-Benz R63 AMG 2007 6.3L V8 6208cc</t>
        </is>
      </c>
      <c r="I697" t="inlineStr">
        <is>
          <t>{"0": {"productDeskExternalKey": "CPCX|43-3427"},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"Mercedes-Benz R320 2007, R350 2007-06, R500 2007-06, R63 AMG 2007"}, "14": {"ItemLevelGTIN": "00082617823517"}, "15": {"_addonCardone": "43-3427::98264:120453:530"}, "16": {"Eligible for R&amp;R Service": "Yes"}}</t>
        </is>
      </c>
      <c r="J697" t="inlineStr">
        <is>
          <t>https://www.cardone.com/product/windshield-wiper-motor-43-3427</t>
        </is>
      </c>
      <c r="K697">
        <f>DISPIMG("ID_37949B44E97947FAA7415311CF1FD7BD",1)</f>
        <v/>
      </c>
      <c r="L697" t="inlineStr">
        <is>
          <t>CPCX|43-3427</t>
        </is>
      </c>
      <c r="M697" t="inlineStr">
        <is>
          <t>Wiper Motor; Instruction Sheet</t>
        </is>
      </c>
      <c r="N697" t="inlineStr">
        <is>
          <t>Yes</t>
        </is>
      </c>
      <c r="O697" t="inlineStr">
        <is>
          <t>Remanufactured</t>
        </is>
      </c>
      <c r="P697" t="inlineStr">
        <is>
          <t>3</t>
        </is>
      </c>
      <c r="Q697" t="inlineStr">
        <is>
          <t>Blade</t>
        </is>
      </c>
      <c r="R697" t="inlineStr">
        <is>
          <t>Direct Bolt</t>
        </is>
      </c>
      <c r="S697" t="inlineStr">
        <is>
          <t>2.7500</t>
        </is>
      </c>
      <c r="T697" t="inlineStr">
        <is>
          <t>No</t>
        </is>
      </c>
      <c r="U697" t="inlineStr">
        <is>
          <t>1 Year/18,000 Mile</t>
        </is>
      </c>
      <c r="V697" t="inlineStr">
        <is>
          <t>Yes</t>
        </is>
      </c>
      <c r="W697" t="inlineStr">
        <is>
          <t>Available to Order</t>
        </is>
      </c>
      <c r="X697" t="inlineStr">
        <is>
          <t>Mercedes-Benz R320 2007, R350 2007-06, R500 2007-06, R63 AMG 2007</t>
        </is>
      </c>
      <c r="Y697" t="inlineStr">
        <is>
          <t>00082617823517</t>
        </is>
      </c>
      <c r="Z697" t="inlineStr">
        <is>
          <t>43-3427::98264:120453:530</t>
        </is>
      </c>
      <c r="AA697" t="inlineStr">
        <is>
          <t>Yes</t>
        </is>
      </c>
      <c r="AB697" t="inlineStr"/>
      <c r="AC697" t="inlineStr"/>
    </row>
    <row r="698">
      <c r="A698" t="inlineStr">
        <is>
          <t>697</t>
        </is>
      </c>
      <c r="B698" t="inlineStr">
        <is>
          <t>Windshield Wiper Motor</t>
        </is>
      </c>
      <c r="C698" t="inlineStr">
        <is>
          <t>43-3432</t>
        </is>
      </c>
      <c r="D698" t="inlineStr">
        <is>
          <t>Windshield Wiper Motor - 43-3432</t>
        </is>
      </c>
      <c r="E698" t="inlineStr">
        <is>
          <t>CARDONE Reman</t>
        </is>
      </c>
      <c r="F698" t="inlineStr">
        <is>
          <t>2218204342</t>
        </is>
      </c>
      <c r="G698" t="inlineStr">
        <is>
          <t>Mercedes-Benz CL63 AMG 2008-2014
Mercedes-Benz CL65 AMG 2008-2014
Mercedes-Benz S350 2012-2013
Mercedes-Benz S400 2010-2013
Mercedes-Benz S550 2008-2013
Mercedes-Benz S600 2008-2013
Mercedes-Benz S63 AMG 2008-2013
Mercedes-Benz S65 AMG 2008-2015</t>
        </is>
      </c>
      <c r="H698" t="inlineStr">
        <is>
          <t>Mercedes-Benz CL63 AMG 2008-2011 6.3L V8 6208cc
Mercedes-Benz CL63 AMG 2010-2012 6L V12 365cid
Mercedes-Benz CL63 AMG 2011-2014 5.5L V8 333cid
Mercedes-Benz CL65 AMG 2008-2014 6L V12 365cid
Mercedes-Benz CL65 AMG 2009 6.2L V8 379cid
Mercedes-Benz S350 2012-2013 3.5L V6 213cid
Mercedes-Benz S350 2012-2013 3L V6 2987cc
Mercedes-Benz S400 2010-2013 3.5L V6 3498cc
Mercedes-Benz S550 2008-2011 5.5L V8 333cid
Mercedes-Benz S550 2012-2013 4.7L V8 285cid
Mercedes-Benz S600 2008-2013 5.5L V12 336cid
Mercedes-Benz S63 AMG 2008-2011 6.3L V8 6208cc
Mercedes-Benz S63 AMG 2010-2012 6L V12 365cid
Mercedes-Benz S63 AMG 2011-2013 5.5L V8 333cid
Mercedes-Benz S63 AMG 2012-2013 6.2L V8 379cid
Mercedes-Benz S65 AMG 2008-2015 6L V12 365cid</t>
        </is>
      </c>
      <c r="I698" t="inlineStr">
        <is>
          <t>{"0": {"productDeskExternalKey": "CPCX|43-3432"}, "1": {"E-Waste": "Yes"}, "2": {"Product Condition": "Remanufactured"}, "3": {"Weight PG": "2.7500"}, "4": {"Part Type": "Windshield Wiper Motor"}, "5": {"Warranty Info": "1 Year/18,000 Mile"}, "6": {"Sustainable Choice": "Yes"}, "7": {"Lifecycle Status": "Available to Order"}, "8": {"Application Summary": "Mercedes-Benz CL550 2014-08, CL600 2014-08, CL63 AMG 2014-08, CL65 AMG 2014-08, S350 2013-12, S400 2013-10, S550 2013-08, S600 2013-08, S63 AMG 2013-08, S65 AMG 2015 2013-08"}, "9": {"ItemLevelGTIN": "00082617838412"}, "10": {"_addonCardone": "43-3432::98264:120471:530"}, "11": {"Eligible for R&amp;R Service": "Yes"}}</t>
        </is>
      </c>
      <c r="J698" t="inlineStr">
        <is>
          <t>https://www.cardone.com/product/windshield-wiper-motor-43-3432</t>
        </is>
      </c>
      <c r="K698">
        <f>DISPIMG("ID_5FA349AE0951458CBC7F754D4BB22C75",1)</f>
        <v/>
      </c>
      <c r="L698" t="inlineStr">
        <is>
          <t>CPCX|43-3432</t>
        </is>
      </c>
      <c r="M698" t="inlineStr"/>
      <c r="N698" t="inlineStr">
        <is>
          <t>Yes</t>
        </is>
      </c>
      <c r="O698" t="inlineStr">
        <is>
          <t>Remanufactured</t>
        </is>
      </c>
      <c r="P698" t="inlineStr"/>
      <c r="Q698" t="inlineStr"/>
      <c r="R698" t="inlineStr"/>
      <c r="S698" t="inlineStr">
        <is>
          <t>2.7500</t>
        </is>
      </c>
      <c r="T698" t="inlineStr"/>
      <c r="U698" t="inlineStr">
        <is>
          <t>1 Year/18,000 Mile</t>
        </is>
      </c>
      <c r="V698" t="inlineStr">
        <is>
          <t>Yes</t>
        </is>
      </c>
      <c r="W698" t="inlineStr">
        <is>
          <t>Available to Order</t>
        </is>
      </c>
      <c r="X698" t="inlineStr">
        <is>
          <t>Mercedes-Benz CL550 2014-08, CL600 2014-08, CL63 AMG 2014-08, CL65 AMG 2014-08, S350 2013-12, S400 2013-10, S550 2013-08, S600 2013-08, S63 AMG 2013-08, S65 AMG 2015 2013-08</t>
        </is>
      </c>
      <c r="Y698" t="inlineStr">
        <is>
          <t>00082617838412</t>
        </is>
      </c>
      <c r="Z698" t="inlineStr">
        <is>
          <t>43-3432::98264:120471:530</t>
        </is>
      </c>
      <c r="AA698" t="inlineStr">
        <is>
          <t>Yes</t>
        </is>
      </c>
      <c r="AB698" t="inlineStr"/>
      <c r="AC698" t="inlineStr"/>
    </row>
    <row r="699">
      <c r="A699" t="inlineStr">
        <is>
          <t>698</t>
        </is>
      </c>
      <c r="B699" t="inlineStr">
        <is>
          <t>Windshield Wiper Motor</t>
        </is>
      </c>
      <c r="C699" t="inlineStr">
        <is>
          <t>43-3433</t>
        </is>
      </c>
      <c r="D699" t="inlineStr">
        <is>
          <t>Windshield Wiper Motor - 43-3433</t>
        </is>
      </c>
      <c r="E699" t="inlineStr">
        <is>
          <t>CARDONE Reman</t>
        </is>
      </c>
      <c r="F699" t="inlineStr">
        <is>
          <t>2048201040</t>
        </is>
      </c>
      <c r="G699" t="inlineStr">
        <is>
          <t>Mercedes-Benz C250 2010-2015
Mercedes-Benz E350 2010-2014
Mercedes-Benz E550 2010-2017</t>
        </is>
      </c>
      <c r="H699" t="inlineStr">
        <is>
          <t>Mercedes-Benz C250 2010-2012 2.5L V6 2496cc
Mercedes-Benz C250 2012 3.5L V6 213cid
Mercedes-Benz C250 2012-2015 1.8L L4 110cid
Mercedes-Benz C250 2012-2015 1.8L L4 1796cc
Mercedes-Benz C250 2015 2L L4 121cid
Mercedes-Benz E350 2010-2014 3.5L V6 3498cc
Mercedes-Benz E550 2010-2011 5.5L V8 333cid
Mercedes-Benz E550 2012-2017 4.7L V8 285cid</t>
        </is>
      </c>
      <c r="I699" t="inlineStr">
        <is>
          <t>{"0": {"productDeskExternalKey": "CPCX|43-3433"}, "1": {"E-Waste": "Yes"}, "2": {"Product Condition": "Remanufactured"}, "3": {"Weight PG": "3.3000"}, "4": {"Part Type": "Windshield Wiper Motor"}, "5": {"Warranty Info": "1 Year/18,000 Mile"}, "6": {"Sustainable Choice": "Yes"}, "7": {"Lifecycle Status": "Available to Order"}, "8": {"Application Summary": "Mercedes-Benz C250 2015-10, C300 2016-08, C350 2015-08, C63 AMG 2014-08, E350 2014-10, E550 2017 2014-10"}, "9": {"ItemLevelGTIN": "00082617838429"}, "10": {"_addonCardone": "43-3433::98264:120489:530"}, "11": {"Eligible for R&amp;R Service": "Yes"}}</t>
        </is>
      </c>
      <c r="J699" t="inlineStr">
        <is>
          <t>https://www.cardone.com/product/windshield-wiper-motor-43-3433</t>
        </is>
      </c>
      <c r="K699">
        <f>DISPIMG("ID_762B1573611E4BE684D7FC26B9C7CA9D",1)</f>
        <v/>
      </c>
      <c r="L699" t="inlineStr">
        <is>
          <t>CPCX|43-3433</t>
        </is>
      </c>
      <c r="M699" t="inlineStr"/>
      <c r="N699" t="inlineStr">
        <is>
          <t>Yes</t>
        </is>
      </c>
      <c r="O699" t="inlineStr">
        <is>
          <t>Remanufactured</t>
        </is>
      </c>
      <c r="P699" t="inlineStr"/>
      <c r="Q699" t="inlineStr"/>
      <c r="R699" t="inlineStr"/>
      <c r="S699" t="inlineStr">
        <is>
          <t>3.3000</t>
        </is>
      </c>
      <c r="T699" t="inlineStr"/>
      <c r="U699" t="inlineStr">
        <is>
          <t>1 Year/18,000 Mile</t>
        </is>
      </c>
      <c r="V699" t="inlineStr">
        <is>
          <t>Yes</t>
        </is>
      </c>
      <c r="W699" t="inlineStr">
        <is>
          <t>Available to Order</t>
        </is>
      </c>
      <c r="X699" t="inlineStr">
        <is>
          <t>Mercedes-Benz C250 2015-10, C300 2016-08, C350 2015-08, C63 AMG 2014-08, E350 2014-10, E550 2017 2014-10</t>
        </is>
      </c>
      <c r="Y699" t="inlineStr">
        <is>
          <t>00082617838429</t>
        </is>
      </c>
      <c r="Z699" t="inlineStr">
        <is>
          <t>43-3433::98264:120489:530</t>
        </is>
      </c>
      <c r="AA699" t="inlineStr">
        <is>
          <t>Yes</t>
        </is>
      </c>
      <c r="AB699" t="inlineStr"/>
      <c r="AC699" t="inlineStr"/>
    </row>
    <row r="700">
      <c r="A700" t="inlineStr">
        <is>
          <t>699</t>
        </is>
      </c>
      <c r="B700" t="inlineStr">
        <is>
          <t>Windshield Wiper Motor</t>
        </is>
      </c>
      <c r="C700" t="inlineStr">
        <is>
          <t>43-3436</t>
        </is>
      </c>
      <c r="D700" t="inlineStr">
        <is>
          <t>Windshield Wiper Motor - 43-3436</t>
        </is>
      </c>
      <c r="E700" t="inlineStr">
        <is>
          <t>CARDONE Reman</t>
        </is>
      </c>
      <c r="F700" t="inlineStr">
        <is>
          <t>2118200142</t>
        </is>
      </c>
      <c r="G700" t="inlineStr">
        <is>
          <t>Mercedes-Benz E350 2006-2007</t>
        </is>
      </c>
      <c r="H700" t="inlineStr">
        <is>
          <t>Mercedes-Benz E350 2006-2007 3.5L V6 3498cc</t>
        </is>
      </c>
      <c r="I700" t="inlineStr">
        <is>
          <t>{"0": {"productDeskExternalKey": "CPCX|43-3436"}, "1": {"E-Waste": "Yes"}, "2": {"Product Condition": "Remanufactured"}, "3": {"Weight PG": "3.4000"}, "4": {"Part Type": "Windshield Wiper Motor"}, "5": {"Warranty Info": "1 Year/18,000 Mile"}, "6": {"Sustainable Choice": "Yes"}, "7": {"Lifecycle Status": "Available to Order"}, "8": {"Application Summary": "Mercedes-Benz E350 2007-06"}, "9": {"ItemLevelGTIN": "00082617838573"}, "10": {"_addonCardone": "43-3436::98264:120507:530"}, "11": {"Eligible for R&amp;R Service": "Yes"}}</t>
        </is>
      </c>
      <c r="J700" t="inlineStr">
        <is>
          <t>https://www.cardone.com/product/windshield-wiper-motor-43-3436</t>
        </is>
      </c>
      <c r="K700">
        <f>DISPIMG("ID_1320897C893B4FB7970BC8ACA2D33087",1)</f>
        <v/>
      </c>
      <c r="L700" t="inlineStr">
        <is>
          <t>CPCX|43-3436</t>
        </is>
      </c>
      <c r="M700" t="inlineStr"/>
      <c r="N700" t="inlineStr">
        <is>
          <t>Yes</t>
        </is>
      </c>
      <c r="O700" t="inlineStr">
        <is>
          <t>Remanufactured</t>
        </is>
      </c>
      <c r="P700" t="inlineStr"/>
      <c r="Q700" t="inlineStr"/>
      <c r="R700" t="inlineStr"/>
      <c r="S700" t="inlineStr">
        <is>
          <t>3.4000</t>
        </is>
      </c>
      <c r="T700" t="inlineStr"/>
      <c r="U700" t="inlineStr">
        <is>
          <t>1 Year/18,000 Mile</t>
        </is>
      </c>
      <c r="V700" t="inlineStr">
        <is>
          <t>Yes</t>
        </is>
      </c>
      <c r="W700" t="inlineStr">
        <is>
          <t>Available to Order</t>
        </is>
      </c>
      <c r="X700" t="inlineStr">
        <is>
          <t>Mercedes-Benz E350 2007-06</t>
        </is>
      </c>
      <c r="Y700" t="inlineStr">
        <is>
          <t>00082617838573</t>
        </is>
      </c>
      <c r="Z700" t="inlineStr">
        <is>
          <t>43-3436::98264:120507:530</t>
        </is>
      </c>
      <c r="AA700" t="inlineStr">
        <is>
          <t>Yes</t>
        </is>
      </c>
      <c r="AB700" t="inlineStr"/>
      <c r="AC700" t="inlineStr"/>
    </row>
    <row r="701">
      <c r="A701" t="inlineStr">
        <is>
          <t>700</t>
        </is>
      </c>
      <c r="B701" t="inlineStr">
        <is>
          <t>Windshield Wiper Motor</t>
        </is>
      </c>
      <c r="C701" t="inlineStr">
        <is>
          <t>43-3437</t>
        </is>
      </c>
      <c r="D701" t="inlineStr">
        <is>
          <t>Windshield Wiper Motor - 43-3437</t>
        </is>
      </c>
      <c r="E701" t="inlineStr">
        <is>
          <t>CARDONE Reman</t>
        </is>
      </c>
      <c r="F701" t="inlineStr">
        <is>
          <t>2308200242</t>
        </is>
      </c>
      <c r="G701" t="inlineStr">
        <is>
          <t>Mercedes-Benz SL500 2003-2004
Mercedes-Benz SL55 AMG 2003-2007
Mercedes-Benz SL550 2007-2008
Mercedes-Benz SL600 2004-2008
Mercedes-Benz SL65 AMG 2007</t>
        </is>
      </c>
      <c r="H701" t="inlineStr">
        <is>
          <t>Mercedes-Benz SL500 2003-2004 5L V8 4966cc
Mercedes-Benz SL55 AMG 2003-2007 5.4L V8 332cid
Mercedes-Benz SL55 AMG 2003-2007 5.5L V8 332cid
Mercedes-Benz SL550 2007-2008 5.5L V8 333cid
Mercedes-Benz SL600 2004-2008 5.5L V12 336cid
Mercedes-Benz SL65 AMG 2007 6L V12 365cid</t>
        </is>
      </c>
      <c r="I701" t="inlineStr">
        <is>
          <t>{"0": {"productDeskExternalKey": "CPCX|43-3437"}, "1": {"E-Waste": "Yes"}, "2": {"Product Condition": "Remanufactured"}, "3": {"Part Type": "Windshield Wiper Motor"}, "4": {"Warranty Info": "1 Year/18,000 Mile"}, "5": {"Sustainable Choice": "Yes"}, "6": {"Lifecycle Status": "Available to Order"}, "7": {"Application Summary": "Mercedes-Benz SL500 2004-03, SL55 AMG 2007 2004-03, SL550 2008-07, SL600 2008 2004, SL65 AMG 2007, SLR McLaren 2009-05"}, "8": {"Weight PG": "2.7500"}, "9": {"ItemLevelGTIN": "00082617838597"}, "10": {"_addonCardone": "43-3437::98264:120528:530"}, "11": {"Eligible for R&amp;R Service": "Yes"}}</t>
        </is>
      </c>
      <c r="J701" t="inlineStr">
        <is>
          <t>https://www.cardone.com/product/windshield-wiper-motor-43-3437</t>
        </is>
      </c>
      <c r="K701">
        <f>DISPIMG("ID_E362200BAB1E4BD69CA29846C476B46C",1)</f>
        <v/>
      </c>
      <c r="L701" t="inlineStr">
        <is>
          <t>CPCX|43-3437</t>
        </is>
      </c>
      <c r="M701" t="inlineStr"/>
      <c r="N701" t="inlineStr">
        <is>
          <t>Yes</t>
        </is>
      </c>
      <c r="O701" t="inlineStr">
        <is>
          <t>Remanufactured</t>
        </is>
      </c>
      <c r="P701" t="inlineStr"/>
      <c r="Q701" t="inlineStr"/>
      <c r="R701" t="inlineStr"/>
      <c r="S701" t="inlineStr">
        <is>
          <t>2.7500</t>
        </is>
      </c>
      <c r="T701" t="inlineStr"/>
      <c r="U701" t="inlineStr">
        <is>
          <t>1 Year/18,000 Mile</t>
        </is>
      </c>
      <c r="V701" t="inlineStr">
        <is>
          <t>Yes</t>
        </is>
      </c>
      <c r="W701" t="inlineStr">
        <is>
          <t>Available to Order</t>
        </is>
      </c>
      <c r="X701" t="inlineStr">
        <is>
          <t>Mercedes-Benz SL500 2004-03, SL55 AMG 2007 2004-03, SL550 2008-07, SL600 2008 2004, SL65 AMG 2007, SLR McLaren 2009-05</t>
        </is>
      </c>
      <c r="Y701" t="inlineStr">
        <is>
          <t>00082617838597</t>
        </is>
      </c>
      <c r="Z701" t="inlineStr">
        <is>
          <t>43-3437::98264:120528:530</t>
        </is>
      </c>
      <c r="AA701" t="inlineStr">
        <is>
          <t>Yes</t>
        </is>
      </c>
      <c r="AB701" t="inlineStr"/>
      <c r="AC701" t="inlineStr"/>
    </row>
    <row r="702">
      <c r="A702" t="inlineStr">
        <is>
          <t>701</t>
        </is>
      </c>
      <c r="B702" t="inlineStr">
        <is>
          <t>Windshield Wiper Motor</t>
        </is>
      </c>
      <c r="C702" t="inlineStr">
        <is>
          <t>43-3441</t>
        </is>
      </c>
      <c r="D702" t="inlineStr">
        <is>
          <t>Windshield Wiper Motor - 43-3441</t>
        </is>
      </c>
      <c r="E702" t="inlineStr">
        <is>
          <t>CARDONE Reman</t>
        </is>
      </c>
      <c r="F702" t="inlineStr">
        <is>
          <t>2128201240</t>
        </is>
      </c>
      <c r="G702" t="inlineStr">
        <is>
          <t>Mercedes-Benz CLS63 AMG 2012-2014
Mercedes-Benz CLS63 AMG S 2015-2018
Mercedes-Benz E250 2015-2016
Mercedes-Benz E350 2010-2016
Mercedes-Benz E400 2014-2017
Mercedes-Benz E550 2010-2016
Mercedes-Benz E63 AMG 2010-2015
Mercedes-Benz E63 AMG S 2015-2016</t>
        </is>
      </c>
      <c r="H702" t="inlineStr">
        <is>
          <t>Mercedes-Benz CLS63 AMG 2012-2014 5.5L V8 333cid
Mercedes-Benz CLS63 AMG S 2015-2018 5.5L V8 333cid
Mercedes-Benz E250 2015-2016 1.8L L4 110cid
Mercedes-Benz E250 2015-2016 2.1L L4 131cid
Mercedes-Benz E250 2015-2016 2L L4 121cid
Mercedes-Benz E350 2010-2016 3.5L V6 3498cc
Mercedes-Benz E400 2014 3L V6 183cid
Mercedes-Benz E400 2014-2017 3.5L V6 3498cc
Mercedes-Benz E400 2015-2016 3L V6 182cid
Mercedes-Benz E400 2015-2017 3L V6 2996cc
Mercedes-Benz E550 2010-2011 5.5L V8 333cid
Mercedes-Benz E550 2012-2016 4.7L V8 285cid
Mercedes-Benz E63 AMG 2010-2011 6.3L V8 6208cc
Mercedes-Benz E63 AMG 2012-2015 5.5L V8 333cid
Mercedes-Benz E63 AMG S 2015-2016 5.5L V8 333cid</t>
        </is>
      </c>
      <c r="I702" t="inlineStr">
        <is>
          <t>{"0": {"productDeskExternalKey": "CPCX|43-3441"}, "1": {"E-Waste": "Yes"}, "2": {"Product Condition": "Remanufactured"}, "3": {"Weight PG": "2.5000"}, "4": {"Part Type": "Windshield Wiper Motor"}, "5": {"Warranty Info": "1 Year/18,000 Mile"}, "6": {"Sustainable Choice": "Yes"}, "7": {"Lifecycle Status": "Available to Order"}, "8": {"Application Summary": "Mercedes-Benz CLS400 2018-15, CLS550 2018-12, CLS63 AMG 2014-12, CLS63 AMG S 2018-15, E250 2016-15, E350 2016-10, E400 2017-14, E550 2016-10, E63 AMG 2015 2013-10, E63 AMG S 2016-15"}, "9": {"ItemLevelGTIN": "00082617967495"}, "10": {"_addonCardone": "43-3441::98264:120546:530"}, "11": {"Eligible for R&amp;R Service": "Yes"}}</t>
        </is>
      </c>
      <c r="J702" t="inlineStr">
        <is>
          <t>https://www.cardone.com/product/windshield-wiper-motor-43-3441</t>
        </is>
      </c>
      <c r="K702">
        <f>DISPIMG("ID_C2697F86F8EA4AF4A7115626460C0BAE",1)</f>
        <v/>
      </c>
      <c r="L702" t="inlineStr">
        <is>
          <t>CPCX|43-3441</t>
        </is>
      </c>
      <c r="M702" t="inlineStr"/>
      <c r="N702" t="inlineStr">
        <is>
          <t>Yes</t>
        </is>
      </c>
      <c r="O702" t="inlineStr">
        <is>
          <t>Remanufactured</t>
        </is>
      </c>
      <c r="P702" t="inlineStr"/>
      <c r="Q702" t="inlineStr"/>
      <c r="R702" t="inlineStr"/>
      <c r="S702" t="inlineStr">
        <is>
          <t>2.5000</t>
        </is>
      </c>
      <c r="T702" t="inlineStr"/>
      <c r="U702" t="inlineStr">
        <is>
          <t>1 Year/18,000 Mile</t>
        </is>
      </c>
      <c r="V702" t="inlineStr">
        <is>
          <t>Yes</t>
        </is>
      </c>
      <c r="W702" t="inlineStr">
        <is>
          <t>Available to Order</t>
        </is>
      </c>
      <c r="X702" t="inlineStr">
        <is>
          <t>Mercedes-Benz CLS400 2018-15, CLS550 2018-12, CLS63 AMG 2014-12, CLS63 AMG S 2018-15, E250 2016-15, E350 2016-10, E400 2017-14, E550 2016-10, E63 AMG 2015 2013-10, E63 AMG S 2016-15</t>
        </is>
      </c>
      <c r="Y702" t="inlineStr">
        <is>
          <t>00082617967495</t>
        </is>
      </c>
      <c r="Z702" t="inlineStr">
        <is>
          <t>43-3441::98264:120546:530</t>
        </is>
      </c>
      <c r="AA702" t="inlineStr">
        <is>
          <t>Yes</t>
        </is>
      </c>
      <c r="AB702" t="inlineStr"/>
      <c r="AC702" t="inlineStr"/>
    </row>
    <row r="703">
      <c r="A703" t="inlineStr">
        <is>
          <t>702</t>
        </is>
      </c>
      <c r="B703" t="inlineStr">
        <is>
          <t>Windshield Wiper Motor</t>
        </is>
      </c>
      <c r="C703" t="inlineStr">
        <is>
          <t>43-3442</t>
        </is>
      </c>
      <c r="D703" t="inlineStr">
        <is>
          <t>Windshield Wiper Motor - 43-3442</t>
        </is>
      </c>
      <c r="E703" t="inlineStr">
        <is>
          <t>CARDONE Reman</t>
        </is>
      </c>
      <c r="F703" t="inlineStr">
        <is>
          <t>2049068002;2048202442</t>
        </is>
      </c>
      <c r="G703" t="inlineStr"/>
      <c r="H703" t="inlineStr"/>
      <c r="I703" t="inlineStr">
        <is>
          <t>{"0": {"productDeskExternalKey": "CPCX|43-3442"}, "1": {"E-Waste": "Yes"}, "2": {"Product Condition": "Remanufactured"}, "3": {"Weight PG": "2.0000"}, "4": {"Part Type": "Windshield Wiper Motor"}, "5": {"Warranty Info": "1 Year/18,000 Mile"}, "6": {"Sustainable Choice": "Yes"}, "7": {"Lifecycle Status": "Available to Order"}, "8": {"Application Summary": "Mercedes-Benz GLK250 2015-13, GLK350 2015-10"}, "9": {"ItemLevelGTIN": "00082617967518"}, "10": {"_addonCardone": "43-3442::98264:120560:530"}, "11": {"Eligible for R&amp;R Service": "Yes"}}</t>
        </is>
      </c>
      <c r="J703" t="inlineStr">
        <is>
          <t>https://www.cardone.com/product/windshield-wiper-motor-43-3442</t>
        </is>
      </c>
      <c r="K703">
        <f>DISPIMG("ID_E39A815462ED48B2BBD3DCD137155171",1)</f>
        <v/>
      </c>
      <c r="L703" t="inlineStr">
        <is>
          <t>CPCX|43-3442</t>
        </is>
      </c>
      <c r="M703" t="inlineStr"/>
      <c r="N703" t="inlineStr">
        <is>
          <t>Yes</t>
        </is>
      </c>
      <c r="O703" t="inlineStr">
        <is>
          <t>Remanufactured</t>
        </is>
      </c>
      <c r="P703" t="inlineStr"/>
      <c r="Q703" t="inlineStr"/>
      <c r="R703" t="inlineStr"/>
      <c r="S703" t="inlineStr">
        <is>
          <t>2.0000</t>
        </is>
      </c>
      <c r="T703" t="inlineStr"/>
      <c r="U703" t="inlineStr">
        <is>
          <t>1 Year/18,000 Mile</t>
        </is>
      </c>
      <c r="V703" t="inlineStr">
        <is>
          <t>Yes</t>
        </is>
      </c>
      <c r="W703" t="inlineStr">
        <is>
          <t>Available to Order</t>
        </is>
      </c>
      <c r="X703" t="inlineStr">
        <is>
          <t>Mercedes-Benz GLK250 2015-13, GLK350 2015-10</t>
        </is>
      </c>
      <c r="Y703" t="inlineStr">
        <is>
          <t>00082617967518</t>
        </is>
      </c>
      <c r="Z703" t="inlineStr">
        <is>
          <t>43-3442::98264:120560:530</t>
        </is>
      </c>
      <c r="AA703" t="inlineStr">
        <is>
          <t>Yes</t>
        </is>
      </c>
      <c r="AB703" t="inlineStr"/>
      <c r="AC703" t="inlineStr"/>
    </row>
    <row r="704">
      <c r="A704" t="inlineStr">
        <is>
          <t>703</t>
        </is>
      </c>
      <c r="B704" t="inlineStr">
        <is>
          <t>Windshield Wiper Motor</t>
        </is>
      </c>
      <c r="C704" t="inlineStr">
        <is>
          <t>43-3443</t>
        </is>
      </c>
      <c r="D704" t="inlineStr">
        <is>
          <t>Windshield Wiper Motor - 43-3443</t>
        </is>
      </c>
      <c r="E704" t="inlineStr">
        <is>
          <t>CARDONE Reman</t>
        </is>
      </c>
      <c r="F704" t="inlineStr">
        <is>
          <t>2048201340</t>
        </is>
      </c>
      <c r="G704" t="inlineStr"/>
      <c r="H704" t="inlineStr"/>
      <c r="I704" t="inlineStr">
        <is>
          <t>{"0": {"productDeskExternalKey": "CPCX|43-3443"}, "1": {"E-Waste": "Yes"}, "2": {"Product Condition": "Remanufactured"}, "3": {"Weight PG": "3.0000"}, "4": {"Part Type": "Windshield Wiper Motor"}, "5": {"Warranty Info": "1 Year/18,000 Mile"}, "6": {"Sustainable Choice": "Yes"}, "7": {"Lifecycle Status": "Available to Order"}, "8": {"Application Summary": "Mercedes-Benz GLK250 2015-13, GLK350 2015-10"}, "9": {"ItemLevelGTIN": "00082617967525"}, "10": {"_addonCardone": "43-3443::98264:120579:530"}, "11": {"Eligible for R&amp;R Service": "Yes"}}</t>
        </is>
      </c>
      <c r="J704" t="inlineStr">
        <is>
          <t>https://www.cardone.com/product/windshield-wiper-motor-43-3443</t>
        </is>
      </c>
      <c r="K704">
        <f>DISPIMG("ID_006A460DC1C0444F96EC28522AAFCB9F",1)</f>
        <v/>
      </c>
      <c r="L704" t="inlineStr">
        <is>
          <t>CPCX|43-3443</t>
        </is>
      </c>
      <c r="M704" t="inlineStr"/>
      <c r="N704" t="inlineStr">
        <is>
          <t>Yes</t>
        </is>
      </c>
      <c r="O704" t="inlineStr">
        <is>
          <t>Remanufactured</t>
        </is>
      </c>
      <c r="P704" t="inlineStr"/>
      <c r="Q704" t="inlineStr"/>
      <c r="R704" t="inlineStr"/>
      <c r="S704" t="inlineStr">
        <is>
          <t>3.0000</t>
        </is>
      </c>
      <c r="T704" t="inlineStr"/>
      <c r="U704" t="inlineStr">
        <is>
          <t>1 Year/18,000 Mile</t>
        </is>
      </c>
      <c r="V704" t="inlineStr">
        <is>
          <t>Yes</t>
        </is>
      </c>
      <c r="W704" t="inlineStr">
        <is>
          <t>Available to Order</t>
        </is>
      </c>
      <c r="X704" t="inlineStr">
        <is>
          <t>Mercedes-Benz GLK250 2015-13, GLK350 2015-10</t>
        </is>
      </c>
      <c r="Y704" t="inlineStr">
        <is>
          <t>00082617967525</t>
        </is>
      </c>
      <c r="Z704" t="inlineStr">
        <is>
          <t>43-3443::98264:120579:530</t>
        </is>
      </c>
      <c r="AA704" t="inlineStr">
        <is>
          <t>Yes</t>
        </is>
      </c>
      <c r="AB704" t="inlineStr"/>
      <c r="AC704" t="inlineStr"/>
    </row>
    <row r="705">
      <c r="A705" t="inlineStr">
        <is>
          <t>704</t>
        </is>
      </c>
      <c r="B705" t="inlineStr">
        <is>
          <t>Windshield Wiper Motor</t>
        </is>
      </c>
      <c r="C705" t="inlineStr">
        <is>
          <t>43-3444</t>
        </is>
      </c>
      <c r="D705" t="inlineStr">
        <is>
          <t>Windshield Wiper Motor - 43-3444</t>
        </is>
      </c>
      <c r="E705" t="inlineStr">
        <is>
          <t>CARDONE Reman</t>
        </is>
      </c>
      <c r="F705" t="inlineStr">
        <is>
          <t>2218204442</t>
        </is>
      </c>
      <c r="G705" t="inlineStr">
        <is>
          <t>Mercedes-Benz CL600 2007-2014
Mercedes-Benz CL63 AMG 2008-2014
Mercedes-Benz CL65 AMG 2008-2014
Mercedes-Benz S350 2012-2013
Mercedes-Benz S400 2010-2013
Mercedes-Benz S550 2007-2013
Mercedes-Benz S600 2008-2013
Mercedes-Benz S63 AMG 2008-2013
Mercedes-Benz S65 AMG 2011-2015</t>
        </is>
      </c>
      <c r="H705" t="inlineStr">
        <is>
          <t>Mercedes-Benz CL600 2007-2014 5.5L V12 336cid
Mercedes-Benz CL63 AMG 2008-2011 6.3L V8 6208cc
Mercedes-Benz CL63 AMG 2010-2012 6L V12 365cid
Mercedes-Benz CL63 AMG 2011-2014 5.5L V8 333cid
Mercedes-Benz CL65 AMG 2008-2014 6L V12 365cid
Mercedes-Benz CL65 AMG 2009 6.2L V8 379cid
Mercedes-Benz S350 2012-2013 3.5L V6 213cid
Mercedes-Benz S350 2012-2013 3L V6 2987cc
Mercedes-Benz S400 2010-2013 3.5L V6 3498cc
Mercedes-Benz S550 2007-2011 5.5L V8 333cid
Mercedes-Benz S550 2012-2013 4.7L V8 285cid
Mercedes-Benz S600 2008-2013 5.5L V12 336cid
Mercedes-Benz S63 AMG 2008-2011 6.3L V8 6208cc
Mercedes-Benz S63 AMG 2010-2012 6L V12 365cid
Mercedes-Benz S63 AMG 2011-2013 5.5L V8 333cid
Mercedes-Benz S63 AMG 2012-2013 6.2L V8 379cid
Mercedes-Benz S65 AMG 2011-2015 6L V12 365cid</t>
        </is>
      </c>
      <c r="I705" t="inlineStr">
        <is>
          <t>{"0": {"productDeskExternalKey": "CPCX|43-3444"}, "1": {"E-Waste": "Yes"}, "2": {"Product Condition": "Remanufactured"}, "3": {"Weight PG": "2.5000"}, "4": {"Part Type": "Windshield Wiper Motor"}, "5": {"Warranty Info": "1 Year/18,000 Mile"}, "6": {"Sustainable Choice": "Yes"}, "7": {"Lifecycle Status": "Available to Order"}, "8": {"Application Summary": "Mercedes-Benz CL550 2014-07, CL600 2014-07, CL63 AMG 2014-08, CL65 AMG 2014-08, S350 2013-12, S400 2013-10, S550 2013-07, S600 2013-08, S63 AMG 2013-08, S65 AMG 2015 2013-11"}, "9": {"ItemLevelGTIN": "00082617967563"}, "10": {"_addonCardone": "43-3444::98264:120599:530"}, "11": {"Eligible for R&amp;R Service": "Yes"}}</t>
        </is>
      </c>
      <c r="J705" t="inlineStr">
        <is>
          <t>https://www.cardone.com/product/windshield-wiper-motor-43-3444</t>
        </is>
      </c>
      <c r="K705">
        <f>DISPIMG("ID_79320F5AE6A741CE89F5C575265AE674",1)</f>
        <v/>
      </c>
      <c r="L705" t="inlineStr">
        <is>
          <t>CPCX|43-3444</t>
        </is>
      </c>
      <c r="M705" t="inlineStr"/>
      <c r="N705" t="inlineStr">
        <is>
          <t>Yes</t>
        </is>
      </c>
      <c r="O705" t="inlineStr">
        <is>
          <t>Remanufactured</t>
        </is>
      </c>
      <c r="P705" t="inlineStr"/>
      <c r="Q705" t="inlineStr"/>
      <c r="R705" t="inlineStr"/>
      <c r="S705" t="inlineStr">
        <is>
          <t>2.5000</t>
        </is>
      </c>
      <c r="T705" t="inlineStr"/>
      <c r="U705" t="inlineStr">
        <is>
          <t>1 Year/18,000 Mile</t>
        </is>
      </c>
      <c r="V705" t="inlineStr">
        <is>
          <t>Yes</t>
        </is>
      </c>
      <c r="W705" t="inlineStr">
        <is>
          <t>Available to Order</t>
        </is>
      </c>
      <c r="X705" t="inlineStr">
        <is>
          <t>Mercedes-Benz CL550 2014-07, CL600 2014-07, CL63 AMG 2014-08, CL65 AMG 2014-08, S350 2013-12, S400 2013-10, S550 2013-07, S600 2013-08, S63 AMG 2013-08, S65 AMG 2015 2013-11</t>
        </is>
      </c>
      <c r="Y705" t="inlineStr">
        <is>
          <t>00082617967563</t>
        </is>
      </c>
      <c r="Z705" t="inlineStr">
        <is>
          <t>43-3444::98264:120599:530</t>
        </is>
      </c>
      <c r="AA705" t="inlineStr">
        <is>
          <t>Yes</t>
        </is>
      </c>
      <c r="AB705" t="inlineStr"/>
      <c r="AC705" t="inlineStr"/>
    </row>
    <row r="706">
      <c r="A706" t="inlineStr">
        <is>
          <t>705</t>
        </is>
      </c>
      <c r="B706" t="inlineStr">
        <is>
          <t>Windshield Wiper Motor</t>
        </is>
      </c>
      <c r="C706" t="inlineStr">
        <is>
          <t>43-3446</t>
        </is>
      </c>
      <c r="D706" t="inlineStr">
        <is>
          <t>Windshield Wiper Motor - 43-3446</t>
        </is>
      </c>
      <c r="E706" t="inlineStr">
        <is>
          <t>CARDONE Reman</t>
        </is>
      </c>
      <c r="F706" t="inlineStr">
        <is>
          <t>4518200040</t>
        </is>
      </c>
      <c r="G706" t="inlineStr">
        <is>
          <t>Smart Fortwo 2008-2015</t>
        </is>
      </c>
      <c r="H706" t="inlineStr">
        <is>
          <t>Smart Fortwo 2008-2015 1L L3 61cid
Smart Fortwo 2011-2015</t>
        </is>
      </c>
      <c r="I706" t="inlineStr">
        <is>
          <t>{"0": {"productDeskExternalKey": "CPCX|43-3446"}, "1": {"Package Contents": "Wiper Motor; Instruction Sheet"}, "2": {"E-Waste": "Yes"}, "3": {"Product Condition": "Remanufactured"}, "4": {"Mounting Hole Quantity": "3"}, "5": {"Terminal Type": "Blade"}, "6": {"Mounting Type": "Direct Hole"}, "7": {"Weight PG": "2.8000"}, "8": {"Washer Pump Included": "No"}, "9": {"Part Type": "Windshield Wiper Motor"}, "10": {"Warranty Info": "1 Year/18,000 Mile"}, "11": {"Sustainable Choice": "Yes"}, "12": {"Lifecycle Status": "Available to Order"}, "13": {"Application Summary": "Smart Fortwo 2015-08"}, "14": {"ItemLevelGTIN": "00884548117228"}, "15": {"_addonCardone": "43-3446::98264:120618:530"}, "16": {"Eligible for R&amp;R Service": "Yes"}}</t>
        </is>
      </c>
      <c r="J706" t="inlineStr">
        <is>
          <t>https://www.cardone.com/product/windshield-wiper-motor-43-3446</t>
        </is>
      </c>
      <c r="K706">
        <f>DISPIMG("ID_E7EE6C7475A145B78E10849E1F23FD1B",1)</f>
        <v/>
      </c>
      <c r="L706" t="inlineStr">
        <is>
          <t>CPCX|43-3446</t>
        </is>
      </c>
      <c r="M706" t="inlineStr">
        <is>
          <t>Wiper Motor; Instruction Sheet</t>
        </is>
      </c>
      <c r="N706" t="inlineStr">
        <is>
          <t>Yes</t>
        </is>
      </c>
      <c r="O706" t="inlineStr">
        <is>
          <t>Remanufactured</t>
        </is>
      </c>
      <c r="P706" t="inlineStr">
        <is>
          <t>3</t>
        </is>
      </c>
      <c r="Q706" t="inlineStr">
        <is>
          <t>Blade</t>
        </is>
      </c>
      <c r="R706" t="inlineStr">
        <is>
          <t>Direct Hole</t>
        </is>
      </c>
      <c r="S706" t="inlineStr">
        <is>
          <t>2.8000</t>
        </is>
      </c>
      <c r="T706" t="inlineStr">
        <is>
          <t>No</t>
        </is>
      </c>
      <c r="U706" t="inlineStr">
        <is>
          <t>1 Year/18,000 Mile</t>
        </is>
      </c>
      <c r="V706" t="inlineStr">
        <is>
          <t>Yes</t>
        </is>
      </c>
      <c r="W706" t="inlineStr">
        <is>
          <t>Available to Order</t>
        </is>
      </c>
      <c r="X706" t="inlineStr">
        <is>
          <t>Smart Fortwo 2015-08</t>
        </is>
      </c>
      <c r="Y706" t="inlineStr">
        <is>
          <t>00884548117228</t>
        </is>
      </c>
      <c r="Z706" t="inlineStr">
        <is>
          <t>43-3446::98264:120618:530</t>
        </is>
      </c>
      <c r="AA706" t="inlineStr">
        <is>
          <t>Yes</t>
        </is>
      </c>
      <c r="AB706" t="inlineStr"/>
      <c r="AC706" t="inlineStr"/>
    </row>
    <row r="707">
      <c r="A707" t="inlineStr">
        <is>
          <t>706</t>
        </is>
      </c>
      <c r="B707" t="inlineStr">
        <is>
          <t>Windshield Wiper Motor</t>
        </is>
      </c>
      <c r="C707" t="inlineStr">
        <is>
          <t>43-3447</t>
        </is>
      </c>
      <c r="D707" t="inlineStr">
        <is>
          <t>Windshield Wiper Motor - 43-3447</t>
        </is>
      </c>
      <c r="E707" t="inlineStr">
        <is>
          <t>CARDONE Reman</t>
        </is>
      </c>
      <c r="F707" t="inlineStr">
        <is>
          <t>4518200008</t>
        </is>
      </c>
      <c r="G707" t="inlineStr">
        <is>
          <t>Smart Fortwo 2008-2015</t>
        </is>
      </c>
      <c r="H707" t="inlineStr">
        <is>
          <t>Smart Fortwo 2008-2015 1L L3 61cid
Smart Fortwo 2011-2015</t>
        </is>
      </c>
      <c r="I707" t="inlineStr">
        <is>
          <t>{"0": {"productDeskExternalKey": "CPCX|43-3447"}, "1": {"Package Contents": "Wiper Motor; Instruction Sheet"}, "2": {"E-Waste": "Yes"}, "3": {"Product Condition": "Remanufactured"}, "4": {"Mounting Hole Quantity": "3"}, "5": {"Terminal Type": "Blade"}, "6": {"Mounting Type": "Grommet; Through Hole"}, "7": {"Weight PG": "2.0000"}, "8": {"Washer Pump Included": "No"}, "9": {"Part Type": "Windshield Wiper Motor"}, "10": {"Warranty Info": "1 Year/18,000 Mile"}, "11": {"Sustainable Choice": "Yes"}, "12": {"Lifecycle Status": "Available to Order"}, "13": {"Application Summary": "Smart Fortwo 2015-08"}, "14": {"ItemLevelGTIN": "00884548121591"}, "15": {"_addonCardone": "43-3447::98264:120638:530"}, "16": {"Eligible for R&amp;R Service": "Yes"}}</t>
        </is>
      </c>
      <c r="J707" t="inlineStr">
        <is>
          <t>https://www.cardone.com/product/windshield-wiper-motor-43-3447</t>
        </is>
      </c>
      <c r="K707">
        <f>DISPIMG("ID_001AB3D7A836402C9E56DD938201581E",1)</f>
        <v/>
      </c>
      <c r="L707" t="inlineStr">
        <is>
          <t>CPCX|43-3447</t>
        </is>
      </c>
      <c r="M707" t="inlineStr">
        <is>
          <t>Wiper Motor; Instruction Sheet</t>
        </is>
      </c>
      <c r="N707" t="inlineStr">
        <is>
          <t>Yes</t>
        </is>
      </c>
      <c r="O707" t="inlineStr">
        <is>
          <t>Remanufactured</t>
        </is>
      </c>
      <c r="P707" t="inlineStr">
        <is>
          <t>3</t>
        </is>
      </c>
      <c r="Q707" t="inlineStr">
        <is>
          <t>Blade</t>
        </is>
      </c>
      <c r="R707" t="inlineStr">
        <is>
          <t>Grommet; Through Hole</t>
        </is>
      </c>
      <c r="S707" t="inlineStr">
        <is>
          <t>2.0000</t>
        </is>
      </c>
      <c r="T707" t="inlineStr">
        <is>
          <t>No</t>
        </is>
      </c>
      <c r="U707" t="inlineStr">
        <is>
          <t>1 Year/18,000 Mile</t>
        </is>
      </c>
      <c r="V707" t="inlineStr">
        <is>
          <t>Yes</t>
        </is>
      </c>
      <c r="W707" t="inlineStr">
        <is>
          <t>Available to Order</t>
        </is>
      </c>
      <c r="X707" t="inlineStr">
        <is>
          <t>Smart Fortwo 2015-08</t>
        </is>
      </c>
      <c r="Y707" t="inlineStr">
        <is>
          <t>00884548121591</t>
        </is>
      </c>
      <c r="Z707" t="inlineStr">
        <is>
          <t>43-3447::98264:120638:530</t>
        </is>
      </c>
      <c r="AA707" t="inlineStr">
        <is>
          <t>Yes</t>
        </is>
      </c>
      <c r="AB707" t="inlineStr"/>
      <c r="AC707" t="inlineStr"/>
    </row>
    <row r="708">
      <c r="A708" t="inlineStr">
        <is>
          <t>707</t>
        </is>
      </c>
      <c r="B708" t="inlineStr">
        <is>
          <t>Windshield Wiper Motor</t>
        </is>
      </c>
      <c r="C708" t="inlineStr">
        <is>
          <t>43-35001</t>
        </is>
      </c>
      <c r="D708" t="inlineStr">
        <is>
          <t>Windshield Wiper Motor - 43-35001</t>
        </is>
      </c>
      <c r="E708" t="inlineStr">
        <is>
          <t>CARDONE Reman</t>
        </is>
      </c>
      <c r="F708" t="inlineStr">
        <is>
          <t>1Q1955119C;5K1955119</t>
        </is>
      </c>
      <c r="G708" t="inlineStr">
        <is>
          <t>Volkswagen Eos 2009-2016
Volkswagen GTI 2010-2014
Volkswagen Golf 2010-2014
Volkswagen Golf R 2012
Volkswagen Golf SportWagen 2010-2012
Volkswagen Jetta 2008-2014</t>
        </is>
      </c>
      <c r="H708" t="inlineStr">
        <is>
          <t>Volkswagen Eos 2009-2016 2L L4 121cid
Volkswagen GTI 2010-2014 2L L4 121cid
Volkswagen Golf 2010-2014 2.5L L5 151cid
Volkswagen Golf 2010-2014 2L L4 120cid
Volkswagen Golf 2013 2L L4 121cid
Volkswagen Golf R 2012 2L L4 121cid
Volkswagen Golf SportWagen 2010-2012 2.5L L5 151cid
Volkswagen Jetta 2008-2009 1.9L L4 116cid
Volkswagen Jetta 2008-2014 2.5L L5 151cid
Volkswagen Jetta 2008-2014 2L L4 121cid
Volkswagen Jetta 2009 1.8L L4 1781cc
Volkswagen Jetta 2009-2014 2L L4 120cid
Volkswagen Jetta 2014 1.8L L4 110cid</t>
        </is>
      </c>
      <c r="I708" t="inlineStr">
        <is>
          <t>{"0": {"productDeskExternalKey": "CPCX|43-35001"}, "1": {"Package Contents": "Wiper Motor; Instruction Sheet"}, "2": {"E-Waste": "Yes"}, "3": {"Product Condition": "Remanufactured"}, "4": {"Mounting Hole Quantity": "3"}, "5": {"Terminal Type": "Blade"}, "6": {"Mounting Type": "Direct Bolt"}, "7": {"Weight PG": "1.8600"}, "8": {"Washer Pump Included": "No"}, "9": {"Part Type": "Windshield Wiper Motor"}, "10": {"Warranty Info": "1 Year/18,000 Mile"}, "11": {"Sustainable Choice": "Yes"}, "12": {"Lifecycle Status": "Available to Order"}, "13": {"Application Summary": "Volkswagen Eos 2016-12 2009, Golf 2014-12 2010, Golf R 2012, Golf SportWagen 2012 2010, GTI 2014-12 2010, Jetta 2014-11 2009-08"}, "14": {"ItemLevelGTIN": "00884548028463"}, "15": {"_addonCardone": "43-35001::98264:120656:530"}, "16": {"Eligible for R&amp;R Service": "Yes"}}</t>
        </is>
      </c>
      <c r="J708" t="inlineStr">
        <is>
          <t>https://www.cardone.com/product/windshield-wiper-motor-43-35001</t>
        </is>
      </c>
      <c r="K708">
        <f>DISPIMG("ID_196D411AF2C144E58616AE8521C0A580",1)</f>
        <v/>
      </c>
      <c r="L708" t="inlineStr">
        <is>
          <t>CPCX|43-35001</t>
        </is>
      </c>
      <c r="M708" t="inlineStr">
        <is>
          <t>Wiper Motor; Instruction Sheet</t>
        </is>
      </c>
      <c r="N708" t="inlineStr">
        <is>
          <t>Yes</t>
        </is>
      </c>
      <c r="O708" t="inlineStr">
        <is>
          <t>Remanufactured</t>
        </is>
      </c>
      <c r="P708" t="inlineStr">
        <is>
          <t>3</t>
        </is>
      </c>
      <c r="Q708" t="inlineStr">
        <is>
          <t>Blade</t>
        </is>
      </c>
      <c r="R708" t="inlineStr">
        <is>
          <t>Direct Bolt</t>
        </is>
      </c>
      <c r="S708" t="inlineStr">
        <is>
          <t>1.8600</t>
        </is>
      </c>
      <c r="T708" t="inlineStr">
        <is>
          <t>No</t>
        </is>
      </c>
      <c r="U708" t="inlineStr">
        <is>
          <t>1 Year/18,000 Mile</t>
        </is>
      </c>
      <c r="V708" t="inlineStr">
        <is>
          <t>Yes</t>
        </is>
      </c>
      <c r="W708" t="inlineStr">
        <is>
          <t>Available to Order</t>
        </is>
      </c>
      <c r="X708" t="inlineStr">
        <is>
          <t>Volkswagen Eos 2016-12 2009, Golf 2014-12 2010, Golf R 2012, Golf SportWagen 2012 2010, GTI 2014-12 2010, Jetta 2014-11 2009-08</t>
        </is>
      </c>
      <c r="Y708" t="inlineStr">
        <is>
          <t>00884548028463</t>
        </is>
      </c>
      <c r="Z708" t="inlineStr">
        <is>
          <t>43-35001::98264:120656:530</t>
        </is>
      </c>
      <c r="AA708" t="inlineStr">
        <is>
          <t>Yes</t>
        </is>
      </c>
      <c r="AB708" t="inlineStr"/>
      <c r="AC708" t="inlineStr"/>
    </row>
    <row r="709">
      <c r="A709" t="inlineStr">
        <is>
          <t>708</t>
        </is>
      </c>
      <c r="B709" t="inlineStr">
        <is>
          <t>Windshield Wiper Motor</t>
        </is>
      </c>
      <c r="C709" t="inlineStr">
        <is>
          <t>43-35002</t>
        </is>
      </c>
      <c r="D709" t="inlineStr">
        <is>
          <t>Windshield Wiper Motor - 43-35002</t>
        </is>
      </c>
      <c r="E709" t="inlineStr">
        <is>
          <t>CARDONE Reman</t>
        </is>
      </c>
      <c r="F709" t="inlineStr">
        <is>
          <t>6R1955119A</t>
        </is>
      </c>
      <c r="G709" t="inlineStr">
        <is>
          <t>Volkswagen Jetta 2011-2015</t>
        </is>
      </c>
      <c r="H709" t="inlineStr">
        <is>
          <t>Volkswagen Jetta 2011-2015 2.5L L5 151cid
Volkswagen Jetta 2011-2015 2L L4 120cid
Volkswagen Jetta 2011-2015 2L L4 121cid
Volkswagen Jetta 2013-2015 1.4L L4 85cid
Volkswagen Jetta 2014-2015 1.8L L4 110cid</t>
        </is>
      </c>
      <c r="I709" t="inlineStr">
        <is>
          <t>{"0": {"productDeskExternalKey": "CPCX|43-35002"},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"Volkswagen Jetta 2015-11"}, "14": {"ItemLevelGTIN": "00884548028470"}, "15": {"_addonCardone": "43-35002::98264:120674:530"}, "16": {"Eligible for R&amp;R Service": "Yes"}}</t>
        </is>
      </c>
      <c r="J709" t="inlineStr">
        <is>
          <t>https://www.cardone.com/product/windshield-wiper-motor-43-35002</t>
        </is>
      </c>
      <c r="K709">
        <f>DISPIMG("ID_B6DFB87C79B14B09A41846B4D0931483",1)</f>
        <v/>
      </c>
      <c r="L709" t="inlineStr">
        <is>
          <t>CPCX|43-35002</t>
        </is>
      </c>
      <c r="M709" t="inlineStr">
        <is>
          <t>Wiper Motor; Instruction Sheet</t>
        </is>
      </c>
      <c r="N709" t="inlineStr">
        <is>
          <t>Yes</t>
        </is>
      </c>
      <c r="O709" t="inlineStr">
        <is>
          <t>Remanufactured</t>
        </is>
      </c>
      <c r="P709" t="inlineStr">
        <is>
          <t>3</t>
        </is>
      </c>
      <c r="Q709" t="inlineStr">
        <is>
          <t>Blade</t>
        </is>
      </c>
      <c r="R709" t="inlineStr">
        <is>
          <t>Direct Bolt</t>
        </is>
      </c>
      <c r="S709" t="inlineStr">
        <is>
          <t>2.5000</t>
        </is>
      </c>
      <c r="T709" t="inlineStr">
        <is>
          <t>No</t>
        </is>
      </c>
      <c r="U709" t="inlineStr">
        <is>
          <t>1 Year/18,000 Mile</t>
        </is>
      </c>
      <c r="V709" t="inlineStr">
        <is>
          <t>Yes</t>
        </is>
      </c>
      <c r="W709" t="inlineStr">
        <is>
          <t>Available to Order</t>
        </is>
      </c>
      <c r="X709" t="inlineStr">
        <is>
          <t>Volkswagen Jetta 2015-11</t>
        </is>
      </c>
      <c r="Y709" t="inlineStr">
        <is>
          <t>00884548028470</t>
        </is>
      </c>
      <c r="Z709" t="inlineStr">
        <is>
          <t>43-35002::98264:120674:530</t>
        </is>
      </c>
      <c r="AA709" t="inlineStr">
        <is>
          <t>Yes</t>
        </is>
      </c>
      <c r="AB709" t="inlineStr"/>
      <c r="AC709" t="inlineStr"/>
    </row>
    <row r="710">
      <c r="A710" t="inlineStr">
        <is>
          <t>709</t>
        </is>
      </c>
      <c r="B710" t="inlineStr">
        <is>
          <t>Windshield Wiper Motor</t>
        </is>
      </c>
      <c r="C710" t="inlineStr">
        <is>
          <t>43-35004</t>
        </is>
      </c>
      <c r="D710" t="inlineStr">
        <is>
          <t>Windshield Wiper Motor - 43-35004</t>
        </is>
      </c>
      <c r="E710" t="inlineStr">
        <is>
          <t>CARDONE Reman</t>
        </is>
      </c>
      <c r="F710" t="inlineStr">
        <is>
          <t>7P0955023</t>
        </is>
      </c>
      <c r="G710" t="inlineStr">
        <is>
          <t>Volkswagen Touareg 2011-2017</t>
        </is>
      </c>
      <c r="H710" t="inlineStr">
        <is>
          <t>Volkswagen Touareg 2011-2017 3.6L V6 219cid
Volkswagen Touareg 2011-2017 3L V6 181cid
Volkswagen Touareg 2011-2017 3L V6 2995cc
Volkswagen Touareg 2011-2017 4.2L V8 4163cc
Volkswagen Touareg 2014 3L V6 2967cc</t>
        </is>
      </c>
      <c r="I710" t="inlineStr">
        <is>
          <t>{"0": {"productDeskExternalKey": "CPCX|43-35004"}, "1": {"E-Waste": "Yes"}, "2": {"Product Condition": "Remanufactured"}, "3": {"Weight PG": "3.0000"}, "4": {"Part Type": "Windshield Wiper Motor"}, "5": {"Warranty Info": "1 Year/18,000 Mile"}, "6": {"Sustainable Choice": "Yes"}, "7": {"Lifecycle Status": "Available to Order"}, "8": {"Application Summary": "Volkswagen Touareg 2017-11"}, "9": {"ItemLevelGTIN": "00884548028500"}, "10": {"_addonCardone": "43-35004::98264:120691:530"}, "11": {"Eligible for R&amp;R Service": "Yes"}}</t>
        </is>
      </c>
      <c r="J710" t="inlineStr">
        <is>
          <t>https://www.cardone.com/product/windshield-wiper-motor-43-35004</t>
        </is>
      </c>
      <c r="K710">
        <f>DISPIMG("ID_AB25C2D6CC27474CB867DA91DBEB9B22",1)</f>
        <v/>
      </c>
      <c r="L710" t="inlineStr">
        <is>
          <t>CPCX|43-35004</t>
        </is>
      </c>
      <c r="M710" t="inlineStr"/>
      <c r="N710" t="inlineStr">
        <is>
          <t>Yes</t>
        </is>
      </c>
      <c r="O710" t="inlineStr">
        <is>
          <t>Remanufactured</t>
        </is>
      </c>
      <c r="P710" t="inlineStr"/>
      <c r="Q710" t="inlineStr"/>
      <c r="R710" t="inlineStr"/>
      <c r="S710" t="inlineStr">
        <is>
          <t>3.0000</t>
        </is>
      </c>
      <c r="T710" t="inlineStr"/>
      <c r="U710" t="inlineStr">
        <is>
          <t>1 Year/18,000 Mile</t>
        </is>
      </c>
      <c r="V710" t="inlineStr">
        <is>
          <t>Yes</t>
        </is>
      </c>
      <c r="W710" t="inlineStr">
        <is>
          <t>Available to Order</t>
        </is>
      </c>
      <c r="X710" t="inlineStr">
        <is>
          <t>Volkswagen Touareg 2017-11</t>
        </is>
      </c>
      <c r="Y710" t="inlineStr">
        <is>
          <t>00884548028500</t>
        </is>
      </c>
      <c r="Z710" t="inlineStr">
        <is>
          <t>43-35004::98264:120691:530</t>
        </is>
      </c>
      <c r="AA710" t="inlineStr">
        <is>
          <t>Yes</t>
        </is>
      </c>
      <c r="AB710" t="inlineStr"/>
      <c r="AC710" t="inlineStr"/>
    </row>
    <row r="711">
      <c r="A711" t="inlineStr">
        <is>
          <t>710</t>
        </is>
      </c>
      <c r="B711" t="inlineStr">
        <is>
          <t>Windshield Wiper Motor</t>
        </is>
      </c>
      <c r="C711" t="inlineStr">
        <is>
          <t>43-35005</t>
        </is>
      </c>
      <c r="D711" t="inlineStr">
        <is>
          <t>Windshield Wiper Motor - 43-35005</t>
        </is>
      </c>
      <c r="E711" t="inlineStr">
        <is>
          <t>CARDONE Reman</t>
        </is>
      </c>
      <c r="F711" t="inlineStr">
        <is>
          <t>7P6955711</t>
        </is>
      </c>
      <c r="G711" t="inlineStr">
        <is>
          <t>Volkswagen Touareg 2011-2014</t>
        </is>
      </c>
      <c r="H711" t="inlineStr">
        <is>
          <t>Volkswagen Touareg 2011-2014 3.6L V6 219cid
Volkswagen Touareg 2011-2014 3L V6 181cid
Volkswagen Touareg 2011-2014 3L V6 2995cc
Volkswagen Touareg 2011-2014 4.2L V8 4163cc
Volkswagen Touareg 2014 3L V6 2967cc</t>
        </is>
      </c>
      <c r="I711" t="inlineStr">
        <is>
          <t>{"0": {"productDeskExternalKey": "CPCX|43-35005"}, "1": {"E-Waste": "Yes"}, "2": {"Product Condition": "Remanufactured"}, "3": {"Weight PG": "3.0000"}, "4": {"Part Type": "Windshield Wiper Motor"}, "5": {"Warranty Info": "1 Year/18,000 Mile"}, "6": {"Sustainable Choice": "Yes"}, "7": {"Lifecycle Status": "Available to Order"}, "8": {"Application Summary": "Volkswagen Touareg 2014-11"}, "9": {"ItemLevelGTIN": "00884548028494"}, "10": {"_addonCardone": "43-35005::98264:120707:530"}, "11": {"Eligible for R&amp;R Service": "Yes"}}</t>
        </is>
      </c>
      <c r="J711" t="inlineStr">
        <is>
          <t>https://www.cardone.com/product/windshield-wiper-motor-43-35005</t>
        </is>
      </c>
      <c r="K711">
        <f>DISPIMG("ID_B32EDFC0D3974BB78508EB21DB2C9D52",1)</f>
        <v/>
      </c>
      <c r="L711" t="inlineStr">
        <is>
          <t>CPCX|43-35005</t>
        </is>
      </c>
      <c r="M711" t="inlineStr"/>
      <c r="N711" t="inlineStr">
        <is>
          <t>Yes</t>
        </is>
      </c>
      <c r="O711" t="inlineStr">
        <is>
          <t>Remanufactured</t>
        </is>
      </c>
      <c r="P711" t="inlineStr"/>
      <c r="Q711" t="inlineStr"/>
      <c r="R711" t="inlineStr"/>
      <c r="S711" t="inlineStr">
        <is>
          <t>3.0000</t>
        </is>
      </c>
      <c r="T711" t="inlineStr"/>
      <c r="U711" t="inlineStr">
        <is>
          <t>1 Year/18,000 Mile</t>
        </is>
      </c>
      <c r="V711" t="inlineStr">
        <is>
          <t>Yes</t>
        </is>
      </c>
      <c r="W711" t="inlineStr">
        <is>
          <t>Available to Order</t>
        </is>
      </c>
      <c r="X711" t="inlineStr">
        <is>
          <t>Volkswagen Touareg 2014-11</t>
        </is>
      </c>
      <c r="Y711" t="inlineStr">
        <is>
          <t>00884548028494</t>
        </is>
      </c>
      <c r="Z711" t="inlineStr">
        <is>
          <t>43-35005::98264:120707:530</t>
        </is>
      </c>
      <c r="AA711" t="inlineStr">
        <is>
          <t>Yes</t>
        </is>
      </c>
      <c r="AB711" t="inlineStr"/>
      <c r="AC711" t="inlineStr"/>
    </row>
    <row r="712">
      <c r="A712" t="inlineStr">
        <is>
          <t>711</t>
        </is>
      </c>
      <c r="B712" t="inlineStr">
        <is>
          <t>Windshield Wiper Motor</t>
        </is>
      </c>
      <c r="C712" t="inlineStr">
        <is>
          <t>43-35006</t>
        </is>
      </c>
      <c r="D712" t="inlineStr">
        <is>
          <t>Windshield Wiper Motor - 43-35006</t>
        </is>
      </c>
      <c r="E712" t="inlineStr">
        <is>
          <t>CARDONE Reman</t>
        </is>
      </c>
      <c r="F712" t="inlineStr">
        <is>
          <t>6X0955119</t>
        </is>
      </c>
      <c r="G712" t="inlineStr"/>
      <c r="H712" t="inlineStr"/>
      <c r="I712" t="inlineStr">
        <is>
          <t>{"0": {"productDeskExternalKey": "CPCX|43-35006"}, "1": {"Package Contents": "Wiper Motor; Instruction Sheet"}, "2": {"E-Waste": "Yes"}, "3": {"Product Condition": "Remanufactured"}, "4": {"Mounting Hole Quantity": "3"}, "5": {"Terminal Type": "Blade"}, "6": {"Mounting Type": "Direct Bolt"}, "7": {"Washer Pump Included": "No"}, "8": {"Part Type": "Windshield Wiper Motor"}, "9": {"Warranty Info": "1 Year/18,000 Mile"}, "10": {"Sustainable Choice": "Yes"}, "11": {"Lifecycle Status": "Available to Order"}, "12": {"Weight PG": "2.5000"}, "13": {"ItemLevelGTIN": "00884548068858"}, "14": {"_addonCardone": "43-35006::98264:120730:530"}, "15": {"Application Summary": "VW POLO(MEX) 1997 F"}, "16": {"Eligible for R&amp;R Service": "Yes"}}</t>
        </is>
      </c>
      <c r="J712" t="inlineStr">
        <is>
          <t>https://www.cardone.com/product/windshield-wiper-motor-43-35006</t>
        </is>
      </c>
      <c r="K712">
        <f>DISPIMG("ID_72C6B3C8BC834A74BA8384F50E339433",1)</f>
        <v/>
      </c>
      <c r="L712" t="inlineStr">
        <is>
          <t>CPCX|43-35006</t>
        </is>
      </c>
      <c r="M712" t="inlineStr">
        <is>
          <t>Wiper Motor; Instruction Sheet</t>
        </is>
      </c>
      <c r="N712" t="inlineStr">
        <is>
          <t>Yes</t>
        </is>
      </c>
      <c r="O712" t="inlineStr">
        <is>
          <t>Remanufactured</t>
        </is>
      </c>
      <c r="P712" t="inlineStr">
        <is>
          <t>3</t>
        </is>
      </c>
      <c r="Q712" t="inlineStr">
        <is>
          <t>Blade</t>
        </is>
      </c>
      <c r="R712" t="inlineStr">
        <is>
          <t>Direct Bolt</t>
        </is>
      </c>
      <c r="S712" t="inlineStr">
        <is>
          <t>2.5000</t>
        </is>
      </c>
      <c r="T712" t="inlineStr">
        <is>
          <t>No</t>
        </is>
      </c>
      <c r="U712" t="inlineStr">
        <is>
          <t>1 Year/18,000 Mile</t>
        </is>
      </c>
      <c r="V712" t="inlineStr">
        <is>
          <t>Yes</t>
        </is>
      </c>
      <c r="W712" t="inlineStr">
        <is>
          <t>Available to Order</t>
        </is>
      </c>
      <c r="X712" t="inlineStr">
        <is>
          <t>VW POLO(MEX) 1997 F</t>
        </is>
      </c>
      <c r="Y712" t="inlineStr">
        <is>
          <t>00884548068858</t>
        </is>
      </c>
      <c r="Z712" t="inlineStr">
        <is>
          <t>43-35006::98264:120730:530</t>
        </is>
      </c>
      <c r="AA712" t="inlineStr">
        <is>
          <t>Yes</t>
        </is>
      </c>
      <c r="AB712" t="inlineStr"/>
      <c r="AC712" t="inlineStr"/>
    </row>
    <row r="713">
      <c r="A713" t="inlineStr">
        <is>
          <t>712</t>
        </is>
      </c>
      <c r="B713" t="inlineStr">
        <is>
          <t>Windshield Wiper Motor</t>
        </is>
      </c>
      <c r="C713" t="inlineStr">
        <is>
          <t>43-3501</t>
        </is>
      </c>
      <c r="D713" t="inlineStr">
        <is>
          <t>Windshield Wiper Motor - 43-3501</t>
        </is>
      </c>
      <c r="E713" t="inlineStr">
        <is>
          <t>CARDONE Reman</t>
        </is>
      </c>
      <c r="F713" t="inlineStr">
        <is>
          <t>8D1955113C</t>
        </is>
      </c>
      <c r="G713" t="inlineStr">
        <is>
          <t>Audi A4 1999-2001
Audi A4 Quattro 1999-2001
Audi A6 2000-2003
Audi A6 Quattro 2000-2002
Audi Allroad Quattro 2001-2003
Audi S4 2000-2002</t>
        </is>
      </c>
      <c r="H713" t="inlineStr">
        <is>
          <t>Audi A4 1999-2001 1.8L L4 1781cc
Audi A4 1999-2001 2.8L V6 2771cc
Audi A4 Quattro 1999-2001 1.8L L4 1781cc
Audi A4 Quattro 1999-2001 2.8L V6 2771cc
Audi A6 2000-2001 2.8L V6 2771cc
Audi A6 2002-2003 3L V6 2950cc
Audi A6 2002-2003 3L V6 2976cc
Audi A6 Quattro 2000-2001 2.8L V6 2771cc
Audi A6 Quattro 2000-2002 2.7L V6 2671cc
Audi A6 Quattro 2000-2002 4.2L V8 4172cc
Audi A6 Quattro 2002 3L V6 2950cc
Audi A6 Quattro 2002 3L V6 2976cc
Audi Allroad Quattro 2001-2003 2.7L V6 2671cc
Audi Allroad Quattro 2003 4.2L V8 4172cc
Audi S4 2000-2002 2.7L V6 2671cc</t>
        </is>
      </c>
      <c r="I713" t="inlineStr">
        <is>
          <t>{"0": {"productDeskExternalKey": "CPCX|43-3501"},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"Audi A4 2001-99, A4 Quattro 2001-99, A6 2003-00, A6 Quattro 2002-00, Allroad Quattro 2003-01, S4 2002-00"}, "14": {"ItemLevelGTIN": "00082617588089"}, "15": {"_addonCardone": "43-3501::98264:120748:530"}, "16": {"Eligible for R&amp;R Service": "Yes"}}</t>
        </is>
      </c>
      <c r="J713" t="inlineStr">
        <is>
          <t>https://www.cardone.com/product/windshield-wiper-motor-43-3501</t>
        </is>
      </c>
      <c r="K713">
        <f>DISPIMG("ID_3B70785798544FAAAA31E0E12F20B101",1)</f>
        <v/>
      </c>
      <c r="L713" t="inlineStr">
        <is>
          <t>CPCX|43-3501</t>
        </is>
      </c>
      <c r="M713" t="inlineStr">
        <is>
          <t>Wiper Motor; Instruction Sheet</t>
        </is>
      </c>
      <c r="N713" t="inlineStr">
        <is>
          <t>Yes</t>
        </is>
      </c>
      <c r="O713" t="inlineStr">
        <is>
          <t>Remanufactured</t>
        </is>
      </c>
      <c r="P713" t="inlineStr">
        <is>
          <t>3</t>
        </is>
      </c>
      <c r="Q713" t="inlineStr">
        <is>
          <t>Blade</t>
        </is>
      </c>
      <c r="R713" t="inlineStr">
        <is>
          <t>Direct Bolt</t>
        </is>
      </c>
      <c r="S713" t="inlineStr">
        <is>
          <t>2.5000</t>
        </is>
      </c>
      <c r="T713" t="inlineStr">
        <is>
          <t>No</t>
        </is>
      </c>
      <c r="U713" t="inlineStr">
        <is>
          <t>1 Year/18,000 Mile</t>
        </is>
      </c>
      <c r="V713" t="inlineStr">
        <is>
          <t>Yes</t>
        </is>
      </c>
      <c r="W713" t="inlineStr">
        <is>
          <t>Available to Order</t>
        </is>
      </c>
      <c r="X713" t="inlineStr">
        <is>
          <t>Audi A4 2001-99, A4 Quattro 2001-99, A6 2003-00, A6 Quattro 2002-00, Allroad Quattro 2003-01, S4 2002-00</t>
        </is>
      </c>
      <c r="Y713" t="inlineStr">
        <is>
          <t>00082617588089</t>
        </is>
      </c>
      <c r="Z713" t="inlineStr">
        <is>
          <t>43-3501::98264:120748:530</t>
        </is>
      </c>
      <c r="AA713" t="inlineStr">
        <is>
          <t>Yes</t>
        </is>
      </c>
      <c r="AB713" t="inlineStr"/>
      <c r="AC713" t="inlineStr"/>
    </row>
    <row r="714">
      <c r="A714" t="inlineStr">
        <is>
          <t>713</t>
        </is>
      </c>
      <c r="B714" t="inlineStr">
        <is>
          <t>Windshield Wiper Motor</t>
        </is>
      </c>
      <c r="C714" t="inlineStr">
        <is>
          <t>43-3502</t>
        </is>
      </c>
      <c r="D714" t="inlineStr">
        <is>
          <t>Windshield Wiper Motor - 43-3502</t>
        </is>
      </c>
      <c r="E714" t="inlineStr">
        <is>
          <t>CARDONE Reman</t>
        </is>
      </c>
      <c r="F714" t="inlineStr">
        <is>
          <t>3B1955133B;4B1955113;3B1955113B</t>
        </is>
      </c>
      <c r="G714" t="inlineStr">
        <is>
          <t>Audi A6 1999-2000
Audi A6 Quattro 1999-2000
Volkswagen Passat 2000</t>
        </is>
      </c>
      <c r="H714" t="inlineStr">
        <is>
          <t>Audi A6 1999-2000 2.8L V6 2771cc
Audi A6 Quattro 1999-2000 2.8L V6 2771cc
Audi A6 Quattro 2000 2.7L V6 2671cc
Audi A6 Quattro 2000 4.2L V8 4172cc
Volkswagen Passat 2000 1.8L L4 1781cc
Volkswagen Passat 2000 2.8L V6 2771cc</t>
        </is>
      </c>
      <c r="I714" t="inlineStr">
        <is>
          <t>{"0": {"productDeskExternalKey": "CPCX|43-3502"}, "1": {"Package Contents": "Wiper Motor; Instruction Sheet"}, "2": {"E-Waste": "Yes"}, "3": {"Product Condition": "Remanufactured"}, "4": {"Mounting Hole Quantity": "3"}, "5": {"Terminal Type": "Blade"}, "6": {"Mounting Type": "Direct Bolt"}, "7": {"Weight PG": "2.2600"}, "8": {"Washer Pump Included": "No"}, "9": {"Part Type": "Windshield Wiper Motor"}, "10": {"Warranty Info": "1 Year/18,000 Mile"}, "11": {"Sustainable Choice": "Yes"}, "12": {"Lifecycle Status": "Available to Order"}, "13": {"Application Summary": "Audi A6 2000-99, A6 Quattro 2000-99; Volkswagen Passat 2000"}, "14": {"ItemLevelGTIN": "00082617588126"}, "15": {"_addonCardone": "43-3502::98264:120763:530"}, "16": {"Eligible for R&amp;R Service": "Yes"}}</t>
        </is>
      </c>
      <c r="J714" t="inlineStr">
        <is>
          <t>https://www.cardone.com/product/windshield-wiper-motor-43-3502</t>
        </is>
      </c>
      <c r="K714">
        <f>DISPIMG("ID_C62A1D77243248F28FE4EE04A396412A",1)</f>
        <v/>
      </c>
      <c r="L714" t="inlineStr">
        <is>
          <t>CPCX|43-3502</t>
        </is>
      </c>
      <c r="M714" t="inlineStr">
        <is>
          <t>Wiper Motor; Instruction Sheet</t>
        </is>
      </c>
      <c r="N714" t="inlineStr">
        <is>
          <t>Yes</t>
        </is>
      </c>
      <c r="O714" t="inlineStr">
        <is>
          <t>Remanufactured</t>
        </is>
      </c>
      <c r="P714" t="inlineStr">
        <is>
          <t>3</t>
        </is>
      </c>
      <c r="Q714" t="inlineStr">
        <is>
          <t>Blade</t>
        </is>
      </c>
      <c r="R714" t="inlineStr">
        <is>
          <t>Direct Bolt</t>
        </is>
      </c>
      <c r="S714" t="inlineStr">
        <is>
          <t>2.2600</t>
        </is>
      </c>
      <c r="T714" t="inlineStr">
        <is>
          <t>No</t>
        </is>
      </c>
      <c r="U714" t="inlineStr">
        <is>
          <t>1 Year/18,000 Mile</t>
        </is>
      </c>
      <c r="V714" t="inlineStr">
        <is>
          <t>Yes</t>
        </is>
      </c>
      <c r="W714" t="inlineStr">
        <is>
          <t>Available to Order</t>
        </is>
      </c>
      <c r="X714" t="inlineStr">
        <is>
          <t>Audi A6 2000-99, A6 Quattro 2000-99; Volkswagen Passat 2000</t>
        </is>
      </c>
      <c r="Y714" t="inlineStr">
        <is>
          <t>00082617588126</t>
        </is>
      </c>
      <c r="Z714" t="inlineStr">
        <is>
          <t>43-3502::98264:120763:530</t>
        </is>
      </c>
      <c r="AA714" t="inlineStr">
        <is>
          <t>Yes</t>
        </is>
      </c>
      <c r="AB714" t="inlineStr"/>
      <c r="AC714" t="inlineStr"/>
    </row>
    <row r="715">
      <c r="A715" t="inlineStr">
        <is>
          <t>714</t>
        </is>
      </c>
      <c r="B715" t="inlineStr">
        <is>
          <t>Windshield Wiper Motor</t>
        </is>
      </c>
      <c r="C715" t="inlineStr">
        <is>
          <t>43-3503</t>
        </is>
      </c>
      <c r="D715" t="inlineStr">
        <is>
          <t>Windshield Wiper Motor - 43-3503</t>
        </is>
      </c>
      <c r="E715" t="inlineStr">
        <is>
          <t>CARDONE Reman</t>
        </is>
      </c>
      <c r="F715" t="inlineStr">
        <is>
          <t>8D1955113B;8D1955113A;8D1955113D</t>
        </is>
      </c>
      <c r="G715" t="inlineStr">
        <is>
          <t>Audi A4 1996-2001
Audi A4 Quattro 1996-2001
Audi S4 2000-2002
Volkswagen Passat 1998-1999</t>
        </is>
      </c>
      <c r="H715" t="inlineStr">
        <is>
          <t>Audi A4 1996-2001 2.8L V6 2771cc
Audi A4 1997-2001 1.8L L4 1781cc
Audi A4 Quattro 1996-2001 2.8L V6 2771cc
Audi A4 Quattro 1997-2001 1.8L L4 1781cc
Audi S4 2000-2002 2.7L V6 2671cc
Volkswagen Passat 1998-1999 1.8L L4 1781cc
Volkswagen Passat 1998-1999 2.8L V6 2771cc</t>
        </is>
      </c>
      <c r="I715" t="inlineStr">
        <is>
          <t>{"0": {"productDeskExternalKey": "CPCX|43-3503"}, "1": {"Package Contents": "Wiper Motor; Instruction Sheet"}, "2": {"E-Waste": "Yes"}, "3": {"Product Condition": "Remanufactured"}, "4": {"Mounting Hole Quantity": "3"}, "5": {"Terminal Type": "Blade"}, "6": {"Mounting Type": "Direct Bolt"}, "7": {"Weight PG": "2.2600"}, "8": {"Washer Pump Included": "No"}, "9": {"Part Type": "Windshield Wiper Motor"}, "10": {"Warranty Info": "1 Year/18,000 Mile"}, "11": {"Sustainable Choice": "Yes"}, "12": {"Lifecycle Status": "Available to Order"}, "13": {"Application Summary": "Audi A4 2001-96, A4 Quattro 2001-96, S4 2002-00; Volkswagen Passat 1999-98"}, "14": {"ItemLevelGTIN": "00082617588133"}, "15": {"_addonCardone": "43-3503::98264:120775:530"}, "16": {"Eligible for R&amp;R Service": "Yes"}}</t>
        </is>
      </c>
      <c r="J715" t="inlineStr">
        <is>
          <t>https://www.cardone.com/product/windshield-wiper-motor-43-3503</t>
        </is>
      </c>
      <c r="K715">
        <f>DISPIMG("ID_5CA7546DAABF47CB88ADBFA9CCCCB47B",1)</f>
        <v/>
      </c>
      <c r="L715" t="inlineStr">
        <is>
          <t>CPCX|43-3503</t>
        </is>
      </c>
      <c r="M715" t="inlineStr">
        <is>
          <t>Wiper Motor; Instruction Sheet</t>
        </is>
      </c>
      <c r="N715" t="inlineStr">
        <is>
          <t>Yes</t>
        </is>
      </c>
      <c r="O715" t="inlineStr">
        <is>
          <t>Remanufactured</t>
        </is>
      </c>
      <c r="P715" t="inlineStr">
        <is>
          <t>3</t>
        </is>
      </c>
      <c r="Q715" t="inlineStr">
        <is>
          <t>Blade</t>
        </is>
      </c>
      <c r="R715" t="inlineStr">
        <is>
          <t>Direct Bolt</t>
        </is>
      </c>
      <c r="S715" t="inlineStr">
        <is>
          <t>2.2600</t>
        </is>
      </c>
      <c r="T715" t="inlineStr">
        <is>
          <t>No</t>
        </is>
      </c>
      <c r="U715" t="inlineStr">
        <is>
          <t>1 Year/18,000 Mile</t>
        </is>
      </c>
      <c r="V715" t="inlineStr">
        <is>
          <t>Yes</t>
        </is>
      </c>
      <c r="W715" t="inlineStr">
        <is>
          <t>Available to Order</t>
        </is>
      </c>
      <c r="X715" t="inlineStr">
        <is>
          <t>Audi A4 2001-96, A4 Quattro 2001-96, S4 2002-00; Volkswagen Passat 1999-98</t>
        </is>
      </c>
      <c r="Y715" t="inlineStr">
        <is>
          <t>00082617588133</t>
        </is>
      </c>
      <c r="Z715" t="inlineStr">
        <is>
          <t>43-3503::98264:120775:530</t>
        </is>
      </c>
      <c r="AA715" t="inlineStr">
        <is>
          <t>Yes</t>
        </is>
      </c>
      <c r="AB715" t="inlineStr"/>
      <c r="AC715" t="inlineStr"/>
    </row>
    <row r="716">
      <c r="A716" t="inlineStr">
        <is>
          <t>715</t>
        </is>
      </c>
      <c r="B716" t="inlineStr">
        <is>
          <t>Windshield Wiper Motor</t>
        </is>
      </c>
      <c r="C716" t="inlineStr">
        <is>
          <t>43-3504</t>
        </is>
      </c>
      <c r="D716" t="inlineStr">
        <is>
          <t>Windshield Wiper Motor - 43-3504</t>
        </is>
      </c>
      <c r="E716" t="inlineStr">
        <is>
          <t>CARDONE Reman</t>
        </is>
      </c>
      <c r="F716" t="inlineStr">
        <is>
          <t>3B1955113D;3B1955113C;3DI955111</t>
        </is>
      </c>
      <c r="G716" t="inlineStr">
        <is>
          <t>Volkswagen Passat 2001-2005</t>
        </is>
      </c>
      <c r="H716" t="inlineStr">
        <is>
          <t>Volkswagen Passat 2001-2005 1.8L L4 1781cc
Volkswagen Passat 2001-2005 2.8L V6 2771cc
Volkswagen Passat 2002-2004 4L W8 244cid
Volkswagen Passat 2004-2005 2L L4 120cid</t>
        </is>
      </c>
      <c r="I716" t="inlineStr">
        <is>
          <t>{"0": {"productDeskExternalKey": "CPCX|43-3504"},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"Volkswagen Passat 2005-01"}, "14": {"ItemLevelGTIN": "00082617588171"}, "15": {"_addonCardone": "43-3504::98264:120791:530"}, "16": {"Eligible for R&amp;R Service": "Yes"}}</t>
        </is>
      </c>
      <c r="J716" t="inlineStr">
        <is>
          <t>https://www.cardone.com/product/windshield-wiper-motor-43-3504</t>
        </is>
      </c>
      <c r="K716">
        <f>DISPIMG("ID_5036EFDBA28343B88F26BC25244645BE",1)</f>
        <v/>
      </c>
      <c r="L716" t="inlineStr">
        <is>
          <t>CPCX|43-3504</t>
        </is>
      </c>
      <c r="M716" t="inlineStr">
        <is>
          <t>Wiper Motor; Instruction Sheet</t>
        </is>
      </c>
      <c r="N716" t="inlineStr">
        <is>
          <t>Yes</t>
        </is>
      </c>
      <c r="O716" t="inlineStr">
        <is>
          <t>Remanufactured</t>
        </is>
      </c>
      <c r="P716" t="inlineStr">
        <is>
          <t>3</t>
        </is>
      </c>
      <c r="Q716" t="inlineStr">
        <is>
          <t>Blade</t>
        </is>
      </c>
      <c r="R716" t="inlineStr">
        <is>
          <t>Direct Bolt</t>
        </is>
      </c>
      <c r="S716" t="inlineStr">
        <is>
          <t>2.5000</t>
        </is>
      </c>
      <c r="T716" t="inlineStr">
        <is>
          <t>No</t>
        </is>
      </c>
      <c r="U716" t="inlineStr">
        <is>
          <t>1 Year/18,000 Mile</t>
        </is>
      </c>
      <c r="V716" t="inlineStr">
        <is>
          <t>Yes</t>
        </is>
      </c>
      <c r="W716" t="inlineStr">
        <is>
          <t>Available to Order</t>
        </is>
      </c>
      <c r="X716" t="inlineStr">
        <is>
          <t>Volkswagen Passat 2005-01</t>
        </is>
      </c>
      <c r="Y716" t="inlineStr">
        <is>
          <t>00082617588171</t>
        </is>
      </c>
      <c r="Z716" t="inlineStr">
        <is>
          <t>43-3504::98264:120791:530</t>
        </is>
      </c>
      <c r="AA716" t="inlineStr">
        <is>
          <t>Yes</t>
        </is>
      </c>
      <c r="AB716" t="inlineStr"/>
      <c r="AC716" t="inlineStr"/>
    </row>
    <row r="717">
      <c r="A717" t="inlineStr">
        <is>
          <t>716</t>
        </is>
      </c>
      <c r="B717" t="inlineStr">
        <is>
          <t>Windshield Wiper Motor</t>
        </is>
      </c>
      <c r="C717" t="inlineStr">
        <is>
          <t>43-3505</t>
        </is>
      </c>
      <c r="D717" t="inlineStr">
        <is>
          <t>Windshield Wiper Motor - 43-3505</t>
        </is>
      </c>
      <c r="E717" t="inlineStr">
        <is>
          <t>CARDONE Reman</t>
        </is>
      </c>
      <c r="F717" t="inlineStr">
        <is>
          <t>445955713B</t>
        </is>
      </c>
      <c r="G717" t="inlineStr">
        <is>
          <t>Audi 100 1989-1991
Audi 100 Quattro 1989-1991
Audi 200 1989-1991
Audi 200 Quattro 1989-1991
Audi 5000 1984-1988
Audi 5000 Quattro 1986-1988</t>
        </is>
      </c>
      <c r="H717" t="inlineStr">
        <is>
          <t>Audi 100 1989-1991 2.3L L5 2309cc
Audi 100 Quattro 1989-1991 2.3L L5 2309cc
Audi 200 1989-1991 2.2L L5 2226cc
Audi 200 Quattro 1989-1991 2.2L L5 2226cc
Audi 5000 1984-1985 2.2L L5 2144cc
Audi 5000 1985-1988 2.2L L5 2226cc
Audi 5000 1987-1988 2.3L L5 2309cc
Audi 5000 Quattro 1986-1988 2.2L L5 2226cc
Audi 5000 Quattro 1987-1988 2.3L L5 2309cc</t>
        </is>
      </c>
      <c r="I717" t="inlineStr">
        <is>
          <t>{"0": {"productDeskExternalKey": "CPCX|43-3505"}, "1": {"Package Contents": "Wiper Motor; Instruction Sheet"}, "2": {"E-Waste": "Yes"}, "3": {"Product Condition": "Remanufactured"}, "4": {"Mounting Hole Quantity": "3"}, "5": {"Terminal Type": "Blade"}, "6": {"Mounting Type": "Direct Bolt"}, "7": {"Weight PG": "2.6200"}, "8": {"Washer Pump Included": "No"}, "9": {"Part Type": "Windshield Wiper Motor"}, "10": {"Warranty Info": "1 Year/18,000 Mile"}, "11": {"Sustainable Choice": "Yes"}, "12": {"Lifecycle Status": "Available to Order"}, "13": {"Application Summary": "Audi 100 1991-89, 100 Quattro 1991-89, 200 1991-89, 200 Quattro 1991-89, 5000 1988-84, 5000 Quattro 1988-86"}, "14": {"ItemLevelGTIN": "00082617595780"}, "15": {"_addonCardone": "43-3505::98264:120801:530"}, "16": {"Eligible for R&amp;R Service": "Yes"}}</t>
        </is>
      </c>
      <c r="J717" t="inlineStr">
        <is>
          <t>https://www.cardone.com/product/windshield-wiper-motor-43-3505</t>
        </is>
      </c>
      <c r="K717">
        <f>DISPIMG("ID_F8D08786CEFD4960B09AB6EC74907F66",1)</f>
        <v/>
      </c>
      <c r="L717" t="inlineStr">
        <is>
          <t>CPCX|43-3505</t>
        </is>
      </c>
      <c r="M717" t="inlineStr">
        <is>
          <t>Wiper Motor; Instruction Sheet</t>
        </is>
      </c>
      <c r="N717" t="inlineStr">
        <is>
          <t>Yes</t>
        </is>
      </c>
      <c r="O717" t="inlineStr">
        <is>
          <t>Remanufactured</t>
        </is>
      </c>
      <c r="P717" t="inlineStr">
        <is>
          <t>3</t>
        </is>
      </c>
      <c r="Q717" t="inlineStr">
        <is>
          <t>Blade</t>
        </is>
      </c>
      <c r="R717" t="inlineStr">
        <is>
          <t>Direct Bolt</t>
        </is>
      </c>
      <c r="S717" t="inlineStr">
        <is>
          <t>2.6200</t>
        </is>
      </c>
      <c r="T717" t="inlineStr">
        <is>
          <t>No</t>
        </is>
      </c>
      <c r="U717" t="inlineStr">
        <is>
          <t>1 Year/18,000 Mile</t>
        </is>
      </c>
      <c r="V717" t="inlineStr">
        <is>
          <t>Yes</t>
        </is>
      </c>
      <c r="W717" t="inlineStr">
        <is>
          <t>Available to Order</t>
        </is>
      </c>
      <c r="X717" t="inlineStr">
        <is>
          <t>Audi 100 1991-89, 100 Quattro 1991-89, 200 1991-89, 200 Quattro 1991-89, 5000 1988-84, 5000 Quattro 1988-86</t>
        </is>
      </c>
      <c r="Y717" t="inlineStr">
        <is>
          <t>00082617595780</t>
        </is>
      </c>
      <c r="Z717" t="inlineStr">
        <is>
          <t>43-3505::98264:120801:530</t>
        </is>
      </c>
      <c r="AA717" t="inlineStr">
        <is>
          <t>Yes</t>
        </is>
      </c>
      <c r="AB717" t="inlineStr"/>
      <c r="AC717" t="inlineStr"/>
    </row>
    <row r="718">
      <c r="A718" t="inlineStr">
        <is>
          <t>717</t>
        </is>
      </c>
      <c r="B718" t="inlineStr">
        <is>
          <t>Windshield Wiper Motor</t>
        </is>
      </c>
      <c r="C718" t="inlineStr">
        <is>
          <t>43-3506</t>
        </is>
      </c>
      <c r="D718" t="inlineStr">
        <is>
          <t>Windshield Wiper Motor - 43-3506</t>
        </is>
      </c>
      <c r="E718" t="inlineStr">
        <is>
          <t>CARDONE Reman</t>
        </is>
      </c>
      <c r="F718" t="inlineStr">
        <is>
          <t>1J6955711C;1J6955711G;1J9955711F;3B9955711E;1J9955711;1J6955711B;1J6955711F</t>
        </is>
      </c>
      <c r="G718" t="inlineStr">
        <is>
          <t>Volkswagen Golf 1999-2006
Volkswagen Jetta 2001-2005
Volkswagen Passat 2003-2005
Volkswagen R32 2004</t>
        </is>
      </c>
      <c r="H718" t="inlineStr">
        <is>
          <t>Volkswagen Golf 1999-2005 2.8L V6 2771cc
Volkswagen Golf 1999-2006 1.9L L4 116cid
Volkswagen Golf 1999-2006 2L L4 121cid
Volkswagen Golf 2000-2006 1.8L L4 1781cc
Volkswagen Jetta 2001-2004 2.8L V6 2771cc
Volkswagen Jetta 2001-2005 1.8L L4 1781cc
Volkswagen Jetta 2001-2005 1.9L L4 116cid
Volkswagen Jetta 2001-2005 2L L4 121cid
Volkswagen Jetta 2005 2.5L L5 151cid
Volkswagen Passat 2003-2004 4L W8 244cid
Volkswagen Passat 2003-2005 1.8L L4 1781cc
Volkswagen Passat 2003-2005 2.8L V6 2771cc
Volkswagen Passat 2004-2005 2L L4 120cid
Volkswagen R32 2004 3.2L V6 3189cc</t>
        </is>
      </c>
      <c r="I718" t="inlineStr">
        <is>
          <t>{"0": {"productDeskExternalKey": "CPCX|43-3506"},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"Volkswagen Golf 2006-99, Jetta 2005-01, Passat 2005-03, R32 2004"}, "14": {"ItemLevelGTIN": "00082617595797"}, "15": {"_addonCardone": "43-3506::98264:120816:530"}, "16": {"Eligible for R&amp;R Service": "Yes"}}</t>
        </is>
      </c>
      <c r="J718" t="inlineStr">
        <is>
          <t>https://www.cardone.com/product/windshield-wiper-motor-43-3506</t>
        </is>
      </c>
      <c r="K718">
        <f>DISPIMG("ID_457D94AFF6CD4D71ACE7553A7DAC6674",1)</f>
        <v/>
      </c>
      <c r="L718" t="inlineStr">
        <is>
          <t>CPCX|43-3506</t>
        </is>
      </c>
      <c r="M718" t="inlineStr">
        <is>
          <t>Wiper Motor; Instruction Sheet</t>
        </is>
      </c>
      <c r="N718" t="inlineStr">
        <is>
          <t>Yes</t>
        </is>
      </c>
      <c r="O718" t="inlineStr">
        <is>
          <t>Remanufactured</t>
        </is>
      </c>
      <c r="P718" t="inlineStr">
        <is>
          <t>3</t>
        </is>
      </c>
      <c r="Q718" t="inlineStr">
        <is>
          <t>Blade</t>
        </is>
      </c>
      <c r="R718" t="inlineStr">
        <is>
          <t>Grommet</t>
        </is>
      </c>
      <c r="S718" t="inlineStr">
        <is>
          <t>2.5000</t>
        </is>
      </c>
      <c r="T718" t="inlineStr">
        <is>
          <t>No</t>
        </is>
      </c>
      <c r="U718" t="inlineStr">
        <is>
          <t>1 Year/18,000 Mile</t>
        </is>
      </c>
      <c r="V718" t="inlineStr">
        <is>
          <t>Yes</t>
        </is>
      </c>
      <c r="W718" t="inlineStr">
        <is>
          <t>Available to Order</t>
        </is>
      </c>
      <c r="X718" t="inlineStr">
        <is>
          <t>Volkswagen Golf 2006-99, Jetta 2005-01, Passat 2005-03, R32 2004</t>
        </is>
      </c>
      <c r="Y718" t="inlineStr">
        <is>
          <t>00082617595797</t>
        </is>
      </c>
      <c r="Z718" t="inlineStr">
        <is>
          <t>43-3506::98264:120816:530</t>
        </is>
      </c>
      <c r="AA718" t="inlineStr">
        <is>
          <t>Yes</t>
        </is>
      </c>
      <c r="AB718" t="inlineStr"/>
      <c r="AC718" t="inlineStr"/>
    </row>
    <row r="719">
      <c r="A719" t="inlineStr">
        <is>
          <t>718</t>
        </is>
      </c>
      <c r="B719" t="inlineStr">
        <is>
          <t>Windshield Wiper Motor</t>
        </is>
      </c>
      <c r="C719" t="inlineStr">
        <is>
          <t>43-3507</t>
        </is>
      </c>
      <c r="D719" t="inlineStr">
        <is>
          <t>Windshield Wiper Motor - 43-3507</t>
        </is>
      </c>
      <c r="E719" t="inlineStr">
        <is>
          <t>CARDONE Reman</t>
        </is>
      </c>
      <c r="F719" t="inlineStr">
        <is>
          <t>1H6955713A</t>
        </is>
      </c>
      <c r="G719" t="inlineStr">
        <is>
          <t>Volkswagen Golf 1993-1998</t>
        </is>
      </c>
      <c r="H719" t="inlineStr">
        <is>
          <t>Volkswagen Golf 1993-1998 1.8L L4 109cid
Volkswagen Golf 1993-1998 1.8L L4 1781cc
Volkswagen Golf 1993-1998 1.9L L4 116cid
Volkswagen Golf 1993-1998 2L L4 121cid
Volkswagen Golf 1995-1998 2.8L V6 2771cc</t>
        </is>
      </c>
      <c r="I719" t="inlineStr">
        <is>
          <t>{"0": {"productDeskExternalKey": "CPCX|43-3507"}, "1": {"Package Contents": "Wiper Motor; Instruction Sheet"}, "2": {"E-Waste": "Yes"}, "3": {"Product Condition": "Remanufactured"}, "4": {"Mounting Hole Quantity": "2"}, "5": {"Terminal Type": "Blade"}, "6": {"Mounting Type": "Direct Bolt"}, "7": {"Weight PG": "2.3000"}, "8": {"Washer Pump Included": "No"}, "9": {"Part Type": "Windshield Wiper Motor"}, "10": {"Warranty Info": "1 Year/18,000 Mile"}, "11": {"Sustainable Choice": "Yes"}, "12": {"Lifecycle Status": "Available to Order"}, "13": {"Application Summary": "Volkswagen Golf 1998-93"}, "14": {"ItemLevelGTIN": "00082617595803"}, "15": {"_addonCardone": "43-3507::98264:120833:530"}, "16": {"Eligible for R&amp;R Service": "Yes"}}</t>
        </is>
      </c>
      <c r="J719" t="inlineStr">
        <is>
          <t>https://www.cardone.com/product/windshield-wiper-motor-43-3507</t>
        </is>
      </c>
      <c r="K719">
        <f>DISPIMG("ID_F2F6025CE1DB49C19B89F0CABCD94962",1)</f>
        <v/>
      </c>
      <c r="L719" t="inlineStr">
        <is>
          <t>CPCX|43-3507</t>
        </is>
      </c>
      <c r="M719" t="inlineStr">
        <is>
          <t>Wiper Motor; Instruction Sheet</t>
        </is>
      </c>
      <c r="N719" t="inlineStr">
        <is>
          <t>Yes</t>
        </is>
      </c>
      <c r="O719" t="inlineStr">
        <is>
          <t>Remanufactured</t>
        </is>
      </c>
      <c r="P719" t="inlineStr">
        <is>
          <t>2</t>
        </is>
      </c>
      <c r="Q719" t="inlineStr">
        <is>
          <t>Blade</t>
        </is>
      </c>
      <c r="R719" t="inlineStr">
        <is>
          <t>Direct Bolt</t>
        </is>
      </c>
      <c r="S719" t="inlineStr">
        <is>
          <t>2.3000</t>
        </is>
      </c>
      <c r="T719" t="inlineStr">
        <is>
          <t>No</t>
        </is>
      </c>
      <c r="U719" t="inlineStr">
        <is>
          <t>1 Year/18,000 Mile</t>
        </is>
      </c>
      <c r="V719" t="inlineStr">
        <is>
          <t>Yes</t>
        </is>
      </c>
      <c r="W719" t="inlineStr">
        <is>
          <t>Available to Order</t>
        </is>
      </c>
      <c r="X719" t="inlineStr">
        <is>
          <t>Volkswagen Golf 1998-93</t>
        </is>
      </c>
      <c r="Y719" t="inlineStr">
        <is>
          <t>00082617595803</t>
        </is>
      </c>
      <c r="Z719" t="inlineStr">
        <is>
          <t>43-3507::98264:120833:530</t>
        </is>
      </c>
      <c r="AA719" t="inlineStr">
        <is>
          <t>Yes</t>
        </is>
      </c>
      <c r="AB719" t="inlineStr"/>
      <c r="AC719" t="inlineStr"/>
    </row>
    <row r="720">
      <c r="A720" t="inlineStr">
        <is>
          <t>719</t>
        </is>
      </c>
      <c r="B720" t="inlineStr">
        <is>
          <t>Windshield Wiper Motor</t>
        </is>
      </c>
      <c r="C720" t="inlineStr">
        <is>
          <t>43-3508</t>
        </is>
      </c>
      <c r="D720" t="inlineStr">
        <is>
          <t>Windshield Wiper Motor - 43-3508</t>
        </is>
      </c>
      <c r="E720" t="inlineStr">
        <is>
          <t>CARDONE Reman</t>
        </is>
      </c>
      <c r="F720" t="inlineStr">
        <is>
          <t>4A1955113C;1638204342</t>
        </is>
      </c>
      <c r="G720" t="inlineStr">
        <is>
          <t>Audi 100 1992-1994
Audi 100 Quattro 1992-1994
Audi A6 1995-1998
Audi A6 Quattro 1995-1998
Audi S4 1992-1994
Audi S6 1995
Mercedes-Benz ML320 1998
Mercedes-Benz ML350 2003-2005
Mercedes-Benz ML430 1999-2001
Mercedes-Benz ML500 2002-2005
Mercedes-Benz ML55 AMG 2000-2003</t>
        </is>
      </c>
      <c r="H720" t="inlineStr">
        <is>
          <t>Audi 100 1992-1994 2.8L V6 2771cc
Audi 100 Quattro 1992-1994 2.8L V6 2771cc
Audi A6 1995-1998 2.8L V6 2771cc
Audi A6 Quattro 1995-1998 2.8L V6 2771cc
Audi S4 1992-1994 2.2L L5 2226cc
Audi S6 1995 2.2L L5 2226cc
Mercedes-Benz ML320 1998 3.2L V6 3199cc
Mercedes-Benz ML350 2003-2005 3.7L V6 3699cc
Mercedes-Benz ML430 1999-2001 4.3L V8 4266cc
Mercedes-Benz ML500 2002-2005 5L V8 4966cc
Mercedes-Benz ML55 AMG 2000-2003 5.5L V8 332cid
Mercedes-Benz ML55 AMG 2002-2003 5.4L V8 332cid</t>
        </is>
      </c>
      <c r="I720" t="inlineStr">
        <is>
          <t>{"0": {"productDeskExternalKey": "CPCX|43-3508"},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"Audi 100 1994-92, 100 Quattro 1994-92, A6 1998-95, A6 Quattro 1998-95, S4 1994-92, S6 1995; Mercedes-Benz ML320 2003-98, ML350 2005-03, ML430 2001-99, ML500 2005-02, ML55 AMG 2003-00"}, "14": {"ItemLevelGTIN": "00082617595810"}, "15": {"_addonCardone": "43-3508::98264:120850:530"}, "16": {"Eligible for R&amp;R Service": "Yes"}}</t>
        </is>
      </c>
      <c r="J720" t="inlineStr">
        <is>
          <t>https://www.cardone.com/product/windshield-wiper-motor-43-3508</t>
        </is>
      </c>
      <c r="K720">
        <f>DISPIMG("ID_D15EF07920564B5E89DDCF9E186A6186",1)</f>
        <v/>
      </c>
      <c r="L720" t="inlineStr">
        <is>
          <t>CPCX|43-3508</t>
        </is>
      </c>
      <c r="M720" t="inlineStr">
        <is>
          <t>Wiper Motor; Instruction Sheet</t>
        </is>
      </c>
      <c r="N720" t="inlineStr">
        <is>
          <t>Yes</t>
        </is>
      </c>
      <c r="O720" t="inlineStr">
        <is>
          <t>Remanufactured</t>
        </is>
      </c>
      <c r="P720" t="inlineStr">
        <is>
          <t>3</t>
        </is>
      </c>
      <c r="Q720" t="inlineStr">
        <is>
          <t>Blade</t>
        </is>
      </c>
      <c r="R720" t="inlineStr">
        <is>
          <t>Direct Bolt</t>
        </is>
      </c>
      <c r="S720" t="inlineStr">
        <is>
          <t>2.5000</t>
        </is>
      </c>
      <c r="T720" t="inlineStr">
        <is>
          <t>No</t>
        </is>
      </c>
      <c r="U720" t="inlineStr">
        <is>
          <t>1 Year/18,000 Mile</t>
        </is>
      </c>
      <c r="V720" t="inlineStr">
        <is>
          <t>Yes</t>
        </is>
      </c>
      <c r="W720" t="inlineStr">
        <is>
          <t>Available to Order</t>
        </is>
      </c>
      <c r="X720" t="inlineStr">
        <is>
          <t>Audi 100 1994-92, 100 Quattro 1994-92, A6 1998-95, A6 Quattro 1998-95, S4 1994-92, S6 1995; Mercedes-Benz ML320 2003-98, ML350 2005-03, ML430 2001-99, ML500 2005-02, ML55 AMG 2003-00</t>
        </is>
      </c>
      <c r="Y720" t="inlineStr">
        <is>
          <t>00082617595810</t>
        </is>
      </c>
      <c r="Z720" t="inlineStr">
        <is>
          <t>43-3508::98264:120850:530</t>
        </is>
      </c>
      <c r="AA720" t="inlineStr">
        <is>
          <t>Yes</t>
        </is>
      </c>
      <c r="AB720" t="inlineStr"/>
      <c r="AC720" t="inlineStr"/>
    </row>
    <row r="721">
      <c r="A721" t="inlineStr">
        <is>
          <t>720</t>
        </is>
      </c>
      <c r="B721" t="inlineStr">
        <is>
          <t>Windshield Wiper Motor</t>
        </is>
      </c>
      <c r="C721" t="inlineStr">
        <is>
          <t>43-3509</t>
        </is>
      </c>
      <c r="D721" t="inlineStr">
        <is>
          <t>Windshield Wiper Motor - 43-3509</t>
        </is>
      </c>
      <c r="E721" t="inlineStr">
        <is>
          <t>CARDONE Reman</t>
        </is>
      </c>
      <c r="F721" t="inlineStr">
        <is>
          <t>251955713A</t>
        </is>
      </c>
      <c r="G721" t="inlineStr">
        <is>
          <t>Volkswagen Vanagon 1980-1991</t>
        </is>
      </c>
      <c r="H721" t="inlineStr">
        <is>
          <t>Volkswagen Vanagon 1980-1983 2L H4 1970cc
Volkswagen Vanagon 1982-1984 1.6L L4 97cid
Volkswagen Vanagon 1983-1985 1.9L H4 1915cc
Volkswagen Vanagon 1986-1991 2.1L H4 2109cc</t>
        </is>
      </c>
      <c r="I721" t="inlineStr">
        <is>
          <t>{"0": {"productDeskExternalKey": "CPCX|43-3509"}, "1": {"E-Waste": "Yes"}, "2": {"Product Condition": "Remanufactured"}, "3": {"Weight PG": "1.8000"}, "4": {"Part Type": "Windshield Wiper Motor"}, "5": {"Warranty Info": "1 Year/18,000 Mile"}, "6": {"Sustainable Choice": "Yes"}, "7": {"Lifecycle Status": "Available to Order"}, "8": {"Application Summary": "Volkswagen Vanagon 1991-80"}, "9": {"ItemLevelGTIN": "00082617595827"}, "10": {"_addonCardone": "43-3509::98264:120863:530"}, "11": {"Eligible for R&amp;R Service": "Yes"}}</t>
        </is>
      </c>
      <c r="J721" t="inlineStr">
        <is>
          <t>https://www.cardone.com/product/windshield-wiper-motor-43-3509</t>
        </is>
      </c>
      <c r="K721">
        <f>DISPIMG("ID_6A79B13C1F4441FA9D2C8A41DE8C18E5",1)</f>
        <v/>
      </c>
      <c r="L721" t="inlineStr">
        <is>
          <t>CPCX|43-3509</t>
        </is>
      </c>
      <c r="M721" t="inlineStr"/>
      <c r="N721" t="inlineStr">
        <is>
          <t>Yes</t>
        </is>
      </c>
      <c r="O721" t="inlineStr">
        <is>
          <t>Remanufactured</t>
        </is>
      </c>
      <c r="P721" t="inlineStr"/>
      <c r="Q721" t="inlineStr"/>
      <c r="R721" t="inlineStr"/>
      <c r="S721" t="inlineStr">
        <is>
          <t>1.8000</t>
        </is>
      </c>
      <c r="T721" t="inlineStr"/>
      <c r="U721" t="inlineStr">
        <is>
          <t>1 Year/18,000 Mile</t>
        </is>
      </c>
      <c r="V721" t="inlineStr">
        <is>
          <t>Yes</t>
        </is>
      </c>
      <c r="W721" t="inlineStr">
        <is>
          <t>Available to Order</t>
        </is>
      </c>
      <c r="X721" t="inlineStr">
        <is>
          <t>Volkswagen Vanagon 1991-80</t>
        </is>
      </c>
      <c r="Y721" t="inlineStr">
        <is>
          <t>00082617595827</t>
        </is>
      </c>
      <c r="Z721" t="inlineStr">
        <is>
          <t>43-3509::98264:120863:530</t>
        </is>
      </c>
      <c r="AA721" t="inlineStr">
        <is>
          <t>Yes</t>
        </is>
      </c>
      <c r="AB721" t="inlineStr"/>
      <c r="AC721" t="inlineStr"/>
    </row>
    <row r="722">
      <c r="A722" t="inlineStr">
        <is>
          <t>721</t>
        </is>
      </c>
      <c r="B722" t="inlineStr">
        <is>
          <t>Windshield Wiper Motor</t>
        </is>
      </c>
      <c r="C722" t="inlineStr">
        <is>
          <t>43-3510</t>
        </is>
      </c>
      <c r="D722" t="inlineStr">
        <is>
          <t>Windshield Wiper Motor - 43-3510</t>
        </is>
      </c>
      <c r="E722" t="inlineStr">
        <is>
          <t>CARDONE Reman</t>
        </is>
      </c>
      <c r="F722" t="inlineStr">
        <is>
          <t>701955713C;701955713A;191955711;701955711A</t>
        </is>
      </c>
      <c r="G722" t="inlineStr">
        <is>
          <t>Volkswagen EuroVan 1993-2003
Volkswagen Golf 1989-1992
Volkswagen Quantum 1985-1988</t>
        </is>
      </c>
      <c r="H722" t="inlineStr">
        <is>
          <t>Volkswagen EuroVan 1993-1995 2.4L L5 144cid
Volkswagen EuroVan 1993-2003 2.5L L5 150cid
Volkswagen EuroVan 1997 2.4L L5 146cid
Volkswagen EuroVan 1997-2003 2.8L V6 2771cc
Volkswagen Golf 1989-1992 1.6L L4 97cid
Volkswagen Golf 1989-1992 1.8L L4 1781cc
Volkswagen Golf 1990-1992 2L L4 121cid
Volkswagen Quantum 1985 1.6L L4 97cid
Volkswagen Quantum 1985 1.8L L4 1781cc
Volkswagen Quantum 1985-1988 2.2L L5 2226cc</t>
        </is>
      </c>
      <c r="I722" t="inlineStr">
        <is>
          <t>{"0": {"productDeskExternalKey": "CPCX|43-3510"}, "1": {"Package Contents": "Wiper Motor; Instruction Sheet"}, "2": {"E-Waste": "Yes"}, "3": {"Product Condition": "Remanufactured"}, "4": {"Mounting Hole Quantity": "3"}, "5": {"Terminal Type": "Blade"}, "6": {"Mounting Type": "Direct Bolt"}, "7": {"Weight PG": "1.5000"}, "8": {"Washer Pump Included": "No"}, "9": {"Part Type": "Windshield Wiper Motor"}, "10": {"Warranty Info": "1 Year/18,000 Mile"}, "11": {"Sustainable Choice": "Yes"}, "12": {"Lifecycle Status": "Available to Order"}, "13": {"Application Summary": "Volkswagen EuroVan 2003-99 1997 1995-93, Golf 1992-89, Quantum 1988-85"}, "14": {"ItemLevelGTIN": "00082617595834"}, "15": {"_addonCardone": "43-3510::98264:120878:530"}, "16": {"Eligible for R&amp;R Service": "Yes"}}</t>
        </is>
      </c>
      <c r="J722" t="inlineStr">
        <is>
          <t>https://www.cardone.com/product/windshield-wiper-motor-43-3510</t>
        </is>
      </c>
      <c r="K722">
        <f>DISPIMG("ID_6D65B4B61CF740008FE523C345E9FA55",1)</f>
        <v/>
      </c>
      <c r="L722" t="inlineStr">
        <is>
          <t>CPCX|43-3510</t>
        </is>
      </c>
      <c r="M722" t="inlineStr">
        <is>
          <t>Wiper Motor; Instruction Sheet</t>
        </is>
      </c>
      <c r="N722" t="inlineStr">
        <is>
          <t>Yes</t>
        </is>
      </c>
      <c r="O722" t="inlineStr">
        <is>
          <t>Remanufactured</t>
        </is>
      </c>
      <c r="P722" t="inlineStr">
        <is>
          <t>3</t>
        </is>
      </c>
      <c r="Q722" t="inlineStr">
        <is>
          <t>Blade</t>
        </is>
      </c>
      <c r="R722" t="inlineStr">
        <is>
          <t>Direct Bolt</t>
        </is>
      </c>
      <c r="S722" t="inlineStr">
        <is>
          <t>1.5000</t>
        </is>
      </c>
      <c r="T722" t="inlineStr">
        <is>
          <t>No</t>
        </is>
      </c>
      <c r="U722" t="inlineStr">
        <is>
          <t>1 Year/18,000 Mile</t>
        </is>
      </c>
      <c r="V722" t="inlineStr">
        <is>
          <t>Yes</t>
        </is>
      </c>
      <c r="W722" t="inlineStr">
        <is>
          <t>Available to Order</t>
        </is>
      </c>
      <c r="X722" t="inlineStr">
        <is>
          <t>Volkswagen EuroVan 2003-99 1997 1995-93, Golf 1992-89, Quantum 1988-85</t>
        </is>
      </c>
      <c r="Y722" t="inlineStr">
        <is>
          <t>00082617595834</t>
        </is>
      </c>
      <c r="Z722" t="inlineStr">
        <is>
          <t>43-3510::98264:120878:530</t>
        </is>
      </c>
      <c r="AA722" t="inlineStr">
        <is>
          <t>Yes</t>
        </is>
      </c>
      <c r="AB722" t="inlineStr"/>
      <c r="AC722" t="inlineStr"/>
    </row>
    <row r="723">
      <c r="A723" t="inlineStr">
        <is>
          <t>722</t>
        </is>
      </c>
      <c r="B723" t="inlineStr">
        <is>
          <t>Windshield Wiper Motor</t>
        </is>
      </c>
      <c r="C723" t="inlineStr">
        <is>
          <t>43-3511</t>
        </is>
      </c>
      <c r="D723" t="inlineStr">
        <is>
          <t>Windshield Wiper Motor - 43-3511</t>
        </is>
      </c>
      <c r="E723" t="inlineStr">
        <is>
          <t>CARDONE Reman</t>
        </is>
      </c>
      <c r="F723" t="inlineStr">
        <is>
          <t>1J1955113C;1J0955119B;1J0955113C;1J0955119A</t>
        </is>
      </c>
      <c r="G723" t="inlineStr">
        <is>
          <t>Volkswagen Golf 2002-2006
Volkswagen Jetta 2002-2010
Volkswagen R32 2004</t>
        </is>
      </c>
      <c r="H723" t="inlineStr">
        <is>
          <t>Volkswagen Golf 2002-2005 2.8L V6 2771cc
Volkswagen Golf 2002-2006 1.8L L4 1781cc
Volkswagen Golf 2002-2006 1.9L L4 116cid
Volkswagen Golf 2002-2006 2L L4 121cid
Volkswagen Jetta 2002-2004 2.8L V6 2771cc
Volkswagen Jetta 2002-2010 1.8L L4 1781cc
Volkswagen Jetta 2002-2010 1.9L L4 116cid
Volkswagen Jetta 2002-2010 2L L4 121cid
Volkswagen R32 2004 3.2L V6 3189cc</t>
        </is>
      </c>
      <c r="I723" t="inlineStr">
        <is>
          <t>{"0": {"productDeskExternalKey": "CPCX|43-3511"},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"Volkswagen Golf 2006-02, Jetta 2010-02, R32 2004"}, "14": {"ItemLevelGTIN": "00082617617161"}, "15": {"_addonCardone": "43-3511::98264:120892:530"}, "16": {"Eligible for R&amp;R Service": "Yes"}}</t>
        </is>
      </c>
      <c r="J723" t="inlineStr">
        <is>
          <t>https://www.cardone.com/product/windshield-wiper-motor-43-3511</t>
        </is>
      </c>
      <c r="K723">
        <f>DISPIMG("ID_4E629B84C48543279FC8A3E2277C0737",1)</f>
        <v/>
      </c>
      <c r="L723" t="inlineStr">
        <is>
          <t>CPCX|43-3511</t>
        </is>
      </c>
      <c r="M723" t="inlineStr">
        <is>
          <t>Wiper Motor; Instruction Sheet</t>
        </is>
      </c>
      <c r="N723" t="inlineStr">
        <is>
          <t>Yes</t>
        </is>
      </c>
      <c r="O723" t="inlineStr">
        <is>
          <t>Remanufactured</t>
        </is>
      </c>
      <c r="P723" t="inlineStr">
        <is>
          <t>3</t>
        </is>
      </c>
      <c r="Q723" t="inlineStr">
        <is>
          <t>Blade</t>
        </is>
      </c>
      <c r="R723" t="inlineStr">
        <is>
          <t>Direct Bolt</t>
        </is>
      </c>
      <c r="S723" t="inlineStr">
        <is>
          <t>2.5000</t>
        </is>
      </c>
      <c r="T723" t="inlineStr">
        <is>
          <t>No</t>
        </is>
      </c>
      <c r="U723" t="inlineStr">
        <is>
          <t>1 Year/18,000 Mile</t>
        </is>
      </c>
      <c r="V723" t="inlineStr">
        <is>
          <t>Yes</t>
        </is>
      </c>
      <c r="W723" t="inlineStr">
        <is>
          <t>Available to Order</t>
        </is>
      </c>
      <c r="X723" t="inlineStr">
        <is>
          <t>Volkswagen Golf 2006-02, Jetta 2010-02, R32 2004</t>
        </is>
      </c>
      <c r="Y723" t="inlineStr">
        <is>
          <t>00082617617161</t>
        </is>
      </c>
      <c r="Z723" t="inlineStr">
        <is>
          <t>43-3511::98264:120892:530</t>
        </is>
      </c>
      <c r="AA723" t="inlineStr">
        <is>
          <t>Yes</t>
        </is>
      </c>
      <c r="AB723" t="inlineStr"/>
      <c r="AC723" t="inlineStr"/>
    </row>
    <row r="724">
      <c r="A724" t="inlineStr">
        <is>
          <t>723</t>
        </is>
      </c>
      <c r="B724" t="inlineStr">
        <is>
          <t>Windshield Wiper Motor</t>
        </is>
      </c>
      <c r="C724" t="inlineStr">
        <is>
          <t>43-3513</t>
        </is>
      </c>
      <c r="D724" t="inlineStr">
        <is>
          <t>Windshield Wiper Motor - 43-3513</t>
        </is>
      </c>
      <c r="E724" t="inlineStr">
        <is>
          <t>CARDONE Reman</t>
        </is>
      </c>
      <c r="F724" t="inlineStr">
        <is>
          <t>171955713B</t>
        </is>
      </c>
      <c r="G724" t="inlineStr">
        <is>
          <t>Volkswagen Caribe 1979-1982
Volkswagen Rabbit 1975-1984
Volkswagen Rabbit Convertible 1980-1982</t>
        </is>
      </c>
      <c r="H724" t="inlineStr">
        <is>
          <t>Volkswagen Caribe 1979-1982 1.6L L4 97cid
Volkswagen Caribe 1981-1982 1.7L L4 1715cc
Volkswagen Rabbit 1975-1980 1.5L L4 1471cc
Volkswagen Rabbit 1976-1984 1.6L L4 97cid
Volkswagen Rabbit 1978-1980 1.5L L4 1457cc
Volkswagen Rabbit 1981-1984 1.7L L4 1715cc
Volkswagen Rabbit 1983-1984 1.8L L4 1781cc
Volkswagen Rabbit Convertible 1980 1.6L L4 97cid
Volkswagen Rabbit Convertible 1981-1982 1.7L L4 1715cc</t>
        </is>
      </c>
      <c r="I724" t="inlineStr">
        <is>
          <t>{"0": {"productDeskExternalKey": "CPCX|43-3513"}, "1": {"Package Contents": "Wiper Motor; Instruction Sheet"}, "2": {"E-Waste": "Yes"}, "3": {"Product Condition": "Remanufactured"}, "4": {"Mounting Hole Quantity": "3"}, "5": {"Terminal Type": "Bullet"}, "6": {"Mounting Type": "Direct Bolt"}, "7": {"Weight PG": "1.6800"}, "8": {"Washer Pump Included": "No"}, "9": {"Part Type": "Windshield Wiper Motor"}, "10": {"Warranty Info": "1 Year/18,000 Mile"}, "11": {"Sustainable Choice": "Yes"}, "12": {"Lifecycle Status": "Available to Order"}, "13": {"Application Summary": "Volkswagen Caribe 1982-79, Rabbit 1984-75, Rabbit Convertible 1982-80"}, "14": {"ItemLevelGTIN": "00082617642538"}, "15": {"_addonCardone": "43-3513::98264:120907:530"}, "16": {"Eligible for R&amp;R Service": "Yes"}}</t>
        </is>
      </c>
      <c r="J724" t="inlineStr">
        <is>
          <t>https://www.cardone.com/product/windshield-wiper-motor-43-3513</t>
        </is>
      </c>
      <c r="K724">
        <f>DISPIMG("ID_A60D5AD93F694867A4051BC452139C4E",1)</f>
        <v/>
      </c>
      <c r="L724" t="inlineStr">
        <is>
          <t>CPCX|43-3513</t>
        </is>
      </c>
      <c r="M724" t="inlineStr">
        <is>
          <t>Wiper Motor; Instruction Sheet</t>
        </is>
      </c>
      <c r="N724" t="inlineStr">
        <is>
          <t>Yes</t>
        </is>
      </c>
      <c r="O724" t="inlineStr">
        <is>
          <t>Remanufactured</t>
        </is>
      </c>
      <c r="P724" t="inlineStr">
        <is>
          <t>3</t>
        </is>
      </c>
      <c r="Q724" t="inlineStr">
        <is>
          <t>Bullet</t>
        </is>
      </c>
      <c r="R724" t="inlineStr">
        <is>
          <t>Direct Bolt</t>
        </is>
      </c>
      <c r="S724" t="inlineStr">
        <is>
          <t>1.6800</t>
        </is>
      </c>
      <c r="T724" t="inlineStr">
        <is>
          <t>No</t>
        </is>
      </c>
      <c r="U724" t="inlineStr">
        <is>
          <t>1 Year/18,000 Mile</t>
        </is>
      </c>
      <c r="V724" t="inlineStr">
        <is>
          <t>Yes</t>
        </is>
      </c>
      <c r="W724" t="inlineStr">
        <is>
          <t>Available to Order</t>
        </is>
      </c>
      <c r="X724" t="inlineStr">
        <is>
          <t>Volkswagen Caribe 1982-79, Rabbit 1984-75, Rabbit Convertible 1982-80</t>
        </is>
      </c>
      <c r="Y724" t="inlineStr">
        <is>
          <t>00082617642538</t>
        </is>
      </c>
      <c r="Z724" t="inlineStr">
        <is>
          <t>43-3513::98264:120907:530</t>
        </is>
      </c>
      <c r="AA724" t="inlineStr">
        <is>
          <t>Yes</t>
        </is>
      </c>
      <c r="AB724" t="inlineStr"/>
      <c r="AC724" t="inlineStr"/>
    </row>
    <row r="725">
      <c r="A725" t="inlineStr">
        <is>
          <t>724</t>
        </is>
      </c>
      <c r="B725" t="inlineStr">
        <is>
          <t>Windshield Wiper Motor</t>
        </is>
      </c>
      <c r="C725" t="inlineStr">
        <is>
          <t>43-3515</t>
        </is>
      </c>
      <c r="D725" t="inlineStr">
        <is>
          <t>Windshield Wiper Motor - 43-3515</t>
        </is>
      </c>
      <c r="E725" t="inlineStr">
        <is>
          <t>CARDONE Reman</t>
        </is>
      </c>
      <c r="F725" t="inlineStr">
        <is>
          <t>8E1955119</t>
        </is>
      </c>
      <c r="G725" t="inlineStr">
        <is>
          <t>Audi A4 2002-2009
Audi A4 Quattro 2002-2009
Audi RS4 2007-2008
Audi S4 2004-2009</t>
        </is>
      </c>
      <c r="H725" t="inlineStr">
        <is>
          <t>Audi A4 2002-2005 3L V6 2976cc
Audi A4 2002-2008 1.8L L4 1781cc
Audi A4 2005-2008 3.2L V6 3123cc
Audi A4 2005-2009 2L L4 121cid
Audi A4 Quattro 2002-2005 1.8L L4 1781cc
Audi A4 Quattro 2002-2006 3L V6 2976cc
Audi A4 Quattro 2005-2009 2L L4 121cid
Audi A4 Quattro 2005-2009 3.2L V6 3123cc
Audi A4 Quattro 2009 3.2L V6 195cid
Audi RS4 2007-2008 4.2L V8 4163cc
Audi RS4 2007-2008 4.2L V8 4172cc
Audi S4 2004-2009 4.2L V8 4163cc</t>
        </is>
      </c>
      <c r="I725" t="inlineStr">
        <is>
          <t>{"0": {"productDeskExternalKey": "CPCX|43-3515"},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"Audi A4 2009-02, A4 Quattro 2009-02, RS4 2008-07, S4 2009-04"}, "14": {"ItemLevelGTIN": "00082617748568"}, "15": {"_addonCardone": "43-3515::98264:120926:530"}, "16": {"Eligible for R&amp;R Service": "Yes"}}</t>
        </is>
      </c>
      <c r="J725" t="inlineStr">
        <is>
          <t>https://www.cardone.com/product/windshield-wiper-motor-43-3515</t>
        </is>
      </c>
      <c r="K725">
        <f>DISPIMG("ID_8B3E69C065764C90AB07C05EDBB9E346",1)</f>
        <v/>
      </c>
      <c r="L725" t="inlineStr">
        <is>
          <t>CPCX|43-3515</t>
        </is>
      </c>
      <c r="M725" t="inlineStr">
        <is>
          <t>Wiper Motor; Instruction Sheet</t>
        </is>
      </c>
      <c r="N725" t="inlineStr">
        <is>
          <t>Yes</t>
        </is>
      </c>
      <c r="O725" t="inlineStr">
        <is>
          <t>Remanufactured</t>
        </is>
      </c>
      <c r="P725" t="inlineStr">
        <is>
          <t>3</t>
        </is>
      </c>
      <c r="Q725" t="inlineStr">
        <is>
          <t>Blade</t>
        </is>
      </c>
      <c r="R725" t="inlineStr">
        <is>
          <t>Direct Bolt</t>
        </is>
      </c>
      <c r="S725" t="inlineStr">
        <is>
          <t>2.5000</t>
        </is>
      </c>
      <c r="T725" t="inlineStr">
        <is>
          <t>No</t>
        </is>
      </c>
      <c r="U725" t="inlineStr">
        <is>
          <t>1 Year/18,000 Mile</t>
        </is>
      </c>
      <c r="V725" t="inlineStr">
        <is>
          <t>Yes</t>
        </is>
      </c>
      <c r="W725" t="inlineStr">
        <is>
          <t>Available to Order</t>
        </is>
      </c>
      <c r="X725" t="inlineStr">
        <is>
          <t>Audi A4 2009-02, A4 Quattro 2009-02, RS4 2008-07, S4 2009-04</t>
        </is>
      </c>
      <c r="Y725" t="inlineStr">
        <is>
          <t>00082617748568</t>
        </is>
      </c>
      <c r="Z725" t="inlineStr">
        <is>
          <t>43-3515::98264:120926:530</t>
        </is>
      </c>
      <c r="AA725" t="inlineStr">
        <is>
          <t>Yes</t>
        </is>
      </c>
      <c r="AB725" t="inlineStr"/>
      <c r="AC725" t="inlineStr"/>
    </row>
    <row r="726">
      <c r="A726" t="inlineStr">
        <is>
          <t>725</t>
        </is>
      </c>
      <c r="B726" t="inlineStr">
        <is>
          <t>Windshield Wiper Motor</t>
        </is>
      </c>
      <c r="C726" t="inlineStr">
        <is>
          <t>43-3518</t>
        </is>
      </c>
      <c r="D726" t="inlineStr">
        <is>
          <t>Windshield Wiper Motor - 43-3518</t>
        </is>
      </c>
      <c r="E726" t="inlineStr">
        <is>
          <t>CARDONE Reman</t>
        </is>
      </c>
      <c r="F726" t="inlineStr">
        <is>
          <t>7L0955119F</t>
        </is>
      </c>
      <c r="G726" t="inlineStr">
        <is>
          <t>Volkswagen Touareg 2004-2005</t>
        </is>
      </c>
      <c r="H726" t="inlineStr">
        <is>
          <t>Volkswagen Touareg 2004 4.9L V10 300cid
Volkswagen Touareg 2004-2005 3.2L V6 195cid
Volkswagen Touareg 2004-2005 4.2L V8 4172cc
Volkswagen Touareg 2005 5L V10 300cid</t>
        </is>
      </c>
      <c r="I726" t="inlineStr">
        <is>
          <t>{"0": {"productDeskExternalKey": "CPCX|43-3518"}, "1": {"E-Waste": "Yes"}, "2": {"Product Condition": "Remanufactured"}, "3": {"Weight PG": "3.5000"}, "4": {"Part Type": "Windshield Wiper Motor"}, "5": {"Warranty Info": "1 Year/18,000 Mile"}, "6": {"Sustainable Choice": "Yes"}, "7": {"Lifecycle Status": "Available to Order"}, "8": {"Application Summary": "Volkswagen Touareg 2005-04"}, "9": {"ItemLevelGTIN": "00082617755665"}, "10": {"_addonCardone": "43-3518::98264:120937:530"}, "11": {"Eligible for R&amp;R Service": "Yes"}}</t>
        </is>
      </c>
      <c r="J726" t="inlineStr">
        <is>
          <t>https://www.cardone.com/product/windshield-wiper-motor-43-3518</t>
        </is>
      </c>
      <c r="K726">
        <f>DISPIMG("ID_32B30485AA424038A8A84D16DA292DA9",1)</f>
        <v/>
      </c>
      <c r="L726" t="inlineStr">
        <is>
          <t>CPCX|43-3518</t>
        </is>
      </c>
      <c r="M726" t="inlineStr"/>
      <c r="N726" t="inlineStr">
        <is>
          <t>Yes</t>
        </is>
      </c>
      <c r="O726" t="inlineStr">
        <is>
          <t>Remanufactured</t>
        </is>
      </c>
      <c r="P726" t="inlineStr"/>
      <c r="Q726" t="inlineStr"/>
      <c r="R726" t="inlineStr"/>
      <c r="S726" t="inlineStr">
        <is>
          <t>3.5000</t>
        </is>
      </c>
      <c r="T726" t="inlineStr"/>
      <c r="U726" t="inlineStr">
        <is>
          <t>1 Year/18,000 Mile</t>
        </is>
      </c>
      <c r="V726" t="inlineStr">
        <is>
          <t>Yes</t>
        </is>
      </c>
      <c r="W726" t="inlineStr">
        <is>
          <t>Available to Order</t>
        </is>
      </c>
      <c r="X726" t="inlineStr">
        <is>
          <t>Volkswagen Touareg 2005-04</t>
        </is>
      </c>
      <c r="Y726" t="inlineStr">
        <is>
          <t>00082617755665</t>
        </is>
      </c>
      <c r="Z726" t="inlineStr">
        <is>
          <t>43-3518::98264:120937:530</t>
        </is>
      </c>
      <c r="AA726" t="inlineStr">
        <is>
          <t>Yes</t>
        </is>
      </c>
      <c r="AB726" t="inlineStr"/>
      <c r="AC726" t="inlineStr"/>
    </row>
    <row r="727">
      <c r="A727" t="inlineStr">
        <is>
          <t>726</t>
        </is>
      </c>
      <c r="B727" t="inlineStr">
        <is>
          <t>Windshield Wiper Motor</t>
        </is>
      </c>
      <c r="C727" t="inlineStr">
        <is>
          <t>43-3519</t>
        </is>
      </c>
      <c r="D727" t="inlineStr">
        <is>
          <t>Windshield Wiper Motor - 43-3519</t>
        </is>
      </c>
      <c r="E727" t="inlineStr">
        <is>
          <t>CARDONE Reman</t>
        </is>
      </c>
      <c r="F727" t="inlineStr">
        <is>
          <t>8N0955113</t>
        </is>
      </c>
      <c r="G727" t="inlineStr">
        <is>
          <t>Audi TT 2000-2001
Audi TT Quattro 2000-2001</t>
        </is>
      </c>
      <c r="H727" t="inlineStr">
        <is>
          <t>Audi TT 2000-2001 1.8L L4 1781cc
Audi TT Quattro 2000-2001 1.8L L4 1781cc</t>
        </is>
      </c>
      <c r="I727" t="inlineStr">
        <is>
          <t>{"0": {"productDeskExternalKey": "CPCX|43-3519"},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"Audi TT 2001-00, TT Quattro 2001-00"}, "14": {"ItemLevelGTIN": "00082617757799"}, "15": {"_addonCardone": "43-3519::98264:120951:530"}, "16": {"Eligible for R&amp;R Service": "Yes"}}</t>
        </is>
      </c>
      <c r="J727" t="inlineStr">
        <is>
          <t>https://www.cardone.com/product/windshield-wiper-motor-43-3519</t>
        </is>
      </c>
      <c r="K727">
        <f>DISPIMG("ID_181F20EB70BD401F959D02D3E8B36349",1)</f>
        <v/>
      </c>
      <c r="L727" t="inlineStr">
        <is>
          <t>CPCX|43-3519</t>
        </is>
      </c>
      <c r="M727" t="inlineStr">
        <is>
          <t>Wiper Motor; Instruction Sheet</t>
        </is>
      </c>
      <c r="N727" t="inlineStr">
        <is>
          <t>Yes</t>
        </is>
      </c>
      <c r="O727" t="inlineStr">
        <is>
          <t>Remanufactured</t>
        </is>
      </c>
      <c r="P727" t="inlineStr">
        <is>
          <t>3</t>
        </is>
      </c>
      <c r="Q727" t="inlineStr">
        <is>
          <t>Blade</t>
        </is>
      </c>
      <c r="R727" t="inlineStr">
        <is>
          <t>Direct Bolt</t>
        </is>
      </c>
      <c r="S727" t="inlineStr">
        <is>
          <t>2.5000</t>
        </is>
      </c>
      <c r="T727" t="inlineStr">
        <is>
          <t>No</t>
        </is>
      </c>
      <c r="U727" t="inlineStr">
        <is>
          <t>1 Year/18,000 Mile</t>
        </is>
      </c>
      <c r="V727" t="inlineStr">
        <is>
          <t>Yes</t>
        </is>
      </c>
      <c r="W727" t="inlineStr">
        <is>
          <t>Available to Order</t>
        </is>
      </c>
      <c r="X727" t="inlineStr">
        <is>
          <t>Audi TT 2001-00, TT Quattro 2001-00</t>
        </is>
      </c>
      <c r="Y727" t="inlineStr">
        <is>
          <t>00082617757799</t>
        </is>
      </c>
      <c r="Z727" t="inlineStr">
        <is>
          <t>43-3519::98264:120951:530</t>
        </is>
      </c>
      <c r="AA727" t="inlineStr">
        <is>
          <t>Yes</t>
        </is>
      </c>
      <c r="AB727" t="inlineStr"/>
      <c r="AC727" t="inlineStr"/>
    </row>
    <row r="728">
      <c r="A728" t="inlineStr">
        <is>
          <t>727</t>
        </is>
      </c>
      <c r="B728" t="inlineStr">
        <is>
          <t>Windshield Wiper Motor</t>
        </is>
      </c>
      <c r="C728" t="inlineStr">
        <is>
          <t>43-3528</t>
        </is>
      </c>
      <c r="D728" t="inlineStr">
        <is>
          <t>Windshield Wiper Motor - 43-3528</t>
        </is>
      </c>
      <c r="E728" t="inlineStr">
        <is>
          <t>CARDONE Reman</t>
        </is>
      </c>
      <c r="F728" t="inlineStr">
        <is>
          <t>8L0955711;8L0955711B;3B9955711C;8L0955711A</t>
        </is>
      </c>
      <c r="G728" t="inlineStr">
        <is>
          <t>Audi A4 1998-2001
Audi A4 Quattro 1998-2001
Audi A6 1999-2000
Audi A6 Quattro 1999-2004
Audi Allroad Quattro 2001-2005
Audi S4 2001-2002
Audi S6 2002-2003
Volkswagen Passat 1998-2003</t>
        </is>
      </c>
      <c r="H728" t="inlineStr">
        <is>
          <t>Audi A4 1998 2.8L V6 2771cc
Audi A4 1998-2001 1.8L L4 1781cc
Audi A4 Quattro 1998-2001 2.8L V6 2771cc
Audi A4 Quattro 1999-2001 1.8L L4 1781cc
Audi A6 1999-2000 2.8L V6 2771cc
Audi A6 Quattro 1999-2001 2.8L V6 2771cc
Audi A6 Quattro 2000 2.7L V6 2671cc
Audi A6 Quattro 2000 4.2L V8 4172cc
Audi A6 Quattro 2002-2004 3L V6 2976cc
Audi Allroad Quattro 2001-2005 2.7L V6 2671cc
Audi Allroad Quattro 2003-2005 4.2L V8 4172cc
Audi S4 2001-2002 2.7L V6 2671cc
Audi S6 2002-2003 4.2L V8 4172cc
Volkswagen Passat 1998-2003 1.8L L4 1781cc
Volkswagen Passat 1998-2003 2.8L V6 2771cc
Volkswagen Passat 2002-2003 4L W8 244cid</t>
        </is>
      </c>
      <c r="I728" t="inlineStr">
        <is>
          <t>{"0": {"productDeskExternalKey": "CPCX|43-3528"},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"Audi A4 2001-98, A4 Quattro 2001-98, A6 2000-99, A6 Quattro 2004-99, Allroad Quattro 2005-01, S4 2002-01, S6 2003-02; Volkswagen Passat 2003-98"}, "14": {"ItemLevelGTIN": "00082617766197"}, "15": {"_addonCardone": "43-3528::98264:120968:530"}, "16": {"Eligible for R&amp;R Service": "Yes"}}</t>
        </is>
      </c>
      <c r="J728" t="inlineStr">
        <is>
          <t>https://www.cardone.com/product/windshield-wiper-motor-43-3528</t>
        </is>
      </c>
      <c r="K728">
        <f>DISPIMG("ID_EB58A7AF1D28460BAE7609B2038AB3E9",1)</f>
        <v/>
      </c>
      <c r="L728" t="inlineStr">
        <is>
          <t>CPCX|43-3528</t>
        </is>
      </c>
      <c r="M728" t="inlineStr">
        <is>
          <t>Wiper Motor; Instruction Sheet</t>
        </is>
      </c>
      <c r="N728" t="inlineStr">
        <is>
          <t>Yes</t>
        </is>
      </c>
      <c r="O728" t="inlineStr">
        <is>
          <t>Remanufactured</t>
        </is>
      </c>
      <c r="P728" t="inlineStr">
        <is>
          <t>3</t>
        </is>
      </c>
      <c r="Q728" t="inlineStr">
        <is>
          <t>Blade</t>
        </is>
      </c>
      <c r="R728" t="inlineStr">
        <is>
          <t>Grommet</t>
        </is>
      </c>
      <c r="S728" t="inlineStr">
        <is>
          <t>2.5000</t>
        </is>
      </c>
      <c r="T728" t="inlineStr">
        <is>
          <t>No</t>
        </is>
      </c>
      <c r="U728" t="inlineStr">
        <is>
          <t>1 Year/18,000 Mile</t>
        </is>
      </c>
      <c r="V728" t="inlineStr">
        <is>
          <t>Yes</t>
        </is>
      </c>
      <c r="W728" t="inlineStr">
        <is>
          <t>Available to Order</t>
        </is>
      </c>
      <c r="X728" t="inlineStr">
        <is>
          <t>Audi A4 2001-98, A4 Quattro 2001-98, A6 2000-99, A6 Quattro 2004-99, Allroad Quattro 2005-01, S4 2002-01, S6 2003-02; Volkswagen Passat 2003-98</t>
        </is>
      </c>
      <c r="Y728" t="inlineStr">
        <is>
          <t>00082617766197</t>
        </is>
      </c>
      <c r="Z728" t="inlineStr">
        <is>
          <t>43-3528::98264:120968:530</t>
        </is>
      </c>
      <c r="AA728" t="inlineStr">
        <is>
          <t>Yes</t>
        </is>
      </c>
      <c r="AB728" t="inlineStr"/>
      <c r="AC728" t="inlineStr"/>
    </row>
    <row r="729">
      <c r="A729" t="inlineStr">
        <is>
          <t>728</t>
        </is>
      </c>
      <c r="B729" t="inlineStr">
        <is>
          <t>Windshield Wiper Motor</t>
        </is>
      </c>
      <c r="C729" t="inlineStr">
        <is>
          <t>43-3530</t>
        </is>
      </c>
      <c r="D729" t="inlineStr">
        <is>
          <t>Windshield Wiper Motor - 43-3530</t>
        </is>
      </c>
      <c r="E729" t="inlineStr">
        <is>
          <t>CARDONE Reman</t>
        </is>
      </c>
      <c r="F729" t="inlineStr">
        <is>
          <t>1K9955711A;1K9955711B;1K6955711B;1K6955711C</t>
        </is>
      </c>
      <c r="G729" t="inlineStr">
        <is>
          <t>Volkswagen GTI 2006-2009
Volkswagen Golf 2013-2014
Volkswagen Golf R 2013
Volkswagen Golf SportWagen 2013
Volkswagen Jetta 2009-2014
Volkswagen Passat 2007-2010
Volkswagen R32 2008
Volkswagen Rabbit 2006-2009</t>
        </is>
      </c>
      <c r="H729" t="inlineStr">
        <is>
          <t>Volkswagen GTI 2006-2009 2L L4 121cid
Volkswagen Golf 2013 1.4L L4 85cid
Volkswagen Golf 2013-2014 2.5L L5 151cid
Volkswagen Golf 2013-2014 2L L4 120cid
Volkswagen Golf R 2013 2L L4 121cid
Volkswagen Golf SportWagen 2013 2.5L L5 151cid
Volkswagen Jetta 2009-2010 1.8L L4 1781cc
Volkswagen Jetta 2009-2010 1.9L L4 116cid
Volkswagen Jetta 2009-2014 2.5L L5 151cid
Volkswagen Jetta 2009-2014 2L L4 120cid
Volkswagen Jetta 2009-2014 2L L4 121cid
Volkswagen Jetta 2014 1.8L L4 110cid
Volkswagen Passat 2007-2010 2L L4 121cid
Volkswagen Passat 2007-2010 3.6L V6 219cid
Volkswagen R32 2008 3.2L V6 195cid
Volkswagen Rabbit 2006-2009 2.5L L5 151cid</t>
        </is>
      </c>
      <c r="I729" t="inlineStr">
        <is>
          <t>{"0": {"productDeskExternalKey": "CPCX|43-3530"}, "1": {"Package Contents": "Wiper Motor; Instruction Sheet"}, "2": {"E-Waste": "Yes"}, "3": {"Product Condition": "Remanufactured"}, "4": {"Mounting Hole Quantity": "3"}, "5": {"Terminal Type": "Blade"}, "6": {"Mounting Type": "Eyelet; Grommet"}, "7": {"Weight PG": "2.1500"}, "8": {"Washer Pump Included": "No"}, "9": {"Part Type": "Windshield Wiper Motor"}, "10": {"Warranty Info": "1 Year/18,000 Mile"}, "11": {"Sustainable Choice": "Yes"}, "12": {"Lifecycle Status": "Available to Order"}, "13": {"Application Summary": "Volkswagen Golf 2014-13, Golf R 2013, Golf SportWagen 2013, GTI 2009-06, Jetta 2014-09, Passat 2010-07, R32 2008, Rabbit 2009-06"}, "14": {"ItemLevelGTIN": "00082617771757"}, "15": {"_addonCardone": "43-3530::98264:120980:530"}, "16": {"Eligible for R&amp;R Service": "Yes"}}</t>
        </is>
      </c>
      <c r="J729" t="inlineStr">
        <is>
          <t>https://www.cardone.com/product/windshield-wiper-motor-43-3530</t>
        </is>
      </c>
      <c r="K729">
        <f>DISPIMG("ID_E6656408C9AB4BFCACBBD953E3EFFA57",1)</f>
        <v/>
      </c>
      <c r="L729" t="inlineStr">
        <is>
          <t>CPCX|43-3530</t>
        </is>
      </c>
      <c r="M729" t="inlineStr">
        <is>
          <t>Wiper Motor; Instruction Sheet</t>
        </is>
      </c>
      <c r="N729" t="inlineStr">
        <is>
          <t>Yes</t>
        </is>
      </c>
      <c r="O729" t="inlineStr">
        <is>
          <t>Remanufactured</t>
        </is>
      </c>
      <c r="P729" t="inlineStr">
        <is>
          <t>3</t>
        </is>
      </c>
      <c r="Q729" t="inlineStr">
        <is>
          <t>Blade</t>
        </is>
      </c>
      <c r="R729" t="inlineStr">
        <is>
          <t>Eyelet; Grommet</t>
        </is>
      </c>
      <c r="S729" t="inlineStr">
        <is>
          <t>2.1500</t>
        </is>
      </c>
      <c r="T729" t="inlineStr">
        <is>
          <t>No</t>
        </is>
      </c>
      <c r="U729" t="inlineStr">
        <is>
          <t>1 Year/18,000 Mile</t>
        </is>
      </c>
      <c r="V729" t="inlineStr">
        <is>
          <t>Yes</t>
        </is>
      </c>
      <c r="W729" t="inlineStr">
        <is>
          <t>Available to Order</t>
        </is>
      </c>
      <c r="X729" t="inlineStr">
        <is>
          <t>Volkswagen Golf 2014-13, Golf R 2013, Golf SportWagen 2013, GTI 2009-06, Jetta 2014-09, Passat 2010-07, R32 2008, Rabbit 2009-06</t>
        </is>
      </c>
      <c r="Y729" t="inlineStr">
        <is>
          <t>00082617771757</t>
        </is>
      </c>
      <c r="Z729" t="inlineStr">
        <is>
          <t>43-3530::98264:120980:530</t>
        </is>
      </c>
      <c r="AA729" t="inlineStr">
        <is>
          <t>Yes</t>
        </is>
      </c>
      <c r="AB729" t="inlineStr"/>
      <c r="AC729" t="inlineStr"/>
    </row>
    <row r="730">
      <c r="A730" t="inlineStr">
        <is>
          <t>729</t>
        </is>
      </c>
      <c r="B730" t="inlineStr">
        <is>
          <t>Windshield Wiper Motor</t>
        </is>
      </c>
      <c r="C730" t="inlineStr">
        <is>
          <t>43-3531</t>
        </is>
      </c>
      <c r="D730" t="inlineStr">
        <is>
          <t>Windshield Wiper Motor - 43-3531</t>
        </is>
      </c>
      <c r="E730" t="inlineStr">
        <is>
          <t>CARDONE Reman</t>
        </is>
      </c>
      <c r="F730" t="inlineStr">
        <is>
          <t>4D1955113B;4D1955113C;4D1955113A</t>
        </is>
      </c>
      <c r="G730" t="inlineStr">
        <is>
          <t>Audi A8 1997-1999
Audi A8 Quattro 1997-2003
Audi S8 2001-2003</t>
        </is>
      </c>
      <c r="H730" t="inlineStr">
        <is>
          <t>Audi A8 1997-1999 3.7L V8 3697cc
Audi A8 Quattro 1997-2003 4.2L V8 4172cc
Audi S8 2001-2003 4.2L V8 4172cc</t>
        </is>
      </c>
      <c r="I730" t="inlineStr">
        <is>
          <t>{"0": {"productDeskExternalKey": "CPCX|43-3531"}, "1": {"Package Contents": "Wiper Motor; Instruction Sheet"}, "2": {"E-Waste": "Yes"}, "3": {"Product Condition": "Remanufactured"}, "4": {"Mounting Hole Quantity": "3"}, "5": {"Terminal Type": "Blade"}, "6": {"Mounting Type": "Direct Bolt"}, "7": {"Weight PG": "3.6000"}, "8": {"Washer Pump Included": "No"}, "9": {"Part Type": "Windshield Wiper Motor"}, "10": {"Warranty Info": "1 Year/18,000 Mile"}, "11": {"Sustainable Choice": "Yes"}, "12": {"Lifecycle Status": "Available to Order"}, "13": {"Application Summary": "Audi A8 1999-97, A8 Quattro 2003-97, S8 2003-01"}, "14": {"ItemLevelGTIN": "00082617776189"}, "15": {"_addonCardone": "43-3531::98264:120996:530"}, "16": {"Eligible for R&amp;R Service": "Yes"}}</t>
        </is>
      </c>
      <c r="J730" t="inlineStr">
        <is>
          <t>https://www.cardone.com/product/windshield-wiper-motor-43-3531</t>
        </is>
      </c>
      <c r="K730">
        <f>DISPIMG("ID_B841F75220DF4A8EA760ACA5867C27BC",1)</f>
        <v/>
      </c>
      <c r="L730" t="inlineStr">
        <is>
          <t>CPCX|43-3531</t>
        </is>
      </c>
      <c r="M730" t="inlineStr">
        <is>
          <t>Wiper Motor; Instruction Sheet</t>
        </is>
      </c>
      <c r="N730" t="inlineStr">
        <is>
          <t>Yes</t>
        </is>
      </c>
      <c r="O730" t="inlineStr">
        <is>
          <t>Remanufactured</t>
        </is>
      </c>
      <c r="P730" t="inlineStr">
        <is>
          <t>3</t>
        </is>
      </c>
      <c r="Q730" t="inlineStr">
        <is>
          <t>Blade</t>
        </is>
      </c>
      <c r="R730" t="inlineStr">
        <is>
          <t>Direct Bolt</t>
        </is>
      </c>
      <c r="S730" t="inlineStr">
        <is>
          <t>3.6000</t>
        </is>
      </c>
      <c r="T730" t="inlineStr">
        <is>
          <t>No</t>
        </is>
      </c>
      <c r="U730" t="inlineStr">
        <is>
          <t>1 Year/18,000 Mile</t>
        </is>
      </c>
      <c r="V730" t="inlineStr">
        <is>
          <t>Yes</t>
        </is>
      </c>
      <c r="W730" t="inlineStr">
        <is>
          <t>Available to Order</t>
        </is>
      </c>
      <c r="X730" t="inlineStr">
        <is>
          <t>Audi A8 1999-97, A8 Quattro 2003-97, S8 2003-01</t>
        </is>
      </c>
      <c r="Y730" t="inlineStr">
        <is>
          <t>00082617776189</t>
        </is>
      </c>
      <c r="Z730" t="inlineStr">
        <is>
          <t>43-3531::98264:120996:530</t>
        </is>
      </c>
      <c r="AA730" t="inlineStr">
        <is>
          <t>Yes</t>
        </is>
      </c>
      <c r="AB730" t="inlineStr"/>
      <c r="AC730" t="inlineStr"/>
    </row>
    <row r="731">
      <c r="A731" t="inlineStr">
        <is>
          <t>730</t>
        </is>
      </c>
      <c r="B731" t="inlineStr">
        <is>
          <t>Windshield Wiper Motor</t>
        </is>
      </c>
      <c r="C731" t="inlineStr">
        <is>
          <t>43-3533</t>
        </is>
      </c>
      <c r="D731" t="inlineStr">
        <is>
          <t>Windshield Wiper Motor - 43-3533</t>
        </is>
      </c>
      <c r="E731" t="inlineStr">
        <is>
          <t>CARDONE Reman</t>
        </is>
      </c>
      <c r="F731" t="inlineStr">
        <is>
          <t>8E9955711E;8R0955711C</t>
        </is>
      </c>
      <c r="G731" t="inlineStr">
        <is>
          <t>Audi A3 2006-2013
Audi A3 Quattro 2006-2013
Audi A4 2004-2005
Audi A4 Quattro 2002-2008
Audi Q5 2009-2016
Audi Q7 2007-2015
Audi S4 2004-2008
Audi SQ5 2014-2017</t>
        </is>
      </c>
      <c r="H731" t="inlineStr">
        <is>
          <t>Audi A3 2006-2013 2L L4 121cid
Audi A3 2008-2013 1.4L L4 85cid
Audi A3 2008-2013 1.8L L4 110cid
Audi A3 2010-2013 2L L4 120cid
Audi A3 Quattro 2006-2009 3.2L V6 195cid
Audi A3 Quattro 2006-2013 2L L4 121cid
Audi A4 2004-2005 1.8L L4 1781cc
Audi A4 2004-2005 3L V6 2976cc
Audi A4 2005 2L L4 121cid
Audi A4 2005 3.2L V6 3123cc
Audi A4 Quattro 2002-2005 1.8L L4 1781cc
Audi A4 Quattro 2002-2006 3L V6 2976cc
Audi A4 Quattro 2005-2008 2L L4 121cid
Audi A4 Quattro 2005-2008 3.2L V6 3123cc
Audi Q5 2009-2012 3.2L V6 195cid
Audi Q5 2010-2016 2L L4 121cid
Audi Q5 2010-2016 3L V6 181cid
Audi Q5 2013-2016 3L V6 183cid
Audi Q5 2013-2016 3L V6 2995cc
Audi Q7 2007-2010 3.6L V6 219cid
Audi Q7 2007-2010 4.2L V8 4163cc
Audi Q7 2008-2010 3L V6 2967cc
Audi Q7 2009-2015 3L V6 181cid
Audi Q7 2011-2015 3L V6 2995cc
Audi Q7 2011-2015 4.2L V8 252cid
Audi S4 2004-2008 4.2L V8 4163cc
Audi SQ5 2014-2016 3L V6 181cid
Audi SQ5 2014-2017 3L V6 2995cc</t>
        </is>
      </c>
      <c r="I731" t="inlineStr">
        <is>
          <t>{"0": {"productDeskExternalKey": "CPCX|43-3533"},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"Audi A3 2013-06, A3 Quattro 2013-06, A4 2005-04, A4 Quattro 2008-02, Q5 2016-09, Q7 2015-07, S4 2008-04, SQ5 2017-14"}, "14": {"ItemLevelGTIN": "00082617803519"}, "15": {"_addonCardone": "43-3533::98264:121014:530"}, "16": {"Eligible for R&amp;R Service": "Yes"}}</t>
        </is>
      </c>
      <c r="J731" t="inlineStr">
        <is>
          <t>https://www.cardone.com/product/windshield-wiper-motor-43-3533</t>
        </is>
      </c>
      <c r="K731">
        <f>DISPIMG("ID_48052CCAD9364CFEA05862C44A84B726",1)</f>
        <v/>
      </c>
      <c r="L731" t="inlineStr">
        <is>
          <t>CPCX|43-3533</t>
        </is>
      </c>
      <c r="M731" t="inlineStr">
        <is>
          <t>Wiper Motor; Instruction Sheet</t>
        </is>
      </c>
      <c r="N731" t="inlineStr">
        <is>
          <t>Yes</t>
        </is>
      </c>
      <c r="O731" t="inlineStr">
        <is>
          <t>Remanufactured</t>
        </is>
      </c>
      <c r="P731" t="inlineStr">
        <is>
          <t>3</t>
        </is>
      </c>
      <c r="Q731" t="inlineStr">
        <is>
          <t>Blade</t>
        </is>
      </c>
      <c r="R731" t="inlineStr">
        <is>
          <t>Grommet</t>
        </is>
      </c>
      <c r="S731" t="inlineStr">
        <is>
          <t>2.0000</t>
        </is>
      </c>
      <c r="T731" t="inlineStr">
        <is>
          <t>No</t>
        </is>
      </c>
      <c r="U731" t="inlineStr">
        <is>
          <t>1 Year/18,000 Mile</t>
        </is>
      </c>
      <c r="V731" t="inlineStr">
        <is>
          <t>Yes</t>
        </is>
      </c>
      <c r="W731" t="inlineStr">
        <is>
          <t>Available to Order</t>
        </is>
      </c>
      <c r="X731" t="inlineStr">
        <is>
          <t>Audi A3 2013-06, A3 Quattro 2013-06, A4 2005-04, A4 Quattro 2008-02, Q5 2016-09, Q7 2015-07, S4 2008-04, SQ5 2017-14</t>
        </is>
      </c>
      <c r="Y731" t="inlineStr">
        <is>
          <t>00082617803519</t>
        </is>
      </c>
      <c r="Z731" t="inlineStr">
        <is>
          <t>43-3533::98264:121014:530</t>
        </is>
      </c>
      <c r="AA731" t="inlineStr">
        <is>
          <t>Yes</t>
        </is>
      </c>
      <c r="AB731" t="inlineStr"/>
      <c r="AC731" t="inlineStr"/>
    </row>
    <row r="732">
      <c r="A732" t="inlineStr">
        <is>
          <t>731</t>
        </is>
      </c>
      <c r="B732" t="inlineStr">
        <is>
          <t>Windshield Wiper Motor</t>
        </is>
      </c>
      <c r="C732" t="inlineStr">
        <is>
          <t>43-3540</t>
        </is>
      </c>
      <c r="D732" t="inlineStr">
        <is>
          <t>Windshield Wiper Motor - 43-3540</t>
        </is>
      </c>
      <c r="E732" t="inlineStr">
        <is>
          <t>CARDONE Reman</t>
        </is>
      </c>
      <c r="F732" t="inlineStr">
        <is>
          <t>4F9955711A;4F9955711;4F9955711B</t>
        </is>
      </c>
      <c r="G732" t="inlineStr">
        <is>
          <t>Audi A6 Quattro 2005-2011</t>
        </is>
      </c>
      <c r="H732" t="inlineStr">
        <is>
          <t>Audi A6 Quattro 2005 4.2L V8 4172cc
Audi A6 Quattro 2005-2006 3L V6 2950cc
Audi A6 Quattro 2005-2009 3.2L V6 3123cc
Audi A6 Quattro 2005-2011 4.2L V8 4163cc
Audi A6 Quattro 2009-2011 3L V6 2995cc
Audi A6 Quattro 2010-2011 3L V6 183cid</t>
        </is>
      </c>
      <c r="I732" t="inlineStr">
        <is>
          <t>{"0": {"productDeskExternalKey": "CPCX|43-3540"}, "1": {"Package Contents": "Wiper Motor; Instruction Sheet"}, "2": {"E-Waste": "Yes"}, "3": {"Product Condition": "Remanufactured"}, "4": {"Mounting Hole Quantity": "3"}, "5": {"Terminal Type": "Blade"}, "6": {"Mounting Type": "Eyelet; Grommet"}, "7": {"Weight PG": "2.4000"}, "8": {"Washer Pump Included": "No"}, "9": {"Part Type": "Windshield Wiper Motor"}, "10": {"Warranty Info": "1 Year/18,000 Mile"}, "11": {"Sustainable Choice": "Yes"}, "12": {"Lifecycle Status": "Available to Order"}, "13": {"Application Summary": "Audi A6 Quattro 2011-05"}, "14": {"ItemLevelGTIN": "00082617806695"}, "15": {"_addonCardone": "43-3540::98264:121039:530"}, "16": {"Eligible for R&amp;R Service": "Yes"}}</t>
        </is>
      </c>
      <c r="J732" t="inlineStr">
        <is>
          <t>https://www.cardone.com/product/windshield-wiper-motor-43-3540</t>
        </is>
      </c>
      <c r="K732">
        <f>DISPIMG("ID_0B1E174F07F84219A30EA46FA49BAABA",1)</f>
        <v/>
      </c>
      <c r="L732" t="inlineStr">
        <is>
          <t>CPCX|43-3540</t>
        </is>
      </c>
      <c r="M732" t="inlineStr">
        <is>
          <t>Wiper Motor; Instruction Sheet</t>
        </is>
      </c>
      <c r="N732" t="inlineStr">
        <is>
          <t>Yes</t>
        </is>
      </c>
      <c r="O732" t="inlineStr">
        <is>
          <t>Remanufactured</t>
        </is>
      </c>
      <c r="P732" t="inlineStr">
        <is>
          <t>3</t>
        </is>
      </c>
      <c r="Q732" t="inlineStr">
        <is>
          <t>Blade</t>
        </is>
      </c>
      <c r="R732" t="inlineStr">
        <is>
          <t>Eyelet; Grommet</t>
        </is>
      </c>
      <c r="S732" t="inlineStr">
        <is>
          <t>2.4000</t>
        </is>
      </c>
      <c r="T732" t="inlineStr">
        <is>
          <t>No</t>
        </is>
      </c>
      <c r="U732" t="inlineStr">
        <is>
          <t>1 Year/18,000 Mile</t>
        </is>
      </c>
      <c r="V732" t="inlineStr">
        <is>
          <t>Yes</t>
        </is>
      </c>
      <c r="W732" t="inlineStr">
        <is>
          <t>Available to Order</t>
        </is>
      </c>
      <c r="X732" t="inlineStr">
        <is>
          <t>Audi A6 Quattro 2011-05</t>
        </is>
      </c>
      <c r="Y732" t="inlineStr">
        <is>
          <t>00082617806695</t>
        </is>
      </c>
      <c r="Z732" t="inlineStr">
        <is>
          <t>43-3540::98264:121039:530</t>
        </is>
      </c>
      <c r="AA732" t="inlineStr">
        <is>
          <t>Yes</t>
        </is>
      </c>
      <c r="AB732" t="inlineStr"/>
      <c r="AC732" t="inlineStr"/>
    </row>
    <row r="733">
      <c r="A733" t="inlineStr">
        <is>
          <t>732</t>
        </is>
      </c>
      <c r="B733" t="inlineStr">
        <is>
          <t>Windshield Wiper Motor</t>
        </is>
      </c>
      <c r="C733" t="inlineStr">
        <is>
          <t>43-3541</t>
        </is>
      </c>
      <c r="D733" t="inlineStr">
        <is>
          <t>Windshield Wiper Motor - 43-3541</t>
        </is>
      </c>
      <c r="E733" t="inlineStr">
        <is>
          <t>CARDONE Reman</t>
        </is>
      </c>
      <c r="F733" t="inlineStr">
        <is>
          <t>449955113C;443955113C</t>
        </is>
      </c>
      <c r="G733" t="inlineStr">
        <is>
          <t>Audi 100 1990-1991
Audi 100 Quattro 1990-1991
Audi 200 1989-1991
Audi 200 Quattro 1989-1991
Audi V8 Quattro 1990-1991</t>
        </is>
      </c>
      <c r="H733" t="inlineStr">
        <is>
          <t>Audi 100 1990-1991 2.3L L5 2309cc
Audi 100 Quattro 1990-1991 2.3L L5 2309cc
Audi 200 1989-1991 2.2L L5 2226cc
Audi 200 Quattro 1989-1991 2.2L L5 2226cc
Audi V8 Quattro 1990-1991 3.6L V8 3562cc</t>
        </is>
      </c>
      <c r="I733" t="inlineStr">
        <is>
          <t>{"0": {"productDeskExternalKey": "CPCX|43-3541"},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"Audi 100 1991-90, 100 Quattro 1991-90, 200 1991-89, 200 Quattro 1991-89, V8 Quattro 1991-90"}, "14": {"ItemLevelGTIN": "00082617811170"}, "15": {"_addonCardone": "43-3541::98264:121052:530"}, "16": {"Eligible for R&amp;R Service": "Yes"}}</t>
        </is>
      </c>
      <c r="J733" t="inlineStr">
        <is>
          <t>https://www.cardone.com/product/windshield-wiper-motor-43-3541</t>
        </is>
      </c>
      <c r="K733">
        <f>DISPIMG("ID_BB72E762C7734151A09AE9A9D3EFCB7D",1)</f>
        <v/>
      </c>
      <c r="L733" t="inlineStr">
        <is>
          <t>CPCX|43-3541</t>
        </is>
      </c>
      <c r="M733" t="inlineStr">
        <is>
          <t>Wiper Motor; Instruction Sheet</t>
        </is>
      </c>
      <c r="N733" t="inlineStr">
        <is>
          <t>Yes</t>
        </is>
      </c>
      <c r="O733" t="inlineStr">
        <is>
          <t>Remanufactured</t>
        </is>
      </c>
      <c r="P733" t="inlineStr">
        <is>
          <t>3</t>
        </is>
      </c>
      <c r="Q733" t="inlineStr">
        <is>
          <t>Blade</t>
        </is>
      </c>
      <c r="R733" t="inlineStr">
        <is>
          <t>Direct Bolt</t>
        </is>
      </c>
      <c r="S733" t="inlineStr">
        <is>
          <t>2.7500</t>
        </is>
      </c>
      <c r="T733" t="inlineStr">
        <is>
          <t>No</t>
        </is>
      </c>
      <c r="U733" t="inlineStr">
        <is>
          <t>1 Year/18,000 Mile</t>
        </is>
      </c>
      <c r="V733" t="inlineStr">
        <is>
          <t>Yes</t>
        </is>
      </c>
      <c r="W733" t="inlineStr">
        <is>
          <t>Available to Order</t>
        </is>
      </c>
      <c r="X733" t="inlineStr">
        <is>
          <t>Audi 100 1991-90, 100 Quattro 1991-90, 200 1991-89, 200 Quattro 1991-89, V8 Quattro 1991-90</t>
        </is>
      </c>
      <c r="Y733" t="inlineStr">
        <is>
          <t>00082617811170</t>
        </is>
      </c>
      <c r="Z733" t="inlineStr">
        <is>
          <t>43-3541::98264:121052:530</t>
        </is>
      </c>
      <c r="AA733" t="inlineStr">
        <is>
          <t>Yes</t>
        </is>
      </c>
      <c r="AB733" t="inlineStr"/>
      <c r="AC733" t="inlineStr"/>
    </row>
    <row r="734">
      <c r="A734" t="inlineStr">
        <is>
          <t>733</t>
        </is>
      </c>
      <c r="B734" t="inlineStr">
        <is>
          <t>Windshield Wiper Motor</t>
        </is>
      </c>
      <c r="C734" t="inlineStr">
        <is>
          <t>43-3542</t>
        </is>
      </c>
      <c r="D734" t="inlineStr">
        <is>
          <t>Windshield Wiper Motor - 43-3542</t>
        </is>
      </c>
      <c r="E734" t="inlineStr">
        <is>
          <t>CARDONE Reman</t>
        </is>
      </c>
      <c r="F734" t="inlineStr">
        <is>
          <t>4E1955119B;4E1955119</t>
        </is>
      </c>
      <c r="G734" t="inlineStr">
        <is>
          <t>Audi A8 Quattro 2004-2007</t>
        </is>
      </c>
      <c r="H734" t="inlineStr">
        <is>
          <t>Audi A8 Quattro 2004-2007 4.2L V8 4172cc
Audi A8 Quattro 2005-2007 6L W12 366cid
Audi A8 Quattro 2007 4.2L V8 4163cc</t>
        </is>
      </c>
      <c r="I734" t="inlineStr">
        <is>
          <t>{"0": {"productDeskExternalKey": "CPCX|43-3542"}, "1": {"E-Waste": "Yes"}, "2": {"Product Condition": "Remanufactured"}, "3": {"Weight PG": "2.7500"}, "4": {"Part Type": "Windshield Wiper Motor"}, "5": {"Warranty Info": "1 Year/18,000 Mile"}, "6": {"Sustainable Choice": "Yes"}, "7": {"Lifecycle Status": "Available to Order"}, "8": {"Application Summary": "Audi A8 Quattro 2007-04"}, "9": {"ItemLevelGTIN": "00082617816335"}, "10": {"_addonCardone": "43-3542::98264:121067:530"}, "11": {"Eligible for R&amp;R Service": "Yes"}}</t>
        </is>
      </c>
      <c r="J734" t="inlineStr">
        <is>
          <t>https://www.cardone.com/product/windshield-wiper-motor-43-3542</t>
        </is>
      </c>
      <c r="K734">
        <f>DISPIMG("ID_12AA7132E1C148C9A2C04724578E17B5",1)</f>
        <v/>
      </c>
      <c r="L734" t="inlineStr">
        <is>
          <t>CPCX|43-3542</t>
        </is>
      </c>
      <c r="M734" t="inlineStr"/>
      <c r="N734" t="inlineStr">
        <is>
          <t>Yes</t>
        </is>
      </c>
      <c r="O734" t="inlineStr">
        <is>
          <t>Remanufactured</t>
        </is>
      </c>
      <c r="P734" t="inlineStr"/>
      <c r="Q734" t="inlineStr"/>
      <c r="R734" t="inlineStr"/>
      <c r="S734" t="inlineStr">
        <is>
          <t>2.7500</t>
        </is>
      </c>
      <c r="T734" t="inlineStr"/>
      <c r="U734" t="inlineStr">
        <is>
          <t>1 Year/18,000 Mile</t>
        </is>
      </c>
      <c r="V734" t="inlineStr">
        <is>
          <t>Yes</t>
        </is>
      </c>
      <c r="W734" t="inlineStr">
        <is>
          <t>Available to Order</t>
        </is>
      </c>
      <c r="X734" t="inlineStr">
        <is>
          <t>Audi A8 Quattro 2007-04</t>
        </is>
      </c>
      <c r="Y734" t="inlineStr">
        <is>
          <t>00082617816335</t>
        </is>
      </c>
      <c r="Z734" t="inlineStr">
        <is>
          <t>43-3542::98264:121067:530</t>
        </is>
      </c>
      <c r="AA734" t="inlineStr">
        <is>
          <t>Yes</t>
        </is>
      </c>
      <c r="AB734" t="inlineStr"/>
      <c r="AC734" t="inlineStr"/>
    </row>
    <row r="735">
      <c r="A735" t="inlineStr">
        <is>
          <t>734</t>
        </is>
      </c>
      <c r="B735" t="inlineStr">
        <is>
          <t>Windshield Wiper Motor</t>
        </is>
      </c>
      <c r="C735" t="inlineStr">
        <is>
          <t>43-3544</t>
        </is>
      </c>
      <c r="D735" t="inlineStr">
        <is>
          <t>Windshield Wiper Motor - 43-3544</t>
        </is>
      </c>
      <c r="E735" t="inlineStr">
        <is>
          <t>CARDONE Reman</t>
        </is>
      </c>
      <c r="F735" t="inlineStr">
        <is>
          <t>4F1955119;4F1955119B;4F1955119C;4B1955119</t>
        </is>
      </c>
      <c r="G735" t="inlineStr">
        <is>
          <t>Audi A6 2007-2008
Audi A6 Quattro 2005-2008
Audi S6 2007-2008</t>
        </is>
      </c>
      <c r="H735" t="inlineStr">
        <is>
          <t>Audi A6 2007-2008 3.2L V6 3123cc
Audi A6 2008 2.8L V6 2773cc
Audi A6 Quattro 2005 4.2L V8 4172cc
Audi A6 Quattro 2005-2006 3L V6 2950cc
Audi A6 Quattro 2005-2008 3.2L V6 3123cc
Audi A6 Quattro 2005-2008 4.2L V8 4163cc
Audi S6 2007-2008 5.2L V10 5204cc</t>
        </is>
      </c>
      <c r="I735" t="inlineStr">
        <is>
          <t>{"0": {"productDeskExternalKey": "CPCX|43-3544"}, "1": {"E-Waste": "Yes"}, "2": {"Product Condition": "Remanufactured"}, "3": {"Weight PG": "2.7500"}, "4": {"Part Type": "Windshield Wiper Motor"}, "5": {"Warranty Info": "1 Year/18,000 Mile"}, "6": {"Sustainable Choice": "Yes"}, "7": {"Lifecycle Status": "Available to Order"}, "8": {"Application Summary": "Audi A6 2008-07, A6 Quattro 2008-05, S6 2008-07"}, "9": {"ItemLevelGTIN": "00082617816359"}, "10": {"_addonCardone": "43-3544::98264:121082:530"}, "11": {"Eligible for R&amp;R Service": "Yes"}}</t>
        </is>
      </c>
      <c r="J735" t="inlineStr">
        <is>
          <t>https://www.cardone.com/product/windshield-wiper-motor-43-3544</t>
        </is>
      </c>
      <c r="K735">
        <f>DISPIMG("ID_B04C0358295E473B9CABE770EEEC70A0",1)</f>
        <v/>
      </c>
      <c r="L735" t="inlineStr">
        <is>
          <t>CPCX|43-3544</t>
        </is>
      </c>
      <c r="M735" t="inlineStr"/>
      <c r="N735" t="inlineStr">
        <is>
          <t>Yes</t>
        </is>
      </c>
      <c r="O735" t="inlineStr">
        <is>
          <t>Remanufactured</t>
        </is>
      </c>
      <c r="P735" t="inlineStr"/>
      <c r="Q735" t="inlineStr"/>
      <c r="R735" t="inlineStr"/>
      <c r="S735" t="inlineStr">
        <is>
          <t>2.7500</t>
        </is>
      </c>
      <c r="T735" t="inlineStr"/>
      <c r="U735" t="inlineStr">
        <is>
          <t>1 Year/18,000 Mile</t>
        </is>
      </c>
      <c r="V735" t="inlineStr">
        <is>
          <t>Yes</t>
        </is>
      </c>
      <c r="W735" t="inlineStr">
        <is>
          <t>Available to Order</t>
        </is>
      </c>
      <c r="X735" t="inlineStr">
        <is>
          <t>Audi A6 2008-07, A6 Quattro 2008-05, S6 2008-07</t>
        </is>
      </c>
      <c r="Y735" t="inlineStr">
        <is>
          <t>00082617816359</t>
        </is>
      </c>
      <c r="Z735" t="inlineStr">
        <is>
          <t>43-3544::98264:121082:530</t>
        </is>
      </c>
      <c r="AA735" t="inlineStr">
        <is>
          <t>Yes</t>
        </is>
      </c>
      <c r="AB735" t="inlineStr"/>
      <c r="AC735" t="inlineStr"/>
    </row>
    <row r="736">
      <c r="A736" t="inlineStr">
        <is>
          <t>735</t>
        </is>
      </c>
      <c r="B736" t="inlineStr">
        <is>
          <t>Windshield Wiper Motor</t>
        </is>
      </c>
      <c r="C736" t="inlineStr">
        <is>
          <t>43-3547</t>
        </is>
      </c>
      <c r="D736" t="inlineStr">
        <is>
          <t>Windshield Wiper Motor - 43-3547</t>
        </is>
      </c>
      <c r="E736" t="inlineStr">
        <is>
          <t>CARDONE Reman</t>
        </is>
      </c>
      <c r="F736" t="inlineStr">
        <is>
          <t>4L1955023D;4L1955023C;4L1955023F</t>
        </is>
      </c>
      <c r="G736" t="inlineStr">
        <is>
          <t>Audi Q7 2007-2015</t>
        </is>
      </c>
      <c r="H736" t="inlineStr">
        <is>
          <t>Audi Q7 2007-2010 3.6L V6 219cid
Audi Q7 2007-2010 4.2L V8 4163cc
Audi Q7 2008-2010 3L V6 2967cc
Audi Q7 2009-2015 3L V6 181cid
Audi Q7 2011-2015 3L V6 2995cc
Audi Q7 2011-2015 4.2L V8 252cid</t>
        </is>
      </c>
      <c r="I736" t="inlineStr">
        <is>
          <t>{"0": {"productDeskExternalKey": "CPCX|43-3547"}, "1": {"E-Waste": "Yes"}, "2": {"Product Condition": "Remanufactured"}, "3": {"Weight PG": "3.7500"}, "4": {"Part Type": "Windshield Wiper Motor"}, "5": {"Warranty Info": "1 Year/18,000 Mile"}, "6": {"Sustainable Choice": "Yes"}, "7": {"Lifecycle Status": "Available to Order"}, "8": {"Application Summary": "Audi Q7 2015-07"}, "9": {"ItemLevelGTIN": "00082617816380"}, "10": {"_addonCardone": "43-3547::98264:121097:530"}, "11": {"Eligible for R&amp;R Service": "Yes"}}</t>
        </is>
      </c>
      <c r="J736" t="inlineStr">
        <is>
          <t>https://www.cardone.com/product/windshield-wiper-motor-43-3547</t>
        </is>
      </c>
      <c r="K736">
        <f>DISPIMG("ID_AEF0F3B4D1274938B8765CD8557C5C8D",1)</f>
        <v/>
      </c>
      <c r="L736" t="inlineStr">
        <is>
          <t>CPCX|43-3547</t>
        </is>
      </c>
      <c r="M736" t="inlineStr"/>
      <c r="N736" t="inlineStr">
        <is>
          <t>Yes</t>
        </is>
      </c>
      <c r="O736" t="inlineStr">
        <is>
          <t>Remanufactured</t>
        </is>
      </c>
      <c r="P736" t="inlineStr"/>
      <c r="Q736" t="inlineStr"/>
      <c r="R736" t="inlineStr"/>
      <c r="S736" t="inlineStr">
        <is>
          <t>3.7500</t>
        </is>
      </c>
      <c r="T736" t="inlineStr"/>
      <c r="U736" t="inlineStr">
        <is>
          <t>1 Year/18,000 Mile</t>
        </is>
      </c>
      <c r="V736" t="inlineStr">
        <is>
          <t>Yes</t>
        </is>
      </c>
      <c r="W736" t="inlineStr">
        <is>
          <t>Available to Order</t>
        </is>
      </c>
      <c r="X736" t="inlineStr">
        <is>
          <t>Audi Q7 2015-07</t>
        </is>
      </c>
      <c r="Y736" t="inlineStr">
        <is>
          <t>00082617816380</t>
        </is>
      </c>
      <c r="Z736" t="inlineStr">
        <is>
          <t>43-3547::98264:121097:530</t>
        </is>
      </c>
      <c r="AA736" t="inlineStr">
        <is>
          <t>Yes</t>
        </is>
      </c>
      <c r="AB736" t="inlineStr"/>
      <c r="AC736" t="inlineStr"/>
    </row>
    <row r="737">
      <c r="A737" t="inlineStr">
        <is>
          <t>736</t>
        </is>
      </c>
      <c r="B737" t="inlineStr">
        <is>
          <t>Windshield Wiper Motor</t>
        </is>
      </c>
      <c r="C737" t="inlineStr">
        <is>
          <t>43-3549</t>
        </is>
      </c>
      <c r="D737" t="inlineStr">
        <is>
          <t>Windshield Wiper Motor - 43-3549</t>
        </is>
      </c>
      <c r="E737" t="inlineStr">
        <is>
          <t>CARDONE Reman</t>
        </is>
      </c>
      <c r="F737" t="inlineStr">
        <is>
          <t>7L0995712A;7L0955712B;7L0955712A;7L0955712C</t>
        </is>
      </c>
      <c r="G737" t="inlineStr">
        <is>
          <t>Volkswagen Touareg 2004-2010</t>
        </is>
      </c>
      <c r="H737" t="inlineStr">
        <is>
          <t>Volkswagen Touareg 2004-2007 3.2L V6 195cid
Volkswagen Touareg 2004-2007 4.2L V8 4172cc
Volkswagen Touareg 2004-2007 4.9L V10 300cid
Volkswagen Touareg 2005-2008 5L V10 300cid
Volkswagen Touareg 2007-2009 4.2L V8 4163cc
Volkswagen Touareg 2007-2010 3.6L V6 219cid
Volkswagen Touareg 2009 3L V6 2967cc
Volkswagen Touareg 2009-2010 3L V6 181cid</t>
        </is>
      </c>
      <c r="I737" t="inlineStr">
        <is>
          <t>{"0": {"productDeskExternalKey": "CPCX|43-3549"}, "1": {"E-Waste": "Yes"}, "2": {"Product Condition": "Remanufactured"}, "3": {"Weight PG": "0.2200"}, "4": {"Part Type": "Windshield Wiper Motor"}, "5": {"Warranty Info": "1 Year/18,000 Mile"}, "6": {"Sustainable Choice": "Yes"}, "7": {"Lifecycle Status": "Available to Order"}, "8": {"Application Summary": "Volkswagen Touareg 2010-04"}, "9": {"ItemLevelGTIN": "00082617817134"}, "10": {"_addonCardone": "43-3549::98264:121112:530"}, "11": {"Eligible for R&amp;R Service": "Yes"}}</t>
        </is>
      </c>
      <c r="J737" t="inlineStr">
        <is>
          <t>https://www.cardone.com/product/windshield-wiper-motor-43-3549</t>
        </is>
      </c>
      <c r="K737">
        <f>DISPIMG("ID_22B461FEBFFC4C0AAE017DF0B15AAF8D",1)</f>
        <v/>
      </c>
      <c r="L737" t="inlineStr">
        <is>
          <t>CPCX|43-3549</t>
        </is>
      </c>
      <c r="M737" t="inlineStr"/>
      <c r="N737" t="inlineStr">
        <is>
          <t>Yes</t>
        </is>
      </c>
      <c r="O737" t="inlineStr">
        <is>
          <t>Remanufactured</t>
        </is>
      </c>
      <c r="P737" t="inlineStr"/>
      <c r="Q737" t="inlineStr"/>
      <c r="R737" t="inlineStr"/>
      <c r="S737" t="inlineStr">
        <is>
          <t>0.2200</t>
        </is>
      </c>
      <c r="T737" t="inlineStr"/>
      <c r="U737" t="inlineStr">
        <is>
          <t>1 Year/18,000 Mile</t>
        </is>
      </c>
      <c r="V737" t="inlineStr">
        <is>
          <t>Yes</t>
        </is>
      </c>
      <c r="W737" t="inlineStr">
        <is>
          <t>Available to Order</t>
        </is>
      </c>
      <c r="X737" t="inlineStr">
        <is>
          <t>Volkswagen Touareg 2010-04</t>
        </is>
      </c>
      <c r="Y737" t="inlineStr">
        <is>
          <t>00082617817134</t>
        </is>
      </c>
      <c r="Z737" t="inlineStr">
        <is>
          <t>43-3549::98264:121112:530</t>
        </is>
      </c>
      <c r="AA737" t="inlineStr">
        <is>
          <t>Yes</t>
        </is>
      </c>
      <c r="AB737" t="inlineStr"/>
      <c r="AC737" t="inlineStr"/>
    </row>
    <row r="738">
      <c r="A738" t="inlineStr">
        <is>
          <t>737</t>
        </is>
      </c>
      <c r="B738" t="inlineStr">
        <is>
          <t>Windshield Wiper Motor</t>
        </is>
      </c>
      <c r="C738" t="inlineStr">
        <is>
          <t>43-3552</t>
        </is>
      </c>
      <c r="D738" t="inlineStr">
        <is>
          <t>Windshield Wiper Motor - 43-3552</t>
        </is>
      </c>
      <c r="E738" t="inlineStr">
        <is>
          <t>CARDONE Reman</t>
        </is>
      </c>
      <c r="F738" t="inlineStr">
        <is>
          <t>8P1955119B;8P1955119E;8P1955119F</t>
        </is>
      </c>
      <c r="G738" t="inlineStr">
        <is>
          <t>Audi A3 2006-2008
Audi A3 Quattro 2006-2008</t>
        </is>
      </c>
      <c r="H738" t="inlineStr">
        <is>
          <t>Audi A3 2006-2008 2L L4 121cid
Audi A3 2008 1.4L L4 85cid
Audi A3 2008 1.8L L4 110cid
Audi A3 Quattro 2006-2008 2L L4 121cid
Audi A3 Quattro 2006-2008 3.2L V6 195cid</t>
        </is>
      </c>
      <c r="I738" t="inlineStr">
        <is>
          <t>{"0": {"productDeskExternalKey": "CPCX|43-3552"}, "1": {"E-Waste": "Yes"}, "2": {"Product Condition": "Remanufactured"}, "3": {"Weight PG": "3.3000"}, "4": {"Part Type": "Windshield Wiper Motor"}, "5": {"Warranty Info": "1 Year/18,000 Mile"}, "6": {"Sustainable Choice": "Yes"}, "7": {"Lifecycle Status": "Available to Order"}, "8": {"Application Summary": "Audi A3 2008-06, A3 Quattro 2008-06"}, "9": {"ItemLevelGTIN": "00082617817165"}, "10": {"_addonCardone": "43-3552::98264:121125:530"}, "11": {"Eligible for R&amp;R Service": "Yes"}}</t>
        </is>
      </c>
      <c r="J738" t="inlineStr">
        <is>
          <t>https://www.cardone.com/product/windshield-wiper-motor-43-3552</t>
        </is>
      </c>
      <c r="K738">
        <f>DISPIMG("ID_6CF7EAFAB98547D89050915F72C4BFF1",1)</f>
        <v/>
      </c>
      <c r="L738" t="inlineStr">
        <is>
          <t>CPCX|43-3552</t>
        </is>
      </c>
      <c r="M738" t="inlineStr"/>
      <c r="N738" t="inlineStr">
        <is>
          <t>Yes</t>
        </is>
      </c>
      <c r="O738" t="inlineStr">
        <is>
          <t>Remanufactured</t>
        </is>
      </c>
      <c r="P738" t="inlineStr"/>
      <c r="Q738" t="inlineStr"/>
      <c r="R738" t="inlineStr"/>
      <c r="S738" t="inlineStr">
        <is>
          <t>3.3000</t>
        </is>
      </c>
      <c r="T738" t="inlineStr"/>
      <c r="U738" t="inlineStr">
        <is>
          <t>1 Year/18,000 Mile</t>
        </is>
      </c>
      <c r="V738" t="inlineStr">
        <is>
          <t>Yes</t>
        </is>
      </c>
      <c r="W738" t="inlineStr">
        <is>
          <t>Available to Order</t>
        </is>
      </c>
      <c r="X738" t="inlineStr">
        <is>
          <t>Audi A3 2008-06, A3 Quattro 2008-06</t>
        </is>
      </c>
      <c r="Y738" t="inlineStr">
        <is>
          <t>00082617817165</t>
        </is>
      </c>
      <c r="Z738" t="inlineStr">
        <is>
          <t>43-3552::98264:121125:530</t>
        </is>
      </c>
      <c r="AA738" t="inlineStr">
        <is>
          <t>Yes</t>
        </is>
      </c>
      <c r="AB738" t="inlineStr"/>
      <c r="AC738" t="inlineStr"/>
    </row>
    <row r="739">
      <c r="A739" t="inlineStr">
        <is>
          <t>738</t>
        </is>
      </c>
      <c r="B739" t="inlineStr">
        <is>
          <t>Windshield Wiper Motor</t>
        </is>
      </c>
      <c r="C739" t="inlineStr">
        <is>
          <t>43-3553</t>
        </is>
      </c>
      <c r="D739" t="inlineStr">
        <is>
          <t>Windshield Wiper Motor - 43-3553</t>
        </is>
      </c>
      <c r="E739" t="inlineStr">
        <is>
          <t>CARDONE Reman</t>
        </is>
      </c>
      <c r="F739" t="inlineStr">
        <is>
          <t>4B7955113;4B7955113A</t>
        </is>
      </c>
      <c r="G739" t="inlineStr">
        <is>
          <t>Audi A6 Quattro 2000-2003
Audi RS6 2003
Audi S6 2002</t>
        </is>
      </c>
      <c r="H739" t="inlineStr">
        <is>
          <t>Audi A6 Quattro 2000 2.8L V6 2771cc
Audi A6 Quattro 2000-2003 2.7L V6 2671cc
Audi A6 Quattro 2000-2003 4.2L V8 4172cc
Audi A6 Quattro 2003 3L V6 2950cc
Audi A6 Quattro 2003 3L V6 2976cc
Audi RS6 2003 4.2L V8 4172cc
Audi S6 2002 4.2L V8 4172cc</t>
        </is>
      </c>
      <c r="I739" t="inlineStr">
        <is>
          <t>{"0": {"productDeskExternalKey": "CPCX|43-3553"}, "1": {"Package Contents": "Wiper Motor; Instruction Sheet"}, "2": {"E-Waste": "Yes"}, "3": {"Product Condition": "Remanufactured"}, "4": {"Mounting Hole Quantity": "3"}, "5": {"Terminal Type": "Blade"}, "6": {"Mounting Type": "Direct Bolt"}, "7": {"Weight PG": "3.1500"}, "8": {"Washer Pump Included": "No"}, "9": {"Part Type": "Windshield Wiper Motor"}, "10": {"Warranty Info": "1 Year/18,000 Mile"}, "11": {"Sustainable Choice": "Yes"}, "12": {"Lifecycle Status": "Available to Order"}, "13": {"Application Summary": "Audi A6 Quattro 2003 2000, RS6 2003, S6 2002"}, "14": {"ItemLevelGTIN": "00082617817417"}, "15": {"_addonCardone": "43-3553::98264:121139:530"}, "16": {"Eligible for R&amp;R Service": "Yes"}}</t>
        </is>
      </c>
      <c r="J739" t="inlineStr">
        <is>
          <t>https://www.cardone.com/product/windshield-wiper-motor-43-3553</t>
        </is>
      </c>
      <c r="K739">
        <f>DISPIMG("ID_40FFD6EFFFAB48DAAB3B4038BED93FC7",1)</f>
        <v/>
      </c>
      <c r="L739" t="inlineStr">
        <is>
          <t>CPCX|43-3553</t>
        </is>
      </c>
      <c r="M739" t="inlineStr">
        <is>
          <t>Wiper Motor; Instruction Sheet</t>
        </is>
      </c>
      <c r="N739" t="inlineStr">
        <is>
          <t>Yes</t>
        </is>
      </c>
      <c r="O739" t="inlineStr">
        <is>
          <t>Remanufactured</t>
        </is>
      </c>
      <c r="P739" t="inlineStr">
        <is>
          <t>3</t>
        </is>
      </c>
      <c r="Q739" t="inlineStr">
        <is>
          <t>Blade</t>
        </is>
      </c>
      <c r="R739" t="inlineStr">
        <is>
          <t>Direct Bolt</t>
        </is>
      </c>
      <c r="S739" t="inlineStr">
        <is>
          <t>3.1500</t>
        </is>
      </c>
      <c r="T739" t="inlineStr">
        <is>
          <t>No</t>
        </is>
      </c>
      <c r="U739" t="inlineStr">
        <is>
          <t>1 Year/18,000 Mile</t>
        </is>
      </c>
      <c r="V739" t="inlineStr">
        <is>
          <t>Yes</t>
        </is>
      </c>
      <c r="W739" t="inlineStr">
        <is>
          <t>Available to Order</t>
        </is>
      </c>
      <c r="X739" t="inlineStr">
        <is>
          <t>Audi A6 Quattro 2003 2000, RS6 2003, S6 2002</t>
        </is>
      </c>
      <c r="Y739" t="inlineStr">
        <is>
          <t>00082617817417</t>
        </is>
      </c>
      <c r="Z739" t="inlineStr">
        <is>
          <t>43-3553::98264:121139:530</t>
        </is>
      </c>
      <c r="AA739" t="inlineStr">
        <is>
          <t>Yes</t>
        </is>
      </c>
      <c r="AB739" t="inlineStr"/>
      <c r="AC739" t="inlineStr"/>
    </row>
    <row r="740">
      <c r="A740" t="inlineStr">
        <is>
          <t>739</t>
        </is>
      </c>
      <c r="B740" t="inlineStr">
        <is>
          <t>Windshield Wiper Motor</t>
        </is>
      </c>
      <c r="C740" t="inlineStr">
        <is>
          <t>43-3560</t>
        </is>
      </c>
      <c r="D740" t="inlineStr">
        <is>
          <t>Windshield Wiper Motor - 43-3560</t>
        </is>
      </c>
      <c r="E740" t="inlineStr">
        <is>
          <t>CARDONE Reman</t>
        </is>
      </c>
      <c r="F740" t="inlineStr">
        <is>
          <t>4B1955113A</t>
        </is>
      </c>
      <c r="G740" t="inlineStr">
        <is>
          <t>Audi A6 2004
Audi A6 Quattro 2004
Audi Allroad Quattro 2004-2005</t>
        </is>
      </c>
      <c r="H740" t="inlineStr">
        <is>
          <t>Audi A6 2004 3L V6 2950cc
Audi A6 2004 3L V6 2976cc
Audi A6 Quattro 2004 2.7L V6 2671cc
Audi A6 Quattro 2004 3L V6 2950cc
Audi A6 Quattro 2004 3L V6 2976cc
Audi A6 Quattro 2004 4.2L V8 4172cc
Audi Allroad Quattro 2004-2005 2.7L V6 2671cc
Audi Allroad Quattro 2004-2005 4.2L V8 4172cc</t>
        </is>
      </c>
      <c r="I740" t="inlineStr">
        <is>
          <t>{"0": {"productDeskExternalKey": "CPCX|43-3560"},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"Audi A6 2004, A6 Quattro 2004, Allroad Quattro 2005-04"}, "14": {"ItemLevelGTIN": "00082617824996"}, "15": {"_addonCardone": "43-3560::98264:121154:530"}, "16": {"Eligible for R&amp;R Service": "Yes"}}</t>
        </is>
      </c>
      <c r="J740" t="inlineStr">
        <is>
          <t>https://www.cardone.com/product/windshield-wiper-motor-43-3560</t>
        </is>
      </c>
      <c r="K740">
        <f>DISPIMG("ID_1538C39F5A3A43769300F8475ECCC2FB",1)</f>
        <v/>
      </c>
      <c r="L740" t="inlineStr">
        <is>
          <t>CPCX|43-3560</t>
        </is>
      </c>
      <c r="M740" t="inlineStr">
        <is>
          <t>Wiper Motor; Instruction Sheet</t>
        </is>
      </c>
      <c r="N740" t="inlineStr">
        <is>
          <t>Yes</t>
        </is>
      </c>
      <c r="O740" t="inlineStr">
        <is>
          <t>Remanufactured</t>
        </is>
      </c>
      <c r="P740" t="inlineStr">
        <is>
          <t>3</t>
        </is>
      </c>
      <c r="Q740" t="inlineStr">
        <is>
          <t>Blade</t>
        </is>
      </c>
      <c r="R740" t="inlineStr">
        <is>
          <t>Direct Bolt</t>
        </is>
      </c>
      <c r="S740" t="inlineStr">
        <is>
          <t>2.5000</t>
        </is>
      </c>
      <c r="T740" t="inlineStr">
        <is>
          <t>No</t>
        </is>
      </c>
      <c r="U740" t="inlineStr">
        <is>
          <t>1 Year/18,000 Mile</t>
        </is>
      </c>
      <c r="V740" t="inlineStr">
        <is>
          <t>Yes</t>
        </is>
      </c>
      <c r="W740" t="inlineStr">
        <is>
          <t>Available to Order</t>
        </is>
      </c>
      <c r="X740" t="inlineStr">
        <is>
          <t>Audi A6 2004, A6 Quattro 2004, Allroad Quattro 2005-04</t>
        </is>
      </c>
      <c r="Y740" t="inlineStr">
        <is>
          <t>00082617824996</t>
        </is>
      </c>
      <c r="Z740" t="inlineStr">
        <is>
          <t>43-3560::98264:121154:530</t>
        </is>
      </c>
      <c r="AA740" t="inlineStr">
        <is>
          <t>Yes</t>
        </is>
      </c>
      <c r="AB740" t="inlineStr"/>
      <c r="AC740" t="inlineStr"/>
    </row>
    <row r="741">
      <c r="A741" t="inlineStr">
        <is>
          <t>740</t>
        </is>
      </c>
      <c r="B741" t="inlineStr">
        <is>
          <t>Windshield Wiper Motor</t>
        </is>
      </c>
      <c r="C741" t="inlineStr">
        <is>
          <t>43-3566</t>
        </is>
      </c>
      <c r="D741" t="inlineStr">
        <is>
          <t>Windshield Wiper Motor - 43-3566</t>
        </is>
      </c>
      <c r="E741" t="inlineStr">
        <is>
          <t>CARDONE Reman</t>
        </is>
      </c>
      <c r="F741" t="inlineStr">
        <is>
          <t>7L0955119K0LD;7L0955119M;7L0955119K</t>
        </is>
      </c>
      <c r="G741" t="inlineStr">
        <is>
          <t>Volkswagen Touareg 2005-2006</t>
        </is>
      </c>
      <c r="H741" t="inlineStr">
        <is>
          <t>Volkswagen Touareg 2005-2006 3.2L V6 195cid
Volkswagen Touareg 2005-2006 4.2L V8 4172cc
Volkswagen Touareg 2005-2006 5L V10 300cid</t>
        </is>
      </c>
      <c r="I741" t="inlineStr">
        <is>
          <t>{"0": {"productDeskExternalKey": "CPCX|43-3566"}, "1": {"E-Waste": "Yes"}, "2": {"Product Condition": "Remanufactured"}, "3": {"Weight PG": "3.5000"}, "4": {"Part Type": "Windshield Wiper Motor"}, "5": {"Warranty Info": "1 Year/18,000 Mile"}, "6": {"Sustainable Choice": "Yes"}, "7": {"Lifecycle Status": "Available to Order"}, "8": {"Application Summary": "Volkswagen Touareg 2006-05"}, "9": {"ItemLevelGTIN": "00082617834476"}, "10": {"_addonCardone": "43-3566::98264:121169:530"}, "11": {"Eligible for R&amp;R Service": "Yes"}}</t>
        </is>
      </c>
      <c r="J741" t="inlineStr">
        <is>
          <t>https://www.cardone.com/product/windshield-wiper-motor-43-3566</t>
        </is>
      </c>
      <c r="K741">
        <f>DISPIMG("ID_DD283A51F9BD4042958251734DF4AD27",1)</f>
        <v/>
      </c>
      <c r="L741" t="inlineStr">
        <is>
          <t>CPCX|43-3566</t>
        </is>
      </c>
      <c r="M741" t="inlineStr"/>
      <c r="N741" t="inlineStr">
        <is>
          <t>Yes</t>
        </is>
      </c>
      <c r="O741" t="inlineStr">
        <is>
          <t>Remanufactured</t>
        </is>
      </c>
      <c r="P741" t="inlineStr"/>
      <c r="Q741" t="inlineStr"/>
      <c r="R741" t="inlineStr"/>
      <c r="S741" t="inlineStr">
        <is>
          <t>3.5000</t>
        </is>
      </c>
      <c r="T741" t="inlineStr"/>
      <c r="U741" t="inlineStr">
        <is>
          <t>1 Year/18,000 Mile</t>
        </is>
      </c>
      <c r="V741" t="inlineStr">
        <is>
          <t>Yes</t>
        </is>
      </c>
      <c r="W741" t="inlineStr">
        <is>
          <t>Available to Order</t>
        </is>
      </c>
      <c r="X741" t="inlineStr">
        <is>
          <t>Volkswagen Touareg 2006-05</t>
        </is>
      </c>
      <c r="Y741" t="inlineStr">
        <is>
          <t>00082617834476</t>
        </is>
      </c>
      <c r="Z741" t="inlineStr">
        <is>
          <t>43-3566::98264:121169:530</t>
        </is>
      </c>
      <c r="AA741" t="inlineStr">
        <is>
          <t>Yes</t>
        </is>
      </c>
      <c r="AB741" t="inlineStr"/>
      <c r="AC741" t="inlineStr"/>
    </row>
    <row r="742">
      <c r="A742" t="inlineStr">
        <is>
          <t>741</t>
        </is>
      </c>
      <c r="B742" t="inlineStr">
        <is>
          <t>Windshield Wiper Motor</t>
        </is>
      </c>
      <c r="C742" t="inlineStr">
        <is>
          <t>43-3568</t>
        </is>
      </c>
      <c r="D742" t="inlineStr">
        <is>
          <t>Windshield Wiper Motor - 43-3568</t>
        </is>
      </c>
      <c r="E742" t="inlineStr">
        <is>
          <t>CARDONE Reman</t>
        </is>
      </c>
      <c r="F742" t="inlineStr">
        <is>
          <t>333955713C</t>
        </is>
      </c>
      <c r="G742" t="inlineStr">
        <is>
          <t>Volkswagen Passat 1990-1994</t>
        </is>
      </c>
      <c r="H742" t="inlineStr">
        <is>
          <t>Volkswagen Passat 1990-1994 2L L4 121cid
Volkswagen Passat 1991-1993 1.8L L4 1781cc
Volkswagen Passat 1993-1994 1.9L L4 116cid
Volkswagen Passat 1993-1994 2.8L V6 2771cc</t>
        </is>
      </c>
      <c r="I742" t="inlineStr">
        <is>
          <t>{"0": {"productDeskExternalKey": "CPCX|43-3568"}, "1": {"E-Waste": "Yes"}, "2": {"Product Condition": "Remanufactured"}, "3": {"Weight PG": "2.5000"}, "4": {"Part Type": "Windshield Wiper Motor"}, "5": {"Warranty Info": "1 Year/18,000 Mile"}, "6": {"Sustainable Choice": "Yes"}, "7": {"Lifecycle Status": "Available to Order"}, "8": {"Application Summary": "Volkswagen Passat 1994-90"}, "9": {"ItemLevelGTIN": "00082617838214"}, "10": {"_addonCardone": "43-3568::98264:121188:530"}, "11": {"Eligible for R&amp;R Service": "Yes"}}</t>
        </is>
      </c>
      <c r="J742" t="inlineStr">
        <is>
          <t>https://www.cardone.com/product/windshield-wiper-motor-43-3568</t>
        </is>
      </c>
      <c r="K742">
        <f>DISPIMG("ID_CBD4DADEE8224AB599C9A1E03CC17B1D",1)</f>
        <v/>
      </c>
      <c r="L742" t="inlineStr">
        <is>
          <t>CPCX|43-3568</t>
        </is>
      </c>
      <c r="M742" t="inlineStr"/>
      <c r="N742" t="inlineStr">
        <is>
          <t>Yes</t>
        </is>
      </c>
      <c r="O742" t="inlineStr">
        <is>
          <t>Remanufactured</t>
        </is>
      </c>
      <c r="P742" t="inlineStr"/>
      <c r="Q742" t="inlineStr"/>
      <c r="R742" t="inlineStr"/>
      <c r="S742" t="inlineStr">
        <is>
          <t>2.5000</t>
        </is>
      </c>
      <c r="T742" t="inlineStr"/>
      <c r="U742" t="inlineStr">
        <is>
          <t>1 Year/18,000 Mile</t>
        </is>
      </c>
      <c r="V742" t="inlineStr">
        <is>
          <t>Yes</t>
        </is>
      </c>
      <c r="W742" t="inlineStr">
        <is>
          <t>Available to Order</t>
        </is>
      </c>
      <c r="X742" t="inlineStr">
        <is>
          <t>Volkswagen Passat 1994-90</t>
        </is>
      </c>
      <c r="Y742" t="inlineStr">
        <is>
          <t>00082617838214</t>
        </is>
      </c>
      <c r="Z742" t="inlineStr">
        <is>
          <t>43-3568::98264:121188:530</t>
        </is>
      </c>
      <c r="AA742" t="inlineStr">
        <is>
          <t>Yes</t>
        </is>
      </c>
      <c r="AB742" t="inlineStr"/>
      <c r="AC742" t="inlineStr"/>
    </row>
    <row r="743">
      <c r="A743" t="inlineStr">
        <is>
          <t>742</t>
        </is>
      </c>
      <c r="B743" t="inlineStr">
        <is>
          <t>Windshield Wiper Motor</t>
        </is>
      </c>
      <c r="C743" t="inlineStr">
        <is>
          <t>43-3578</t>
        </is>
      </c>
      <c r="D743" t="inlineStr">
        <is>
          <t>Windshield Wiper Motor - 43-3578</t>
        </is>
      </c>
      <c r="E743" t="inlineStr">
        <is>
          <t>CARDONE Reman</t>
        </is>
      </c>
      <c r="F743" t="inlineStr">
        <is>
          <t>5N0955711B;5N0955711A</t>
        </is>
      </c>
      <c r="G743" t="inlineStr">
        <is>
          <t>Volkswagen Tiguan 2009-2017</t>
        </is>
      </c>
      <c r="H743" t="inlineStr">
        <is>
          <t>Volkswagen Tiguan 2009-2017 2L L4 121cid
Volkswagen Tiguan 2013-2017 1.4L L4 85cid</t>
        </is>
      </c>
      <c r="I743" t="inlineStr">
        <is>
          <t>{"0": {"productDeskExternalKey": "CPCX|43-3578"}, "1": {"Package Contents": "Wiper Motor; Instruction Sheet"}, "2": {"E-Waste": "Yes"}, "3": {"Product Condition": "Remanufactured"}, "4": {"Mounting Hole Quantity": "3"}, "5": {"Terminal Type": "Blade"}, "6": {"Mounting Type": "Eyelet; Grommet"}, "7": {"Weight PG": "2.0000"}, "8": {"Washer Pump Included": "No"}, "9": {"Part Type": "Windshield Wiper Motor"}, "10": {"Warranty Info": "1 Year/18,000 Mile"}, "11": {"Sustainable Choice": "Yes"}, "12": {"Lifecycle Status": "Available to Order"}, "13": {"Application Summary": "Volkswagen Tiguan 2017-09"}, "14": {"ItemLevelGTIN": "00082617900744"}, "15": {"_addonCardone": "43-3578::98264:121204:530"}, "16": {"Eligible for R&amp;R Service": "Yes"}}</t>
        </is>
      </c>
      <c r="J743" t="inlineStr">
        <is>
          <t>https://www.cardone.com/product/windshield-wiper-motor-43-3578</t>
        </is>
      </c>
      <c r="K743">
        <f>DISPIMG("ID_5120E03D4A454B3C8AA306FEDDEDC008",1)</f>
        <v/>
      </c>
      <c r="L743" t="inlineStr">
        <is>
          <t>CPCX|43-3578</t>
        </is>
      </c>
      <c r="M743" t="inlineStr">
        <is>
          <t>Wiper Motor; Instruction Sheet</t>
        </is>
      </c>
      <c r="N743" t="inlineStr">
        <is>
          <t>Yes</t>
        </is>
      </c>
      <c r="O743" t="inlineStr">
        <is>
          <t>Remanufactured</t>
        </is>
      </c>
      <c r="P743" t="inlineStr">
        <is>
          <t>3</t>
        </is>
      </c>
      <c r="Q743" t="inlineStr">
        <is>
          <t>Blade</t>
        </is>
      </c>
      <c r="R743" t="inlineStr">
        <is>
          <t>Eyelet; Grommet</t>
        </is>
      </c>
      <c r="S743" t="inlineStr">
        <is>
          <t>2.0000</t>
        </is>
      </c>
      <c r="T743" t="inlineStr">
        <is>
          <t>No</t>
        </is>
      </c>
      <c r="U743" t="inlineStr">
        <is>
          <t>1 Year/18,000 Mile</t>
        </is>
      </c>
      <c r="V743" t="inlineStr">
        <is>
          <t>Yes</t>
        </is>
      </c>
      <c r="W743" t="inlineStr">
        <is>
          <t>Available to Order</t>
        </is>
      </c>
      <c r="X743" t="inlineStr">
        <is>
          <t>Volkswagen Tiguan 2017-09</t>
        </is>
      </c>
      <c r="Y743" t="inlineStr">
        <is>
          <t>00082617900744</t>
        </is>
      </c>
      <c r="Z743" t="inlineStr">
        <is>
          <t>43-3578::98264:121204:530</t>
        </is>
      </c>
      <c r="AA743" t="inlineStr">
        <is>
          <t>Yes</t>
        </is>
      </c>
      <c r="AB743" t="inlineStr"/>
      <c r="AC743" t="inlineStr"/>
    </row>
    <row r="744">
      <c r="A744" t="inlineStr">
        <is>
          <t>743</t>
        </is>
      </c>
      <c r="B744" t="inlineStr">
        <is>
          <t>Windshield Wiper Motor</t>
        </is>
      </c>
      <c r="C744" t="inlineStr">
        <is>
          <t>43-3580</t>
        </is>
      </c>
      <c r="D744" t="inlineStr">
        <is>
          <t>Windshield Wiper Motor - 43-3580</t>
        </is>
      </c>
      <c r="E744" t="inlineStr">
        <is>
          <t>CARDONE Reman</t>
        </is>
      </c>
      <c r="F744" t="inlineStr">
        <is>
          <t>3C8955023B</t>
        </is>
      </c>
      <c r="G744" t="inlineStr">
        <is>
          <t>Volkswagen CC 2009-2012
Volkswagen Passat CC 2009-2012</t>
        </is>
      </c>
      <c r="H744" t="inlineStr">
        <is>
          <t>Volkswagen CC 2009-2012 2L L4 121cid
Volkswagen CC 2009-2012 3.6L V6 219cid
Volkswagen Passat CC 2009-2012 2L L4 121cid
Volkswagen Passat CC 2009-2012 3.6L V6 219cid</t>
        </is>
      </c>
      <c r="I744" t="inlineStr">
        <is>
          <t>{"0": {"productDeskExternalKey": "CPCX|43-3580"}, "1": {"E-Waste": "Yes"}, "2": {"Product Condition": "Remanufactured"}, "3": {"Weight PG": "2.8000"}, "4": {"Part Type": "Windshield Wiper Motor"}, "5": {"Warranty Info": "1 Year/18,000 Mile"}, "6": {"Sustainable Choice": "Yes"}, "7": {"Lifecycle Status": "Available to Order"}, "8": {"Application Summary": "Volkswagen CC 2012 2009, Passat CC 2012 2009"}, "9": {"ItemLevelGTIN": "00082617900768"}, "10": {"_addonCardone": "43-3580::98264:121219:530"}, "11": {"Eligible for R&amp;R Service": "Yes"}}</t>
        </is>
      </c>
      <c r="J744" t="inlineStr">
        <is>
          <t>https://www.cardone.com/product/windshield-wiper-motor-43-3580</t>
        </is>
      </c>
      <c r="K744">
        <f>DISPIMG("ID_0D4CCD07CE81419A840AD916490E9A4F",1)</f>
        <v/>
      </c>
      <c r="L744" t="inlineStr">
        <is>
          <t>CPCX|43-3580</t>
        </is>
      </c>
      <c r="M744" t="inlineStr"/>
      <c r="N744" t="inlineStr">
        <is>
          <t>Yes</t>
        </is>
      </c>
      <c r="O744" t="inlineStr">
        <is>
          <t>Remanufactured</t>
        </is>
      </c>
      <c r="P744" t="inlineStr"/>
      <c r="Q744" t="inlineStr"/>
      <c r="R744" t="inlineStr"/>
      <c r="S744" t="inlineStr">
        <is>
          <t>2.8000</t>
        </is>
      </c>
      <c r="T744" t="inlineStr"/>
      <c r="U744" t="inlineStr">
        <is>
          <t>1 Year/18,000 Mile</t>
        </is>
      </c>
      <c r="V744" t="inlineStr">
        <is>
          <t>Yes</t>
        </is>
      </c>
      <c r="W744" t="inlineStr">
        <is>
          <t>Available to Order</t>
        </is>
      </c>
      <c r="X744" t="inlineStr">
        <is>
          <t>Volkswagen CC 2012 2009, Passat CC 2012 2009</t>
        </is>
      </c>
      <c r="Y744" t="inlineStr">
        <is>
          <t>00082617900768</t>
        </is>
      </c>
      <c r="Z744" t="inlineStr">
        <is>
          <t>43-3580::98264:121219:530</t>
        </is>
      </c>
      <c r="AA744" t="inlineStr">
        <is>
          <t>Yes</t>
        </is>
      </c>
      <c r="AB744" t="inlineStr"/>
      <c r="AC744" t="inlineStr"/>
    </row>
    <row r="745">
      <c r="A745" t="inlineStr">
        <is>
          <t>744</t>
        </is>
      </c>
      <c r="B745" t="inlineStr">
        <is>
          <t>Windshield Wiper Motor</t>
        </is>
      </c>
      <c r="C745" t="inlineStr">
        <is>
          <t>43-3581</t>
        </is>
      </c>
      <c r="D745" t="inlineStr">
        <is>
          <t>Windshield Wiper Motor - 43-3581</t>
        </is>
      </c>
      <c r="E745" t="inlineStr">
        <is>
          <t>CARDONE Reman</t>
        </is>
      </c>
      <c r="F745" t="inlineStr">
        <is>
          <t>7B0955711</t>
        </is>
      </c>
      <c r="G745" t="inlineStr">
        <is>
          <t>Volkswagen Routan 2009-2014</t>
        </is>
      </c>
      <c r="H745" t="inlineStr">
        <is>
          <t>Volkswagen Routan 2009-2010 3.8L V6 231cid
Volkswagen Routan 2009-2010 4L V6 241cid
Volkswagen Routan 2011-2014 3.6L V6 220cid</t>
        </is>
      </c>
      <c r="I745" t="inlineStr">
        <is>
          <t>{"0": {"productDeskExternalKey": "CPCX|43-3581"}, "1": {"Package Contents": "Wiper Motor; Instruction Sheet"}, "2": {"E-Waste": "Yes"}, "3": {"Product Condition": "Remanufactured"}, "4": {"Mounting Hole Quantity": "3"}, "5": {"Terminal Type": "Blade"}, "6": {"Mounting Type": "Grommet; Through Hole"}, "7": {"Weight PG": "2.0400"}, "8": {"Washer Pump Included": "No"}, "9": {"Part Type": "Windshield Wiper Motor"}, "10": {"Warranty Info": "1 Year/18,000 Mile"}, "11": {"Sustainable Choice": "Yes"}, "12": {"Lifecycle Status": "Available to Order"}, "13": {"Application Summary": "Volkswagen Routan 2014-09"}, "14": {"ItemLevelGTIN": "00082617900775"}, "15": {"_addonCardone": "43-3581::98264:121231:530"}, "16": {"Eligible for R&amp;R Service": "Yes"}}</t>
        </is>
      </c>
      <c r="J745" t="inlineStr">
        <is>
          <t>https://www.cardone.com/product/windshield-wiper-motor-43-3581</t>
        </is>
      </c>
      <c r="K745">
        <f>DISPIMG("ID_3884B35A92ED4248939B5266D38940FC",1)</f>
        <v/>
      </c>
      <c r="L745" t="inlineStr">
        <is>
          <t>CPCX|43-3581</t>
        </is>
      </c>
      <c r="M745" t="inlineStr">
        <is>
          <t>Wiper Motor; Instruction Sheet</t>
        </is>
      </c>
      <c r="N745" t="inlineStr">
        <is>
          <t>Yes</t>
        </is>
      </c>
      <c r="O745" t="inlineStr">
        <is>
          <t>Remanufactured</t>
        </is>
      </c>
      <c r="P745" t="inlineStr">
        <is>
          <t>3</t>
        </is>
      </c>
      <c r="Q745" t="inlineStr">
        <is>
          <t>Blade</t>
        </is>
      </c>
      <c r="R745" t="inlineStr">
        <is>
          <t>Grommet; Through Hole</t>
        </is>
      </c>
      <c r="S745" t="inlineStr">
        <is>
          <t>2.0400</t>
        </is>
      </c>
      <c r="T745" t="inlineStr">
        <is>
          <t>No</t>
        </is>
      </c>
      <c r="U745" t="inlineStr">
        <is>
          <t>1 Year/18,000 Mile</t>
        </is>
      </c>
      <c r="V745" t="inlineStr">
        <is>
          <t>Yes</t>
        </is>
      </c>
      <c r="W745" t="inlineStr">
        <is>
          <t>Available to Order</t>
        </is>
      </c>
      <c r="X745" t="inlineStr">
        <is>
          <t>Volkswagen Routan 2014-09</t>
        </is>
      </c>
      <c r="Y745" t="inlineStr">
        <is>
          <t>00082617900775</t>
        </is>
      </c>
      <c r="Z745" t="inlineStr">
        <is>
          <t>43-3581::98264:121231:530</t>
        </is>
      </c>
      <c r="AA745" t="inlineStr">
        <is>
          <t>Yes</t>
        </is>
      </c>
      <c r="AB745" t="inlineStr"/>
      <c r="AC745" t="inlineStr"/>
    </row>
    <row r="746">
      <c r="A746" t="inlineStr">
        <is>
          <t>745</t>
        </is>
      </c>
      <c r="B746" t="inlineStr">
        <is>
          <t>Windshield Wiper Motor</t>
        </is>
      </c>
      <c r="C746" t="inlineStr">
        <is>
          <t>43-3583</t>
        </is>
      </c>
      <c r="D746" t="inlineStr">
        <is>
          <t>Windshield Wiper Motor - 43-3583</t>
        </is>
      </c>
      <c r="E746" t="inlineStr">
        <is>
          <t>CARDONE Reman</t>
        </is>
      </c>
      <c r="F746" t="inlineStr">
        <is>
          <t>5N1955023A</t>
        </is>
      </c>
      <c r="G746" t="inlineStr">
        <is>
          <t>Volkswagen Tiguan 2009-2011</t>
        </is>
      </c>
      <c r="H746" t="inlineStr">
        <is>
          <t>Volkswagen Tiguan 2009-2011 2L L4 121cid</t>
        </is>
      </c>
      <c r="I746" t="inlineStr">
        <is>
          <t>{"0": {"productDeskExternalKey": "CPCX|43-3583"}, "1": {"E-Waste": "Yes"}, "2": {"Product Condition": "Remanufactured"}, "3": {"Weight PG": "3.0000"}, "4": {"Part Type": "Windshield Wiper Motor"}, "5": {"Warranty Info": "1 Year/18,000 Mile"}, "6": {"Sustainable Choice": "Yes"}, "7": {"Lifecycle Status": "Available to Order"}, "8": {"Application Summary": "Volkswagen Tiguan 2011-09"}, "9": {"ItemLevelGTIN": "00082617900799"}, "10": {"_addonCardone": "43-3583::98264:121248:530"}, "11": {"Eligible for R&amp;R Service": "Yes"}}</t>
        </is>
      </c>
      <c r="J746" t="inlineStr">
        <is>
          <t>https://www.cardone.com/product/windshield-wiper-motor-43-3583</t>
        </is>
      </c>
      <c r="K746">
        <f>DISPIMG("ID_B2FEA7E1BB8A475E84F6235CB0B7E5B3",1)</f>
        <v/>
      </c>
      <c r="L746" t="inlineStr">
        <is>
          <t>CPCX|43-3583</t>
        </is>
      </c>
      <c r="M746" t="inlineStr"/>
      <c r="N746" t="inlineStr">
        <is>
          <t>Yes</t>
        </is>
      </c>
      <c r="O746" t="inlineStr">
        <is>
          <t>Remanufactured</t>
        </is>
      </c>
      <c r="P746" t="inlineStr"/>
      <c r="Q746" t="inlineStr"/>
      <c r="R746" t="inlineStr"/>
      <c r="S746" t="inlineStr">
        <is>
          <t>3.0000</t>
        </is>
      </c>
      <c r="T746" t="inlineStr"/>
      <c r="U746" t="inlineStr">
        <is>
          <t>1 Year/18,000 Mile</t>
        </is>
      </c>
      <c r="V746" t="inlineStr">
        <is>
          <t>Yes</t>
        </is>
      </c>
      <c r="W746" t="inlineStr">
        <is>
          <t>Available to Order</t>
        </is>
      </c>
      <c r="X746" t="inlineStr">
        <is>
          <t>Volkswagen Tiguan 2011-09</t>
        </is>
      </c>
      <c r="Y746" t="inlineStr">
        <is>
          <t>00082617900799</t>
        </is>
      </c>
      <c r="Z746" t="inlineStr">
        <is>
          <t>43-3583::98264:121248:530</t>
        </is>
      </c>
      <c r="AA746" t="inlineStr">
        <is>
          <t>Yes</t>
        </is>
      </c>
      <c r="AB746" t="inlineStr"/>
      <c r="AC746" t="inlineStr"/>
    </row>
    <row r="747">
      <c r="A747" t="inlineStr">
        <is>
          <t>746</t>
        </is>
      </c>
      <c r="B747" t="inlineStr">
        <is>
          <t>Windshield Wiper Motor</t>
        </is>
      </c>
      <c r="C747" t="inlineStr">
        <is>
          <t>43-3587</t>
        </is>
      </c>
      <c r="D747" t="inlineStr">
        <is>
          <t>Windshield Wiper Motor - 43-3587</t>
        </is>
      </c>
      <c r="E747" t="inlineStr">
        <is>
          <t>CARDONE Reman</t>
        </is>
      </c>
      <c r="F747" t="inlineStr">
        <is>
          <t>8K1955023B</t>
        </is>
      </c>
      <c r="G747" t="inlineStr">
        <is>
          <t>Audi A4 2010
Audi A4 Quattro 2010
Audi S4 2010</t>
        </is>
      </c>
      <c r="H747" t="inlineStr">
        <is>
          <t>Audi A4 2010 1.8L L4 110cid
Audi A4 2010 2L L4 121cid
Audi A4 Quattro 2010 2L L4 121cid
Audi A4 Quattro 2010 3.2L V6 195cid
Audi S4 2010 3L V6 183cid
Audi S4 2010 3L V6 2995cc</t>
        </is>
      </c>
      <c r="I747" t="inlineStr">
        <is>
          <t>{"0": {"productDeskExternalKey": "CPCX|43-3587"}, "1": {"E-Waste": "Yes"}, "2": {"Product Condition": "Remanufactured"}, "3": {"Weight PG": "2.5000"}, "4": {"Part Type": "Windshield Wiper Motor"}, "5": {"Warranty Info": "1 Year/18,000 Mile"}, "6": {"Sustainable Choice": "Yes"}, "7": {"Lifecycle Status": "Available to Order"}, "8": {"Application Summary": "Audi A4 2010, A4 Quattro 2010, S4 2010"}, "9": {"ItemLevelGTIN": "00082617967136"}, "10": {"_addonCardone": "43-3587::98264:121264:530"}, "11": {"Eligible for R&amp;R Service": "Yes"}}</t>
        </is>
      </c>
      <c r="J747" t="inlineStr">
        <is>
          <t>https://www.cardone.com/product/windshield-wiper-motor-43-3587</t>
        </is>
      </c>
      <c r="K747">
        <f>DISPIMG("ID_2839FCCEF344417EB8261FDDACC76151",1)</f>
        <v/>
      </c>
      <c r="L747" t="inlineStr">
        <is>
          <t>CPCX|43-3587</t>
        </is>
      </c>
      <c r="M747" t="inlineStr"/>
      <c r="N747" t="inlineStr">
        <is>
          <t>Yes</t>
        </is>
      </c>
      <c r="O747" t="inlineStr">
        <is>
          <t>Remanufactured</t>
        </is>
      </c>
      <c r="P747" t="inlineStr"/>
      <c r="Q747" t="inlineStr"/>
      <c r="R747" t="inlineStr"/>
      <c r="S747" t="inlineStr">
        <is>
          <t>2.5000</t>
        </is>
      </c>
      <c r="T747" t="inlineStr"/>
      <c r="U747" t="inlineStr">
        <is>
          <t>1 Year/18,000 Mile</t>
        </is>
      </c>
      <c r="V747" t="inlineStr">
        <is>
          <t>Yes</t>
        </is>
      </c>
      <c r="W747" t="inlineStr">
        <is>
          <t>Available to Order</t>
        </is>
      </c>
      <c r="X747" t="inlineStr">
        <is>
          <t>Audi A4 2010, A4 Quattro 2010, S4 2010</t>
        </is>
      </c>
      <c r="Y747" t="inlineStr">
        <is>
          <t>00082617967136</t>
        </is>
      </c>
      <c r="Z747" t="inlineStr">
        <is>
          <t>43-3587::98264:121264:530</t>
        </is>
      </c>
      <c r="AA747" t="inlineStr">
        <is>
          <t>Yes</t>
        </is>
      </c>
      <c r="AB747" t="inlineStr"/>
      <c r="AC747" t="inlineStr"/>
    </row>
    <row r="748">
      <c r="A748" t="inlineStr">
        <is>
          <t>747</t>
        </is>
      </c>
      <c r="B748" t="inlineStr">
        <is>
          <t>Windshield Wiper Motor</t>
        </is>
      </c>
      <c r="C748" t="inlineStr">
        <is>
          <t>43-3588</t>
        </is>
      </c>
      <c r="D748" t="inlineStr">
        <is>
          <t>Windshield Wiper Motor - 43-3588</t>
        </is>
      </c>
      <c r="E748" t="inlineStr">
        <is>
          <t>CARDONE Reman</t>
        </is>
      </c>
      <c r="F748" t="inlineStr">
        <is>
          <t>3C8955023D</t>
        </is>
      </c>
      <c r="G748" t="inlineStr">
        <is>
          <t>Volkswagen CC 2010-2011
Volkswagen Passat 2010
Volkswagen Passat CC 2010-2011</t>
        </is>
      </c>
      <c r="H748" t="inlineStr">
        <is>
          <t>Volkswagen CC 2010-2011 2L L4 121cid
Volkswagen CC 2010-2011 3.6L V6 219cid
Volkswagen Passat 2010 2L L4 121cid
Volkswagen Passat 2010 3.6L V6 219cid
Volkswagen Passat CC 2010-2011 2L L4 121cid
Volkswagen Passat CC 2010-2011 3.6L V6 219cid</t>
        </is>
      </c>
      <c r="I748" t="inlineStr">
        <is>
          <t>{"0": {"productDeskExternalKey": "CPCX|43-3588"}, "1": {"E-Waste": "Yes"}, "2": {"Product Condition": "Remanufactured"}, "3": {"Weight PG": "2.5000"}, "4": {"Part Type": "Windshield Wiper Motor"}, "5": {"Warranty Info": "1 Year/18,000 Mile"}, "6": {"Sustainable Choice": "Yes"}, "7": {"Lifecycle Status": "Available to Order"}, "8": {"Application Summary": "Volkswagen CC 2011-10, Passat 2010, Passat CC 2011-10"}, "9": {"ItemLevelGTIN": "00082617967198"}, "10": {"_addonCardone": "43-3588::98264:121278:530"}, "11": {"Eligible for R&amp;R Service": "Yes"}}</t>
        </is>
      </c>
      <c r="J748" t="inlineStr">
        <is>
          <t>https://www.cardone.com/product/windshield-wiper-motor-43-3588</t>
        </is>
      </c>
      <c r="K748">
        <f>DISPIMG("ID_15EED0749B7E484F9B78FB5B42D3DDA1",1)</f>
        <v/>
      </c>
      <c r="L748" t="inlineStr">
        <is>
          <t>CPCX|43-3588</t>
        </is>
      </c>
      <c r="M748" t="inlineStr"/>
      <c r="N748" t="inlineStr">
        <is>
          <t>Yes</t>
        </is>
      </c>
      <c r="O748" t="inlineStr">
        <is>
          <t>Remanufactured</t>
        </is>
      </c>
      <c r="P748" t="inlineStr"/>
      <c r="Q748" t="inlineStr"/>
      <c r="R748" t="inlineStr"/>
      <c r="S748" t="inlineStr">
        <is>
          <t>2.5000</t>
        </is>
      </c>
      <c r="T748" t="inlineStr"/>
      <c r="U748" t="inlineStr">
        <is>
          <t>1 Year/18,000 Mile</t>
        </is>
      </c>
      <c r="V748" t="inlineStr">
        <is>
          <t>Yes</t>
        </is>
      </c>
      <c r="W748" t="inlineStr">
        <is>
          <t>Available to Order</t>
        </is>
      </c>
      <c r="X748" t="inlineStr">
        <is>
          <t>Volkswagen CC 2011-10, Passat 2010, Passat CC 2011-10</t>
        </is>
      </c>
      <c r="Y748" t="inlineStr">
        <is>
          <t>00082617967198</t>
        </is>
      </c>
      <c r="Z748" t="inlineStr">
        <is>
          <t>43-3588::98264:121278:530</t>
        </is>
      </c>
      <c r="AA748" t="inlineStr">
        <is>
          <t>Yes</t>
        </is>
      </c>
      <c r="AB748" t="inlineStr"/>
      <c r="AC748" t="inlineStr"/>
    </row>
    <row r="749">
      <c r="A749" t="inlineStr">
        <is>
          <t>748</t>
        </is>
      </c>
      <c r="B749" t="inlineStr">
        <is>
          <t>Windshield Wiper Motor</t>
        </is>
      </c>
      <c r="C749" t="inlineStr">
        <is>
          <t>43-3590</t>
        </is>
      </c>
      <c r="D749" t="inlineStr">
        <is>
          <t>Windshield Wiper Motor - 43-3590</t>
        </is>
      </c>
      <c r="E749" t="inlineStr">
        <is>
          <t>CARDONE Reman</t>
        </is>
      </c>
      <c r="F749" t="inlineStr">
        <is>
          <t>5K6955711A</t>
        </is>
      </c>
      <c r="G749" t="inlineStr">
        <is>
          <t>Volkswagen GTI 2010-2014
Volkswagen Golf 2010-2013
Volkswagen Golf R 2012
Volkswagen Golf SportWagen 2010-2012</t>
        </is>
      </c>
      <c r="H749" t="inlineStr">
        <is>
          <t>Volkswagen GTI 2010-2014 2L L4 121cid
Volkswagen Golf 2010-2012 2.5L L5 151cid
Volkswagen Golf 2010-2012 2L L4 120cid
Volkswagen Golf 2013 2L L4 121cid
Volkswagen Golf R 2012 2L L4 121cid
Volkswagen Golf SportWagen 2010-2012 2.5L L5 151cid</t>
        </is>
      </c>
      <c r="I749" t="inlineStr">
        <is>
          <t>{"0": {"productDeskExternalKey": "CPCX|43-3590"}, "1": {"E-Waste": "Yes"}, "2": {"Product Condition": "Remanufactured"}, "3": {"Weight PG": "2.5000"}, "4": {"Part Type": "Windshield Wiper Motor"}, "5": {"Warranty Info": "1 Year/18,000 Mile"}, "6": {"Sustainable Choice": "Yes"}, "7": {"Lifecycle Status": "Available to Order"}, "8": {"Application Summary": "Volkswagen Golf 2013-10, Golf R 2012, Golf SportWagen 2012-10, GTI 2014-10"}, "9": {"ItemLevelGTIN": "00082617967297"}, "10": {"_addonCardone": "43-3590::98264:121301:530"}, "11": {"Eligible for R&amp;R Service": "Yes"}}</t>
        </is>
      </c>
      <c r="J749" t="inlineStr">
        <is>
          <t>https://www.cardone.com/product/windshield-wiper-motor-43-3590</t>
        </is>
      </c>
      <c r="K749">
        <f>DISPIMG("ID_85604C269CCF408C996F1D4A357D80A3",1)</f>
        <v/>
      </c>
      <c r="L749" t="inlineStr">
        <is>
          <t>CPCX|43-3590</t>
        </is>
      </c>
      <c r="M749" t="inlineStr"/>
      <c r="N749" t="inlineStr">
        <is>
          <t>Yes</t>
        </is>
      </c>
      <c r="O749" t="inlineStr">
        <is>
          <t>Remanufactured</t>
        </is>
      </c>
      <c r="P749" t="inlineStr"/>
      <c r="Q749" t="inlineStr"/>
      <c r="R749" t="inlineStr"/>
      <c r="S749" t="inlineStr">
        <is>
          <t>2.5000</t>
        </is>
      </c>
      <c r="T749" t="inlineStr"/>
      <c r="U749" t="inlineStr">
        <is>
          <t>1 Year/18,000 Mile</t>
        </is>
      </c>
      <c r="V749" t="inlineStr">
        <is>
          <t>Yes</t>
        </is>
      </c>
      <c r="W749" t="inlineStr">
        <is>
          <t>Available to Order</t>
        </is>
      </c>
      <c r="X749" t="inlineStr">
        <is>
          <t>Volkswagen Golf 2013-10, Golf R 2012, Golf SportWagen 2012-10, GTI 2014-10</t>
        </is>
      </c>
      <c r="Y749" t="inlineStr">
        <is>
          <t>00082617967297</t>
        </is>
      </c>
      <c r="Z749" t="inlineStr">
        <is>
          <t>43-3590::98264:121301:530</t>
        </is>
      </c>
      <c r="AA749" t="inlineStr">
        <is>
          <t>Yes</t>
        </is>
      </c>
      <c r="AB749" t="inlineStr"/>
      <c r="AC749" t="inlineStr"/>
    </row>
    <row r="750">
      <c r="A750" t="inlineStr">
        <is>
          <t>749</t>
        </is>
      </c>
      <c r="B750" t="inlineStr">
        <is>
          <t>Windshield Wiper Motor</t>
        </is>
      </c>
      <c r="C750" t="inlineStr">
        <is>
          <t>43-3591</t>
        </is>
      </c>
      <c r="D750" t="inlineStr">
        <is>
          <t>Windshield Wiper Motor - 43-3591</t>
        </is>
      </c>
      <c r="E750" t="inlineStr">
        <is>
          <t>CARDONE Reman</t>
        </is>
      </c>
      <c r="F750" t="inlineStr">
        <is>
          <t>8R1955023D</t>
        </is>
      </c>
      <c r="G750" t="inlineStr">
        <is>
          <t>Audi Q5 2009-2017
Audi SQ5 2014-2017</t>
        </is>
      </c>
      <c r="H750" t="inlineStr">
        <is>
          <t>Audi Q5 2009-2012 3.2L V6 195cid
Audi Q5 2010-2017 2L L4 121cid
Audi Q5 2010-2017 3L V6 181cid
Audi Q5 2013-2016 3L V6 183cid
Audi Q5 2013-2017 3L V6 2995cc
Audi SQ5 2014-2016 3L V6 181cid
Audi SQ5 2014-2017 3L V6 2995cc</t>
        </is>
      </c>
      <c r="I750" t="inlineStr">
        <is>
          <t>{"0": {"productDeskExternalKey": "CPCX|43-3591"}, "1": {"E-Waste": "Yes"}, "2": {"Product Condition": "Remanufactured"}, "3": {"Weight PG": "2.5000"}, "4": {"Part Type": "Windshield Wiper Motor"}, "5": {"Warranty Info": "1 Year/18,000 Mile"}, "6": {"Sustainable Choice": "Yes"}, "7": {"Lifecycle Status": "Available to Order"}, "8": {"Application Summary": "Audi Q5 2017-09, SQ5 2017-14"}, "9": {"ItemLevelGTIN": "00082617967303"}, "10": {"_addonCardone": "43-3591::98264:121316:530"}, "11": {"Eligible for R&amp;R Service": "Yes"}}</t>
        </is>
      </c>
      <c r="J750" t="inlineStr">
        <is>
          <t>https://www.cardone.com/product/windshield-wiper-motor-43-3591</t>
        </is>
      </c>
      <c r="K750">
        <f>DISPIMG("ID_C189628303624D22BD5F7C49C6475EC5",1)</f>
        <v/>
      </c>
      <c r="L750" t="inlineStr">
        <is>
          <t>CPCX|43-3591</t>
        </is>
      </c>
      <c r="M750" t="inlineStr"/>
      <c r="N750" t="inlineStr">
        <is>
          <t>Yes</t>
        </is>
      </c>
      <c r="O750" t="inlineStr">
        <is>
          <t>Remanufactured</t>
        </is>
      </c>
      <c r="P750" t="inlineStr"/>
      <c r="Q750" t="inlineStr"/>
      <c r="R750" t="inlineStr"/>
      <c r="S750" t="inlineStr">
        <is>
          <t>2.5000</t>
        </is>
      </c>
      <c r="T750" t="inlineStr"/>
      <c r="U750" t="inlineStr">
        <is>
          <t>1 Year/18,000 Mile</t>
        </is>
      </c>
      <c r="V750" t="inlineStr">
        <is>
          <t>Yes</t>
        </is>
      </c>
      <c r="W750" t="inlineStr">
        <is>
          <t>Available to Order</t>
        </is>
      </c>
      <c r="X750" t="inlineStr">
        <is>
          <t>Audi Q5 2017-09, SQ5 2017-14</t>
        </is>
      </c>
      <c r="Y750" t="inlineStr">
        <is>
          <t>00082617967303</t>
        </is>
      </c>
      <c r="Z750" t="inlineStr">
        <is>
          <t>43-3591::98264:121316:530</t>
        </is>
      </c>
      <c r="AA750" t="inlineStr">
        <is>
          <t>Yes</t>
        </is>
      </c>
      <c r="AB750" t="inlineStr"/>
      <c r="AC750" t="inlineStr"/>
    </row>
    <row r="751">
      <c r="A751" t="inlineStr">
        <is>
          <t>750</t>
        </is>
      </c>
      <c r="B751" t="inlineStr">
        <is>
          <t>Windshield Wiper Motor</t>
        </is>
      </c>
      <c r="C751" t="inlineStr">
        <is>
          <t>43-3593</t>
        </is>
      </c>
      <c r="D751" t="inlineStr">
        <is>
          <t>Windshield Wiper Motor - 43-3593</t>
        </is>
      </c>
      <c r="E751" t="inlineStr">
        <is>
          <t>CARDONE Reman</t>
        </is>
      </c>
      <c r="F751" t="inlineStr">
        <is>
          <t>8T1955023E</t>
        </is>
      </c>
      <c r="G751" t="inlineStr">
        <is>
          <t>Audi A5 Quattro 2010-2017
Audi RS5 2013-2015
Audi S5 2010-2017</t>
        </is>
      </c>
      <c r="H751" t="inlineStr">
        <is>
          <t>Audi A5 Quattro 2010-2011 3.2L V6 195cid
Audi A5 Quattro 2010-2017 2L L4 121cid
Audi A5 Quattro 2012-2016 3L V6 183cid
Audi RS5 2013-2015 4.2L V8 4163cc
Audi S5 2010-2012 4.2L V8 4163cc
Audi S5 2012-2016 3L V6 183cid
Audi S5 2013-2017 3L V6 2995cc</t>
        </is>
      </c>
      <c r="I751" t="inlineStr">
        <is>
          <t>{"0": {"productDeskExternalKey": "CPCX|43-3593"}, "1": {"E-Waste": "Yes"}, "2": {"Product Condition": "Remanufactured"}, "3": {"Weight PG": "2.5000"}, "4": {"Part Type": "Windshield Wiper Motor"}, "5": {"Warranty Info": "1 Year/18,000 Mile"}, "6": {"Sustainable Choice": "Yes"}, "7": {"Lifecycle Status": "Available to Order"}, "8": {"Application Summary": "Audi A5 Quattro 2017-10, RS5 2015-13, S5 2017-10"}, "9": {"ItemLevelGTIN": "00082617967501"}, "10": {"_addonCardone": "43-3593::98264:121336:530"}, "11": {"Eligible for R&amp;R Service": "Yes"}}</t>
        </is>
      </c>
      <c r="J751" t="inlineStr">
        <is>
          <t>https://www.cardone.com/product/windshield-wiper-motor-43-3593</t>
        </is>
      </c>
      <c r="K751">
        <f>DISPIMG("ID_34364BDEE3724512BB7113C765D9D08A",1)</f>
        <v/>
      </c>
      <c r="L751" t="inlineStr">
        <is>
          <t>CPCX|43-3593</t>
        </is>
      </c>
      <c r="M751" t="inlineStr"/>
      <c r="N751" t="inlineStr">
        <is>
          <t>Yes</t>
        </is>
      </c>
      <c r="O751" t="inlineStr">
        <is>
          <t>Remanufactured</t>
        </is>
      </c>
      <c r="P751" t="inlineStr"/>
      <c r="Q751" t="inlineStr"/>
      <c r="R751" t="inlineStr"/>
      <c r="S751" t="inlineStr">
        <is>
          <t>2.5000</t>
        </is>
      </c>
      <c r="T751" t="inlineStr"/>
      <c r="U751" t="inlineStr">
        <is>
          <t>1 Year/18,000 Mile</t>
        </is>
      </c>
      <c r="V751" t="inlineStr">
        <is>
          <t>Yes</t>
        </is>
      </c>
      <c r="W751" t="inlineStr">
        <is>
          <t>Available to Order</t>
        </is>
      </c>
      <c r="X751" t="inlineStr">
        <is>
          <t>Audi A5 Quattro 2017-10, RS5 2015-13, S5 2017-10</t>
        </is>
      </c>
      <c r="Y751" t="inlineStr">
        <is>
          <t>00082617967501</t>
        </is>
      </c>
      <c r="Z751" t="inlineStr">
        <is>
          <t>43-3593::98264:121336:530</t>
        </is>
      </c>
      <c r="AA751" t="inlineStr">
        <is>
          <t>Yes</t>
        </is>
      </c>
      <c r="AB751" t="inlineStr"/>
      <c r="AC751" t="inlineStr"/>
    </row>
    <row r="752">
      <c r="A752" t="inlineStr">
        <is>
          <t>751</t>
        </is>
      </c>
      <c r="B752" t="inlineStr">
        <is>
          <t>Windshield Wiper Motor</t>
        </is>
      </c>
      <c r="C752" t="inlineStr">
        <is>
          <t>43-3596</t>
        </is>
      </c>
      <c r="D752" t="inlineStr">
        <is>
          <t>Windshield Wiper Motor - 43-3596</t>
        </is>
      </c>
      <c r="E752" t="inlineStr">
        <is>
          <t>CARDONE Reman</t>
        </is>
      </c>
      <c r="F752" t="inlineStr">
        <is>
          <t>8K1955023C</t>
        </is>
      </c>
      <c r="G752" t="inlineStr">
        <is>
          <t>Audi A4 2009-2014
Audi A4 Quattro 2011-2015
Audi S4 2010-2013
Audi allroad 2013-2015</t>
        </is>
      </c>
      <c r="H752" t="inlineStr">
        <is>
          <t>Audi A4 2009-2014 1.8L L4 110cid
Audi A4 2009-2014 2L L4 121cid
Audi A4 Quattro 2011-2012 3.2L V6 195cid
Audi A4 Quattro 2011-2015 2L L4 121cid
Audi A4 Quattro 2013-2014 3L V6 183cid
Audi S4 2010-2013 3L V6 183cid
Audi S4 2010-2013 3L V6 2995cc
Audi allroad 2013-2015 2L L4 121cid</t>
        </is>
      </c>
      <c r="I752" t="inlineStr">
        <is>
          <t>{"0": {"productDeskExternalKey": "CPCX|43-3596"}, "1": {"E-Waste": "Yes"}, "2": {"Product Condition": "Remanufactured"}, "3": {"Weight PG": "3.0000"}, "4": {"Part Type": "Windshield Wiper Motor"}, "5": {"Warranty Info": "1 Year/18,000 Mile"}, "6": {"Sustainable Choice": "Yes"}, "7": {"Lifecycle Status": "Available to Order"}, "8": {"Application Summary": "Audi A4 2014-11 2009, A4 Quattro 2015-11, allroad 2015-13, S4 2013-10"}, "9": {"ItemLevelGTIN": "00884548028425"}, "10": {"_addonCardone": "43-3596::98264:121350:530"}, "11": {"Eligible for R&amp;R Service": "Yes"}}</t>
        </is>
      </c>
      <c r="J752" t="inlineStr">
        <is>
          <t>https://www.cardone.com/product/windshield-wiper-motor-43-3596</t>
        </is>
      </c>
      <c r="K752">
        <f>DISPIMG("ID_8606AB213E5349F7B5767677D9E28F87",1)</f>
        <v/>
      </c>
      <c r="L752" t="inlineStr">
        <is>
          <t>CPCX|43-3596</t>
        </is>
      </c>
      <c r="M752" t="inlineStr"/>
      <c r="N752" t="inlineStr">
        <is>
          <t>Yes</t>
        </is>
      </c>
      <c r="O752" t="inlineStr">
        <is>
          <t>Remanufactured</t>
        </is>
      </c>
      <c r="P752" t="inlineStr"/>
      <c r="Q752" t="inlineStr"/>
      <c r="R752" t="inlineStr"/>
      <c r="S752" t="inlineStr">
        <is>
          <t>3.0000</t>
        </is>
      </c>
      <c r="T752" t="inlineStr"/>
      <c r="U752" t="inlineStr">
        <is>
          <t>1 Year/18,000 Mile</t>
        </is>
      </c>
      <c r="V752" t="inlineStr">
        <is>
          <t>Yes</t>
        </is>
      </c>
      <c r="W752" t="inlineStr">
        <is>
          <t>Available to Order</t>
        </is>
      </c>
      <c r="X752" t="inlineStr">
        <is>
          <t>Audi A4 2014-11 2009, A4 Quattro 2015-11, allroad 2015-13, S4 2013-10</t>
        </is>
      </c>
      <c r="Y752" t="inlineStr">
        <is>
          <t>00884548028425</t>
        </is>
      </c>
      <c r="Z752" t="inlineStr">
        <is>
          <t>43-3596::98264:121350:530</t>
        </is>
      </c>
      <c r="AA752" t="inlineStr">
        <is>
          <t>Yes</t>
        </is>
      </c>
      <c r="AB752" t="inlineStr"/>
      <c r="AC752" t="inlineStr"/>
    </row>
    <row r="753">
      <c r="A753" t="inlineStr">
        <is>
          <t>752</t>
        </is>
      </c>
      <c r="B753" t="inlineStr">
        <is>
          <t>Windshield Wiper Motor</t>
        </is>
      </c>
      <c r="C753" t="inlineStr">
        <is>
          <t>43-4000</t>
        </is>
      </c>
      <c r="D753" t="inlineStr">
        <is>
          <t>Windshield Wiper Motor - 43-4000</t>
        </is>
      </c>
      <c r="E753" t="inlineStr">
        <is>
          <t>CARDONE Reman</t>
        </is>
      </c>
      <c r="F753" t="inlineStr">
        <is>
          <t>76505S00A01;76505S00C01;76505S04G01;76505S04Y01;76500S01999</t>
        </is>
      </c>
      <c r="G753" t="inlineStr">
        <is>
          <t>Honda CR-V 1997-2001
Honda Civic 1996-2000</t>
        </is>
      </c>
      <c r="H753" t="inlineStr">
        <is>
          <t>Honda CR-V 1997-2001 2L L4 1972cc
Honda Civic 1996 1.6L L4 1590cc
Honda Civic 1996-2000 1.6L L4 98cid</t>
        </is>
      </c>
      <c r="I753" t="inlineStr">
        <is>
          <t>{"0": {"productDeskExternalKey": "CPCX|43-4000"}, "1": {"Package Contents": "Wiper Motor; Instruction Sheet"}, "2": {"E-Waste": "Yes"}, "3": {"Product Condition": "Remanufactured"}, "4": {"Mounting Hole Quantity": "3"}, "5": {"Terminal Type": "Blade"}, "6": {"Mounting Type": "Direct Bolt"}, "7": {"Weight PG": "2.2800"}, "8": {"Washer Pump Included": "No"}, "9": {"Part Type": "Windshield Wiper Motor"}, "10": {"Warranty Info": "1 Year/18,000 Mile"}, "11": {"Sustainable Choice": "Yes"}, "12": {"Lifecycle Status": "Available to Order"}, "13": {"Application Summary": "Honda Civic 2000-96, CR-V 2001-97"}, "14": {"ItemLevelGTIN": "00082617456081"}, "15": {"_addonCardone": "43-4000::98264:121369:530"}, "16": {"Eligible for R&amp;R Service": "Yes"}}</t>
        </is>
      </c>
      <c r="J753" t="inlineStr">
        <is>
          <t>https://www.cardone.com/product/windshield-wiper-motor-43-4000</t>
        </is>
      </c>
      <c r="K753">
        <f>DISPIMG("ID_0582874A56E94141A98AD603CA0EF60D",1)</f>
        <v/>
      </c>
      <c r="L753" t="inlineStr">
        <is>
          <t>CPCX|43-4000</t>
        </is>
      </c>
      <c r="M753" t="inlineStr">
        <is>
          <t>Wiper Motor; Instruction Sheet</t>
        </is>
      </c>
      <c r="N753" t="inlineStr">
        <is>
          <t>Yes</t>
        </is>
      </c>
      <c r="O753" t="inlineStr">
        <is>
          <t>Remanufactured</t>
        </is>
      </c>
      <c r="P753" t="inlineStr">
        <is>
          <t>3</t>
        </is>
      </c>
      <c r="Q753" t="inlineStr">
        <is>
          <t>Blade</t>
        </is>
      </c>
      <c r="R753" t="inlineStr">
        <is>
          <t>Direct Bolt</t>
        </is>
      </c>
      <c r="S753" t="inlineStr">
        <is>
          <t>2.2800</t>
        </is>
      </c>
      <c r="T753" t="inlineStr">
        <is>
          <t>No</t>
        </is>
      </c>
      <c r="U753" t="inlineStr">
        <is>
          <t>1 Year/18,000 Mile</t>
        </is>
      </c>
      <c r="V753" t="inlineStr">
        <is>
          <t>Yes</t>
        </is>
      </c>
      <c r="W753" t="inlineStr">
        <is>
          <t>Available to Order</t>
        </is>
      </c>
      <c r="X753" t="inlineStr">
        <is>
          <t>Honda Civic 2000-96, CR-V 2001-97</t>
        </is>
      </c>
      <c r="Y753" t="inlineStr">
        <is>
          <t>00082617456081</t>
        </is>
      </c>
      <c r="Z753" t="inlineStr">
        <is>
          <t>43-4000::98264:121369:530</t>
        </is>
      </c>
      <c r="AA753" t="inlineStr">
        <is>
          <t>Yes</t>
        </is>
      </c>
      <c r="AB753" t="inlineStr"/>
      <c r="AC753" t="inlineStr"/>
    </row>
    <row r="754">
      <c r="A754" t="inlineStr">
        <is>
          <t>753</t>
        </is>
      </c>
      <c r="B754" t="inlineStr">
        <is>
          <t>Windshield Wiper Motor</t>
        </is>
      </c>
      <c r="C754" t="inlineStr">
        <is>
          <t>43-4001</t>
        </is>
      </c>
      <c r="D754" t="inlineStr">
        <is>
          <t>Windshield Wiper Motor - 43-4001</t>
        </is>
      </c>
      <c r="E754" t="inlineStr">
        <is>
          <t>CARDONE Reman</t>
        </is>
      </c>
      <c r="F754" t="inlineStr">
        <is>
          <t>38420SA5013</t>
        </is>
      </c>
      <c r="G754" t="inlineStr">
        <is>
          <t>Honda Accord 1982-1983</t>
        </is>
      </c>
      <c r="H754" t="inlineStr">
        <is>
          <t>Honda Accord 1982-1983 1.8L L4 1751cc</t>
        </is>
      </c>
      <c r="I754" t="inlineStr">
        <is>
          <t>{"0": {"productDeskExternalKey": "CPCX|43-4001"},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"Honda Accord 1983-82"}, "14": {"ItemLevelGTIN": "00082617496230"}, "15": {"_addonCardone": "43-4001::98264:121384:530"}, "16": {"Eligible for R&amp;R Service": "Yes"}}</t>
        </is>
      </c>
      <c r="J754" t="inlineStr">
        <is>
          <t>https://www.cardone.com/product/windshield-wiper-motor-43-4001</t>
        </is>
      </c>
      <c r="K754">
        <f>DISPIMG("ID_A55D8ECBA62F48F29AEE777FCA3CD594",1)</f>
        <v/>
      </c>
      <c r="L754" t="inlineStr">
        <is>
          <t>CPCX|43-4001</t>
        </is>
      </c>
      <c r="M754" t="inlineStr">
        <is>
          <t>Wiper Motor; Instruction Sheet</t>
        </is>
      </c>
      <c r="N754" t="inlineStr">
        <is>
          <t>Yes</t>
        </is>
      </c>
      <c r="O754" t="inlineStr">
        <is>
          <t>Remanufactured</t>
        </is>
      </c>
      <c r="P754" t="inlineStr">
        <is>
          <t>3</t>
        </is>
      </c>
      <c r="Q754" t="inlineStr">
        <is>
          <t>Blade</t>
        </is>
      </c>
      <c r="R754" t="inlineStr">
        <is>
          <t>Grommet</t>
        </is>
      </c>
      <c r="S754" t="inlineStr">
        <is>
          <t>2.0000</t>
        </is>
      </c>
      <c r="T754" t="inlineStr">
        <is>
          <t>No</t>
        </is>
      </c>
      <c r="U754" t="inlineStr">
        <is>
          <t>1 Year/18,000 Mile</t>
        </is>
      </c>
      <c r="V754" t="inlineStr">
        <is>
          <t>Yes</t>
        </is>
      </c>
      <c r="W754" t="inlineStr">
        <is>
          <t>Available to Order</t>
        </is>
      </c>
      <c r="X754" t="inlineStr">
        <is>
          <t>Honda Accord 1983-82</t>
        </is>
      </c>
      <c r="Y754" t="inlineStr">
        <is>
          <t>00082617496230</t>
        </is>
      </c>
      <c r="Z754" t="inlineStr">
        <is>
          <t>43-4001::98264:121384:530</t>
        </is>
      </c>
      <c r="AA754" t="inlineStr">
        <is>
          <t>Yes</t>
        </is>
      </c>
      <c r="AB754" t="inlineStr"/>
      <c r="AC754" t="inlineStr"/>
    </row>
    <row r="755">
      <c r="A755" t="inlineStr">
        <is>
          <t>754</t>
        </is>
      </c>
      <c r="B755" t="inlineStr">
        <is>
          <t>Windshield Wiper Motor</t>
        </is>
      </c>
      <c r="C755" t="inlineStr">
        <is>
          <t>43-4002</t>
        </is>
      </c>
      <c r="D755" t="inlineStr">
        <is>
          <t>Windshield Wiper Motor - 43-4002</t>
        </is>
      </c>
      <c r="E755" t="inlineStr">
        <is>
          <t>CARDONE Reman</t>
        </is>
      </c>
      <c r="F755" t="inlineStr">
        <is>
          <t>38420SD2003</t>
        </is>
      </c>
      <c r="G755" t="inlineStr">
        <is>
          <t>Acura Integra 1986-1989</t>
        </is>
      </c>
      <c r="H755" t="inlineStr">
        <is>
          <t>Acura Integra 1986-1989 1.6L L4 1590cc</t>
        </is>
      </c>
      <c r="I755" t="inlineStr">
        <is>
          <t>{"0": {"productDeskExternalKey": "CPCX|43-4002"}, "1": {"Package Contents": "Wiper Motor; Instruction Sheet"}, "2": {"E-Waste": "Yes"}, "3": {"Product Condition": "Remanufactured"}, "4": {"Mounting Hole Quantity": "3"}, "5": {"Terminal Type": "Blade"}, "6": {"Mounting Type": "Grommet"}, "7": {"Weight PG": "2.4500"}, "8": {"Washer Pump Included": "No"}, "9": {"Part Type": "Windshield Wiper Motor"}, "10": {"Warranty Info": "1 Year/18,000 Mile"}, "11": {"Sustainable Choice": "Yes"}, "12": {"Lifecycle Status": "Available to Order"}, "13": {"Application Summary": "Acura Integra 1989-86"}, "14": {"ItemLevelGTIN": "00082617456166"}, "15": {"_addonCardone": "43-4002::98264:121403:530"}, "16": {"Eligible for R&amp;R Service": "Yes"}}</t>
        </is>
      </c>
      <c r="J755" t="inlineStr">
        <is>
          <t>https://www.cardone.com/product/windshield-wiper-motor-43-4002</t>
        </is>
      </c>
      <c r="K755">
        <f>DISPIMG("ID_C2FD29862E7C4122949A7CEF062D8F44",1)</f>
        <v/>
      </c>
      <c r="L755" t="inlineStr">
        <is>
          <t>CPCX|43-4002</t>
        </is>
      </c>
      <c r="M755" t="inlineStr">
        <is>
          <t>Wiper Motor; Instruction Sheet</t>
        </is>
      </c>
      <c r="N755" t="inlineStr">
        <is>
          <t>Yes</t>
        </is>
      </c>
      <c r="O755" t="inlineStr">
        <is>
          <t>Remanufactured</t>
        </is>
      </c>
      <c r="P755" t="inlineStr">
        <is>
          <t>3</t>
        </is>
      </c>
      <c r="Q755" t="inlineStr">
        <is>
          <t>Blade</t>
        </is>
      </c>
      <c r="R755" t="inlineStr">
        <is>
          <t>Grommet</t>
        </is>
      </c>
      <c r="S755" t="inlineStr">
        <is>
          <t>2.4500</t>
        </is>
      </c>
      <c r="T755" t="inlineStr">
        <is>
          <t>No</t>
        </is>
      </c>
      <c r="U755" t="inlineStr">
        <is>
          <t>1 Year/18,000 Mile</t>
        </is>
      </c>
      <c r="V755" t="inlineStr">
        <is>
          <t>Yes</t>
        </is>
      </c>
      <c r="W755" t="inlineStr">
        <is>
          <t>Available to Order</t>
        </is>
      </c>
      <c r="X755" t="inlineStr">
        <is>
          <t>Acura Integra 1989-86</t>
        </is>
      </c>
      <c r="Y755" t="inlineStr">
        <is>
          <t>00082617456166</t>
        </is>
      </c>
      <c r="Z755" t="inlineStr">
        <is>
          <t>43-4002::98264:121403:530</t>
        </is>
      </c>
      <c r="AA755" t="inlineStr">
        <is>
          <t>Yes</t>
        </is>
      </c>
      <c r="AB755" t="inlineStr"/>
      <c r="AC755" t="inlineStr"/>
    </row>
    <row r="756">
      <c r="A756" t="inlineStr">
        <is>
          <t>755</t>
        </is>
      </c>
      <c r="B756" t="inlineStr">
        <is>
          <t>Windshield Wiper Motor</t>
        </is>
      </c>
      <c r="C756" t="inlineStr">
        <is>
          <t>43-4003</t>
        </is>
      </c>
      <c r="D756" t="inlineStr">
        <is>
          <t>Windshield Wiper Motor - 43-4003</t>
        </is>
      </c>
      <c r="E756" t="inlineStr">
        <is>
          <t>CARDONE Reman</t>
        </is>
      </c>
      <c r="F756" t="inlineStr">
        <is>
          <t>76700SE0A01</t>
        </is>
      </c>
      <c r="G756" t="inlineStr">
        <is>
          <t>Honda Accord 1986-1989</t>
        </is>
      </c>
      <c r="H756" t="inlineStr">
        <is>
          <t>Honda Accord 1986-1989 2L L4 1955cc</t>
        </is>
      </c>
      <c r="I756" t="inlineStr">
        <is>
          <t>{"0": {"productDeskExternalKey": "CPCX|43-4003"}, "1": {"Package Contents": "Wiper Motor; Instruction Sheet"}, "2": {"E-Waste": "Yes"}, "3": {"Product Condition": "Remanufactured"}, "4": {"Mounting Hole Quantity": "3"}, "5": {"Terminal Type": "Blade"}, "6": {"Mounting Type": "Grommet"}, "7": {"Weight PG": "2.2200"}, "8": {"Washer Pump Included": "No"}, "9": {"Part Type": "Windshield Wiper Motor"}, "10": {"Warranty Info": "1 Year/18,000 Mile"}, "11": {"Sustainable Choice": "Yes"}, "12": {"Lifecycle Status": "Available to Order"}, "13": {"Application Summary": "Honda Accord 1989-86"}, "14": {"ItemLevelGTIN": "00082617456104"}, "15": {"_addonCardone": "43-4003::98264:121421:530"}, "16": {"Eligible for R&amp;R Service": "Yes"}}</t>
        </is>
      </c>
      <c r="J756" t="inlineStr">
        <is>
          <t>https://www.cardone.com/product/windshield-wiper-motor-43-4003</t>
        </is>
      </c>
      <c r="K756">
        <f>DISPIMG("ID_2B20AE7E0DEC46D6A069C722A3A296C2",1)</f>
        <v/>
      </c>
      <c r="L756" t="inlineStr">
        <is>
          <t>CPCX|43-4003</t>
        </is>
      </c>
      <c r="M756" t="inlineStr">
        <is>
          <t>Wiper Motor; Instruction Sheet</t>
        </is>
      </c>
      <c r="N756" t="inlineStr">
        <is>
          <t>Yes</t>
        </is>
      </c>
      <c r="O756" t="inlineStr">
        <is>
          <t>Remanufactured</t>
        </is>
      </c>
      <c r="P756" t="inlineStr">
        <is>
          <t>3</t>
        </is>
      </c>
      <c r="Q756" t="inlineStr">
        <is>
          <t>Blade</t>
        </is>
      </c>
      <c r="R756" t="inlineStr">
        <is>
          <t>Grommet</t>
        </is>
      </c>
      <c r="S756" t="inlineStr">
        <is>
          <t>2.2200</t>
        </is>
      </c>
      <c r="T756" t="inlineStr">
        <is>
          <t>No</t>
        </is>
      </c>
      <c r="U756" t="inlineStr">
        <is>
          <t>1 Year/18,000 Mile</t>
        </is>
      </c>
      <c r="V756" t="inlineStr">
        <is>
          <t>Yes</t>
        </is>
      </c>
      <c r="W756" t="inlineStr">
        <is>
          <t>Available to Order</t>
        </is>
      </c>
      <c r="X756" t="inlineStr">
        <is>
          <t>Honda Accord 1989-86</t>
        </is>
      </c>
      <c r="Y756" t="inlineStr">
        <is>
          <t>00082617456104</t>
        </is>
      </c>
      <c r="Z756" t="inlineStr">
        <is>
          <t>43-4003::98264:121421:530</t>
        </is>
      </c>
      <c r="AA756" t="inlineStr">
        <is>
          <t>Yes</t>
        </is>
      </c>
      <c r="AB756" t="inlineStr"/>
      <c r="AC756" t="inlineStr"/>
    </row>
    <row r="757">
      <c r="A757" t="inlineStr">
        <is>
          <t>756</t>
        </is>
      </c>
      <c r="B757" t="inlineStr">
        <is>
          <t>Windshield Wiper Motor</t>
        </is>
      </c>
      <c r="C757" t="inlineStr">
        <is>
          <t>43-4004</t>
        </is>
      </c>
      <c r="D757" t="inlineStr">
        <is>
          <t>Windshield Wiper Motor - 43-4004</t>
        </is>
      </c>
      <c r="E757" t="inlineStr">
        <is>
          <t>CARDONE Reman</t>
        </is>
      </c>
      <c r="F757" t="inlineStr">
        <is>
          <t>76700SK7A01</t>
        </is>
      </c>
      <c r="G757" t="inlineStr">
        <is>
          <t>Acura Integra 1990-2001</t>
        </is>
      </c>
      <c r="H757" t="inlineStr">
        <is>
          <t>Acura Integra 1990-2001 1.8L L4 1834cc
Acura Integra 1992-1993 1.7L L4 1678cc
Acura Integra 1994-2001 1.8L L4 1797cc</t>
        </is>
      </c>
      <c r="I757" t="inlineStr">
        <is>
          <t>{"0": {"productDeskExternalKey": "CPCX|43-4004"},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"Acura Integra 2001-90"}, "14": {"ItemLevelGTIN": "00082617456173"}, "15": {"_addonCardone": "43-4004::98264:121439:530"}, "16": {"Eligible for R&amp;R Service": "Yes"}}</t>
        </is>
      </c>
      <c r="J757" t="inlineStr">
        <is>
          <t>https://www.cardone.com/product/windshield-wiper-motor-43-4004</t>
        </is>
      </c>
      <c r="K757">
        <f>DISPIMG("ID_31A04D0C6C954E3886FBFAD5419F97E0",1)</f>
        <v/>
      </c>
      <c r="L757" t="inlineStr">
        <is>
          <t>CPCX|43-4004</t>
        </is>
      </c>
      <c r="M757" t="inlineStr">
        <is>
          <t>Wiper Motor; Instruction Sheet</t>
        </is>
      </c>
      <c r="N757" t="inlineStr">
        <is>
          <t>Yes</t>
        </is>
      </c>
      <c r="O757" t="inlineStr">
        <is>
          <t>Remanufactured</t>
        </is>
      </c>
      <c r="P757" t="inlineStr">
        <is>
          <t>3</t>
        </is>
      </c>
      <c r="Q757" t="inlineStr">
        <is>
          <t>Blade</t>
        </is>
      </c>
      <c r="R757" t="inlineStr">
        <is>
          <t>Grommet</t>
        </is>
      </c>
      <c r="S757" t="inlineStr">
        <is>
          <t>2.5000</t>
        </is>
      </c>
      <c r="T757" t="inlineStr">
        <is>
          <t>No</t>
        </is>
      </c>
      <c r="U757" t="inlineStr">
        <is>
          <t>1 Year/18,000 Mile</t>
        </is>
      </c>
      <c r="V757" t="inlineStr">
        <is>
          <t>Yes</t>
        </is>
      </c>
      <c r="W757" t="inlineStr">
        <is>
          <t>Available to Order</t>
        </is>
      </c>
      <c r="X757" t="inlineStr">
        <is>
          <t>Acura Integra 2001-90</t>
        </is>
      </c>
      <c r="Y757" t="inlineStr">
        <is>
          <t>00082617456173</t>
        </is>
      </c>
      <c r="Z757" t="inlineStr">
        <is>
          <t>43-4004::98264:121439:530</t>
        </is>
      </c>
      <c r="AA757" t="inlineStr">
        <is>
          <t>Yes</t>
        </is>
      </c>
      <c r="AB757" t="inlineStr"/>
      <c r="AC757" t="inlineStr"/>
    </row>
    <row r="758">
      <c r="A758" t="inlineStr">
        <is>
          <t>757</t>
        </is>
      </c>
      <c r="B758" t="inlineStr">
        <is>
          <t>Windshield Wiper Motor</t>
        </is>
      </c>
      <c r="C758" t="inlineStr">
        <is>
          <t>43-4005</t>
        </is>
      </c>
      <c r="D758" t="inlineStr">
        <is>
          <t>Windshield Wiper Motor - 43-4005</t>
        </is>
      </c>
      <c r="E758" t="inlineStr">
        <is>
          <t>CARDONE Reman</t>
        </is>
      </c>
      <c r="F758" t="inlineStr">
        <is>
          <t>76700SH5S05;76700SH5A02</t>
        </is>
      </c>
      <c r="G758" t="inlineStr">
        <is>
          <t>Honda Civic 1988-1990</t>
        </is>
      </c>
      <c r="H758" t="inlineStr">
        <is>
          <t>Honda Civic 1988-1990 1.5L L4 1493cc
Honda Civic 1988-1990 1.6L L4 98cid</t>
        </is>
      </c>
      <c r="I758" t="inlineStr">
        <is>
          <t>{"0": {"productDeskExternalKey": "CPCX|43-4005"}, "1": {"Package Contents": "Wiper Motor; Instruction Sheet"}, "2": {"E-Waste": "Yes"}, "3": {"Product Condition": "Remanufactured"}, "4": {"Mounting Hole Quantity": "3"}, "5": {"Terminal Type": "Blade"}, "6": {"Mounting Type": "Grommet"}, "7": {"Weight PG": "2.0600"}, "8": {"Washer Pump Included": "No"}, "9": {"Part Type": "Windshield Wiper Motor"}, "10": {"Warranty Info": "1 Year/18,000 Mile"}, "11": {"Sustainable Choice": "Yes"}, "12": {"Lifecycle Status": "Available to Order"}, "13": {"Application Summary": "Honda Civic 1990-88"}, "14": {"ItemLevelGTIN": "00082617456128"}, "15": {"_addonCardone": "43-4005::98264:121455:530"}, "16": {"Eligible for R&amp;R Service": "Yes"}}</t>
        </is>
      </c>
      <c r="J758" t="inlineStr">
        <is>
          <t>https://www.cardone.com/product/windshield-wiper-motor-43-4005</t>
        </is>
      </c>
      <c r="K758">
        <f>DISPIMG("ID_B812D26036814F64A2022A8B6E54F7A6",1)</f>
        <v/>
      </c>
      <c r="L758" t="inlineStr">
        <is>
          <t>CPCX|43-4005</t>
        </is>
      </c>
      <c r="M758" t="inlineStr">
        <is>
          <t>Wiper Motor; Instruction Sheet</t>
        </is>
      </c>
      <c r="N758" t="inlineStr">
        <is>
          <t>Yes</t>
        </is>
      </c>
      <c r="O758" t="inlineStr">
        <is>
          <t>Remanufactured</t>
        </is>
      </c>
      <c r="P758" t="inlineStr">
        <is>
          <t>3</t>
        </is>
      </c>
      <c r="Q758" t="inlineStr">
        <is>
          <t>Blade</t>
        </is>
      </c>
      <c r="R758" t="inlineStr">
        <is>
          <t>Grommet</t>
        </is>
      </c>
      <c r="S758" t="inlineStr">
        <is>
          <t>2.0600</t>
        </is>
      </c>
      <c r="T758" t="inlineStr">
        <is>
          <t>No</t>
        </is>
      </c>
      <c r="U758" t="inlineStr">
        <is>
          <t>1 Year/18,000 Mile</t>
        </is>
      </c>
      <c r="V758" t="inlineStr">
        <is>
          <t>Yes</t>
        </is>
      </c>
      <c r="W758" t="inlineStr">
        <is>
          <t>Available to Order</t>
        </is>
      </c>
      <c r="X758" t="inlineStr">
        <is>
          <t>Honda Civic 1990-88</t>
        </is>
      </c>
      <c r="Y758" t="inlineStr">
        <is>
          <t>00082617456128</t>
        </is>
      </c>
      <c r="Z758" t="inlineStr">
        <is>
          <t>43-4005::98264:121455:530</t>
        </is>
      </c>
      <c r="AA758" t="inlineStr">
        <is>
          <t>Yes</t>
        </is>
      </c>
      <c r="AB758" t="inlineStr"/>
      <c r="AC758" t="inlineStr"/>
    </row>
    <row r="759">
      <c r="A759" t="inlineStr">
        <is>
          <t>758</t>
        </is>
      </c>
      <c r="B759" t="inlineStr">
        <is>
          <t>Windshield Wiper Motor</t>
        </is>
      </c>
      <c r="C759" t="inlineStr">
        <is>
          <t>43-4006</t>
        </is>
      </c>
      <c r="D759" t="inlineStr">
        <is>
          <t>Windshield Wiper Motor - 43-4006</t>
        </is>
      </c>
      <c r="E759" t="inlineStr">
        <is>
          <t>CARDONE Reman</t>
        </is>
      </c>
      <c r="F759" t="inlineStr">
        <is>
          <t>76700SH3A01;76700SH3S03</t>
        </is>
      </c>
      <c r="G759" t="inlineStr">
        <is>
          <t>Honda Civic 1988-1991</t>
        </is>
      </c>
      <c r="H759" t="inlineStr">
        <is>
          <t>Honda Civic 1988-1991 1.5L L4 1493cc
Honda Civic 1989-1991 1.6L L4 98cid</t>
        </is>
      </c>
      <c r="I759" t="inlineStr">
        <is>
          <t>{"0": {"productDeskExternalKey": "CPCX|43-4006"}, "1": {"Package Contents": "Wiper Motor; Instruction Sheet"}, "2": {"E-Waste": "Yes"}, "3": {"Product Condition": "Remanufactured"}, "4": {"Mounting Hole Quantity": "3"}, "5": {"Terminal Type": "Blade"}, "6": {"Mounting Type": "Grommet"}, "7": {"Weight PG": "1.9200"}, "8": {"Washer Pump Included": "No"}, "9": {"Part Type": "Windshield Wiper Motor"}, "10": {"Warranty Info": "1 Year/18,000 Mile"}, "11": {"Sustainable Choice": "Yes"}, "12": {"Lifecycle Status": "Available to Order"}, "13": {"Application Summary": "Honda Civic 1991-88"}, "14": {"ItemLevelGTIN": "00082617456111"}, "15": {"_addonCardone": "43-4006::98264:121468:530"}, "16": {"Eligible for R&amp;R Service": "Yes"}}</t>
        </is>
      </c>
      <c r="J759" t="inlineStr">
        <is>
          <t>https://www.cardone.com/product/windshield-wiper-motor-43-4006</t>
        </is>
      </c>
      <c r="K759">
        <f>DISPIMG("ID_B624ABBC4BB246389A9C39860E48773B",1)</f>
        <v/>
      </c>
      <c r="L759" t="inlineStr">
        <is>
          <t>CPCX|43-4006</t>
        </is>
      </c>
      <c r="M759" t="inlineStr">
        <is>
          <t>Wiper Motor; Instruction Sheet</t>
        </is>
      </c>
      <c r="N759" t="inlineStr">
        <is>
          <t>Yes</t>
        </is>
      </c>
      <c r="O759" t="inlineStr">
        <is>
          <t>Remanufactured</t>
        </is>
      </c>
      <c r="P759" t="inlineStr">
        <is>
          <t>3</t>
        </is>
      </c>
      <c r="Q759" t="inlineStr">
        <is>
          <t>Blade</t>
        </is>
      </c>
      <c r="R759" t="inlineStr">
        <is>
          <t>Grommet</t>
        </is>
      </c>
      <c r="S759" t="inlineStr">
        <is>
          <t>1.9200</t>
        </is>
      </c>
      <c r="T759" t="inlineStr">
        <is>
          <t>No</t>
        </is>
      </c>
      <c r="U759" t="inlineStr">
        <is>
          <t>1 Year/18,000 Mile</t>
        </is>
      </c>
      <c r="V759" t="inlineStr">
        <is>
          <t>Yes</t>
        </is>
      </c>
      <c r="W759" t="inlineStr">
        <is>
          <t>Available to Order</t>
        </is>
      </c>
      <c r="X759" t="inlineStr">
        <is>
          <t>Honda Civic 1991-88</t>
        </is>
      </c>
      <c r="Y759" t="inlineStr">
        <is>
          <t>00082617456111</t>
        </is>
      </c>
      <c r="Z759" t="inlineStr">
        <is>
          <t>43-4006::98264:121468:530</t>
        </is>
      </c>
      <c r="AA759" t="inlineStr">
        <is>
          <t>Yes</t>
        </is>
      </c>
      <c r="AB759" t="inlineStr"/>
      <c r="AC759" t="inlineStr"/>
    </row>
    <row r="760">
      <c r="A760" t="inlineStr">
        <is>
          <t>759</t>
        </is>
      </c>
      <c r="B760" t="inlineStr">
        <is>
          <t>Windshield Wiper Motor</t>
        </is>
      </c>
      <c r="C760" t="inlineStr">
        <is>
          <t>43-4007</t>
        </is>
      </c>
      <c r="D760" t="inlineStr">
        <is>
          <t>Windshield Wiper Motor - 43-4007</t>
        </is>
      </c>
      <c r="E760" t="inlineStr">
        <is>
          <t>CARDONE Reman</t>
        </is>
      </c>
      <c r="F760" t="inlineStr">
        <is>
          <t>76700SM5A01</t>
        </is>
      </c>
      <c r="G760" t="inlineStr">
        <is>
          <t>Honda Accord 1991-1993</t>
        </is>
      </c>
      <c r="H760" t="inlineStr">
        <is>
          <t>Honda Accord 1991-1993 2.2L L4 2156cc</t>
        </is>
      </c>
      <c r="I760" t="inlineStr">
        <is>
          <t>{"0": {"productDeskExternalKey": "CPCX|43-4007"}, "1": {"Package Contents": "Wiper Motor; Instruction Sheet"}, "2": {"E-Waste": "Yes"}, "3": {"Product Condition": "Remanufactured"}, "4": {"Mounting Hole Quantity": "3"}, "5": {"Terminal Type": "Blade"}, "6": {"Mounting Type": "Grommet"}, "7": {"Weight PG": "3.0000"}, "8": {"Washer Pump Included": "No"}, "9": {"Part Type": "Windshield Wiper Motor"}, "10": {"Warranty Info": "1 Year/18,000 Mile"}, "11": {"Sustainable Choice": "Yes"}, "12": {"Lifecycle Status": "Available to Order"}, "13": {"Application Summary": "Honda Accord 1993-91"}, "14": {"ItemLevelGTIN": "00082617456135"}, "15": {"_addonCardone": "43-4007::98264:121483:530"}, "16": {"Eligible for R&amp;R Service": "Yes"}}</t>
        </is>
      </c>
      <c r="J760" t="inlineStr">
        <is>
          <t>https://www.cardone.com/product/windshield-wiper-motor-43-4007</t>
        </is>
      </c>
      <c r="K760">
        <f>DISPIMG("ID_8FE4F5BA2875414A928F079EF6DE0686",1)</f>
        <v/>
      </c>
      <c r="L760" t="inlineStr">
        <is>
          <t>CPCX|43-4007</t>
        </is>
      </c>
      <c r="M760" t="inlineStr">
        <is>
          <t>Wiper Motor; Instruction Sheet</t>
        </is>
      </c>
      <c r="N760" t="inlineStr">
        <is>
          <t>Yes</t>
        </is>
      </c>
      <c r="O760" t="inlineStr">
        <is>
          <t>Remanufactured</t>
        </is>
      </c>
      <c r="P760" t="inlineStr">
        <is>
          <t>3</t>
        </is>
      </c>
      <c r="Q760" t="inlineStr">
        <is>
          <t>Blade</t>
        </is>
      </c>
      <c r="R760" t="inlineStr">
        <is>
          <t>Grommet</t>
        </is>
      </c>
      <c r="S760" t="inlineStr">
        <is>
          <t>3.0000</t>
        </is>
      </c>
      <c r="T760" t="inlineStr">
        <is>
          <t>No</t>
        </is>
      </c>
      <c r="U760" t="inlineStr">
        <is>
          <t>1 Year/18,000 Mile</t>
        </is>
      </c>
      <c r="V760" t="inlineStr">
        <is>
          <t>Yes</t>
        </is>
      </c>
      <c r="W760" t="inlineStr">
        <is>
          <t>Available to Order</t>
        </is>
      </c>
      <c r="X760" t="inlineStr">
        <is>
          <t>Honda Accord 1993-91</t>
        </is>
      </c>
      <c r="Y760" t="inlineStr">
        <is>
          <t>00082617456135</t>
        </is>
      </c>
      <c r="Z760" t="inlineStr">
        <is>
          <t>43-4007::98264:121483:530</t>
        </is>
      </c>
      <c r="AA760" t="inlineStr">
        <is>
          <t>Yes</t>
        </is>
      </c>
      <c r="AB760" t="inlineStr"/>
      <c r="AC760" t="inlineStr"/>
    </row>
    <row r="761">
      <c r="A761" t="inlineStr">
        <is>
          <t>760</t>
        </is>
      </c>
      <c r="B761" t="inlineStr">
        <is>
          <t>Windshield Wiper Motor</t>
        </is>
      </c>
      <c r="C761" t="inlineStr">
        <is>
          <t>43-4008</t>
        </is>
      </c>
      <c r="D761" t="inlineStr">
        <is>
          <t>Windshield Wiper Motor - 43-4008</t>
        </is>
      </c>
      <c r="E761" t="inlineStr">
        <is>
          <t>CARDONE Reman</t>
        </is>
      </c>
      <c r="F761" t="inlineStr">
        <is>
          <t>76505SX0A01</t>
        </is>
      </c>
      <c r="G761" t="inlineStr"/>
      <c r="H761" t="inlineStr"/>
      <c r="I761" t="inlineStr">
        <is>
          <t>{"0": {"productDeskExternalKey": "CPCX|43-4008"},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"Honda Odyssey 1998-95"}, "14": {"ItemLevelGTIN": "00082617496247"}, "15": {"_addonCardone": "43-4008::98264:121497:530"}, "16": {"Eligible for R&amp;R Service": "Yes"}}</t>
        </is>
      </c>
      <c r="J761" t="inlineStr">
        <is>
          <t>https://www.cardone.com/product/windshield-wiper-motor-43-4008</t>
        </is>
      </c>
      <c r="K761">
        <f>DISPIMG("ID_4A4097274E6D41FFBF87E952D0F80E31",1)</f>
        <v/>
      </c>
      <c r="L761" t="inlineStr">
        <is>
          <t>CPCX|43-4008</t>
        </is>
      </c>
      <c r="M761" t="inlineStr">
        <is>
          <t>Wiper Motor; Instruction Sheet</t>
        </is>
      </c>
      <c r="N761" t="inlineStr">
        <is>
          <t>Yes</t>
        </is>
      </c>
      <c r="O761" t="inlineStr">
        <is>
          <t>Remanufactured</t>
        </is>
      </c>
      <c r="P761" t="inlineStr">
        <is>
          <t>3</t>
        </is>
      </c>
      <c r="Q761" t="inlineStr">
        <is>
          <t>Blade</t>
        </is>
      </c>
      <c r="R761" t="inlineStr">
        <is>
          <t>Direct Bolt</t>
        </is>
      </c>
      <c r="S761" t="inlineStr">
        <is>
          <t>3.5000</t>
        </is>
      </c>
      <c r="T761" t="inlineStr">
        <is>
          <t>No</t>
        </is>
      </c>
      <c r="U761" t="inlineStr">
        <is>
          <t>1 Year/18,000 Mile</t>
        </is>
      </c>
      <c r="V761" t="inlineStr">
        <is>
          <t>Yes</t>
        </is>
      </c>
      <c r="W761" t="inlineStr">
        <is>
          <t>Available to Order</t>
        </is>
      </c>
      <c r="X761" t="inlineStr">
        <is>
          <t>Honda Odyssey 1998-95</t>
        </is>
      </c>
      <c r="Y761" t="inlineStr">
        <is>
          <t>00082617496247</t>
        </is>
      </c>
      <c r="Z761" t="inlineStr">
        <is>
          <t>43-4008::98264:121497:530</t>
        </is>
      </c>
      <c r="AA761" t="inlineStr">
        <is>
          <t>Yes</t>
        </is>
      </c>
      <c r="AB761" t="inlineStr"/>
      <c r="AC761" t="inlineStr"/>
    </row>
    <row r="762">
      <c r="A762" t="inlineStr">
        <is>
          <t>761</t>
        </is>
      </c>
      <c r="B762" t="inlineStr">
        <is>
          <t>Windshield Wiper Motor</t>
        </is>
      </c>
      <c r="C762" t="inlineStr">
        <is>
          <t>43-4009</t>
        </is>
      </c>
      <c r="D762" t="inlineStr">
        <is>
          <t>Windshield Wiper Motor - 43-4009</t>
        </is>
      </c>
      <c r="E762" t="inlineStr">
        <is>
          <t>CARDONE Reman</t>
        </is>
      </c>
      <c r="F762" t="inlineStr">
        <is>
          <t>38420SA5023</t>
        </is>
      </c>
      <c r="G762" t="inlineStr">
        <is>
          <t>Honda Accord 1984-1985</t>
        </is>
      </c>
      <c r="H762" t="inlineStr">
        <is>
          <t>Honda Accord 1984-1985 1.8L L4 1829cc
Honda Accord 1985 1.6L L4 1598cc</t>
        </is>
      </c>
      <c r="I762" t="inlineStr">
        <is>
          <t>{"0": {"productDeskExternalKey": "CPCX|43-4009"}, "1": {"Package Contents": "Wiper Motor; Instruction Sheet"}, "2": {"E-Waste": "Yes"}, "3": {"Product Condition": "Remanufactured"}, "4": {"Mounting Hole Quantity": "3"}, "5": {"Terminal Type": "Blade"}, "6": {"Mounting Type": "Grommet"}, "7": {"Weight PG": "2.2500"}, "8": {"Washer Pump Included": "No"}, "9": {"Part Type": "Windshield Wiper Motor"}, "10": {"Warranty Info": "1 Year/18,000 Mile"}, "11": {"Sustainable Choice": "Yes"}, "12": {"Lifecycle Status": "Available to Order"}, "13": {"Application Summary": "Honda Accord 1985-84"}, "14": {"ItemLevelGTIN": "00082617456074"}, "15": {"_addonCardone": "43-4009::98264:121510:530"}, "16": {"Eligible for R&amp;R Service": "Yes"}}</t>
        </is>
      </c>
      <c r="J762" t="inlineStr">
        <is>
          <t>https://www.cardone.com/product/windshield-wiper-motor-43-4009</t>
        </is>
      </c>
      <c r="K762">
        <f>DISPIMG("ID_157DE73E5090458E817C30F709CF1CCE",1)</f>
        <v/>
      </c>
      <c r="L762" t="inlineStr">
        <is>
          <t>CPCX|43-4009</t>
        </is>
      </c>
      <c r="M762" t="inlineStr">
        <is>
          <t>Wiper Motor; Instruction Sheet</t>
        </is>
      </c>
      <c r="N762" t="inlineStr">
        <is>
          <t>Yes</t>
        </is>
      </c>
      <c r="O762" t="inlineStr">
        <is>
          <t>Remanufactured</t>
        </is>
      </c>
      <c r="P762" t="inlineStr">
        <is>
          <t>3</t>
        </is>
      </c>
      <c r="Q762" t="inlineStr">
        <is>
          <t>Blade</t>
        </is>
      </c>
      <c r="R762" t="inlineStr">
        <is>
          <t>Grommet</t>
        </is>
      </c>
      <c r="S762" t="inlineStr">
        <is>
          <t>2.2500</t>
        </is>
      </c>
      <c r="T762" t="inlineStr">
        <is>
          <t>No</t>
        </is>
      </c>
      <c r="U762" t="inlineStr">
        <is>
          <t>1 Year/18,000 Mile</t>
        </is>
      </c>
      <c r="V762" t="inlineStr">
        <is>
          <t>Yes</t>
        </is>
      </c>
      <c r="W762" t="inlineStr">
        <is>
          <t>Available to Order</t>
        </is>
      </c>
      <c r="X762" t="inlineStr">
        <is>
          <t>Honda Accord 1985-84</t>
        </is>
      </c>
      <c r="Y762" t="inlineStr">
        <is>
          <t>00082617456074</t>
        </is>
      </c>
      <c r="Z762" t="inlineStr">
        <is>
          <t>43-4009::98264:121510:530</t>
        </is>
      </c>
      <c r="AA762" t="inlineStr">
        <is>
          <t>Yes</t>
        </is>
      </c>
      <c r="AB762" t="inlineStr"/>
      <c r="AC762" t="inlineStr"/>
    </row>
    <row r="763">
      <c r="A763" t="inlineStr">
        <is>
          <t>762</t>
        </is>
      </c>
      <c r="B763" t="inlineStr">
        <is>
          <t>Windshield Wiper Motor</t>
        </is>
      </c>
      <c r="C763" t="inlineStr">
        <is>
          <t>43-4010</t>
        </is>
      </c>
      <c r="D763" t="inlineStr">
        <is>
          <t>Windshield Wiper Motor - 43-4010</t>
        </is>
      </c>
      <c r="E763" t="inlineStr">
        <is>
          <t>CARDONE Reman</t>
        </is>
      </c>
      <c r="F763" t="inlineStr">
        <is>
          <t>76700SV5A01</t>
        </is>
      </c>
      <c r="G763" t="inlineStr">
        <is>
          <t>Honda Accord 1994-1997</t>
        </is>
      </c>
      <c r="H763" t="inlineStr">
        <is>
          <t>Honda Accord 1994-1997 2.2L L4 2156cc
Honda Accord 1995-1997 2.7L V6 2675cc</t>
        </is>
      </c>
      <c r="I763" t="inlineStr">
        <is>
          <t>{"0": {"productDeskExternalKey": "CPCX|43-4010"}, "1": {"Package Contents": "Wiper Motor; Instruction Sheet"}, "2": {"E-Waste": "Yes"}, "3": {"Product Condition": "Remanufactured"}, "4": {"Mounting Hole Quantity": "3"}, "5": {"Terminal Type": "Blade"}, "6": {"Mounting Type": "Grommet"}, "7": {"Weight PG": "2.5600"}, "8": {"Washer Pump Included": "No"}, "9": {"Part Type": "Windshield Wiper Motor"}, "10": {"Warranty Info": "1 Year/18,000 Mile"}, "11": {"Sustainable Choice": "Yes"}, "12": {"Lifecycle Status": "Available to Order"}, "13": {"Application Summary": "Honda Accord 1997-94"}, "14": {"ItemLevelGTIN": "00082617456159"}, "15": {"_addonCardone": "43-4010::98264:121521:530"}, "16": {"Eligible for R&amp;R Service": "Yes"}}</t>
        </is>
      </c>
      <c r="J763" t="inlineStr">
        <is>
          <t>https://www.cardone.com/product/windshield-wiper-motor-43-4010</t>
        </is>
      </c>
      <c r="K763">
        <f>DISPIMG("ID_7713C82160BA4BEF80CA0DBD3379933D",1)</f>
        <v/>
      </c>
      <c r="L763" t="inlineStr">
        <is>
          <t>CPCX|43-4010</t>
        </is>
      </c>
      <c r="M763" t="inlineStr">
        <is>
          <t>Wiper Motor; Instruction Sheet</t>
        </is>
      </c>
      <c r="N763" t="inlineStr">
        <is>
          <t>Yes</t>
        </is>
      </c>
      <c r="O763" t="inlineStr">
        <is>
          <t>Remanufactured</t>
        </is>
      </c>
      <c r="P763" t="inlineStr">
        <is>
          <t>3</t>
        </is>
      </c>
      <c r="Q763" t="inlineStr">
        <is>
          <t>Blade</t>
        </is>
      </c>
      <c r="R763" t="inlineStr">
        <is>
          <t>Grommet</t>
        </is>
      </c>
      <c r="S763" t="inlineStr">
        <is>
          <t>2.5600</t>
        </is>
      </c>
      <c r="T763" t="inlineStr">
        <is>
          <t>No</t>
        </is>
      </c>
      <c r="U763" t="inlineStr">
        <is>
          <t>1 Year/18,000 Mile</t>
        </is>
      </c>
      <c r="V763" t="inlineStr">
        <is>
          <t>Yes</t>
        </is>
      </c>
      <c r="W763" t="inlineStr">
        <is>
          <t>Available to Order</t>
        </is>
      </c>
      <c r="X763" t="inlineStr">
        <is>
          <t>Honda Accord 1997-94</t>
        </is>
      </c>
      <c r="Y763" t="inlineStr">
        <is>
          <t>00082617456159</t>
        </is>
      </c>
      <c r="Z763" t="inlineStr">
        <is>
          <t>43-4010::98264:121521:530</t>
        </is>
      </c>
      <c r="AA763" t="inlineStr">
        <is>
          <t>Yes</t>
        </is>
      </c>
      <c r="AB763" t="inlineStr"/>
      <c r="AC763" t="inlineStr"/>
    </row>
    <row r="764">
      <c r="A764" t="inlineStr">
        <is>
          <t>763</t>
        </is>
      </c>
      <c r="B764" t="inlineStr">
        <is>
          <t>Windshield Wiper Motor</t>
        </is>
      </c>
      <c r="C764" t="inlineStr">
        <is>
          <t>43-4012</t>
        </is>
      </c>
      <c r="D764" t="inlineStr">
        <is>
          <t>Windshield Wiper Motor - 43-4012</t>
        </is>
      </c>
      <c r="E764" t="inlineStr">
        <is>
          <t>CARDONE Reman</t>
        </is>
      </c>
      <c r="F764" t="inlineStr">
        <is>
          <t>76700S10A02;76700S10A01</t>
        </is>
      </c>
      <c r="G764" t="inlineStr">
        <is>
          <t>Honda CR-V 1997-2001</t>
        </is>
      </c>
      <c r="H764" t="inlineStr">
        <is>
          <t>Honda CR-V 1997-2001 2L L4 1972cc</t>
        </is>
      </c>
      <c r="I764" t="inlineStr">
        <is>
          <t>{"0": {"productDeskExternalKey": "CPCX|43-4012"}, "1": {"Package Contents": "Wiper Motor; Instruction Sheet"}, "2": {"E-Waste": "Yes"}, "3": {"Product Condition": "Remanufactured"}, "4": {"Mounting Hole Quantity": "3"}, "5": {"Terminal Type": "Blade"}, "6": {"Mounting Type": "Direct Bolt"}, "7": {"Weight PG": "1.8800"}, "8": {"Washer Pump Included": "No"}, "9": {"Part Type": "Windshield Wiper Motor"}, "10": {"Warranty Info": "1 Year/18,000 Mile"}, "11": {"Sustainable Choice": "Yes"}, "12": {"Lifecycle Status": "Available to Order"}, "13": {"Application Summary": "Honda CR-V 2001-97"}, "14": {"ItemLevelGTIN": "00082617496254"}, "15": {"_addonCardone": "43-4012::98264:121534:530"}, "16": {"Eligible for R&amp;R Service": "Yes"}}</t>
        </is>
      </c>
      <c r="J764" t="inlineStr">
        <is>
          <t>https://www.cardone.com/product/windshield-wiper-motor-43-4012</t>
        </is>
      </c>
      <c r="K764">
        <f>DISPIMG("ID_7CF9C3208C7848F0B326CC9525B47E78",1)</f>
        <v/>
      </c>
      <c r="L764" t="inlineStr">
        <is>
          <t>CPCX|43-4012</t>
        </is>
      </c>
      <c r="M764" t="inlineStr">
        <is>
          <t>Wiper Motor; Instruction Sheet</t>
        </is>
      </c>
      <c r="N764" t="inlineStr">
        <is>
          <t>Yes</t>
        </is>
      </c>
      <c r="O764" t="inlineStr">
        <is>
          <t>Remanufactured</t>
        </is>
      </c>
      <c r="P764" t="inlineStr">
        <is>
          <t>3</t>
        </is>
      </c>
      <c r="Q764" t="inlineStr">
        <is>
          <t>Blade</t>
        </is>
      </c>
      <c r="R764" t="inlineStr">
        <is>
          <t>Direct Bolt</t>
        </is>
      </c>
      <c r="S764" t="inlineStr">
        <is>
          <t>1.8800</t>
        </is>
      </c>
      <c r="T764" t="inlineStr">
        <is>
          <t>No</t>
        </is>
      </c>
      <c r="U764" t="inlineStr">
        <is>
          <t>1 Year/18,000 Mile</t>
        </is>
      </c>
      <c r="V764" t="inlineStr">
        <is>
          <t>Yes</t>
        </is>
      </c>
      <c r="W764" t="inlineStr">
        <is>
          <t>Available to Order</t>
        </is>
      </c>
      <c r="X764" t="inlineStr">
        <is>
          <t>Honda CR-V 2001-97</t>
        </is>
      </c>
      <c r="Y764" t="inlineStr">
        <is>
          <t>00082617496254</t>
        </is>
      </c>
      <c r="Z764" t="inlineStr">
        <is>
          <t>43-4012::98264:121534:530</t>
        </is>
      </c>
      <c r="AA764" t="inlineStr">
        <is>
          <t>Yes</t>
        </is>
      </c>
      <c r="AB764" t="inlineStr"/>
      <c r="AC764" t="inlineStr"/>
    </row>
    <row r="765">
      <c r="A765" t="inlineStr">
        <is>
          <t>764</t>
        </is>
      </c>
      <c r="B765" t="inlineStr">
        <is>
          <t>Windshield Wiper Motor</t>
        </is>
      </c>
      <c r="C765" t="inlineStr">
        <is>
          <t>43-4013</t>
        </is>
      </c>
      <c r="D765" t="inlineStr">
        <is>
          <t>Windshield Wiper Motor - 43-4013</t>
        </is>
      </c>
      <c r="E765" t="inlineStr">
        <is>
          <t>CARDONE Reman</t>
        </is>
      </c>
      <c r="F765" t="inlineStr">
        <is>
          <t>76505S84A01;76505S4KA01</t>
        </is>
      </c>
      <c r="G765" t="inlineStr">
        <is>
          <t>Acura CL 2001-2003
Acura TL 1999-2003
Honda Accord 1998-2002
Honda Civic 2001</t>
        </is>
      </c>
      <c r="H765" t="inlineStr">
        <is>
          <t>Acura CL 2001-2003 3.2L V6 3210cc
Acura TL 1999-2003 3.2L V6 3210cc
Honda Accord 1998-2002 2.3L L4 2254cc
Honda Accord 1998-2002 3L V6 2997cc
Honda Civic 2001 1.7L L4 1668cc</t>
        </is>
      </c>
      <c r="I765" t="inlineStr">
        <is>
          <t>{"0": {"productDeskExternalKey": "CPCX|43-4013"},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"Acura CL 2003-01, TL 2003-99; Honda Accord 2002-98, Civic 2001"}, "14": {"ItemLevelGTIN": "00082617512619"}, "15": {"_addonCardone": "43-4013::98264:121547:530"}, "16": {"Eligible for R&amp;R Service": "Yes"}}</t>
        </is>
      </c>
      <c r="J765" t="inlineStr">
        <is>
          <t>https://www.cardone.com/product/windshield-wiper-motor-43-4013</t>
        </is>
      </c>
      <c r="K765">
        <f>DISPIMG("ID_6ADE6572EAB74933831F6CE32496FD12",1)</f>
        <v/>
      </c>
      <c r="L765" t="inlineStr">
        <is>
          <t>CPCX|43-4013</t>
        </is>
      </c>
      <c r="M765" t="inlineStr">
        <is>
          <t>Wiper Motor; Instruction Sheet</t>
        </is>
      </c>
      <c r="N765" t="inlineStr">
        <is>
          <t>Yes</t>
        </is>
      </c>
      <c r="O765" t="inlineStr">
        <is>
          <t>Remanufactured</t>
        </is>
      </c>
      <c r="P765" t="inlineStr">
        <is>
          <t>3</t>
        </is>
      </c>
      <c r="Q765" t="inlineStr">
        <is>
          <t>Blade</t>
        </is>
      </c>
      <c r="R765" t="inlineStr">
        <is>
          <t>Direct Bolt</t>
        </is>
      </c>
      <c r="S765" t="inlineStr">
        <is>
          <t>2.5000</t>
        </is>
      </c>
      <c r="T765" t="inlineStr">
        <is>
          <t>No</t>
        </is>
      </c>
      <c r="U765" t="inlineStr">
        <is>
          <t>1 Year/18,000 Mile</t>
        </is>
      </c>
      <c r="V765" t="inlineStr">
        <is>
          <t>Yes</t>
        </is>
      </c>
      <c r="W765" t="inlineStr">
        <is>
          <t>Available to Order</t>
        </is>
      </c>
      <c r="X765" t="inlineStr">
        <is>
          <t>Acura CL 2003-01, TL 2003-99; Honda Accord 2002-98, Civic 2001</t>
        </is>
      </c>
      <c r="Y765" t="inlineStr">
        <is>
          <t>00082617512619</t>
        </is>
      </c>
      <c r="Z765" t="inlineStr">
        <is>
          <t>43-4013::98264:121547:530</t>
        </is>
      </c>
      <c r="AA765" t="inlineStr">
        <is>
          <t>Yes</t>
        </is>
      </c>
      <c r="AB765" t="inlineStr"/>
      <c r="AC765" t="inlineStr"/>
    </row>
    <row r="766">
      <c r="A766" t="inlineStr">
        <is>
          <t>765</t>
        </is>
      </c>
      <c r="B766" t="inlineStr">
        <is>
          <t>Windshield Wiper Motor</t>
        </is>
      </c>
      <c r="C766" t="inlineStr">
        <is>
          <t>43-4014</t>
        </is>
      </c>
      <c r="D766" t="inlineStr">
        <is>
          <t>Windshield Wiper Motor - 43-4014</t>
        </is>
      </c>
      <c r="E766" t="inlineStr">
        <is>
          <t>CARDONE Reman</t>
        </is>
      </c>
      <c r="F766" t="inlineStr">
        <is>
          <t>76505SG0S02;76505SG0A02;76505SG0S01;76505SG0A01</t>
        </is>
      </c>
      <c r="G766" t="inlineStr">
        <is>
          <t>Acura Legend 1987-1990</t>
        </is>
      </c>
      <c r="H766" t="inlineStr">
        <is>
          <t>Acura Legend 1987-1990 2.7L V6 2675cc</t>
        </is>
      </c>
      <c r="I766" t="inlineStr">
        <is>
          <t>{"0": {"productDeskExternalKey": "CPCX|43-4014"}, "1": {"Package Contents": "Wiper Motor; Instruction Sheet"}, "2": {"E-Waste": "Yes"}, "3": {"Product Condition": "Remanufactured"}, "4": {"Mounting Hole Quantity": "3"}, "5": {"Terminal Type": "Blade"}, "6": {"Mounting Type": "Grommet"}, "7": {"Weight PG": "4.9500"}, "8": {"Washer Pump Included": "No"}, "9": {"Part Type": "Windshield Wiper Motor"}, "10": {"Warranty Info": "1 Year/18,000 Mile"}, "11": {"Sustainable Choice": "Yes"}, "12": {"Lifecycle Status": "Available to Order"}, "13": {"Application Summary": "Acura Legend 1990-87"}, "14": {"ItemLevelGTIN": "00082617513777"}, "15": {"_addonCardone": "43-4014::98264:121559:530"}, "16": {"Eligible for R&amp;R Service": "Yes"}}</t>
        </is>
      </c>
      <c r="J766" t="inlineStr">
        <is>
          <t>https://www.cardone.com/product/windshield-wiper-motor-43-4014</t>
        </is>
      </c>
      <c r="K766">
        <f>DISPIMG("ID_4635F912F9EC4D059859C85DAA7AA142",1)</f>
        <v/>
      </c>
      <c r="L766" t="inlineStr">
        <is>
          <t>CPCX|43-4014</t>
        </is>
      </c>
      <c r="M766" t="inlineStr">
        <is>
          <t>Wiper Motor; Instruction Sheet</t>
        </is>
      </c>
      <c r="N766" t="inlineStr">
        <is>
          <t>Yes</t>
        </is>
      </c>
      <c r="O766" t="inlineStr">
        <is>
          <t>Remanufactured</t>
        </is>
      </c>
      <c r="P766" t="inlineStr">
        <is>
          <t>3</t>
        </is>
      </c>
      <c r="Q766" t="inlineStr">
        <is>
          <t>Blade</t>
        </is>
      </c>
      <c r="R766" t="inlineStr">
        <is>
          <t>Grommet</t>
        </is>
      </c>
      <c r="S766" t="inlineStr">
        <is>
          <t>4.9500</t>
        </is>
      </c>
      <c r="T766" t="inlineStr">
        <is>
          <t>No</t>
        </is>
      </c>
      <c r="U766" t="inlineStr">
        <is>
          <t>1 Year/18,000 Mile</t>
        </is>
      </c>
      <c r="V766" t="inlineStr">
        <is>
          <t>Yes</t>
        </is>
      </c>
      <c r="W766" t="inlineStr">
        <is>
          <t>Available to Order</t>
        </is>
      </c>
      <c r="X766" t="inlineStr">
        <is>
          <t>Acura Legend 1990-87</t>
        </is>
      </c>
      <c r="Y766" t="inlineStr">
        <is>
          <t>00082617513777</t>
        </is>
      </c>
      <c r="Z766" t="inlineStr">
        <is>
          <t>43-4014::98264:121559:530</t>
        </is>
      </c>
      <c r="AA766" t="inlineStr">
        <is>
          <t>Yes</t>
        </is>
      </c>
      <c r="AB766" t="inlineStr"/>
      <c r="AC766" t="inlineStr"/>
    </row>
    <row r="767">
      <c r="A767" t="inlineStr">
        <is>
          <t>766</t>
        </is>
      </c>
      <c r="B767" t="inlineStr">
        <is>
          <t>Windshield Wiper Motor</t>
        </is>
      </c>
      <c r="C767" t="inlineStr">
        <is>
          <t>43-4015</t>
        </is>
      </c>
      <c r="D767" t="inlineStr">
        <is>
          <t>Windshield Wiper Motor - 43-4015</t>
        </is>
      </c>
      <c r="E767" t="inlineStr">
        <is>
          <t>CARDONE Reman</t>
        </is>
      </c>
      <c r="F767" t="inlineStr">
        <is>
          <t>76505S04Q01;76505S04E01</t>
        </is>
      </c>
      <c r="G767" t="inlineStr"/>
      <c r="H767" t="inlineStr"/>
      <c r="I767" t="inlineStr">
        <is>
          <t>{"0": {"productDeskExternalKey": "CPCX|43-4015"}, "1": {"Package Contents": "Wiper Motor; Instruction Sheet"}, "2": {"E-Waste": "Yes"}, "3": {"Product Condition": "Remanufactured"}, "4": {"Mounting Hole Quantity": "3"}, "5": {"Terminal Type": "Blade"}, "6": {"Mounting Type": "Direct Bolt"}, "7": {"Weight PG": "2.2890"}, "8": {"Washer Pump Included": "No"}, "9": {"Part Type": "Windshield Wiper Motor"}, "10": {"Warranty Info": "1 Year/18,000 Mile"}, "11": {"Sustainable Choice": "Yes"}, "12": {"Lifecycle Status": "Available to Order"}, "13": {"Application Summary": "Honda Prelude 2001-97, S2000 2009-00"}, "14": {"ItemLevelGTIN": "00082617588102"}, "15": {"_addonCardone": "43-4015::98264:121572:530"}, "16": {"Eligible for R&amp;R Service": "Yes"}}</t>
        </is>
      </c>
      <c r="J767" t="inlineStr">
        <is>
          <t>https://www.cardone.com/product/windshield-wiper-motor-43-4015</t>
        </is>
      </c>
      <c r="K767">
        <f>DISPIMG("ID_EA2EAA5FF1C144ED84E1879C6D39DBA6",1)</f>
        <v/>
      </c>
      <c r="L767" t="inlineStr">
        <is>
          <t>CPCX|43-4015</t>
        </is>
      </c>
      <c r="M767" t="inlineStr">
        <is>
          <t>Wiper Motor; Instruction Sheet</t>
        </is>
      </c>
      <c r="N767" t="inlineStr">
        <is>
          <t>Yes</t>
        </is>
      </c>
      <c r="O767" t="inlineStr">
        <is>
          <t>Remanufactured</t>
        </is>
      </c>
      <c r="P767" t="inlineStr">
        <is>
          <t>3</t>
        </is>
      </c>
      <c r="Q767" t="inlineStr">
        <is>
          <t>Blade</t>
        </is>
      </c>
      <c r="R767" t="inlineStr">
        <is>
          <t>Direct Bolt</t>
        </is>
      </c>
      <c r="S767" t="inlineStr">
        <is>
          <t>2.2890</t>
        </is>
      </c>
      <c r="T767" t="inlineStr">
        <is>
          <t>No</t>
        </is>
      </c>
      <c r="U767" t="inlineStr">
        <is>
          <t>1 Year/18,000 Mile</t>
        </is>
      </c>
      <c r="V767" t="inlineStr">
        <is>
          <t>Yes</t>
        </is>
      </c>
      <c r="W767" t="inlineStr">
        <is>
          <t>Available to Order</t>
        </is>
      </c>
      <c r="X767" t="inlineStr">
        <is>
          <t>Honda Prelude 2001-97, S2000 2009-00</t>
        </is>
      </c>
      <c r="Y767" t="inlineStr">
        <is>
          <t>00082617588102</t>
        </is>
      </c>
      <c r="Z767" t="inlineStr">
        <is>
          <t>43-4015::98264:121572:530</t>
        </is>
      </c>
      <c r="AA767" t="inlineStr">
        <is>
          <t>Yes</t>
        </is>
      </c>
      <c r="AB767" t="inlineStr"/>
      <c r="AC767" t="inlineStr"/>
    </row>
    <row r="768">
      <c r="A768" t="inlineStr">
        <is>
          <t>767</t>
        </is>
      </c>
      <c r="B768" t="inlineStr">
        <is>
          <t>Windshield Wiper Motor</t>
        </is>
      </c>
      <c r="C768" t="inlineStr">
        <is>
          <t>43-4016</t>
        </is>
      </c>
      <c r="D768" t="inlineStr">
        <is>
          <t>Windshield Wiper Motor - 43-4016</t>
        </is>
      </c>
      <c r="E768" t="inlineStr">
        <is>
          <t>CARDONE Reman</t>
        </is>
      </c>
      <c r="F768" t="inlineStr">
        <is>
          <t>76505S0XA01;76505SL0A01</t>
        </is>
      </c>
      <c r="G768" t="inlineStr">
        <is>
          <t>Acura NSX 1991-2005</t>
        </is>
      </c>
      <c r="H768" t="inlineStr">
        <is>
          <t>Acura NSX 1991-2005 3L V6 2977cc
Acura NSX 1997-2005 3.2L V6 3179cc</t>
        </is>
      </c>
      <c r="I768" t="inlineStr">
        <is>
          <t>{"0": {"productDeskExternalKey": "CPCX|43-4016"},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"Acura NSX 2005-91; Honda Odyssey 2001-99"}, "14": {"ItemLevelGTIN": "00082617588096"}, "15": {"_addonCardone": "43-4016::98264:121585:530"}, "16": {"Eligible for R&amp;R Service": "Yes"}}</t>
        </is>
      </c>
      <c r="J768" t="inlineStr">
        <is>
          <t>https://www.cardone.com/product/windshield-wiper-motor-43-4016</t>
        </is>
      </c>
      <c r="K768">
        <f>DISPIMG("ID_45BF906D12674B7AB29BF8C0676C490C",1)</f>
        <v/>
      </c>
      <c r="L768" t="inlineStr">
        <is>
          <t>CPCX|43-4016</t>
        </is>
      </c>
      <c r="M768" t="inlineStr">
        <is>
          <t>Wiper Motor; Instruction Sheet</t>
        </is>
      </c>
      <c r="N768" t="inlineStr">
        <is>
          <t>Yes</t>
        </is>
      </c>
      <c r="O768" t="inlineStr">
        <is>
          <t>Remanufactured</t>
        </is>
      </c>
      <c r="P768" t="inlineStr">
        <is>
          <t>3</t>
        </is>
      </c>
      <c r="Q768" t="inlineStr">
        <is>
          <t>Blade</t>
        </is>
      </c>
      <c r="R768" t="inlineStr">
        <is>
          <t>Direct Bolt</t>
        </is>
      </c>
      <c r="S768" t="inlineStr">
        <is>
          <t>3.5000</t>
        </is>
      </c>
      <c r="T768" t="inlineStr">
        <is>
          <t>No</t>
        </is>
      </c>
      <c r="U768" t="inlineStr">
        <is>
          <t>1 Year/18,000 Mile</t>
        </is>
      </c>
      <c r="V768" t="inlineStr">
        <is>
          <t>Yes</t>
        </is>
      </c>
      <c r="W768" t="inlineStr">
        <is>
          <t>Available to Order</t>
        </is>
      </c>
      <c r="X768" t="inlineStr">
        <is>
          <t>Acura NSX 2005-91; Honda Odyssey 2001-99</t>
        </is>
      </c>
      <c r="Y768" t="inlineStr">
        <is>
          <t>00082617588096</t>
        </is>
      </c>
      <c r="Z768" t="inlineStr">
        <is>
          <t>43-4016::98264:121585:530</t>
        </is>
      </c>
      <c r="AA768" t="inlineStr">
        <is>
          <t>Yes</t>
        </is>
      </c>
      <c r="AB768" t="inlineStr"/>
      <c r="AC768" t="inlineStr"/>
    </row>
    <row r="769">
      <c r="A769" t="inlineStr">
        <is>
          <t>768</t>
        </is>
      </c>
      <c r="B769" t="inlineStr">
        <is>
          <t>Windshield Wiper Motor</t>
        </is>
      </c>
      <c r="C769" t="inlineStr">
        <is>
          <t>43-4017</t>
        </is>
      </c>
      <c r="D769" t="inlineStr">
        <is>
          <t>Windshield Wiper Motor - 43-4017</t>
        </is>
      </c>
      <c r="E769" t="inlineStr">
        <is>
          <t>CARDONE Reman</t>
        </is>
      </c>
      <c r="F769" t="inlineStr">
        <is>
          <t>7655S9AA01;76505S9AA01;76505S6MA01</t>
        </is>
      </c>
      <c r="G769" t="inlineStr">
        <is>
          <t>Acura RSX 2002-2006
Honda CR-V 2002-2006</t>
        </is>
      </c>
      <c r="H769" t="inlineStr">
        <is>
          <t>Acura RSX 2002-2006 2L L4 122cid
Honda CR-V 2002-2006 2.4L L4 144cid</t>
        </is>
      </c>
      <c r="I769" t="inlineStr">
        <is>
          <t>{"0": {"productDeskExternalKey": "CPCX|43-4017"},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"Acura RSX 2006-02; Honda CR-V 2006-02"}, "14": {"ItemLevelGTIN": "00082617620833"}, "15": {"_addonCardone": "43-4017::98264:121597:530"}, "16": {"Eligible for R&amp;R Service": "Yes"}}</t>
        </is>
      </c>
      <c r="J769" t="inlineStr">
        <is>
          <t>https://www.cardone.com/product/windshield-wiper-motor-43-4017</t>
        </is>
      </c>
      <c r="K769">
        <f>DISPIMG("ID_2F95219A03274C009BF65DC8BD7227AB",1)</f>
        <v/>
      </c>
      <c r="L769" t="inlineStr">
        <is>
          <t>CPCX|43-4017</t>
        </is>
      </c>
      <c r="M769" t="inlineStr">
        <is>
          <t>Wiper Motor; Instruction Sheet</t>
        </is>
      </c>
      <c r="N769" t="inlineStr">
        <is>
          <t>Yes</t>
        </is>
      </c>
      <c r="O769" t="inlineStr">
        <is>
          <t>Remanufactured</t>
        </is>
      </c>
      <c r="P769" t="inlineStr">
        <is>
          <t>3</t>
        </is>
      </c>
      <c r="Q769" t="inlineStr">
        <is>
          <t>Blade</t>
        </is>
      </c>
      <c r="R769" t="inlineStr">
        <is>
          <t>Direct Bolt</t>
        </is>
      </c>
      <c r="S769" t="inlineStr">
        <is>
          <t>3.0000</t>
        </is>
      </c>
      <c r="T769" t="inlineStr">
        <is>
          <t>No</t>
        </is>
      </c>
      <c r="U769" t="inlineStr">
        <is>
          <t>1 Year/18,000 Mile</t>
        </is>
      </c>
      <c r="V769" t="inlineStr">
        <is>
          <t>Yes</t>
        </is>
      </c>
      <c r="W769" t="inlineStr">
        <is>
          <t>Available to Order</t>
        </is>
      </c>
      <c r="X769" t="inlineStr">
        <is>
          <t>Acura RSX 2006-02; Honda CR-V 2006-02</t>
        </is>
      </c>
      <c r="Y769" t="inlineStr">
        <is>
          <t>00082617620833</t>
        </is>
      </c>
      <c r="Z769" t="inlineStr">
        <is>
          <t>43-4017::98264:121597:530</t>
        </is>
      </c>
      <c r="AA769" t="inlineStr">
        <is>
          <t>Yes</t>
        </is>
      </c>
      <c r="AB769" t="inlineStr"/>
      <c r="AC769" t="inlineStr"/>
    </row>
    <row r="770">
      <c r="A770" t="inlineStr">
        <is>
          <t>769</t>
        </is>
      </c>
      <c r="B770" t="inlineStr">
        <is>
          <t>Windshield Wiper Motor</t>
        </is>
      </c>
      <c r="C770" t="inlineStr">
        <is>
          <t>43-4018</t>
        </is>
      </c>
      <c r="D770" t="inlineStr">
        <is>
          <t>Windshield Wiper Motor - 43-4018</t>
        </is>
      </c>
      <c r="E770" t="inlineStr">
        <is>
          <t>CARDONE Reman</t>
        </is>
      </c>
      <c r="F770" t="inlineStr">
        <is>
          <t>76700SR3003</t>
        </is>
      </c>
      <c r="G770" t="inlineStr">
        <is>
          <t>Honda Civic 1992-1995</t>
        </is>
      </c>
      <c r="H770" t="inlineStr">
        <is>
          <t>Honda Civic 1992-1995 1.5L L4 1493cc
Honda Civic 1992-1995 1.6L L4 98cid</t>
        </is>
      </c>
      <c r="I770" t="inlineStr">
        <is>
          <t>{"0": {"productDeskExternalKey": "CPCX|43-4018"}, "1": {"Package Contents": "Wiper Motor; Instruction Sheet"}, "2": {"E-Waste": "Yes"}, "3": {"Product Condition": "Remanufactured"}, "4": {"Mounting Hole Quantity": "3"}, "5": {"Terminal Type": "Blade"}, "6": {"Mounting Type": "Direct Bolt"}, "7": {"Weight PG": "1.8800"}, "8": {"Washer Pump Included": "No"}, "9": {"Part Type": "Windshield Wiper Motor"}, "10": {"Warranty Info": "1 Year/18,000 Mile"}, "11": {"Sustainable Choice": "Yes"}, "12": {"Lifecycle Status": "Available to Order"}, "13": {"Application Summary": "Honda Civic 1995-92"}, "14": {"ItemLevelGTIN": "00082617620840"}, "15": {"_addonCardone": "43-4018::98264:121611:530"}, "16": {"Eligible for R&amp;R Service": "Yes"}}</t>
        </is>
      </c>
      <c r="J770" t="inlineStr">
        <is>
          <t>https://www.cardone.com/product/windshield-wiper-motor-43-4018</t>
        </is>
      </c>
      <c r="K770">
        <f>DISPIMG("ID_6E8EEE7CC2AB4748A9BB9160FDB036F1",1)</f>
        <v/>
      </c>
      <c r="L770" t="inlineStr">
        <is>
          <t>CPCX|43-4018</t>
        </is>
      </c>
      <c r="M770" t="inlineStr">
        <is>
          <t>Wiper Motor; Instruction Sheet</t>
        </is>
      </c>
      <c r="N770" t="inlineStr">
        <is>
          <t>Yes</t>
        </is>
      </c>
      <c r="O770" t="inlineStr">
        <is>
          <t>Remanufactured</t>
        </is>
      </c>
      <c r="P770" t="inlineStr">
        <is>
          <t>3</t>
        </is>
      </c>
      <c r="Q770" t="inlineStr">
        <is>
          <t>Blade</t>
        </is>
      </c>
      <c r="R770" t="inlineStr">
        <is>
          <t>Direct Bolt</t>
        </is>
      </c>
      <c r="S770" t="inlineStr">
        <is>
          <t>1.8800</t>
        </is>
      </c>
      <c r="T770" t="inlineStr">
        <is>
          <t>No</t>
        </is>
      </c>
      <c r="U770" t="inlineStr">
        <is>
          <t>1 Year/18,000 Mile</t>
        </is>
      </c>
      <c r="V770" t="inlineStr">
        <is>
          <t>Yes</t>
        </is>
      </c>
      <c r="W770" t="inlineStr">
        <is>
          <t>Available to Order</t>
        </is>
      </c>
      <c r="X770" t="inlineStr">
        <is>
          <t>Honda Civic 1995-92</t>
        </is>
      </c>
      <c r="Y770" t="inlineStr">
        <is>
          <t>00082617620840</t>
        </is>
      </c>
      <c r="Z770" t="inlineStr">
        <is>
          <t>43-4018::98264:121611:530</t>
        </is>
      </c>
      <c r="AA770" t="inlineStr">
        <is>
          <t>Yes</t>
        </is>
      </c>
      <c r="AB770" t="inlineStr"/>
      <c r="AC770" t="inlineStr"/>
    </row>
    <row r="771">
      <c r="A771" t="inlineStr">
        <is>
          <t>770</t>
        </is>
      </c>
      <c r="B771" t="inlineStr">
        <is>
          <t>Windshield Wiper Motor</t>
        </is>
      </c>
      <c r="C771" t="inlineStr">
        <is>
          <t>43-4019</t>
        </is>
      </c>
      <c r="D771" t="inlineStr">
        <is>
          <t>Windshield Wiper Motor - 43-4019</t>
        </is>
      </c>
      <c r="E771" t="inlineStr">
        <is>
          <t>CARDONE Reman</t>
        </is>
      </c>
      <c r="F771" t="inlineStr">
        <is>
          <t>76700SX0003;76700SX0023</t>
        </is>
      </c>
      <c r="G771" t="inlineStr"/>
      <c r="H771" t="inlineStr"/>
      <c r="I771" t="inlineStr">
        <is>
          <t>{"0": {"productDeskExternalKey": "CPCX|43-4019"}, "1": {"Package Contents": "Wiper Motor; Instruction Sheet"}, "2": {"E-Waste": "Yes"}, "3": {"Product Condition": "Remanufactured"}, "4": {"Mounting Hole Quantity": "3"}, "5": {"Terminal Type": "Blade"}, "6": {"Mounting Type": "Grommet"}, "7": {"Weight PG": "1.8000"}, "8": {"Washer Pump Included": "No"}, "9": {"Part Type": "Windshield Wiper Motor"}, "10": {"Warranty Info": "1 Year/18,000 Mile"}, "11": {"Sustainable Choice": "Yes"}, "12": {"Lifecycle Status": "Available to Order"}, "13": {"Application Summary": "Honda Odyssey 1998-95"}, "14": {"ItemLevelGTIN": "00082617620857"}, "15": {"_addonCardone": "43-4019::98264:121624:530"}, "16": {"Eligible for R&amp;R Service": "Yes"}}</t>
        </is>
      </c>
      <c r="J771" t="inlineStr">
        <is>
          <t>https://www.cardone.com/product/windshield-wiper-motor-43-4019</t>
        </is>
      </c>
      <c r="K771">
        <f>DISPIMG("ID_8835D53E232B487380203832E634F82E",1)</f>
        <v/>
      </c>
      <c r="L771" t="inlineStr">
        <is>
          <t>CPCX|43-4019</t>
        </is>
      </c>
      <c r="M771" t="inlineStr">
        <is>
          <t>Wiper Motor; Instruction Sheet</t>
        </is>
      </c>
      <c r="N771" t="inlineStr">
        <is>
          <t>Yes</t>
        </is>
      </c>
      <c r="O771" t="inlineStr">
        <is>
          <t>Remanufactured</t>
        </is>
      </c>
      <c r="P771" t="inlineStr">
        <is>
          <t>3</t>
        </is>
      </c>
      <c r="Q771" t="inlineStr">
        <is>
          <t>Blade</t>
        </is>
      </c>
      <c r="R771" t="inlineStr">
        <is>
          <t>Grommet</t>
        </is>
      </c>
      <c r="S771" t="inlineStr">
        <is>
          <t>1.8000</t>
        </is>
      </c>
      <c r="T771" t="inlineStr">
        <is>
          <t>No</t>
        </is>
      </c>
      <c r="U771" t="inlineStr">
        <is>
          <t>1 Year/18,000 Mile</t>
        </is>
      </c>
      <c r="V771" t="inlineStr">
        <is>
          <t>Yes</t>
        </is>
      </c>
      <c r="W771" t="inlineStr">
        <is>
          <t>Available to Order</t>
        </is>
      </c>
      <c r="X771" t="inlineStr">
        <is>
          <t>Honda Odyssey 1998-95</t>
        </is>
      </c>
      <c r="Y771" t="inlineStr">
        <is>
          <t>00082617620857</t>
        </is>
      </c>
      <c r="Z771" t="inlineStr">
        <is>
          <t>43-4019::98264:121624:530</t>
        </is>
      </c>
      <c r="AA771" t="inlineStr">
        <is>
          <t>Yes</t>
        </is>
      </c>
      <c r="AB771" t="inlineStr"/>
      <c r="AC771" t="inlineStr"/>
    </row>
    <row r="772">
      <c r="A772" t="inlineStr">
        <is>
          <t>771</t>
        </is>
      </c>
      <c r="B772" t="inlineStr">
        <is>
          <t>Windshield Wiper Motor</t>
        </is>
      </c>
      <c r="C772" t="inlineStr">
        <is>
          <t>43-4020</t>
        </is>
      </c>
      <c r="D772" t="inlineStr">
        <is>
          <t>Windshield Wiper Motor - 43-4020</t>
        </is>
      </c>
      <c r="E772" t="inlineStr">
        <is>
          <t>CARDONE Reman</t>
        </is>
      </c>
      <c r="F772" t="inlineStr">
        <is>
          <t>76710S9A003;76710S9A013</t>
        </is>
      </c>
      <c r="G772" t="inlineStr">
        <is>
          <t>Honda CR-V 2002-2006</t>
        </is>
      </c>
      <c r="H772" t="inlineStr">
        <is>
          <t>Honda CR-V 2002-2006 2.4L L4 144cid</t>
        </is>
      </c>
      <c r="I772" t="inlineStr">
        <is>
          <t>{"0": {"productDeskExternalKey": "CPCX|43-4020"},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"Honda CR-V 2006-02"}, "14": {"ItemLevelGTIN": "00082617620864"}, "15": {"_addonCardone": "43-4020::98264:121638:530"}, "16": {"Eligible for R&amp;R Service": "Yes"}}</t>
        </is>
      </c>
      <c r="J772" t="inlineStr">
        <is>
          <t>https://www.cardone.com/product/windshield-wiper-motor-43-4020</t>
        </is>
      </c>
      <c r="K772">
        <f>DISPIMG("ID_AD1107C1BD374F418FB80F6D0775AC82",1)</f>
        <v/>
      </c>
      <c r="L772" t="inlineStr">
        <is>
          <t>CPCX|43-4020</t>
        </is>
      </c>
      <c r="M772" t="inlineStr">
        <is>
          <t>Wiper Motor; Instruction Sheet</t>
        </is>
      </c>
      <c r="N772" t="inlineStr">
        <is>
          <t>Yes</t>
        </is>
      </c>
      <c r="O772" t="inlineStr">
        <is>
          <t>Remanufactured</t>
        </is>
      </c>
      <c r="P772" t="inlineStr">
        <is>
          <t>3</t>
        </is>
      </c>
      <c r="Q772" t="inlineStr">
        <is>
          <t>Blade</t>
        </is>
      </c>
      <c r="R772" t="inlineStr">
        <is>
          <t>Grommet</t>
        </is>
      </c>
      <c r="S772" t="inlineStr">
        <is>
          <t>2.5000</t>
        </is>
      </c>
      <c r="T772" t="inlineStr">
        <is>
          <t>No</t>
        </is>
      </c>
      <c r="U772" t="inlineStr">
        <is>
          <t>1 Year/18,000 Mile</t>
        </is>
      </c>
      <c r="V772" t="inlineStr">
        <is>
          <t>Yes</t>
        </is>
      </c>
      <c r="W772" t="inlineStr">
        <is>
          <t>Available to Order</t>
        </is>
      </c>
      <c r="X772" t="inlineStr">
        <is>
          <t>Honda CR-V 2006-02</t>
        </is>
      </c>
      <c r="Y772" t="inlineStr">
        <is>
          <t>00082617620864</t>
        </is>
      </c>
      <c r="Z772" t="inlineStr">
        <is>
          <t>43-4020::98264:121638:530</t>
        </is>
      </c>
      <c r="AA772" t="inlineStr">
        <is>
          <t>Yes</t>
        </is>
      </c>
      <c r="AB772" t="inlineStr"/>
      <c r="AC772" t="inlineStr"/>
    </row>
    <row r="773">
      <c r="A773" t="inlineStr">
        <is>
          <t>772</t>
        </is>
      </c>
      <c r="B773" t="inlineStr">
        <is>
          <t>Windshield Wiper Motor</t>
        </is>
      </c>
      <c r="C773" t="inlineStr">
        <is>
          <t>43-4021</t>
        </is>
      </c>
      <c r="D773" t="inlineStr">
        <is>
          <t>Windshield Wiper Motor - 43-4021</t>
        </is>
      </c>
      <c r="E773" t="inlineStr">
        <is>
          <t>CARDONE Reman</t>
        </is>
      </c>
      <c r="F773" t="inlineStr">
        <is>
          <t>76710S0XA01</t>
        </is>
      </c>
      <c r="G773" t="inlineStr"/>
      <c r="H773" t="inlineStr"/>
      <c r="I773" t="inlineStr">
        <is>
          <t>{"0": {"productDeskExternalKey": "CPCX|43-4021"},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"Honda Odyssey 2004-99"}, "14": {"ItemLevelGTIN": "00082617620871"}, "15": {"_addonCardone": "43-4021::98264:121650:530"}, "16": {"Eligible for R&amp;R Service": "Yes"}}</t>
        </is>
      </c>
      <c r="J773" t="inlineStr">
        <is>
          <t>https://www.cardone.com/product/windshield-wiper-motor-43-4021</t>
        </is>
      </c>
      <c r="K773">
        <f>DISPIMG("ID_6FC11729E8C14315A4288EF0EC9AFE96",1)</f>
        <v/>
      </c>
      <c r="L773" t="inlineStr">
        <is>
          <t>CPCX|43-4021</t>
        </is>
      </c>
      <c r="M773" t="inlineStr">
        <is>
          <t>Wiper Motor; Instruction Sheet</t>
        </is>
      </c>
      <c r="N773" t="inlineStr">
        <is>
          <t>Yes</t>
        </is>
      </c>
      <c r="O773" t="inlineStr">
        <is>
          <t>Remanufactured</t>
        </is>
      </c>
      <c r="P773" t="inlineStr">
        <is>
          <t>3</t>
        </is>
      </c>
      <c r="Q773" t="inlineStr">
        <is>
          <t>Blade</t>
        </is>
      </c>
      <c r="R773" t="inlineStr">
        <is>
          <t>Grommet</t>
        </is>
      </c>
      <c r="S773" t="inlineStr">
        <is>
          <t>2.5000</t>
        </is>
      </c>
      <c r="T773" t="inlineStr">
        <is>
          <t>No</t>
        </is>
      </c>
      <c r="U773" t="inlineStr">
        <is>
          <t>1 Year/18,000 Mile</t>
        </is>
      </c>
      <c r="V773" t="inlineStr">
        <is>
          <t>Yes</t>
        </is>
      </c>
      <c r="W773" t="inlineStr">
        <is>
          <t>Available to Order</t>
        </is>
      </c>
      <c r="X773" t="inlineStr">
        <is>
          <t>Honda Odyssey 2004-99</t>
        </is>
      </c>
      <c r="Y773" t="inlineStr">
        <is>
          <t>00082617620871</t>
        </is>
      </c>
      <c r="Z773" t="inlineStr">
        <is>
          <t>43-4021::98264:121650:530</t>
        </is>
      </c>
      <c r="AA773" t="inlineStr">
        <is>
          <t>Yes</t>
        </is>
      </c>
      <c r="AB773" t="inlineStr"/>
      <c r="AC773" t="inlineStr"/>
    </row>
    <row r="774">
      <c r="A774" t="inlineStr">
        <is>
          <t>773</t>
        </is>
      </c>
      <c r="B774" t="inlineStr">
        <is>
          <t>Windshield Wiper Motor</t>
        </is>
      </c>
      <c r="C774" t="inlineStr">
        <is>
          <t>43-4022</t>
        </is>
      </c>
      <c r="D774" t="inlineStr">
        <is>
          <t>Windshield Wiper Motor - 43-4022</t>
        </is>
      </c>
      <c r="E774" t="inlineStr">
        <is>
          <t>CARDONE Reman</t>
        </is>
      </c>
      <c r="F774" t="inlineStr">
        <is>
          <t>76700S3VA01;76700S03003</t>
        </is>
      </c>
      <c r="G774" t="inlineStr">
        <is>
          <t>Honda Civic 1996-2000</t>
        </is>
      </c>
      <c r="H774" t="inlineStr">
        <is>
          <t>Honda Civic 1996-1999 1.6L L4 1590cc
Honda Civic 1996-2000 1.6L L4 98cid
Honda Civic 1999 1.6L L4 1595cc</t>
        </is>
      </c>
      <c r="I774" t="inlineStr">
        <is>
          <t>{"0": {"productDeskExternalKey": "CPCX|43-4022"}, "1": {"Package Contents": "Wiper Motor; Instruction Sheet"}, "2": {"E-Waste": "Yes"}, "3": {"Product Condition": "Remanufactured"}, "4": {"Mounting Hole Quantity": "3"}, "5": {"Terminal Type": "Blade"}, "6": {"Mounting Type": "Grommet"}, "7": {"Weight PG": "2.1000"}, "8": {"Washer Pump Included": "No"}, "9": {"Part Type": "Windshield Wiper Motor"}, "10": {"Warranty Info": "1 Year/18,000 Mile"}, "11": {"Sustainable Choice": "Yes"}, "12": {"Lifecycle Status": "Available to Order"}, "13": {"Application Summary": "Honda Civic 2000-96"}, "14": {"ItemLevelGTIN": "00082617620888"}, "15": {"_addonCardone": "43-4022::98264:121662:530"}, "16": {"Eligible for R&amp;R Service": "Yes"}}</t>
        </is>
      </c>
      <c r="J774" t="inlineStr">
        <is>
          <t>https://www.cardone.com/product/windshield-wiper-motor-43-4022</t>
        </is>
      </c>
      <c r="K774">
        <f>DISPIMG("ID_7BAB5C8A7DDC4B35A5C3313FEBAC81E9",1)</f>
        <v/>
      </c>
      <c r="L774" t="inlineStr">
        <is>
          <t>CPCX|43-4022</t>
        </is>
      </c>
      <c r="M774" t="inlineStr">
        <is>
          <t>Wiper Motor; Instruction Sheet</t>
        </is>
      </c>
      <c r="N774" t="inlineStr">
        <is>
          <t>Yes</t>
        </is>
      </c>
      <c r="O774" t="inlineStr">
        <is>
          <t>Remanufactured</t>
        </is>
      </c>
      <c r="P774" t="inlineStr">
        <is>
          <t>3</t>
        </is>
      </c>
      <c r="Q774" t="inlineStr">
        <is>
          <t>Blade</t>
        </is>
      </c>
      <c r="R774" t="inlineStr">
        <is>
          <t>Grommet</t>
        </is>
      </c>
      <c r="S774" t="inlineStr">
        <is>
          <t>2.1000</t>
        </is>
      </c>
      <c r="T774" t="inlineStr">
        <is>
          <t>No</t>
        </is>
      </c>
      <c r="U774" t="inlineStr">
        <is>
          <t>1 Year/18,000 Mile</t>
        </is>
      </c>
      <c r="V774" t="inlineStr">
        <is>
          <t>Yes</t>
        </is>
      </c>
      <c r="W774" t="inlineStr">
        <is>
          <t>Available to Order</t>
        </is>
      </c>
      <c r="X774" t="inlineStr">
        <is>
          <t>Honda Civic 2000-96</t>
        </is>
      </c>
      <c r="Y774" t="inlineStr">
        <is>
          <t>00082617620888</t>
        </is>
      </c>
      <c r="Z774" t="inlineStr">
        <is>
          <t>43-4022::98264:121662:530</t>
        </is>
      </c>
      <c r="AA774" t="inlineStr">
        <is>
          <t>Yes</t>
        </is>
      </c>
      <c r="AB774" t="inlineStr"/>
      <c r="AC774" t="inlineStr"/>
    </row>
    <row r="775">
      <c r="A775" t="inlineStr">
        <is>
          <t>774</t>
        </is>
      </c>
      <c r="B775" t="inlineStr">
        <is>
          <t>Windshield Wiper Motor</t>
        </is>
      </c>
      <c r="C775" t="inlineStr">
        <is>
          <t>43-4025</t>
        </is>
      </c>
      <c r="D775" t="inlineStr">
        <is>
          <t>Windshield Wiper Motor - 43-4025</t>
        </is>
      </c>
      <c r="E775" t="inlineStr">
        <is>
          <t>CARDONE Reman</t>
        </is>
      </c>
      <c r="F775" t="inlineStr">
        <is>
          <t>76505S3VA01;76505S0XA02</t>
        </is>
      </c>
      <c r="G775" t="inlineStr">
        <is>
          <t>Acura MDX 2001-2004</t>
        </is>
      </c>
      <c r="H775" t="inlineStr">
        <is>
          <t>Acura MDX 2001-2004 3.5L V6 3471cc</t>
        </is>
      </c>
      <c r="I775" t="inlineStr">
        <is>
          <t>{"0": {"productDeskExternalKey": "CPCX|43-4025"},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"Acura MDX 2004-01; Honda Odyssey 2004-02, Pilot 2004-03"}, "14": {"ItemLevelGTIN": "00082617621274"}, "15": {"_addonCardone": "43-4025::98264:121676:530"}, "16": {"Eligible for R&amp;R Service": "Yes"}}</t>
        </is>
      </c>
      <c r="J775" t="inlineStr">
        <is>
          <t>https://www.cardone.com/product/windshield-wiper-motor-43-4025</t>
        </is>
      </c>
      <c r="K775">
        <f>DISPIMG("ID_857080CCD00A488CB5842C50912DA31B",1)</f>
        <v/>
      </c>
      <c r="L775" t="inlineStr">
        <is>
          <t>CPCX|43-4025</t>
        </is>
      </c>
      <c r="M775" t="inlineStr">
        <is>
          <t>Wiper Motor; Instruction Sheet</t>
        </is>
      </c>
      <c r="N775" t="inlineStr">
        <is>
          <t>Yes</t>
        </is>
      </c>
      <c r="O775" t="inlineStr">
        <is>
          <t>Remanufactured</t>
        </is>
      </c>
      <c r="P775" t="inlineStr">
        <is>
          <t>3</t>
        </is>
      </c>
      <c r="Q775" t="inlineStr">
        <is>
          <t>Blade</t>
        </is>
      </c>
      <c r="R775" t="inlineStr">
        <is>
          <t>Direct Bolt</t>
        </is>
      </c>
      <c r="S775" t="inlineStr">
        <is>
          <t>3.5000</t>
        </is>
      </c>
      <c r="T775" t="inlineStr">
        <is>
          <t>No</t>
        </is>
      </c>
      <c r="U775" t="inlineStr">
        <is>
          <t>1 Year/18,000 Mile</t>
        </is>
      </c>
      <c r="V775" t="inlineStr">
        <is>
          <t>Yes</t>
        </is>
      </c>
      <c r="W775" t="inlineStr">
        <is>
          <t>Available to Order</t>
        </is>
      </c>
      <c r="X775" t="inlineStr">
        <is>
          <t>Acura MDX 2004-01; Honda Odyssey 2004-02, Pilot 2004-03</t>
        </is>
      </c>
      <c r="Y775" t="inlineStr">
        <is>
          <t>00082617621274</t>
        </is>
      </c>
      <c r="Z775" t="inlineStr">
        <is>
          <t>43-4025::98264:121676:530</t>
        </is>
      </c>
      <c r="AA775" t="inlineStr">
        <is>
          <t>Yes</t>
        </is>
      </c>
      <c r="AB775" t="inlineStr"/>
      <c r="AC775" t="inlineStr"/>
    </row>
    <row r="776">
      <c r="A776" t="inlineStr">
        <is>
          <t>775</t>
        </is>
      </c>
      <c r="B776" t="inlineStr">
        <is>
          <t>Windshield Wiper Motor</t>
        </is>
      </c>
      <c r="C776" t="inlineStr">
        <is>
          <t>43-4026</t>
        </is>
      </c>
      <c r="D776" t="inlineStr">
        <is>
          <t>Windshield Wiper Motor - 43-4026</t>
        </is>
      </c>
      <c r="E776" t="inlineStr">
        <is>
          <t>CARDONE Reman</t>
        </is>
      </c>
      <c r="F776" t="inlineStr">
        <is>
          <t>76505S5D999;76505S5DA01;76505S5AA02;76505S5AA01</t>
        </is>
      </c>
      <c r="G776" t="inlineStr">
        <is>
          <t>Honda Civic 2001-2005</t>
        </is>
      </c>
      <c r="H776" t="inlineStr">
        <is>
          <t>Honda Civic 2001-2005 1.7L L4 1668cc
Honda Civic 2002-2004 1.7L L4 1700cc
Honda Civic 2003-2005 1.3L L4 1339cc</t>
        </is>
      </c>
      <c r="I776" t="inlineStr">
        <is>
          <t>{"0": {"productDeskExternalKey": "CPCX|43-4026"}, "1": {"Package Contents": "Wiper Motor; Instruction Sheet"}, "2": {"E-Waste": "Yes"}, "3": {"Product Condition": "Remanufactured"}, "4": {"Mounting Hole Quantity": "3"}, "5": {"Terminal Type": "Blade"}, "6": {"Mounting Type": "Direct Bolt"}, "7": {"Weight PG": "2.8000"}, "8": {"Washer Pump Included": "No"}, "9": {"Part Type": "Windshield Wiper Motor"}, "10": {"Warranty Info": "1 Year/18,000 Mile"}, "11": {"Sustainable Choice": "Yes"}, "12": {"Lifecycle Status": "Available to Order"}, "13": {"Application Summary": "Honda Civic 2005-01"}, "14": {"ItemLevelGTIN": "00082617621601"}, "15": {"_addonCardone": "43-4026::98359:97337:292"}, "16": {"Eligible for R&amp;R Service": "Yes"}}</t>
        </is>
      </c>
      <c r="J776" t="inlineStr">
        <is>
          <t>https://www.cardone.com/product/windshield-wiper-motor-43-4026</t>
        </is>
      </c>
      <c r="K776">
        <f>DISPIMG("ID_D70059094D7742708BAF164E7ED5DD8E",1)</f>
        <v/>
      </c>
      <c r="L776" t="inlineStr">
        <is>
          <t>CPCX|43-4026</t>
        </is>
      </c>
      <c r="M776" t="inlineStr">
        <is>
          <t>Wiper Motor; Instruction Sheet</t>
        </is>
      </c>
      <c r="N776" t="inlineStr">
        <is>
          <t>Yes</t>
        </is>
      </c>
      <c r="O776" t="inlineStr">
        <is>
          <t>Remanufactured</t>
        </is>
      </c>
      <c r="P776" t="inlineStr">
        <is>
          <t>3</t>
        </is>
      </c>
      <c r="Q776" t="inlineStr">
        <is>
          <t>Blade</t>
        </is>
      </c>
      <c r="R776" t="inlineStr">
        <is>
          <t>Direct Bolt</t>
        </is>
      </c>
      <c r="S776" t="inlineStr">
        <is>
          <t>2.8000</t>
        </is>
      </c>
      <c r="T776" t="inlineStr">
        <is>
          <t>No</t>
        </is>
      </c>
      <c r="U776" t="inlineStr">
        <is>
          <t>1 Year/18,000 Mile</t>
        </is>
      </c>
      <c r="V776" t="inlineStr">
        <is>
          <t>Yes</t>
        </is>
      </c>
      <c r="W776" t="inlineStr">
        <is>
          <t>Available to Order</t>
        </is>
      </c>
      <c r="X776" t="inlineStr">
        <is>
          <t>Honda Civic 2005-01</t>
        </is>
      </c>
      <c r="Y776" t="inlineStr">
        <is>
          <t>00082617621601</t>
        </is>
      </c>
      <c r="Z776" t="inlineStr">
        <is>
          <t>43-4026::98359:97337:292</t>
        </is>
      </c>
      <c r="AA776" t="inlineStr">
        <is>
          <t>Yes</t>
        </is>
      </c>
      <c r="AB776" t="inlineStr"/>
      <c r="AC776" t="inlineStr"/>
    </row>
    <row r="777">
      <c r="A777" t="inlineStr">
        <is>
          <t>776</t>
        </is>
      </c>
      <c r="B777" t="inlineStr">
        <is>
          <t>Windshield Wiper Motor</t>
        </is>
      </c>
      <c r="C777" t="inlineStr">
        <is>
          <t>43-4027</t>
        </is>
      </c>
      <c r="D777" t="inlineStr">
        <is>
          <t>Windshield Wiper Motor - 43-4027</t>
        </is>
      </c>
      <c r="E777" t="inlineStr">
        <is>
          <t>CARDONE Reman</t>
        </is>
      </c>
      <c r="F777" t="inlineStr">
        <is>
          <t>76505SDNA01</t>
        </is>
      </c>
      <c r="G777" t="inlineStr">
        <is>
          <t>Honda Accord 2003-2007</t>
        </is>
      </c>
      <c r="H777" t="inlineStr">
        <is>
          <t>Honda Accord 2003-2007 2.4L L4 144cid
Honda Accord 2003-2007 3L V6 2997cc</t>
        </is>
      </c>
      <c r="I777" t="inlineStr">
        <is>
          <t>{"0": {"productDeskExternalKey": "CPCX|43-4027"},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"Honda Accord 2007-03"}, "14": {"ItemLevelGTIN": "00082617751353"}, "15": {"_addonCardone": "43-4027::98359:97355:292"}, "16": {"Eligible for R&amp;R Service": "Yes"}}</t>
        </is>
      </c>
      <c r="J777" t="inlineStr">
        <is>
          <t>https://www.cardone.com/product/windshield-wiper-motor-43-4027</t>
        </is>
      </c>
      <c r="K777">
        <f>DISPIMG("ID_735F4C9F2DC94A5282B473AAD0BEDAE8",1)</f>
        <v/>
      </c>
      <c r="L777" t="inlineStr">
        <is>
          <t>CPCX|43-4027</t>
        </is>
      </c>
      <c r="M777" t="inlineStr">
        <is>
          <t>Wiper Motor; Instruction Sheet</t>
        </is>
      </c>
      <c r="N777" t="inlineStr">
        <is>
          <t>Yes</t>
        </is>
      </c>
      <c r="O777" t="inlineStr">
        <is>
          <t>Remanufactured</t>
        </is>
      </c>
      <c r="P777" t="inlineStr">
        <is>
          <t>3</t>
        </is>
      </c>
      <c r="Q777" t="inlineStr">
        <is>
          <t>Blade</t>
        </is>
      </c>
      <c r="R777" t="inlineStr">
        <is>
          <t>Direct Bolt</t>
        </is>
      </c>
      <c r="S777" t="inlineStr">
        <is>
          <t>3.5000</t>
        </is>
      </c>
      <c r="T777" t="inlineStr">
        <is>
          <t>No</t>
        </is>
      </c>
      <c r="U777" t="inlineStr">
        <is>
          <t>1 Year/18,000 Mile</t>
        </is>
      </c>
      <c r="V777" t="inlineStr">
        <is>
          <t>Yes</t>
        </is>
      </c>
      <c r="W777" t="inlineStr">
        <is>
          <t>Available to Order</t>
        </is>
      </c>
      <c r="X777" t="inlineStr">
        <is>
          <t>Honda Accord 2007-03</t>
        </is>
      </c>
      <c r="Y777" t="inlineStr">
        <is>
          <t>00082617751353</t>
        </is>
      </c>
      <c r="Z777" t="inlineStr">
        <is>
          <t>43-4027::98359:97355:292</t>
        </is>
      </c>
      <c r="AA777" t="inlineStr">
        <is>
          <t>Yes</t>
        </is>
      </c>
      <c r="AB777" t="inlineStr"/>
      <c r="AC777" t="inlineStr"/>
    </row>
    <row r="778">
      <c r="A778" t="inlineStr">
        <is>
          <t>777</t>
        </is>
      </c>
      <c r="B778" t="inlineStr">
        <is>
          <t>Windshield Wiper Motor</t>
        </is>
      </c>
      <c r="C778" t="inlineStr">
        <is>
          <t>43-4028</t>
        </is>
      </c>
      <c r="D778" t="inlineStr">
        <is>
          <t>Windshield Wiper Motor - 43-4028</t>
        </is>
      </c>
      <c r="E778" t="inlineStr">
        <is>
          <t>CARDONE Reman</t>
        </is>
      </c>
      <c r="F778" t="inlineStr">
        <is>
          <t>76505SDAA01;76505S9VA02;76505S9VA01;76505SDAA11</t>
        </is>
      </c>
      <c r="G778" t="inlineStr">
        <is>
          <t>Acura MDX 2005-2006
Acura TL 2004-2008
Acura TSX 2004-2008
Honda Accord 2003-2007</t>
        </is>
      </c>
      <c r="H778" t="inlineStr">
        <is>
          <t>Acura MDX 2005-2006 3.5L V6 3471cc
Acura TL 2004-2008 3.2L V6 3210cc
Acura TL 2007-2008 3.5L V6 3471cc
Acura TSX 2004-2008 2.4L L4 144cid
Honda Accord 2003-2007 2.4L L4 144cid
Honda Accord 2003-2007 3L V6 2997cc</t>
        </is>
      </c>
      <c r="I778" t="inlineStr">
        <is>
          <t>{"0": {"productDeskExternalKey": "CPCX|43-4028"},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"Acura MDX 2006-05, TL 2008-04, TSX 2008-04; Honda Accord 2007-03, Pilot 2008-05"}, "14": {"ItemLevelGTIN": "00082617751377"}, "15": {"_addonCardone": "43-4028::98359:97369:292"}, "16": {"Eligible for R&amp;R Service": "Yes"}}</t>
        </is>
      </c>
      <c r="J778" t="inlineStr">
        <is>
          <t>https://www.cardone.com/product/windshield-wiper-motor-43-4028</t>
        </is>
      </c>
      <c r="K778">
        <f>DISPIMG("ID_AD45868D917548AFB8E363DB97ADA4B6",1)</f>
        <v/>
      </c>
      <c r="L778" t="inlineStr">
        <is>
          <t>CPCX|43-4028</t>
        </is>
      </c>
      <c r="M778" t="inlineStr">
        <is>
          <t>Wiper Motor; Instruction Sheet</t>
        </is>
      </c>
      <c r="N778" t="inlineStr">
        <is>
          <t>Yes</t>
        </is>
      </c>
      <c r="O778" t="inlineStr">
        <is>
          <t>Remanufactured</t>
        </is>
      </c>
      <c r="P778" t="inlineStr">
        <is>
          <t>3</t>
        </is>
      </c>
      <c r="Q778" t="inlineStr">
        <is>
          <t>Blade</t>
        </is>
      </c>
      <c r="R778" t="inlineStr">
        <is>
          <t>Direct Bolt</t>
        </is>
      </c>
      <c r="S778" t="inlineStr">
        <is>
          <t>3.0000</t>
        </is>
      </c>
      <c r="T778" t="inlineStr">
        <is>
          <t>No</t>
        </is>
      </c>
      <c r="U778" t="inlineStr">
        <is>
          <t>1 Year/18,000 Mile</t>
        </is>
      </c>
      <c r="V778" t="inlineStr">
        <is>
          <t>Yes</t>
        </is>
      </c>
      <c r="W778" t="inlineStr">
        <is>
          <t>Available to Order</t>
        </is>
      </c>
      <c r="X778" t="inlineStr">
        <is>
          <t>Acura MDX 2006-05, TL 2008-04, TSX 2008-04; Honda Accord 2007-03, Pilot 2008-05</t>
        </is>
      </c>
      <c r="Y778" t="inlineStr">
        <is>
          <t>00082617751377</t>
        </is>
      </c>
      <c r="Z778" t="inlineStr">
        <is>
          <t>43-4028::98359:97369:292</t>
        </is>
      </c>
      <c r="AA778" t="inlineStr">
        <is>
          <t>Yes</t>
        </is>
      </c>
      <c r="AB778" t="inlineStr"/>
      <c r="AC778" t="inlineStr"/>
    </row>
    <row r="779">
      <c r="A779" t="inlineStr">
        <is>
          <t>778</t>
        </is>
      </c>
      <c r="B779" t="inlineStr">
        <is>
          <t>Windshield Wiper Motor</t>
        </is>
      </c>
      <c r="C779" t="inlineStr">
        <is>
          <t>43-4029</t>
        </is>
      </c>
      <c r="D779" t="inlineStr">
        <is>
          <t>Windshield Wiper Motor - 43-4029</t>
        </is>
      </c>
      <c r="E779" t="inlineStr">
        <is>
          <t>CARDONE Reman</t>
        </is>
      </c>
      <c r="F779" t="inlineStr">
        <is>
          <t>76505SCAA01</t>
        </is>
      </c>
      <c r="G779" t="inlineStr">
        <is>
          <t>Honda CR-V 2003-2006</t>
        </is>
      </c>
      <c r="H779" t="inlineStr">
        <is>
          <t>Honda CR-V 2003-2006 2.4L L4 144cid</t>
        </is>
      </c>
      <c r="I779" t="inlineStr">
        <is>
          <t>{"0": {"productDeskExternalKey": "CPCX|43-4029"},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"Honda CR-V 2006-03"}, "14": {"ItemLevelGTIN": "00082617755511"}, "15": {"_addonCardone": "43-4029::98359:97382:292"}, "16": {"Eligible for R&amp;R Service": "Yes"}}</t>
        </is>
      </c>
      <c r="J779" t="inlineStr">
        <is>
          <t>https://www.cardone.com/product/windshield-wiper-motor-43-4029</t>
        </is>
      </c>
      <c r="K779">
        <f>DISPIMG("ID_7506C53120A146FF9E280BBB23EA4889",1)</f>
        <v/>
      </c>
      <c r="L779" t="inlineStr">
        <is>
          <t>CPCX|43-4029</t>
        </is>
      </c>
      <c r="M779" t="inlineStr">
        <is>
          <t>Wiper Motor; Instruction Sheet</t>
        </is>
      </c>
      <c r="N779" t="inlineStr">
        <is>
          <t>Yes</t>
        </is>
      </c>
      <c r="O779" t="inlineStr">
        <is>
          <t>Remanufactured</t>
        </is>
      </c>
      <c r="P779" t="inlineStr">
        <is>
          <t>3</t>
        </is>
      </c>
      <c r="Q779" t="inlineStr">
        <is>
          <t>Blade</t>
        </is>
      </c>
      <c r="R779" t="inlineStr">
        <is>
          <t>Direct Bolt</t>
        </is>
      </c>
      <c r="S779" t="inlineStr">
        <is>
          <t>2.7000</t>
        </is>
      </c>
      <c r="T779" t="inlineStr">
        <is>
          <t>No</t>
        </is>
      </c>
      <c r="U779" t="inlineStr">
        <is>
          <t>1 Year/18,000 Mile</t>
        </is>
      </c>
      <c r="V779" t="inlineStr">
        <is>
          <t>Yes</t>
        </is>
      </c>
      <c r="W779" t="inlineStr">
        <is>
          <t>Available to Order</t>
        </is>
      </c>
      <c r="X779" t="inlineStr">
        <is>
          <t>Honda CR-V 2006-03</t>
        </is>
      </c>
      <c r="Y779" t="inlineStr">
        <is>
          <t>00082617755511</t>
        </is>
      </c>
      <c r="Z779" t="inlineStr">
        <is>
          <t>43-4029::98359:97382:292</t>
        </is>
      </c>
      <c r="AA779" t="inlineStr">
        <is>
          <t>Yes</t>
        </is>
      </c>
      <c r="AB779" t="inlineStr"/>
      <c r="AC779" t="inlineStr"/>
    </row>
    <row r="780">
      <c r="A780" t="inlineStr">
        <is>
          <t>779</t>
        </is>
      </c>
      <c r="B780" t="inlineStr">
        <is>
          <t>Windshield Wiper Motor</t>
        </is>
      </c>
      <c r="C780" t="inlineStr">
        <is>
          <t>43-4030</t>
        </is>
      </c>
      <c r="D780" t="inlineStr">
        <is>
          <t>Windshield Wiper Motor - 43-4030</t>
        </is>
      </c>
      <c r="E780" t="inlineStr">
        <is>
          <t>CARDONE Reman</t>
        </is>
      </c>
      <c r="F780" t="inlineStr">
        <is>
          <t>76505S3YA01</t>
        </is>
      </c>
      <c r="G780" t="inlineStr"/>
      <c r="H780" t="inlineStr"/>
      <c r="I780" t="inlineStr">
        <is>
          <t>{"0": {"productDeskExternalKey": "CPCX|43-4030"}, "1": {"Package Contents": "Wiper Motor; Instruction Sheet"}, "2": {"E-Waste": "Yes"}, "3": {"Product Condition": "Remanufactured"}, "4": {"Mounting Hole Quantity": "4"}, "5": {"Terminal Type": "Blade"}, "6": {"Mounting Type": "Grommet"}, "7": {"Weight PG": "2.8000"}, "8": {"Washer Pump Included": "No"}, "9": {"Part Type": "Windshield Wiper Motor"}, "10": {"Warranty Info": "1 Year/18,000 Mile"}, "11": {"Sustainable Choice": "Yes"}, "12": {"Lifecycle Status": "Available to Order"}, "13": {"Application Summary": "Honda Insight 2006-00"}, "14": {"ItemLevelGTIN": "00082617757751"}, "15": {"_addonCardone": "43-4030::98359:97394:292"}, "16": {"Eligible for R&amp;R Service": "Yes"}}</t>
        </is>
      </c>
      <c r="J780" t="inlineStr">
        <is>
          <t>https://www.cardone.com/product/windshield-wiper-motor-43-4030</t>
        </is>
      </c>
      <c r="K780">
        <f>DISPIMG("ID_3721675D53D24A90A8E97FD379D47F41",1)</f>
        <v/>
      </c>
      <c r="L780" t="inlineStr">
        <is>
          <t>CPCX|43-4030</t>
        </is>
      </c>
      <c r="M780" t="inlineStr">
        <is>
          <t>Wiper Motor; Instruction Sheet</t>
        </is>
      </c>
      <c r="N780" t="inlineStr">
        <is>
          <t>Yes</t>
        </is>
      </c>
      <c r="O780" t="inlineStr">
        <is>
          <t>Remanufactured</t>
        </is>
      </c>
      <c r="P780" t="inlineStr">
        <is>
          <t>4</t>
        </is>
      </c>
      <c r="Q780" t="inlineStr">
        <is>
          <t>Blade</t>
        </is>
      </c>
      <c r="R780" t="inlineStr">
        <is>
          <t>Grommet</t>
        </is>
      </c>
      <c r="S780" t="inlineStr">
        <is>
          <t>2.8000</t>
        </is>
      </c>
      <c r="T780" t="inlineStr">
        <is>
          <t>No</t>
        </is>
      </c>
      <c r="U780" t="inlineStr">
        <is>
          <t>1 Year/18,000 Mile</t>
        </is>
      </c>
      <c r="V780" t="inlineStr">
        <is>
          <t>Yes</t>
        </is>
      </c>
      <c r="W780" t="inlineStr">
        <is>
          <t>Available to Order</t>
        </is>
      </c>
      <c r="X780" t="inlineStr">
        <is>
          <t>Honda Insight 2006-00</t>
        </is>
      </c>
      <c r="Y780" t="inlineStr">
        <is>
          <t>00082617757751</t>
        </is>
      </c>
      <c r="Z780" t="inlineStr">
        <is>
          <t>43-4030::98359:97394:292</t>
        </is>
      </c>
      <c r="AA780" t="inlineStr">
        <is>
          <t>Yes</t>
        </is>
      </c>
      <c r="AB780" t="inlineStr"/>
      <c r="AC780" t="inlineStr"/>
    </row>
    <row r="781">
      <c r="A781" t="inlineStr">
        <is>
          <t>780</t>
        </is>
      </c>
      <c r="B781" t="inlineStr">
        <is>
          <t>Windshield Wiper Motor</t>
        </is>
      </c>
      <c r="C781" t="inlineStr">
        <is>
          <t>43-4031</t>
        </is>
      </c>
      <c r="D781" t="inlineStr">
        <is>
          <t>Windshield Wiper Motor - 43-4031</t>
        </is>
      </c>
      <c r="E781" t="inlineStr">
        <is>
          <t>CARDONE Reman</t>
        </is>
      </c>
      <c r="F781" t="inlineStr">
        <is>
          <t>76505S6DG01</t>
        </is>
      </c>
      <c r="G781" t="inlineStr">
        <is>
          <t>Honda Civic 2002-2005</t>
        </is>
      </c>
      <c r="H781" t="inlineStr">
        <is>
          <t>Honda Civic 2002-2005 2L L4 122cid</t>
        </is>
      </c>
      <c r="I781" t="inlineStr">
        <is>
          <t>{"0": {"productDeskExternalKey": "CPCX|43-4031"},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"Honda Civic 2005-02"}, "14": {"ItemLevelGTIN": "00082617757737"}, "15": {"_addonCardone": "43-4031::98359:97408:292"}, "16": {"Eligible for R&amp;R Service": "Yes"}}</t>
        </is>
      </c>
      <c r="J781" t="inlineStr">
        <is>
          <t>https://www.cardone.com/product/windshield-wiper-motor-43-4031</t>
        </is>
      </c>
      <c r="K781">
        <f>DISPIMG("ID_3C346AD98856490784B150F27B8F780E",1)</f>
        <v/>
      </c>
      <c r="L781" t="inlineStr">
        <is>
          <t>CPCX|43-4031</t>
        </is>
      </c>
      <c r="M781" t="inlineStr">
        <is>
          <t>Wiper Motor; Instruction Sheet</t>
        </is>
      </c>
      <c r="N781" t="inlineStr">
        <is>
          <t>Yes</t>
        </is>
      </c>
      <c r="O781" t="inlineStr">
        <is>
          <t>Remanufactured</t>
        </is>
      </c>
      <c r="P781" t="inlineStr">
        <is>
          <t>3</t>
        </is>
      </c>
      <c r="Q781" t="inlineStr">
        <is>
          <t>Blade</t>
        </is>
      </c>
      <c r="R781" t="inlineStr">
        <is>
          <t>Direct Bolt</t>
        </is>
      </c>
      <c r="S781" t="inlineStr">
        <is>
          <t>3.0000</t>
        </is>
      </c>
      <c r="T781" t="inlineStr">
        <is>
          <t>No</t>
        </is>
      </c>
      <c r="U781" t="inlineStr">
        <is>
          <t>1 Year/18,000 Mile</t>
        </is>
      </c>
      <c r="V781" t="inlineStr">
        <is>
          <t>Yes</t>
        </is>
      </c>
      <c r="W781" t="inlineStr">
        <is>
          <t>Available to Order</t>
        </is>
      </c>
      <c r="X781" t="inlineStr">
        <is>
          <t>Honda Civic 2005-02</t>
        </is>
      </c>
      <c r="Y781" t="inlineStr">
        <is>
          <t>00082617757737</t>
        </is>
      </c>
      <c r="Z781" t="inlineStr">
        <is>
          <t>43-4031::98359:97408:292</t>
        </is>
      </c>
      <c r="AA781" t="inlineStr">
        <is>
          <t>Yes</t>
        </is>
      </c>
      <c r="AB781" t="inlineStr"/>
      <c r="AC781" t="inlineStr"/>
    </row>
    <row r="782">
      <c r="A782" t="inlineStr">
        <is>
          <t>781</t>
        </is>
      </c>
      <c r="B782" t="inlineStr">
        <is>
          <t>Windshield Wiper Motor</t>
        </is>
      </c>
      <c r="C782" t="inlineStr">
        <is>
          <t>43-4032</t>
        </is>
      </c>
      <c r="D782" t="inlineStr">
        <is>
          <t>Windshield Wiper Motor - 43-4032</t>
        </is>
      </c>
      <c r="E782" t="inlineStr">
        <is>
          <t>CARDONE Reman</t>
        </is>
      </c>
      <c r="F782" t="inlineStr">
        <is>
          <t>76505SJDG01</t>
        </is>
      </c>
      <c r="G782" t="inlineStr">
        <is>
          <t>Acura RL 2005-2010</t>
        </is>
      </c>
      <c r="H782" t="inlineStr">
        <is>
          <t>Acura RL 2005-2008 3.5L V6 3471cc
Acura RL 2009-2010 3.7L V6 3664cc</t>
        </is>
      </c>
      <c r="I782" t="inlineStr">
        <is>
          <t>{"0": {"productDeskExternalKey": "CPCX|43-4032"},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"Acura RL 2010-05"}, "14": {"ItemLevelGTIN": "00082617757775"}, "15": {"_addonCardone": "43-4032::98359:97659:292"}, "16": {"Eligible for R&amp;R Service": "Yes"}}</t>
        </is>
      </c>
      <c r="J782" t="inlineStr">
        <is>
          <t>https://www.cardone.com/product/windshield-wiper-motor-43-4032</t>
        </is>
      </c>
      <c r="K782">
        <f>DISPIMG("ID_691CF5D2867B4605AF8DD7DDEA82E350",1)</f>
        <v/>
      </c>
      <c r="L782" t="inlineStr">
        <is>
          <t>CPCX|43-4032</t>
        </is>
      </c>
      <c r="M782" t="inlineStr">
        <is>
          <t>Wiper Motor; Instruction Sheet</t>
        </is>
      </c>
      <c r="N782" t="inlineStr">
        <is>
          <t>Yes</t>
        </is>
      </c>
      <c r="O782" t="inlineStr">
        <is>
          <t>Remanufactured</t>
        </is>
      </c>
      <c r="P782" t="inlineStr">
        <is>
          <t>3</t>
        </is>
      </c>
      <c r="Q782" t="inlineStr">
        <is>
          <t>Blade</t>
        </is>
      </c>
      <c r="R782" t="inlineStr">
        <is>
          <t>Direct Bolt</t>
        </is>
      </c>
      <c r="S782" t="inlineStr">
        <is>
          <t>3.5000</t>
        </is>
      </c>
      <c r="T782" t="inlineStr">
        <is>
          <t>No</t>
        </is>
      </c>
      <c r="U782" t="inlineStr">
        <is>
          <t>1 Year/18,000 Mile</t>
        </is>
      </c>
      <c r="V782" t="inlineStr">
        <is>
          <t>Yes</t>
        </is>
      </c>
      <c r="W782" t="inlineStr">
        <is>
          <t>Available to Order</t>
        </is>
      </c>
      <c r="X782" t="inlineStr">
        <is>
          <t>Acura RL 2010-05</t>
        </is>
      </c>
      <c r="Y782" t="inlineStr">
        <is>
          <t>00082617757775</t>
        </is>
      </c>
      <c r="Z782" t="inlineStr">
        <is>
          <t>43-4032::98359:97659:292</t>
        </is>
      </c>
      <c r="AA782" t="inlineStr">
        <is>
          <t>Yes</t>
        </is>
      </c>
      <c r="AB782" t="inlineStr"/>
      <c r="AC782" t="inlineStr"/>
    </row>
    <row r="783">
      <c r="A783" t="inlineStr">
        <is>
          <t>782</t>
        </is>
      </c>
      <c r="B783" t="inlineStr">
        <is>
          <t>Windshield Wiper Motor</t>
        </is>
      </c>
      <c r="C783" t="inlineStr">
        <is>
          <t>43-4033</t>
        </is>
      </c>
      <c r="D783" t="inlineStr">
        <is>
          <t>Windshield Wiper Motor - 43-4033</t>
        </is>
      </c>
      <c r="E783" t="inlineStr">
        <is>
          <t>CARDONE Reman</t>
        </is>
      </c>
      <c r="F783" t="inlineStr">
        <is>
          <t>76505SCVA01</t>
        </is>
      </c>
      <c r="G783" t="inlineStr">
        <is>
          <t>Honda Element 2003-2011</t>
        </is>
      </c>
      <c r="H783" t="inlineStr">
        <is>
          <t>Honda Element 2003-2011 2.4L L4 144cid</t>
        </is>
      </c>
      <c r="I783" t="inlineStr">
        <is>
          <t>{"0": {"productDeskExternalKey": "CPCX|43-4033"}, "1": {"Package Contents": "Wiper Motor; Instruction Sheet"}, "2": {"E-Waste": "Yes"}, "3": {"Product Condition": "Remanufactured"}, "4": {"Mounting Hole Quantity": "3"}, "5": {"Terminal Type": "Blade"}, "6": {"Mounting Type": "Direct Bolt; Grommet"}, "7": {"Weight PG": "2.8500"}, "8": {"Washer Pump Included": "No"}, "9": {"Part Type": "Windshield Wiper Motor"}, "10": {"Warranty Info": "1 Year/18,000 Mile"}, "11": {"Sustainable Choice": "Yes"}, "12": {"Lifecycle Status": "Available to Order"}, "13": {"Application Summary": "Honda Element 2011-03"}, "14": {"ItemLevelGTIN": "00082617757829"}, "15": {"_addonCardone": "43-4033::98359:97671:292"}, "16": {"Eligible for R&amp;R Service": "Yes"}}</t>
        </is>
      </c>
      <c r="J783" t="inlineStr">
        <is>
          <t>https://www.cardone.com/product/windshield-wiper-motor-43-4033</t>
        </is>
      </c>
      <c r="K783">
        <f>DISPIMG("ID_7CEA1754CEB54A16A3EEB5E80F4460C2",1)</f>
        <v/>
      </c>
      <c r="L783" t="inlineStr">
        <is>
          <t>CPCX|43-4033</t>
        </is>
      </c>
      <c r="M783" t="inlineStr">
        <is>
          <t>Wiper Motor; Instruction Sheet</t>
        </is>
      </c>
      <c r="N783" t="inlineStr">
        <is>
          <t>Yes</t>
        </is>
      </c>
      <c r="O783" t="inlineStr">
        <is>
          <t>Remanufactured</t>
        </is>
      </c>
      <c r="P783" t="inlineStr">
        <is>
          <t>3</t>
        </is>
      </c>
      <c r="Q783" t="inlineStr">
        <is>
          <t>Blade</t>
        </is>
      </c>
      <c r="R783" t="inlineStr">
        <is>
          <t>Direct Bolt; Grommet</t>
        </is>
      </c>
      <c r="S783" t="inlineStr">
        <is>
          <t>2.8500</t>
        </is>
      </c>
      <c r="T783" t="inlineStr">
        <is>
          <t>No</t>
        </is>
      </c>
      <c r="U783" t="inlineStr">
        <is>
          <t>1 Year/18,000 Mile</t>
        </is>
      </c>
      <c r="V783" t="inlineStr">
        <is>
          <t>Yes</t>
        </is>
      </c>
      <c r="W783" t="inlineStr">
        <is>
          <t>Available to Order</t>
        </is>
      </c>
      <c r="X783" t="inlineStr">
        <is>
          <t>Honda Element 2011-03</t>
        </is>
      </c>
      <c r="Y783" t="inlineStr">
        <is>
          <t>00082617757829</t>
        </is>
      </c>
      <c r="Z783" t="inlineStr">
        <is>
          <t>43-4033::98359:97671:292</t>
        </is>
      </c>
      <c r="AA783" t="inlineStr">
        <is>
          <t>Yes</t>
        </is>
      </c>
      <c r="AB783" t="inlineStr"/>
      <c r="AC783" t="inlineStr"/>
    </row>
    <row r="784">
      <c r="A784" t="inlineStr">
        <is>
          <t>783</t>
        </is>
      </c>
      <c r="B784" t="inlineStr">
        <is>
          <t>Windshield Wiper Motor</t>
        </is>
      </c>
      <c r="C784" t="inlineStr">
        <is>
          <t>43-4034</t>
        </is>
      </c>
      <c r="D784" t="inlineStr">
        <is>
          <t>Windshield Wiper Motor - 43-4034</t>
        </is>
      </c>
      <c r="E784" t="inlineStr">
        <is>
          <t>CARDONE Reman</t>
        </is>
      </c>
      <c r="F784" t="inlineStr">
        <is>
          <t>76505SNAA01;76505SNAA02</t>
        </is>
      </c>
      <c r="G784" t="inlineStr"/>
      <c r="H784" t="inlineStr"/>
      <c r="I784" t="inlineStr">
        <is>
          <t>{"0": {"productDeskExternalKey": "CPCX|43-4034"},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"Honda Civic 2011-06"}, "14": {"ItemLevelGTIN": "00082617762281"}, "15": {"_addonCardone": "43-4034::98359:97693:292"}, "16": {"Eligible for R&amp;R Service": "Yes"}}</t>
        </is>
      </c>
      <c r="J784" t="inlineStr">
        <is>
          <t>https://www.cardone.com/product/windshield-wiper-motor-43-4034</t>
        </is>
      </c>
      <c r="K784">
        <f>DISPIMG("ID_6DF301AD98674A0FB8CF37E3038D94EA",1)</f>
        <v/>
      </c>
      <c r="L784" t="inlineStr">
        <is>
          <t>CPCX|43-4034</t>
        </is>
      </c>
      <c r="M784" t="inlineStr">
        <is>
          <t>Wiper Motor; Instruction Sheet</t>
        </is>
      </c>
      <c r="N784" t="inlineStr">
        <is>
          <t>Yes</t>
        </is>
      </c>
      <c r="O784" t="inlineStr">
        <is>
          <t>Remanufactured</t>
        </is>
      </c>
      <c r="P784" t="inlineStr">
        <is>
          <t>3</t>
        </is>
      </c>
      <c r="Q784" t="inlineStr">
        <is>
          <t>Blade</t>
        </is>
      </c>
      <c r="R784" t="inlineStr">
        <is>
          <t>Direct Bolt</t>
        </is>
      </c>
      <c r="S784" t="inlineStr">
        <is>
          <t>3.0000</t>
        </is>
      </c>
      <c r="T784" t="inlineStr">
        <is>
          <t>No</t>
        </is>
      </c>
      <c r="U784" t="inlineStr">
        <is>
          <t>1 Year/18,000 Mile</t>
        </is>
      </c>
      <c r="V784" t="inlineStr">
        <is>
          <t>Yes</t>
        </is>
      </c>
      <c r="W784" t="inlineStr">
        <is>
          <t>Available to Order</t>
        </is>
      </c>
      <c r="X784" t="inlineStr">
        <is>
          <t>Honda Civic 2011-06</t>
        </is>
      </c>
      <c r="Y784" t="inlineStr">
        <is>
          <t>00082617762281</t>
        </is>
      </c>
      <c r="Z784" t="inlineStr">
        <is>
          <t>43-4034::98359:97693:292</t>
        </is>
      </c>
      <c r="AA784" t="inlineStr">
        <is>
          <t>Yes</t>
        </is>
      </c>
      <c r="AB784" t="inlineStr"/>
      <c r="AC784" t="inlineStr"/>
    </row>
    <row r="785">
      <c r="A785" t="inlineStr">
        <is>
          <t>784</t>
        </is>
      </c>
      <c r="B785" t="inlineStr">
        <is>
          <t>Windshield Wiper Motor</t>
        </is>
      </c>
      <c r="C785" t="inlineStr">
        <is>
          <t>43-4035</t>
        </is>
      </c>
      <c r="D785" t="inlineStr">
        <is>
          <t>Windshield Wiper Motor - 43-4035</t>
        </is>
      </c>
      <c r="E785" t="inlineStr">
        <is>
          <t>CARDONE Reman</t>
        </is>
      </c>
      <c r="F785" t="inlineStr">
        <is>
          <t>76710S6M003;76710S6M013</t>
        </is>
      </c>
      <c r="G785" t="inlineStr">
        <is>
          <t>Acura RSX 2002-2006</t>
        </is>
      </c>
      <c r="H785" t="inlineStr">
        <is>
          <t>Acura RSX 2002-2006 2L L4 122cid</t>
        </is>
      </c>
      <c r="I785" t="inlineStr">
        <is>
          <t>{"0": {"productDeskExternalKey": "CPCX|43-4035"}, "1": {"Package Contents": "Wiper Motor; Instruction Sheet"}, "2": {"E-Waste": "Yes"}, "3": {"Product Condition": "Remanufactured"}, "4": {"Mounting Hole Quantity": "3"}, "5": {"Terminal Type": "Blade"}, "6": {"Mounting Type": "Grommet"}, "7": {"Weight PG": "2.0500"}, "8": {"Washer Pump Included": "No"}, "9": {"Part Type": "Windshield Wiper Motor"}, "10": {"Warranty Info": "1 Year/18,000 Mile"}, "11": {"Sustainable Choice": "Yes"}, "12": {"Lifecycle Status": "Available to Order"}, "13": {"Application Summary": "Acura RSX 2006-02"}, "14": {"ItemLevelGTIN": "00082617764759"}, "15": {"_addonCardone": "43-4035::98359:97712:292"}, "16": {"Eligible for R&amp;R Service": "Yes"}}</t>
        </is>
      </c>
      <c r="J785" t="inlineStr">
        <is>
          <t>https://www.cardone.com/product/windshield-wiper-motor-43-4035</t>
        </is>
      </c>
      <c r="K785">
        <f>DISPIMG("ID_C49DCACEC6B24E9AB1E7261DD55C9DFC",1)</f>
        <v/>
      </c>
      <c r="L785" t="inlineStr">
        <is>
          <t>CPCX|43-4035</t>
        </is>
      </c>
      <c r="M785" t="inlineStr">
        <is>
          <t>Wiper Motor; Instruction Sheet</t>
        </is>
      </c>
      <c r="N785" t="inlineStr">
        <is>
          <t>Yes</t>
        </is>
      </c>
      <c r="O785" t="inlineStr">
        <is>
          <t>Remanufactured</t>
        </is>
      </c>
      <c r="P785" t="inlineStr">
        <is>
          <t>3</t>
        </is>
      </c>
      <c r="Q785" t="inlineStr">
        <is>
          <t>Blade</t>
        </is>
      </c>
      <c r="R785" t="inlineStr">
        <is>
          <t>Grommet</t>
        </is>
      </c>
      <c r="S785" t="inlineStr">
        <is>
          <t>2.0500</t>
        </is>
      </c>
      <c r="T785" t="inlineStr">
        <is>
          <t>No</t>
        </is>
      </c>
      <c r="U785" t="inlineStr">
        <is>
          <t>1 Year/18,000 Mile</t>
        </is>
      </c>
      <c r="V785" t="inlineStr">
        <is>
          <t>Yes</t>
        </is>
      </c>
      <c r="W785" t="inlineStr">
        <is>
          <t>Available to Order</t>
        </is>
      </c>
      <c r="X785" t="inlineStr">
        <is>
          <t>Acura RSX 2006-02</t>
        </is>
      </c>
      <c r="Y785" t="inlineStr">
        <is>
          <t>00082617764759</t>
        </is>
      </c>
      <c r="Z785" t="inlineStr">
        <is>
          <t>43-4035::98359:97712:292</t>
        </is>
      </c>
      <c r="AA785" t="inlineStr">
        <is>
          <t>Yes</t>
        </is>
      </c>
      <c r="AB785" t="inlineStr"/>
      <c r="AC785" t="inlineStr"/>
    </row>
    <row r="786">
      <c r="A786" t="inlineStr">
        <is>
          <t>785</t>
        </is>
      </c>
      <c r="B786" t="inlineStr">
        <is>
          <t>Windshield Wiper Motor</t>
        </is>
      </c>
      <c r="C786" t="inlineStr">
        <is>
          <t>43-4036</t>
        </is>
      </c>
      <c r="D786" t="inlineStr">
        <is>
          <t>Windshield Wiper Motor - 43-4036</t>
        </is>
      </c>
      <c r="E786" t="inlineStr">
        <is>
          <t>CARDONE Reman</t>
        </is>
      </c>
      <c r="F786" t="inlineStr">
        <is>
          <t>76700S9VA01;76700S9VA02</t>
        </is>
      </c>
      <c r="G786" t="inlineStr"/>
      <c r="H786" t="inlineStr"/>
      <c r="I786" t="inlineStr">
        <is>
          <t>{"0": {"productDeskExternalKey": "CPCX|43-4036"}, "1": {"Package Contents": "Wiper Motor; Instruction Sheet"}, "2": {"E-Waste": "Yes"}, "3": {"Product Condition": "Remanufactured"}, "4": {"Mounting Hole Quantity": "3"}, "5": {"Terminal Type": "Blade"}, "6": {"Mounting Type": "Grommet"}, "7": {"Weight PG": "2.5500"}, "8": {"Washer Pump Included": "No"}, "9": {"Part Type": "Windshield Wiper Motor"}, "10": {"Warranty Info": "1 Year/18,000 Mile"}, "11": {"Sustainable Choice": "Yes"}, "12": {"Lifecycle Status": "Available to Order"}, "13": {"Application Summary": "Honda Pilot 2008-03"}, "14": {"ItemLevelGTIN": "00082617766883"}, "15": {"_addonCardone": "43-4036::98359:97734:292"}, "16": {"Eligible for R&amp;R Service": "Yes"}}</t>
        </is>
      </c>
      <c r="J786" t="inlineStr">
        <is>
          <t>https://www.cardone.com/product/windshield-wiper-motor-43-4036</t>
        </is>
      </c>
      <c r="K786">
        <f>DISPIMG("ID_929EF0E3086E4EA6AA5B898DB807C9DA",1)</f>
        <v/>
      </c>
      <c r="L786" t="inlineStr">
        <is>
          <t>CPCX|43-4036</t>
        </is>
      </c>
      <c r="M786" t="inlineStr">
        <is>
          <t>Wiper Motor; Instruction Sheet</t>
        </is>
      </c>
      <c r="N786" t="inlineStr">
        <is>
          <t>Yes</t>
        </is>
      </c>
      <c r="O786" t="inlineStr">
        <is>
          <t>Remanufactured</t>
        </is>
      </c>
      <c r="P786" t="inlineStr">
        <is>
          <t>3</t>
        </is>
      </c>
      <c r="Q786" t="inlineStr">
        <is>
          <t>Blade</t>
        </is>
      </c>
      <c r="R786" t="inlineStr">
        <is>
          <t>Grommet</t>
        </is>
      </c>
      <c r="S786" t="inlineStr">
        <is>
          <t>2.5500</t>
        </is>
      </c>
      <c r="T786" t="inlineStr">
        <is>
          <t>No</t>
        </is>
      </c>
      <c r="U786" t="inlineStr">
        <is>
          <t>1 Year/18,000 Mile</t>
        </is>
      </c>
      <c r="V786" t="inlineStr">
        <is>
          <t>Yes</t>
        </is>
      </c>
      <c r="W786" t="inlineStr">
        <is>
          <t>Available to Order</t>
        </is>
      </c>
      <c r="X786" t="inlineStr">
        <is>
          <t>Honda Pilot 2008-03</t>
        </is>
      </c>
      <c r="Y786" t="inlineStr">
        <is>
          <t>00082617766883</t>
        </is>
      </c>
      <c r="Z786" t="inlineStr">
        <is>
          <t>43-4036::98359:97734:292</t>
        </is>
      </c>
      <c r="AA786" t="inlineStr">
        <is>
          <t>Yes</t>
        </is>
      </c>
      <c r="AB786" t="inlineStr"/>
      <c r="AC786" t="inlineStr"/>
    </row>
    <row r="787">
      <c r="A787" t="inlineStr">
        <is>
          <t>786</t>
        </is>
      </c>
      <c r="B787" t="inlineStr">
        <is>
          <t>Windshield Wiper Motor</t>
        </is>
      </c>
      <c r="C787" t="inlineStr">
        <is>
          <t>43-4037</t>
        </is>
      </c>
      <c r="D787" t="inlineStr">
        <is>
          <t>Windshield Wiper Motor - 43-4037</t>
        </is>
      </c>
      <c r="E787" t="inlineStr">
        <is>
          <t>CARDONE Reman</t>
        </is>
      </c>
      <c r="F787" t="inlineStr">
        <is>
          <t>76710SHJA02;76710SHJA01</t>
        </is>
      </c>
      <c r="G787" t="inlineStr"/>
      <c r="H787" t="inlineStr"/>
      <c r="I787" t="inlineStr">
        <is>
          <t>{"0": {"productDeskExternalKey": "CPCX|43-4037"}, "1": {"Package Contents": "Wiper Motor; Instruction Sheet"}, "2": {"E-Waste": "Yes"}, "3": {"Product Condition": "Remanufactured"}, "4": {"Mounting Hole Quantity": "3"}, "5": {"Terminal Type": "Blade"}, "6": {"Mounting Type": "Grommet"}, "7": {"Weight PG": "2.4500"}, "8": {"Washer Pump Included": "No"}, "9": {"Part Type": "Windshield Wiper Motor"}, "10": {"Warranty Info": "1 Year/18,000 Mile"}, "11": {"Sustainable Choice": "Yes"}, "12": {"Lifecycle Status": "Available to Order"}, "13": {"Application Summary": "Honda Odyssey 2010-05"}, "14": {"ItemLevelGTIN": "00082617766937"}, "15": {"_addonCardone": "43-4037::98359:97756:292"}, "16": {"Eligible for R&amp;R Service": "Yes"}}</t>
        </is>
      </c>
      <c r="J787" t="inlineStr">
        <is>
          <t>https://www.cardone.com/product/windshield-wiper-motor-43-4037</t>
        </is>
      </c>
      <c r="K787">
        <f>DISPIMG("ID_4A099922BC834FDB82E37F10159B21F6",1)</f>
        <v/>
      </c>
      <c r="L787" t="inlineStr">
        <is>
          <t>CPCX|43-4037</t>
        </is>
      </c>
      <c r="M787" t="inlineStr">
        <is>
          <t>Wiper Motor; Instruction Sheet</t>
        </is>
      </c>
      <c r="N787" t="inlineStr">
        <is>
          <t>Yes</t>
        </is>
      </c>
      <c r="O787" t="inlineStr">
        <is>
          <t>Remanufactured</t>
        </is>
      </c>
      <c r="P787" t="inlineStr">
        <is>
          <t>3</t>
        </is>
      </c>
      <c r="Q787" t="inlineStr">
        <is>
          <t>Blade</t>
        </is>
      </c>
      <c r="R787" t="inlineStr">
        <is>
          <t>Grommet</t>
        </is>
      </c>
      <c r="S787" t="inlineStr">
        <is>
          <t>2.4500</t>
        </is>
      </c>
      <c r="T787" t="inlineStr">
        <is>
          <t>No</t>
        </is>
      </c>
      <c r="U787" t="inlineStr">
        <is>
          <t>1 Year/18,000 Mile</t>
        </is>
      </c>
      <c r="V787" t="inlineStr">
        <is>
          <t>Yes</t>
        </is>
      </c>
      <c r="W787" t="inlineStr">
        <is>
          <t>Available to Order</t>
        </is>
      </c>
      <c r="X787" t="inlineStr">
        <is>
          <t>Honda Odyssey 2010-05</t>
        </is>
      </c>
      <c r="Y787" t="inlineStr">
        <is>
          <t>00082617766937</t>
        </is>
      </c>
      <c r="Z787" t="inlineStr">
        <is>
          <t>43-4037::98359:97756:292</t>
        </is>
      </c>
      <c r="AA787" t="inlineStr">
        <is>
          <t>Yes</t>
        </is>
      </c>
      <c r="AB787" t="inlineStr"/>
      <c r="AC787" t="inlineStr"/>
    </row>
    <row r="788">
      <c r="A788" t="inlineStr">
        <is>
          <t>787</t>
        </is>
      </c>
      <c r="B788" t="inlineStr">
        <is>
          <t>Windshield Wiper Motor</t>
        </is>
      </c>
      <c r="C788" t="inlineStr">
        <is>
          <t>43-4039</t>
        </is>
      </c>
      <c r="D788" t="inlineStr">
        <is>
          <t>Windshield Wiper Motor - 43-4039</t>
        </is>
      </c>
      <c r="E788" t="inlineStr">
        <is>
          <t>CARDONE Reman</t>
        </is>
      </c>
      <c r="F788" t="inlineStr">
        <is>
          <t>8973600350;8971472160;8943588704</t>
        </is>
      </c>
      <c r="G788" t="inlineStr">
        <is>
          <t>Acura SLX 1996-1999
Isuzu Trooper 1992-2002</t>
        </is>
      </c>
      <c r="H788" t="inlineStr">
        <is>
          <t>Acura SLX 1996-1997 3.2L V6 3165cc
Acura SLX 1998-1999 3.5L V6 3494cc
Isuzu Trooper 1992-1997 3.2L V6 3165cc
Isuzu Trooper 1998-2002 3.5L V6 3475cc</t>
        </is>
      </c>
      <c r="I788" t="inlineStr">
        <is>
          <t>{"0": {"productDeskExternalKey": "CPCX|43-4039"}, "1": {"Package Contents": "Wiper Motor; Instruction Sheet"}, "2": {"E-Waste": "Yes"}, "3": {"Product Condition": "Remanufactured"}, "4": {"Mounting Hole Quantity": "2"}, "5": {"Terminal Type": "Blade"}, "6": {"Mounting Type": "Eyelet"}, "7": {"Weight PG": "1.8000"}, "8": {"Washer Pump Included": "No"}, "9": {"Part Type": "Windshield Wiper Motor"}, "10": {"Warranty Info": "1 Year/18,000 Mile"}, "11": {"Sustainable Choice": "Yes"}, "12": {"Lifecycle Status": "Available to Order"}, "13": {"Application Summary": "Acura SLX 1999-96; Isuzu Trooper 2002-92"}, "14": {"ItemLevelGTIN": "00082617776462"}, "15": {"_addonCardone": "43-4039::98359:97775:292"}, "16": {"Eligible for R&amp;R Service": "Yes"}}</t>
        </is>
      </c>
      <c r="J788" t="inlineStr">
        <is>
          <t>https://www.cardone.com/product/windshield-wiper-motor-43-4039</t>
        </is>
      </c>
      <c r="K788">
        <f>DISPIMG("ID_86CC9C709BAC4DCC8F7D59307201C96D",1)</f>
        <v/>
      </c>
      <c r="L788" t="inlineStr">
        <is>
          <t>CPCX|43-4039</t>
        </is>
      </c>
      <c r="M788" t="inlineStr">
        <is>
          <t>Wiper Motor; Instruction Sheet</t>
        </is>
      </c>
      <c r="N788" t="inlineStr">
        <is>
          <t>Yes</t>
        </is>
      </c>
      <c r="O788" t="inlineStr">
        <is>
          <t>Remanufactured</t>
        </is>
      </c>
      <c r="P788" t="inlineStr">
        <is>
          <t>2</t>
        </is>
      </c>
      <c r="Q788" t="inlineStr">
        <is>
          <t>Blade</t>
        </is>
      </c>
      <c r="R788" t="inlineStr">
        <is>
          <t>Eyelet</t>
        </is>
      </c>
      <c r="S788" t="inlineStr">
        <is>
          <t>1.8000</t>
        </is>
      </c>
      <c r="T788" t="inlineStr">
        <is>
          <t>No</t>
        </is>
      </c>
      <c r="U788" t="inlineStr">
        <is>
          <t>1 Year/18,000 Mile</t>
        </is>
      </c>
      <c r="V788" t="inlineStr">
        <is>
          <t>Yes</t>
        </is>
      </c>
      <c r="W788" t="inlineStr">
        <is>
          <t>Available to Order</t>
        </is>
      </c>
      <c r="X788" t="inlineStr">
        <is>
          <t>Acura SLX 1999-96; Isuzu Trooper 2002-92</t>
        </is>
      </c>
      <c r="Y788" t="inlineStr">
        <is>
          <t>00082617776462</t>
        </is>
      </c>
      <c r="Z788" t="inlineStr">
        <is>
          <t>43-4039::98359:97775:292</t>
        </is>
      </c>
      <c r="AA788" t="inlineStr">
        <is>
          <t>Yes</t>
        </is>
      </c>
      <c r="AB788" t="inlineStr"/>
      <c r="AC788" t="inlineStr"/>
    </row>
    <row r="789">
      <c r="A789" t="inlineStr">
        <is>
          <t>788</t>
        </is>
      </c>
      <c r="B789" t="inlineStr">
        <is>
          <t>Windshield Wiper Motor</t>
        </is>
      </c>
      <c r="C789" t="inlineStr">
        <is>
          <t>43-4041</t>
        </is>
      </c>
      <c r="D789" t="inlineStr">
        <is>
          <t>Windshield Wiper Motor - 43-4041</t>
        </is>
      </c>
      <c r="E789" t="inlineStr">
        <is>
          <t>CARDONE Reman</t>
        </is>
      </c>
      <c r="F789" t="inlineStr">
        <is>
          <t>76505SVAA01;76505SVAA21</t>
        </is>
      </c>
      <c r="G789" t="inlineStr"/>
      <c r="H789" t="inlineStr"/>
      <c r="I789" t="inlineStr">
        <is>
          <t>{"0": {"productDeskExternalKey": "CPCX|43-4041"}, "1": {"Package Contents": "Wiper Motor; Instruction Sheet"}, "2": {"E-Waste": "Yes"}, "3": {"Product Condition": "Remanufactured"}, "4": {"Mounting Hole Quantity": "3"}, "5": {"Terminal Type": "Blade"}, "6": {"Mounting Type": "Direct Bolt"}, "7": {"Weight PG": "3.4000"}, "8": {"Washer Pump Included": "No"}, "9": {"Part Type": "Windshield Wiper Motor"}, "10": {"Warranty Info": "1 Year/18,000 Mile"}, "11": {"Sustainable Choice": "Yes"}, "12": {"Lifecycle Status": "Available to Order"}, "13": {"Application Summary": "Honda Civic 2011-06"}, "14": {"ItemLevelGTIN": "00082617779043"}, "15": {"_addonCardone": "43-4041::98359:97792:292"}, "16": {"Eligible for R&amp;R Service": "Yes"}}</t>
        </is>
      </c>
      <c r="J789" t="inlineStr">
        <is>
          <t>https://www.cardone.com/product/windshield-wiper-motor-43-4041</t>
        </is>
      </c>
      <c r="K789">
        <f>DISPIMG("ID_AF6D297D38284F97A67E9C0E709E70E3",1)</f>
        <v/>
      </c>
      <c r="L789" t="inlineStr">
        <is>
          <t>CPCX|43-4041</t>
        </is>
      </c>
      <c r="M789" t="inlineStr">
        <is>
          <t>Wiper Motor; Instruction Sheet</t>
        </is>
      </c>
      <c r="N789" t="inlineStr">
        <is>
          <t>Yes</t>
        </is>
      </c>
      <c r="O789" t="inlineStr">
        <is>
          <t>Remanufactured</t>
        </is>
      </c>
      <c r="P789" t="inlineStr">
        <is>
          <t>3</t>
        </is>
      </c>
      <c r="Q789" t="inlineStr">
        <is>
          <t>Blade</t>
        </is>
      </c>
      <c r="R789" t="inlineStr">
        <is>
          <t>Direct Bolt</t>
        </is>
      </c>
      <c r="S789" t="inlineStr">
        <is>
          <t>3.4000</t>
        </is>
      </c>
      <c r="T789" t="inlineStr">
        <is>
          <t>No</t>
        </is>
      </c>
      <c r="U789" t="inlineStr">
        <is>
          <t>1 Year/18,000 Mile</t>
        </is>
      </c>
      <c r="V789" t="inlineStr">
        <is>
          <t>Yes</t>
        </is>
      </c>
      <c r="W789" t="inlineStr">
        <is>
          <t>Available to Order</t>
        </is>
      </c>
      <c r="X789" t="inlineStr">
        <is>
          <t>Honda Civic 2011-06</t>
        </is>
      </c>
      <c r="Y789" t="inlineStr">
        <is>
          <t>00082617779043</t>
        </is>
      </c>
      <c r="Z789" t="inlineStr">
        <is>
          <t>43-4041::98359:97792:292</t>
        </is>
      </c>
      <c r="AA789" t="inlineStr">
        <is>
          <t>Yes</t>
        </is>
      </c>
      <c r="AB789" t="inlineStr"/>
      <c r="AC789" t="inlineStr"/>
    </row>
    <row r="790">
      <c r="A790" t="inlineStr">
        <is>
          <t>789</t>
        </is>
      </c>
      <c r="B790" t="inlineStr">
        <is>
          <t>Windshield Wiper Motor</t>
        </is>
      </c>
      <c r="C790" t="inlineStr">
        <is>
          <t>43-4042</t>
        </is>
      </c>
      <c r="D790" t="inlineStr">
        <is>
          <t>Windshield Wiper Motor - 43-4042</t>
        </is>
      </c>
      <c r="E790" t="inlineStr">
        <is>
          <t>CARDONE Reman</t>
        </is>
      </c>
      <c r="F790" t="inlineStr">
        <is>
          <t>76505TA0A01;76505SHJA01</t>
        </is>
      </c>
      <c r="G790" t="inlineStr"/>
      <c r="H790" t="inlineStr"/>
      <c r="I790" t="inlineStr">
        <is>
          <t>{"0": {"productDeskExternalKey": "CPCX|43-4042"}, "1": {"Package Contents": "Wiper Motor; Instruction Sheet"}, "2": {"E-Waste": "Yes"}, "3": {"Product Condition": "Remanufactured"}, "4": {"Mounting Hole Quantity": "3"}, "5": {"Terminal Type": "Blade"}, "6": {"Mounting Type": "Direct Bolt"}, "7": {"Weight PG": "3.5000"}, "8": {"Washer Pump Included": "No"}, "9": {"Part Type": "Windshield Wiper Motor"}, "10": {"Warranty Info": "1 Year/18,000 Mile"}, "11": {"Sustainable Choice": "Yes"}, "12": {"Lifecycle Status": "Available to Order"}, "13": {"Application Summary": "Honda Odyssey 2010-05"}, "14": {"ItemLevelGTIN": "00082617785167"}, "15": {"_addonCardone": "43-4042::98359:97806:292"}, "16": {"Eligible for R&amp;R Service": "Yes"}}</t>
        </is>
      </c>
      <c r="J790" t="inlineStr">
        <is>
          <t>https://www.cardone.com/product/windshield-wiper-motor-43-4042</t>
        </is>
      </c>
      <c r="K790">
        <f>DISPIMG("ID_33ED9A7D0831457486B89B8C4D68B23D",1)</f>
        <v/>
      </c>
      <c r="L790" t="inlineStr">
        <is>
          <t>CPCX|43-4042</t>
        </is>
      </c>
      <c r="M790" t="inlineStr">
        <is>
          <t>Wiper Motor; Instruction Sheet</t>
        </is>
      </c>
      <c r="N790" t="inlineStr">
        <is>
          <t>Yes</t>
        </is>
      </c>
      <c r="O790" t="inlineStr">
        <is>
          <t>Remanufactured</t>
        </is>
      </c>
      <c r="P790" t="inlineStr">
        <is>
          <t>3</t>
        </is>
      </c>
      <c r="Q790" t="inlineStr">
        <is>
          <t>Blade</t>
        </is>
      </c>
      <c r="R790" t="inlineStr">
        <is>
          <t>Direct Bolt</t>
        </is>
      </c>
      <c r="S790" t="inlineStr">
        <is>
          <t>3.5000</t>
        </is>
      </c>
      <c r="T790" t="inlineStr">
        <is>
          <t>No</t>
        </is>
      </c>
      <c r="U790" t="inlineStr">
        <is>
          <t>1 Year/18,000 Mile</t>
        </is>
      </c>
      <c r="V790" t="inlineStr">
        <is>
          <t>Yes</t>
        </is>
      </c>
      <c r="W790" t="inlineStr">
        <is>
          <t>Available to Order</t>
        </is>
      </c>
      <c r="X790" t="inlineStr">
        <is>
          <t>Honda Odyssey 2010-05</t>
        </is>
      </c>
      <c r="Y790" t="inlineStr">
        <is>
          <t>00082617785167</t>
        </is>
      </c>
      <c r="Z790" t="inlineStr">
        <is>
          <t>43-4042::98359:97806:292</t>
        </is>
      </c>
      <c r="AA790" t="inlineStr">
        <is>
          <t>Yes</t>
        </is>
      </c>
      <c r="AB790" t="inlineStr"/>
      <c r="AC790" t="inlineStr"/>
    </row>
    <row r="791">
      <c r="A791" t="inlineStr">
        <is>
          <t>790</t>
        </is>
      </c>
      <c r="B791" t="inlineStr">
        <is>
          <t>Windshield Wiper Motor</t>
        </is>
      </c>
      <c r="C791" t="inlineStr">
        <is>
          <t>43-4043</t>
        </is>
      </c>
      <c r="D791" t="inlineStr">
        <is>
          <t>Windshield Wiper Motor - 43-4043</t>
        </is>
      </c>
      <c r="E791" t="inlineStr">
        <is>
          <t>CARDONE Reman</t>
        </is>
      </c>
      <c r="F791" t="inlineStr">
        <is>
          <t>76700SCVA01;76700SCVA02</t>
        </is>
      </c>
      <c r="G791" t="inlineStr">
        <is>
          <t>Honda Element 2003-2011</t>
        </is>
      </c>
      <c r="H791" t="inlineStr">
        <is>
          <t>Honda Element 2003-2011 2.4L L4 144cid</t>
        </is>
      </c>
      <c r="I791" t="inlineStr">
        <is>
          <t>{"0": {"productDeskExternalKey": "CPCX|43-4043"}, "1": {"Package Contents": "Wiper Motor; Instruction Sheet"}, "2": {"E-Waste": "Yes"}, "3": {"Product Condition": "Remanufactured"}, "4": {"Mounting Hole Quantity": "3"}, "5": {"Terminal Type": "Blade"}, "6": {"Mounting Type": "Grommet"}, "7": {"Weight PG": "2.6500"}, "8": {"Washer Pump Included": "No"}, "9": {"Part Type": "Windshield Wiper Motor"}, "10": {"Warranty Info": "1 Year/18,000 Mile"}, "11": {"Sustainable Choice": "Yes"}, "12": {"Lifecycle Status": "Available to Order"}, "13": {"Application Summary": "Honda Element 2011-03"}, "14": {"ItemLevelGTIN": "00082617785242"}, "15": {"_addonCardone": "43-4043::98359:97822:292"}, "16": {"Eligible for R&amp;R Service": "Yes"}}</t>
        </is>
      </c>
      <c r="J791" t="inlineStr">
        <is>
          <t>https://www.cardone.com/product/windshield-wiper-motor-43-4043</t>
        </is>
      </c>
      <c r="K791">
        <f>DISPIMG("ID_AC4120D66FD743259A16D1A88BA5A867",1)</f>
        <v/>
      </c>
      <c r="L791" t="inlineStr">
        <is>
          <t>CPCX|43-4043</t>
        </is>
      </c>
      <c r="M791" t="inlineStr">
        <is>
          <t>Wiper Motor; Instruction Sheet</t>
        </is>
      </c>
      <c r="N791" t="inlineStr">
        <is>
          <t>Yes</t>
        </is>
      </c>
      <c r="O791" t="inlineStr">
        <is>
          <t>Remanufactured</t>
        </is>
      </c>
      <c r="P791" t="inlineStr">
        <is>
          <t>3</t>
        </is>
      </c>
      <c r="Q791" t="inlineStr">
        <is>
          <t>Blade</t>
        </is>
      </c>
      <c r="R791" t="inlineStr">
        <is>
          <t>Grommet</t>
        </is>
      </c>
      <c r="S791" t="inlineStr">
        <is>
          <t>2.6500</t>
        </is>
      </c>
      <c r="T791" t="inlineStr">
        <is>
          <t>No</t>
        </is>
      </c>
      <c r="U791" t="inlineStr">
        <is>
          <t>1 Year/18,000 Mile</t>
        </is>
      </c>
      <c r="V791" t="inlineStr">
        <is>
          <t>Yes</t>
        </is>
      </c>
      <c r="W791" t="inlineStr">
        <is>
          <t>Available to Order</t>
        </is>
      </c>
      <c r="X791" t="inlineStr">
        <is>
          <t>Honda Element 2011-03</t>
        </is>
      </c>
      <c r="Y791" t="inlineStr">
        <is>
          <t>00082617785242</t>
        </is>
      </c>
      <c r="Z791" t="inlineStr">
        <is>
          <t>43-4043::98359:97822:292</t>
        </is>
      </c>
      <c r="AA791" t="inlineStr">
        <is>
          <t>Yes</t>
        </is>
      </c>
      <c r="AB791" t="inlineStr"/>
      <c r="AC791" t="inlineStr"/>
    </row>
    <row r="792">
      <c r="A792" t="inlineStr">
        <is>
          <t>791</t>
        </is>
      </c>
      <c r="B792" t="inlineStr">
        <is>
          <t>Windshield Wiper Motor</t>
        </is>
      </c>
      <c r="C792" t="inlineStr">
        <is>
          <t>43-4044</t>
        </is>
      </c>
      <c r="D792" t="inlineStr">
        <is>
          <t>Windshield Wiper Motor - 43-4044</t>
        </is>
      </c>
      <c r="E792" t="inlineStr">
        <is>
          <t>CARDONE Reman</t>
        </is>
      </c>
      <c r="F792" t="inlineStr">
        <is>
          <t>76700S3VA01;76700S3VAO1</t>
        </is>
      </c>
      <c r="G792" t="inlineStr">
        <is>
          <t>Acura MDX 2001-2006</t>
        </is>
      </c>
      <c r="H792" t="inlineStr">
        <is>
          <t>Acura MDX 2001-2006 3.5L V6 3471cc</t>
        </is>
      </c>
      <c r="I792" t="inlineStr">
        <is>
          <t>{"0": {"productDeskExternalKey": "CPCX|43-4044"}, "1": {"Package Contents": "Wiper Motor; Instruction Sheet"}, "2": {"E-Waste": "Yes"}, "3": {"Product Condition": "Remanufactured"}, "4": {"Mounting Hole Quantity": "2"}, "5": {"Terminal Type": "Blade"}, "6": {"Mounting Type": "Grommet"}, "7": {"Weight PG": "2.1000"}, "8": {"Washer Pump Included": "No"}, "9": {"Part Type": "Windshield Wiper Motor"}, "10": {"Warranty Info": "1 Year/18,000 Mile"}, "11": {"Sustainable Choice": "Yes"}, "12": {"Lifecycle Status": "Available to Order"}, "13": {"Application Summary": "Acura MDX 2006-01"}, "14": {"ItemLevelGTIN": "00082617785624"}, "15": {"_addonCardone": "43-4044::98359:97835:292"}, "16": {"Eligible for R&amp;R Service": "Yes"}}</t>
        </is>
      </c>
      <c r="J792" t="inlineStr">
        <is>
          <t>https://www.cardone.com/product/windshield-wiper-motor-43-4044</t>
        </is>
      </c>
      <c r="K792">
        <f>DISPIMG("ID_F5738077574E4512B064E3F641BB5397",1)</f>
        <v/>
      </c>
      <c r="L792" t="inlineStr">
        <is>
          <t>CPCX|43-4044</t>
        </is>
      </c>
      <c r="M792" t="inlineStr">
        <is>
          <t>Wiper Motor; Instruction Sheet</t>
        </is>
      </c>
      <c r="N792" t="inlineStr">
        <is>
          <t>Yes</t>
        </is>
      </c>
      <c r="O792" t="inlineStr">
        <is>
          <t>Remanufactured</t>
        </is>
      </c>
      <c r="P792" t="inlineStr">
        <is>
          <t>2</t>
        </is>
      </c>
      <c r="Q792" t="inlineStr">
        <is>
          <t>Blade</t>
        </is>
      </c>
      <c r="R792" t="inlineStr">
        <is>
          <t>Grommet</t>
        </is>
      </c>
      <c r="S792" t="inlineStr">
        <is>
          <t>2.1000</t>
        </is>
      </c>
      <c r="T792" t="inlineStr">
        <is>
          <t>No</t>
        </is>
      </c>
      <c r="U792" t="inlineStr">
        <is>
          <t>1 Year/18,000 Mile</t>
        </is>
      </c>
      <c r="V792" t="inlineStr">
        <is>
          <t>Yes</t>
        </is>
      </c>
      <c r="W792" t="inlineStr">
        <is>
          <t>Available to Order</t>
        </is>
      </c>
      <c r="X792" t="inlineStr">
        <is>
          <t>Acura MDX 2006-01</t>
        </is>
      </c>
      <c r="Y792" t="inlineStr">
        <is>
          <t>00082617785624</t>
        </is>
      </c>
      <c r="Z792" t="inlineStr">
        <is>
          <t>43-4044::98359:97835:292</t>
        </is>
      </c>
      <c r="AA792" t="inlineStr">
        <is>
          <t>Yes</t>
        </is>
      </c>
      <c r="AB792" t="inlineStr"/>
      <c r="AC792" t="inlineStr"/>
    </row>
    <row r="793">
      <c r="A793" t="inlineStr">
        <is>
          <t>792</t>
        </is>
      </c>
      <c r="B793" t="inlineStr">
        <is>
          <t>Windshield Wiper Motor</t>
        </is>
      </c>
      <c r="C793" t="inlineStr">
        <is>
          <t>43-4045</t>
        </is>
      </c>
      <c r="D793" t="inlineStr">
        <is>
          <t>Windshield Wiper Motor - 43-4045</t>
        </is>
      </c>
      <c r="E793" t="inlineStr">
        <is>
          <t>CARDONE Reman</t>
        </is>
      </c>
      <c r="F793" t="inlineStr">
        <is>
          <t>76710SWA003</t>
        </is>
      </c>
      <c r="G793" t="inlineStr">
        <is>
          <t>Honda CR-V 2007-2011</t>
        </is>
      </c>
      <c r="H793" t="inlineStr">
        <is>
          <t>Honda CR-V 2007-2011 2.4L L4 144cid</t>
        </is>
      </c>
      <c r="I793" t="inlineStr">
        <is>
          <t>{"0": {"productDeskExternalKey": "CPCX|43-4045"}, "1": {"Package Contents": "Wiper Motor; Instruction Sheet"}, "2": {"E-Waste": "Yes"}, "3": {"Product Condition": "Remanufactured"}, "4": {"Mounting Hole Quantity": "3"}, "5": {"Terminal Type": "Blade"}, "6": {"Mounting Type": "Eyelet; Grommet"}, "7": {"Weight PG": "2.9500"}, "8": {"Washer Pump Included": "No"}, "9": {"Part Type": "Windshield Wiper Motor"}, "10": {"Warranty Info": "1 Year/18,000 Mile"}, "11": {"Sustainable Choice": "Yes"}, "12": {"Lifecycle Status": "Available to Order"}, "13": {"Application Summary": "Honda CR-V 2011-07"}, "14": {"ItemLevelGTIN": "00082617798419"}, "15": {"_addonCardone": "43-4045::98359:97847:292"}, "16": {"Eligible for R&amp;R Service": "Yes"}}</t>
        </is>
      </c>
      <c r="J793" t="inlineStr">
        <is>
          <t>https://www.cardone.com/product/windshield-wiper-motor-43-4045</t>
        </is>
      </c>
      <c r="K793">
        <f>DISPIMG("ID_CADD29ADF7DC4EFB9030265A38C52EDE",1)</f>
        <v/>
      </c>
      <c r="L793" t="inlineStr">
        <is>
          <t>CPCX|43-4045</t>
        </is>
      </c>
      <c r="M793" t="inlineStr">
        <is>
          <t>Wiper Motor; Instruction Sheet</t>
        </is>
      </c>
      <c r="N793" t="inlineStr">
        <is>
          <t>Yes</t>
        </is>
      </c>
      <c r="O793" t="inlineStr">
        <is>
          <t>Remanufactured</t>
        </is>
      </c>
      <c r="P793" t="inlineStr">
        <is>
          <t>3</t>
        </is>
      </c>
      <c r="Q793" t="inlineStr">
        <is>
          <t>Blade</t>
        </is>
      </c>
      <c r="R793" t="inlineStr">
        <is>
          <t>Eyelet; Grommet</t>
        </is>
      </c>
      <c r="S793" t="inlineStr">
        <is>
          <t>2.9500</t>
        </is>
      </c>
      <c r="T793" t="inlineStr">
        <is>
          <t>No</t>
        </is>
      </c>
      <c r="U793" t="inlineStr">
        <is>
          <t>1 Year/18,000 Mile</t>
        </is>
      </c>
      <c r="V793" t="inlineStr">
        <is>
          <t>Yes</t>
        </is>
      </c>
      <c r="W793" t="inlineStr">
        <is>
          <t>Available to Order</t>
        </is>
      </c>
      <c r="X793" t="inlineStr">
        <is>
          <t>Honda CR-V 2011-07</t>
        </is>
      </c>
      <c r="Y793" t="inlineStr">
        <is>
          <t>00082617798419</t>
        </is>
      </c>
      <c r="Z793" t="inlineStr">
        <is>
          <t>43-4045::98359:97847:292</t>
        </is>
      </c>
      <c r="AA793" t="inlineStr">
        <is>
          <t>Yes</t>
        </is>
      </c>
      <c r="AB793" t="inlineStr"/>
      <c r="AC793" t="inlineStr"/>
    </row>
    <row r="794">
      <c r="A794" t="inlineStr">
        <is>
          <t>793</t>
        </is>
      </c>
      <c r="B794" t="inlineStr">
        <is>
          <t>Windshield Wiper Motor</t>
        </is>
      </c>
      <c r="C794" t="inlineStr">
        <is>
          <t>43-4046</t>
        </is>
      </c>
      <c r="D794" t="inlineStr">
        <is>
          <t>Windshield Wiper Motor - 43-4046</t>
        </is>
      </c>
      <c r="E794" t="inlineStr">
        <is>
          <t>CARDONE Reman</t>
        </is>
      </c>
      <c r="F794" t="inlineStr">
        <is>
          <t>76700S5SE01</t>
        </is>
      </c>
      <c r="G794" t="inlineStr">
        <is>
          <t>Honda Civic 2002-2005</t>
        </is>
      </c>
      <c r="H794" t="inlineStr">
        <is>
          <t>Honda Civic 2002-2005 2L L4 122cid</t>
        </is>
      </c>
      <c r="I794" t="inlineStr">
        <is>
          <t>{"0": {"productDeskExternalKey": "CPCX|43-4046"}, "1": {"Package Contents": "Wiper Motor; Instruction Sheet"}, "2": {"E-Waste": "Yes"}, "3": {"Product Condition": "Remanufactured"}, "4": {"Mounting Hole Quantity": "3"}, "5": {"Terminal Type": "Blade"}, "6": {"Mounting Type": "Grommet"}, "7": {"Weight PG": "2.9500"}, "8": {"Washer Pump Included": "No"}, "9": {"Part Type": "Windshield Wiper Motor"}, "10": {"Warranty Info": "1 Year/18,000 Mile"}, "11": {"Sustainable Choice": "Yes"}, "12": {"Lifecycle Status": "Available to Order"}, "13": {"Application Summary": "Honda Civic 2005-02"}, "14": {"ItemLevelGTIN": "00082617800044"}, "15": {"_addonCardone": "43-4046::98359:97855:292"}, "16": {"Eligible for R&amp;R Service": "Yes"}}</t>
        </is>
      </c>
      <c r="J794" t="inlineStr">
        <is>
          <t>https://www.cardone.com/product/windshield-wiper-motor-43-4046</t>
        </is>
      </c>
      <c r="K794">
        <f>DISPIMG("ID_191F6FCC357543DBA4103DC5C0BDF59F",1)</f>
        <v/>
      </c>
      <c r="L794" t="inlineStr">
        <is>
          <t>CPCX|43-4046</t>
        </is>
      </c>
      <c r="M794" t="inlineStr">
        <is>
          <t>Wiper Motor; Instruction Sheet</t>
        </is>
      </c>
      <c r="N794" t="inlineStr">
        <is>
          <t>Yes</t>
        </is>
      </c>
      <c r="O794" t="inlineStr">
        <is>
          <t>Remanufactured</t>
        </is>
      </c>
      <c r="P794" t="inlineStr">
        <is>
          <t>3</t>
        </is>
      </c>
      <c r="Q794" t="inlineStr">
        <is>
          <t>Blade</t>
        </is>
      </c>
      <c r="R794" t="inlineStr">
        <is>
          <t>Grommet</t>
        </is>
      </c>
      <c r="S794" t="inlineStr">
        <is>
          <t>2.9500</t>
        </is>
      </c>
      <c r="T794" t="inlineStr">
        <is>
          <t>No</t>
        </is>
      </c>
      <c r="U794" t="inlineStr">
        <is>
          <t>1 Year/18,000 Mile</t>
        </is>
      </c>
      <c r="V794" t="inlineStr">
        <is>
          <t>Yes</t>
        </is>
      </c>
      <c r="W794" t="inlineStr">
        <is>
          <t>Available to Order</t>
        </is>
      </c>
      <c r="X794" t="inlineStr">
        <is>
          <t>Honda Civic 2005-02</t>
        </is>
      </c>
      <c r="Y794" t="inlineStr">
        <is>
          <t>00082617800044</t>
        </is>
      </c>
      <c r="Z794" t="inlineStr">
        <is>
          <t>43-4046::98359:97855:292</t>
        </is>
      </c>
      <c r="AA794" t="inlineStr">
        <is>
          <t>Yes</t>
        </is>
      </c>
      <c r="AB794" t="inlineStr"/>
      <c r="AC794" t="inlineStr"/>
    </row>
    <row r="795">
      <c r="A795" t="inlineStr">
        <is>
          <t>794</t>
        </is>
      </c>
      <c r="B795" t="inlineStr">
        <is>
          <t>Windshield Wiper Motor</t>
        </is>
      </c>
      <c r="C795" t="inlineStr">
        <is>
          <t>43-4047</t>
        </is>
      </c>
      <c r="D795" t="inlineStr">
        <is>
          <t>Windshield Wiper Motor - 43-4047</t>
        </is>
      </c>
      <c r="E795" t="inlineStr">
        <is>
          <t>CARDONE Reman</t>
        </is>
      </c>
      <c r="F795" t="inlineStr">
        <is>
          <t>76505SWAA01</t>
        </is>
      </c>
      <c r="G795" t="inlineStr">
        <is>
          <t>Honda CR-V 2007-2009</t>
        </is>
      </c>
      <c r="H795" t="inlineStr">
        <is>
          <t>Honda CR-V 2007-2009 2.4L L4 144cid</t>
        </is>
      </c>
      <c r="I795" t="inlineStr">
        <is>
          <t>{"0": {"productDeskExternalKey": "CPCX|43-4047"}, "1": {"Package Contents": "Wiper Motor; Instruction Sheet"}, "2": {"E-Waste": "Yes"}, "3": {"Product Condition": "Remanufactured"}, "4": {"Mounting Hole Quantity": "3"}, "5": {"Terminal Type": "Blade"}, "6": {"Mounting Type": "Direct Bolt"}, "7": {"Weight PG": "2.6000"}, "8": {"Washer Pump Included": "No"}, "9": {"Part Type": "Windshield Wiper Motor"}, "10": {"Warranty Info": "1 Year/18,000 Mile"}, "11": {"Sustainable Choice": "Yes"}, "12": {"Lifecycle Status": "Available to Order"}, "13": {"Application Summary": "Honda CR-V 2009-07"}, "14": {"ItemLevelGTIN": "00082617801096"}, "15": {"_addonCardone": "43-4047::98359:97864:292"}, "16": {"Eligible for R&amp;R Service": "Yes"}}</t>
        </is>
      </c>
      <c r="J795" t="inlineStr">
        <is>
          <t>https://www.cardone.com/product/windshield-wiper-motor-43-4047</t>
        </is>
      </c>
      <c r="K795">
        <f>DISPIMG("ID_FC40BE0EBE5A497B8D8CAA87A2C64884",1)</f>
        <v/>
      </c>
      <c r="L795" t="inlineStr">
        <is>
          <t>CPCX|43-4047</t>
        </is>
      </c>
      <c r="M795" t="inlineStr">
        <is>
          <t>Wiper Motor; Instruction Sheet</t>
        </is>
      </c>
      <c r="N795" t="inlineStr">
        <is>
          <t>Yes</t>
        </is>
      </c>
      <c r="O795" t="inlineStr">
        <is>
          <t>Remanufactured</t>
        </is>
      </c>
      <c r="P795" t="inlineStr">
        <is>
          <t>3</t>
        </is>
      </c>
      <c r="Q795" t="inlineStr">
        <is>
          <t>Blade</t>
        </is>
      </c>
      <c r="R795" t="inlineStr">
        <is>
          <t>Direct Bolt</t>
        </is>
      </c>
      <c r="S795" t="inlineStr">
        <is>
          <t>2.6000</t>
        </is>
      </c>
      <c r="T795" t="inlineStr">
        <is>
          <t>No</t>
        </is>
      </c>
      <c r="U795" t="inlineStr">
        <is>
          <t>1 Year/18,000 Mile</t>
        </is>
      </c>
      <c r="V795" t="inlineStr">
        <is>
          <t>Yes</t>
        </is>
      </c>
      <c r="W795" t="inlineStr">
        <is>
          <t>Available to Order</t>
        </is>
      </c>
      <c r="X795" t="inlineStr">
        <is>
          <t>Honda CR-V 2009-07</t>
        </is>
      </c>
      <c r="Y795" t="inlineStr">
        <is>
          <t>00082617801096</t>
        </is>
      </c>
      <c r="Z795" t="inlineStr">
        <is>
          <t>43-4047::98359:97864:292</t>
        </is>
      </c>
      <c r="AA795" t="inlineStr">
        <is>
          <t>Yes</t>
        </is>
      </c>
      <c r="AB795" t="inlineStr"/>
      <c r="AC795" t="inlineStr"/>
    </row>
    <row r="796">
      <c r="A796" t="inlineStr">
        <is>
          <t>795</t>
        </is>
      </c>
      <c r="B796" t="inlineStr">
        <is>
          <t>Windshield Wiper Motor</t>
        </is>
      </c>
      <c r="C796" t="inlineStr">
        <is>
          <t>43-4049</t>
        </is>
      </c>
      <c r="D796" t="inlineStr">
        <is>
          <t>Windshield Wiper Motor - 43-4049</t>
        </is>
      </c>
      <c r="E796" t="inlineStr">
        <is>
          <t>CARDONE Reman</t>
        </is>
      </c>
      <c r="F796" t="inlineStr">
        <is>
          <t>76700SH2S01;76700SH2A01;76700SH2S02</t>
        </is>
      </c>
      <c r="G796" t="inlineStr"/>
      <c r="H796" t="inlineStr"/>
      <c r="I796" t="inlineStr">
        <is>
          <t>{"0": {"productDeskExternalKey": "CPCX|43-4049"}, "1": {"Package Contents": "Wiper Motor; Instruction Sheet"}, "2": {"E-Waste": "Yes"}, "3": {"Product Condition": "Remanufactured"}, "4": {"Mounting Hole Quantity": "3"}, "5": {"Terminal Type": "Blade"}, "6": {"Mounting Type": "Grommet"}, "7": {"Weight PG": "2.2500"}, "8": {"Washer Pump Included": "No"}, "9": {"Part Type": "Windshield Wiper Motor"}, "10": {"Warranty Info": "1 Year/18,000 Mile"}, "11": {"Sustainable Choice": "Yes"}, "12": {"Lifecycle Status": "Available to Order"}, "13": {"Application Summary": "Honda CRX 1991-88"}, "14": {"ItemLevelGTIN": "00082617806176"}, "15": {"_addonCardone": "43-4049::98359:97871:292"}, "16": {"Eligible for R&amp;R Service": "Yes"}}</t>
        </is>
      </c>
      <c r="J796" t="inlineStr">
        <is>
          <t>https://www.cardone.com/product/windshield-wiper-motor-43-4049</t>
        </is>
      </c>
      <c r="K796">
        <f>DISPIMG("ID_4520E62D0D104815BC31CE1A9B074A01",1)</f>
        <v/>
      </c>
      <c r="L796" t="inlineStr">
        <is>
          <t>CPCX|43-4049</t>
        </is>
      </c>
      <c r="M796" t="inlineStr">
        <is>
          <t>Wiper Motor; Instruction Sheet</t>
        </is>
      </c>
      <c r="N796" t="inlineStr">
        <is>
          <t>Yes</t>
        </is>
      </c>
      <c r="O796" t="inlineStr">
        <is>
          <t>Remanufactured</t>
        </is>
      </c>
      <c r="P796" t="inlineStr">
        <is>
          <t>3</t>
        </is>
      </c>
      <c r="Q796" t="inlineStr">
        <is>
          <t>Blade</t>
        </is>
      </c>
      <c r="R796" t="inlineStr">
        <is>
          <t>Grommet</t>
        </is>
      </c>
      <c r="S796" t="inlineStr">
        <is>
          <t>2.2500</t>
        </is>
      </c>
      <c r="T796" t="inlineStr">
        <is>
          <t>No</t>
        </is>
      </c>
      <c r="U796" t="inlineStr">
        <is>
          <t>1 Year/18,000 Mile</t>
        </is>
      </c>
      <c r="V796" t="inlineStr">
        <is>
          <t>Yes</t>
        </is>
      </c>
      <c r="W796" t="inlineStr">
        <is>
          <t>Available to Order</t>
        </is>
      </c>
      <c r="X796" t="inlineStr">
        <is>
          <t>Honda CRX 1991-88</t>
        </is>
      </c>
      <c r="Y796" t="inlineStr">
        <is>
          <t>00082617806176</t>
        </is>
      </c>
      <c r="Z796" t="inlineStr">
        <is>
          <t>43-4049::98359:97871:292</t>
        </is>
      </c>
      <c r="AA796" t="inlineStr">
        <is>
          <t>Yes</t>
        </is>
      </c>
      <c r="AB796" t="inlineStr"/>
      <c r="AC796" t="inlineStr"/>
    </row>
    <row r="797">
      <c r="A797" t="inlineStr">
        <is>
          <t>796</t>
        </is>
      </c>
      <c r="B797" t="inlineStr">
        <is>
          <t>Windshield Wiper Motor</t>
        </is>
      </c>
      <c r="C797" t="inlineStr">
        <is>
          <t>43-4053</t>
        </is>
      </c>
      <c r="D797" t="inlineStr">
        <is>
          <t>Windshield Wiper Motor - 43-4053</t>
        </is>
      </c>
      <c r="E797" t="inlineStr">
        <is>
          <t>CARDONE Reman</t>
        </is>
      </c>
      <c r="F797" t="inlineStr">
        <is>
          <t>TD1267340;76505TM8A01;851100E020;76505TE0A02;76505TK6A01;3810065J00;8511058090;8511050140;8511047240;TD1167340;8250A057</t>
        </is>
      </c>
      <c r="G797" t="inlineStr">
        <is>
          <t>Lexus HS250h 2010-2012
Lexus LS460 2007-2017
Lexus LS600h 2008-2016
Lexus RX350 2010-2015
Lexus RX450h 2010-2015
Mazda CX-9 2007-2015
Suzuki Grand Vitara 2007-2013
Toyota Prius 2010-2014
Toyota Prius Plug-In 2012-2014</t>
        </is>
      </c>
      <c r="H797" t="inlineStr">
        <is>
          <t>Lexus HS250h 2010-2012 2.4L L4 2362cc
Lexus LS460 2007-2017 4.6L V8 4608cc
Lexus LS600h 2008-2016 5L V8 4968cc
Lexus RX350 2010-2015 3.5L V6 3456cc
Lexus RX450h 2010-2015 3.5L V6 3456cc
Mazda CX-9 2007 3.5L V6 213cid
Mazda CX-9 2008-2015 3.7L V6 227cid
Suzuki Grand Vitara 2007-2008 2.7L V6 2737cc
Suzuki Grand Vitara 2009-2010 3.2L V6 3195cc
Suzuki Grand Vitara 2009-2013 2.4L L4 2393cc
Toyota Prius 2010-2014 1.8L L4 110cid
Toyota Prius Plug-In 2012-2014 1.8L L4 110cid</t>
        </is>
      </c>
      <c r="I797" t="inlineStr">
        <is>
          <t>{"0": {"productDeskExternalKey": "CPCX|43-4053"}, "1": {"Package Contents": "Wiper Motor; Instruction Sheet"}, "2": {"E-Waste": "Yes"}, "3": {"Product Condition": "Remanufactured"}, "4": {"Mounting Hole Quantity": "3"}, "5": {"Terminal Type": "Blade"}, "6": {"Mounting Type": "Direct Bolt"}, "7": {"Weight PG": "2.6500"}, "8": {"Washer Pump Included": "No"}, "9": {"Part Type": "Windshield Wiper Motor"}, "10": {"Warranty Info": "1 Year/18,000 Mile"}, "11": {"Sustainable Choice": "Yes"}, "12": {"Lifecycle Status": "Available to Order"}, "13": {"Application Summary": "Lexus HS250h 2012-10, LS460 2017-07, LS600h 2016-08, RX350 2015-10, RX450h 2015-10; Mazda CX-9 2015-07; Mitsubishi Eclipse 2012-06; Suzuki Grand Vitara 2013-07; Toyota Prius 2014-10, Prius Plug-In 2014-12"}, "14": {"ItemLevelGTIN": "00082617822374"}, "15": {"_addonCardone": "43-4053::98359:97881:292"}, "16": {"Eligible for R&amp;R Service": "Yes"}}</t>
        </is>
      </c>
      <c r="J797" t="inlineStr">
        <is>
          <t>https://www.cardone.com/product/windshield-wiper-motor-43-4053</t>
        </is>
      </c>
      <c r="K797">
        <f>DISPIMG("ID_5B12889718844347BAD5FF6111A66139",1)</f>
        <v/>
      </c>
      <c r="L797" t="inlineStr">
        <is>
          <t>CPCX|43-4053</t>
        </is>
      </c>
      <c r="M797" t="inlineStr">
        <is>
          <t>Wiper Motor; Instruction Sheet</t>
        </is>
      </c>
      <c r="N797" t="inlineStr">
        <is>
          <t>Yes</t>
        </is>
      </c>
      <c r="O797" t="inlineStr">
        <is>
          <t>Remanufactured</t>
        </is>
      </c>
      <c r="P797" t="inlineStr">
        <is>
          <t>3</t>
        </is>
      </c>
      <c r="Q797" t="inlineStr">
        <is>
          <t>Blade</t>
        </is>
      </c>
      <c r="R797" t="inlineStr">
        <is>
          <t>Direct Bolt</t>
        </is>
      </c>
      <c r="S797" t="inlineStr">
        <is>
          <t>2.6500</t>
        </is>
      </c>
      <c r="T797" t="inlineStr">
        <is>
          <t>No</t>
        </is>
      </c>
      <c r="U797" t="inlineStr">
        <is>
          <t>1 Year/18,000 Mile</t>
        </is>
      </c>
      <c r="V797" t="inlineStr">
        <is>
          <t>Yes</t>
        </is>
      </c>
      <c r="W797" t="inlineStr">
        <is>
          <t>Available to Order</t>
        </is>
      </c>
      <c r="X797" t="inlineStr">
        <is>
          <t>Lexus HS250h 2012-10, LS460 2017-07, LS600h 2016-08, RX350 2015-10, RX450h 2015-10; Mazda CX-9 2015-07; Mitsubishi Eclipse 2012-06; Suzuki Grand Vitara 2013-07; Toyota Prius 2014-10, Prius Plug-In 2014-12</t>
        </is>
      </c>
      <c r="Y797" t="inlineStr">
        <is>
          <t>00082617822374</t>
        </is>
      </c>
      <c r="Z797" t="inlineStr">
        <is>
          <t>43-4053::98359:97881:292</t>
        </is>
      </c>
      <c r="AA797" t="inlineStr">
        <is>
          <t>Yes</t>
        </is>
      </c>
      <c r="AB797" t="inlineStr"/>
      <c r="AC797" t="inlineStr"/>
    </row>
    <row r="798">
      <c r="A798" t="inlineStr">
        <is>
          <t>797</t>
        </is>
      </c>
      <c r="B798" t="inlineStr">
        <is>
          <t>Windshield Wiper Motor</t>
        </is>
      </c>
      <c r="C798" t="inlineStr">
        <is>
          <t>43-4054</t>
        </is>
      </c>
      <c r="D798" t="inlineStr">
        <is>
          <t>Windshield Wiper Motor - 43-4054</t>
        </is>
      </c>
      <c r="E798" t="inlineStr">
        <is>
          <t>CARDONE Reman</t>
        </is>
      </c>
      <c r="F798" t="inlineStr">
        <is>
          <t>76505STKA01;76505STKA02</t>
        </is>
      </c>
      <c r="G798" t="inlineStr">
        <is>
          <t>Acura RDX 2007-2012</t>
        </is>
      </c>
      <c r="H798" t="inlineStr">
        <is>
          <t>Acura RDX 2007-2012 2.3L L4 2300cc</t>
        </is>
      </c>
      <c r="I798" t="inlineStr">
        <is>
          <t>{"0": {"productDeskExternalKey": "CPCX|43-4054"},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"Acura RDX 2012-07"}, "14": {"ItemLevelGTIN": "00082617838061"}, "15": {"_addonCardone": "43-4054::98359:97886:292"}, "16": {"Eligible for R&amp;R Service": "Yes"}}</t>
        </is>
      </c>
      <c r="J798" t="inlineStr">
        <is>
          <t>https://www.cardone.com/product/windshield-wiper-motor-43-4054</t>
        </is>
      </c>
      <c r="K798">
        <f>DISPIMG("ID_A147D333C50D44CD8DA5A3B959A0FD61",1)</f>
        <v/>
      </c>
      <c r="L798" t="inlineStr">
        <is>
          <t>CPCX|43-4054</t>
        </is>
      </c>
      <c r="M798" t="inlineStr">
        <is>
          <t>Wiper Motor; Instruction Sheet</t>
        </is>
      </c>
      <c r="N798" t="inlineStr">
        <is>
          <t>Yes</t>
        </is>
      </c>
      <c r="O798" t="inlineStr">
        <is>
          <t>Remanufactured</t>
        </is>
      </c>
      <c r="P798" t="inlineStr">
        <is>
          <t>3</t>
        </is>
      </c>
      <c r="Q798" t="inlineStr">
        <is>
          <t>Blade</t>
        </is>
      </c>
      <c r="R798" t="inlineStr">
        <is>
          <t>Direct Bolt</t>
        </is>
      </c>
      <c r="S798" t="inlineStr">
        <is>
          <t>3.0000</t>
        </is>
      </c>
      <c r="T798" t="inlineStr">
        <is>
          <t>No</t>
        </is>
      </c>
      <c r="U798" t="inlineStr">
        <is>
          <t>1 Year/18,000 Mile</t>
        </is>
      </c>
      <c r="V798" t="inlineStr">
        <is>
          <t>Yes</t>
        </is>
      </c>
      <c r="W798" t="inlineStr">
        <is>
          <t>Available to Order</t>
        </is>
      </c>
      <c r="X798" t="inlineStr">
        <is>
          <t>Acura RDX 2012-07</t>
        </is>
      </c>
      <c r="Y798" t="inlineStr">
        <is>
          <t>00082617838061</t>
        </is>
      </c>
      <c r="Z798" t="inlineStr">
        <is>
          <t>43-4054::98359:97886:292</t>
        </is>
      </c>
      <c r="AA798" t="inlineStr">
        <is>
          <t>Yes</t>
        </is>
      </c>
      <c r="AB798" t="inlineStr"/>
      <c r="AC798" t="inlineStr"/>
    </row>
    <row r="799">
      <c r="A799" t="inlineStr">
        <is>
          <t>798</t>
        </is>
      </c>
      <c r="B799" t="inlineStr">
        <is>
          <t>Windshield Wiper Motor</t>
        </is>
      </c>
      <c r="C799" t="inlineStr">
        <is>
          <t>43-4055</t>
        </is>
      </c>
      <c r="D799" t="inlineStr">
        <is>
          <t>Windshield Wiper Motor - 43-4055</t>
        </is>
      </c>
      <c r="E799" t="inlineStr">
        <is>
          <t>CARDONE Reman</t>
        </is>
      </c>
      <c r="F799" t="inlineStr">
        <is>
          <t>76710STKA01</t>
        </is>
      </c>
      <c r="G799" t="inlineStr">
        <is>
          <t>Acura RDX 2007-2012</t>
        </is>
      </c>
      <c r="H799" t="inlineStr">
        <is>
          <t>Acura RDX 2007-2012 2.3L L4 2300cc</t>
        </is>
      </c>
      <c r="I799" t="inlineStr">
        <is>
          <t>{"0": {"productDeskExternalKey": "CPCX|43-4055"}, "1": {"E-Waste": "Yes"}, "2": {"Product Condition": "Remanufactured"}, "3": {"Weight PG": "2.3000"}, "4": {"Part Type": "Windshield Wiper Motor"}, "5": {"Warranty Info": "1 Year/18,000 Mile"}, "6": {"Sustainable Choice": "Yes"}, "7": {"Lifecycle Status": "Available to Order"}, "8": {"Application Summary": "Acura RDX 2012-07"}, "9": {"ItemLevelGTIN": "00082617838078"}, "10": {"_addonCardone": "43-4055::98359:97901:292"}, "11": {"Eligible for R&amp;R Service": "Yes"}}</t>
        </is>
      </c>
      <c r="J799" t="inlineStr">
        <is>
          <t>https://www.cardone.com/product/windshield-wiper-motor-43-4055</t>
        </is>
      </c>
      <c r="K799">
        <f>DISPIMG("ID_E91A93DFEEF44246B4198C1FF34AA42F",1)</f>
        <v/>
      </c>
      <c r="L799" t="inlineStr">
        <is>
          <t>CPCX|43-4055</t>
        </is>
      </c>
      <c r="M799" t="inlineStr"/>
      <c r="N799" t="inlineStr">
        <is>
          <t>Yes</t>
        </is>
      </c>
      <c r="O799" t="inlineStr">
        <is>
          <t>Remanufactured</t>
        </is>
      </c>
      <c r="P799" t="inlineStr"/>
      <c r="Q799" t="inlineStr"/>
      <c r="R799" t="inlineStr"/>
      <c r="S799" t="inlineStr">
        <is>
          <t>2.3000</t>
        </is>
      </c>
      <c r="T799" t="inlineStr"/>
      <c r="U799" t="inlineStr">
        <is>
          <t>1 Year/18,000 Mile</t>
        </is>
      </c>
      <c r="V799" t="inlineStr">
        <is>
          <t>Yes</t>
        </is>
      </c>
      <c r="W799" t="inlineStr">
        <is>
          <t>Available to Order</t>
        </is>
      </c>
      <c r="X799" t="inlineStr">
        <is>
          <t>Acura RDX 2012-07</t>
        </is>
      </c>
      <c r="Y799" t="inlineStr">
        <is>
          <t>00082617838078</t>
        </is>
      </c>
      <c r="Z799" t="inlineStr">
        <is>
          <t>43-4055::98359:97901:292</t>
        </is>
      </c>
      <c r="AA799" t="inlineStr">
        <is>
          <t>Yes</t>
        </is>
      </c>
      <c r="AB799" t="inlineStr"/>
      <c r="AC799" t="inlineStr"/>
    </row>
    <row r="800">
      <c r="A800" t="inlineStr">
        <is>
          <t>799</t>
        </is>
      </c>
      <c r="B800" t="inlineStr">
        <is>
          <t>Windshield Wiper Motor</t>
        </is>
      </c>
      <c r="C800" t="inlineStr">
        <is>
          <t>43-4058</t>
        </is>
      </c>
      <c r="D800" t="inlineStr">
        <is>
          <t>Windshield Wiper Motor - 43-4058</t>
        </is>
      </c>
      <c r="E800" t="inlineStr">
        <is>
          <t>CARDONE Reman</t>
        </is>
      </c>
      <c r="F800" t="inlineStr">
        <is>
          <t>76505SLNA01</t>
        </is>
      </c>
      <c r="G800" t="inlineStr">
        <is>
          <t>Honda Fit 2007-2008</t>
        </is>
      </c>
      <c r="H800" t="inlineStr">
        <is>
          <t>Honda Fit 2007-2008 1.5L L4 1497cc</t>
        </is>
      </c>
      <c r="I800" t="inlineStr">
        <is>
          <t>{"0": {"productDeskExternalKey": "CPCX|43-4058"}, "1": {"Package Contents": "Wiper Motor; Instruction Sheet"}, "2": {"E-Waste": "Yes"}, "3": {"Product Condition": "Remanufactured"}, "4": {"Mounting Hole Quantity": "3"}, "5": {"Terminal Type": "Blade"}, "6": {"Mounting Type": "Direct Bolt; Eyelet"}, "7": {"Weight PG": "3.0000"}, "8": {"Washer Pump Included": "No"}, "9": {"Part Type": "Windshield Wiper Motor"}, "10": {"Warranty Info": "1 Year/18,000 Mile"}, "11": {"Sustainable Choice": "Yes"}, "12": {"Lifecycle Status": "Available to Order"}, "13": {"Application Summary": "Honda Fit 2008-07"}, "14": {"ItemLevelGTIN": "00082617853590"}, "15": {"_addonCardone": "43-4058::98359:98155:292"}, "16": {"Eligible for R&amp;R Service": "Yes"}}</t>
        </is>
      </c>
      <c r="J800" t="inlineStr">
        <is>
          <t>https://www.cardone.com/product/windshield-wiper-motor-43-4058</t>
        </is>
      </c>
      <c r="K800">
        <f>DISPIMG("ID_ED63901A4843414BB0D619FEED2D63B6",1)</f>
        <v/>
      </c>
      <c r="L800" t="inlineStr">
        <is>
          <t>CPCX|43-4058</t>
        </is>
      </c>
      <c r="M800" t="inlineStr">
        <is>
          <t>Wiper Motor; Instruction Sheet</t>
        </is>
      </c>
      <c r="N800" t="inlineStr">
        <is>
          <t>Yes</t>
        </is>
      </c>
      <c r="O800" t="inlineStr">
        <is>
          <t>Remanufactured</t>
        </is>
      </c>
      <c r="P800" t="inlineStr">
        <is>
          <t>3</t>
        </is>
      </c>
      <c r="Q800" t="inlineStr">
        <is>
          <t>Blade</t>
        </is>
      </c>
      <c r="R800" t="inlineStr">
        <is>
          <t>Direct Bolt; Eyelet</t>
        </is>
      </c>
      <c r="S800" t="inlineStr">
        <is>
          <t>3.0000</t>
        </is>
      </c>
      <c r="T800" t="inlineStr">
        <is>
          <t>No</t>
        </is>
      </c>
      <c r="U800" t="inlineStr">
        <is>
          <t>1 Year/18,000 Mile</t>
        </is>
      </c>
      <c r="V800" t="inlineStr">
        <is>
          <t>Yes</t>
        </is>
      </c>
      <c r="W800" t="inlineStr">
        <is>
          <t>Available to Order</t>
        </is>
      </c>
      <c r="X800" t="inlineStr">
        <is>
          <t>Honda Fit 2008-07</t>
        </is>
      </c>
      <c r="Y800" t="inlineStr">
        <is>
          <t>00082617853590</t>
        </is>
      </c>
      <c r="Z800" t="inlineStr">
        <is>
          <t>43-4058::98359:98155:292</t>
        </is>
      </c>
      <c r="AA800" t="inlineStr">
        <is>
          <t>Yes</t>
        </is>
      </c>
      <c r="AB800" t="inlineStr"/>
      <c r="AC800" t="inlineStr"/>
    </row>
    <row r="801">
      <c r="A801" t="inlineStr">
        <is>
          <t>800</t>
        </is>
      </c>
      <c r="B801" t="inlineStr">
        <is>
          <t>Windshield Wiper Motor</t>
        </is>
      </c>
      <c r="C801" t="inlineStr">
        <is>
          <t>43-4059</t>
        </is>
      </c>
      <c r="D801" t="inlineStr">
        <is>
          <t>Windshield Wiper Motor - 43-4059</t>
        </is>
      </c>
      <c r="E801" t="inlineStr">
        <is>
          <t>CARDONE Reman</t>
        </is>
      </c>
      <c r="F801" t="inlineStr">
        <is>
          <t>76505SJCA01;76505SJCA02</t>
        </is>
      </c>
      <c r="G801" t="inlineStr"/>
      <c r="H801" t="inlineStr"/>
      <c r="I801" t="inlineStr">
        <is>
          <t>{"0": {"productDeskExternalKey": "CPCX|43-4059"}, "1": {"Package Contents": "Wiper Motor; Instruction Sheet"}, "2": {"E-Waste": "Yes"}, "3": {"Product Condition": "Remanufactured"}, "4": {"Mounting Hole Quantity": "3"}, "5": {"Terminal Type": "Blade"}, "6": {"Mounting Type": "Direct Bolt; Grommet"}, "7": {"Weight PG": "3.3500"}, "8": {"Washer Pump Included": "No"}, "9": {"Part Type": "Windshield Wiper Motor"}, "10": {"Warranty Info": "1 Year/18,000 Mile"}, "11": {"Sustainable Choice": "Yes"}, "12": {"Lifecycle Status": "Available to Order"}, "13": {"Application Summary": "Honda Ridgeline 2014-06"}, "14": {"ItemLevelGTIN": "00082617853606"}, "15": {"_addonCardone": "43-4059::98359:98164:292"}, "16": {"Eligible for R&amp;R Service": "Yes"}}</t>
        </is>
      </c>
      <c r="J801" t="inlineStr">
        <is>
          <t>https://www.cardone.com/product/windshield-wiper-motor-43-4059</t>
        </is>
      </c>
      <c r="K801">
        <f>DISPIMG("ID_7CC15D83100E4166AD738B0307EE4379",1)</f>
        <v/>
      </c>
      <c r="L801" t="inlineStr">
        <is>
          <t>CPCX|43-4059</t>
        </is>
      </c>
      <c r="M801" t="inlineStr">
        <is>
          <t>Wiper Motor; Instruction Sheet</t>
        </is>
      </c>
      <c r="N801" t="inlineStr">
        <is>
          <t>Yes</t>
        </is>
      </c>
      <c r="O801" t="inlineStr">
        <is>
          <t>Remanufactured</t>
        </is>
      </c>
      <c r="P801" t="inlineStr">
        <is>
          <t>3</t>
        </is>
      </c>
      <c r="Q801" t="inlineStr">
        <is>
          <t>Blade</t>
        </is>
      </c>
      <c r="R801" t="inlineStr">
        <is>
          <t>Direct Bolt; Grommet</t>
        </is>
      </c>
      <c r="S801" t="inlineStr">
        <is>
          <t>3.3500</t>
        </is>
      </c>
      <c r="T801" t="inlineStr">
        <is>
          <t>No</t>
        </is>
      </c>
      <c r="U801" t="inlineStr">
        <is>
          <t>1 Year/18,000 Mile</t>
        </is>
      </c>
      <c r="V801" t="inlineStr">
        <is>
          <t>Yes</t>
        </is>
      </c>
      <c r="W801" t="inlineStr">
        <is>
          <t>Available to Order</t>
        </is>
      </c>
      <c r="X801" t="inlineStr">
        <is>
          <t>Honda Ridgeline 2014-06</t>
        </is>
      </c>
      <c r="Y801" t="inlineStr">
        <is>
          <t>00082617853606</t>
        </is>
      </c>
      <c r="Z801" t="inlineStr">
        <is>
          <t>43-4059::98359:98164:292</t>
        </is>
      </c>
      <c r="AA801" t="inlineStr">
        <is>
          <t>Yes</t>
        </is>
      </c>
      <c r="AB801" t="inlineStr"/>
      <c r="AC801" t="inlineStr"/>
    </row>
    <row r="802">
      <c r="A802" t="inlineStr">
        <is>
          <t>801</t>
        </is>
      </c>
      <c r="B802" t="inlineStr">
        <is>
          <t>Windshield Wiper Motor</t>
        </is>
      </c>
      <c r="C802" t="inlineStr">
        <is>
          <t>43-4060</t>
        </is>
      </c>
      <c r="D802" t="inlineStr">
        <is>
          <t>Windshield Wiper Motor - 43-4060</t>
        </is>
      </c>
      <c r="E802" t="inlineStr">
        <is>
          <t>CARDONE Reman</t>
        </is>
      </c>
      <c r="F802" t="inlineStr">
        <is>
          <t>76710SAA014</t>
        </is>
      </c>
      <c r="G802" t="inlineStr">
        <is>
          <t>Honda Fit 2007-2008</t>
        </is>
      </c>
      <c r="H802" t="inlineStr">
        <is>
          <t>Honda Fit 2007-2008 1.5L L4 1497cc</t>
        </is>
      </c>
      <c r="I802" t="inlineStr">
        <is>
          <t>{"0": {"productDeskExternalKey": "CPCX|43-4060"}, "1": {"Package Contents": "Wiper Motor; Instruction Sheet"}, "2": {"E-Waste": "Yes"}, "3": {"Product Condition": "Remanufactured"}, "4": {"Mounting Hole Quantity": "3"}, "5": {"Terminal Type": "Blade"}, "6": {"Mounting Type": "Direct Bolt; Eyelet"}, "7": {"Weight PG": "2.0500"}, "8": {"Washer Pump Included": "No"}, "9": {"Part Type": "Windshield Wiper Motor"}, "10": {"Warranty Info": "1 Year/18,000 Mile"}, "11": {"Sustainable Choice": "Yes"}, "12": {"Lifecycle Status": "Available to Order"}, "13": {"Application Summary": "Honda Fit 2008-07"}, "14": {"ItemLevelGTIN": "00082617853620"}, "15": {"_addonCardone": "43-4060::98359:98175:292"}, "16": {"Eligible for R&amp;R Service": "Yes"}}</t>
        </is>
      </c>
      <c r="J802" t="inlineStr">
        <is>
          <t>https://www.cardone.com/product/windshield-wiper-motor-43-4060</t>
        </is>
      </c>
      <c r="K802">
        <f>DISPIMG("ID_98FA8DBBC3E64D24A9252A99F631EA20",1)</f>
        <v/>
      </c>
      <c r="L802" t="inlineStr">
        <is>
          <t>CPCX|43-4060</t>
        </is>
      </c>
      <c r="M802" t="inlineStr">
        <is>
          <t>Wiper Motor; Instruction Sheet</t>
        </is>
      </c>
      <c r="N802" t="inlineStr">
        <is>
          <t>Yes</t>
        </is>
      </c>
      <c r="O802" t="inlineStr">
        <is>
          <t>Remanufactured</t>
        </is>
      </c>
      <c r="P802" t="inlineStr">
        <is>
          <t>3</t>
        </is>
      </c>
      <c r="Q802" t="inlineStr">
        <is>
          <t>Blade</t>
        </is>
      </c>
      <c r="R802" t="inlineStr">
        <is>
          <t>Direct Bolt; Eyelet</t>
        </is>
      </c>
      <c r="S802" t="inlineStr">
        <is>
          <t>2.0500</t>
        </is>
      </c>
      <c r="T802" t="inlineStr">
        <is>
          <t>No</t>
        </is>
      </c>
      <c r="U802" t="inlineStr">
        <is>
          <t>1 Year/18,000 Mile</t>
        </is>
      </c>
      <c r="V802" t="inlineStr">
        <is>
          <t>Yes</t>
        </is>
      </c>
      <c r="W802" t="inlineStr">
        <is>
          <t>Available to Order</t>
        </is>
      </c>
      <c r="X802" t="inlineStr">
        <is>
          <t>Honda Fit 2008-07</t>
        </is>
      </c>
      <c r="Y802" t="inlineStr">
        <is>
          <t>00082617853620</t>
        </is>
      </c>
      <c r="Z802" t="inlineStr">
        <is>
          <t>43-4060::98359:98175:292</t>
        </is>
      </c>
      <c r="AA802" t="inlineStr">
        <is>
          <t>Yes</t>
        </is>
      </c>
      <c r="AB802" t="inlineStr"/>
      <c r="AC802" t="inlineStr"/>
    </row>
    <row r="803">
      <c r="A803" t="inlineStr">
        <is>
          <t>802</t>
        </is>
      </c>
      <c r="B803" t="inlineStr">
        <is>
          <t>Windshield Wiper Motor</t>
        </is>
      </c>
      <c r="C803" t="inlineStr">
        <is>
          <t>43-4064</t>
        </is>
      </c>
      <c r="D803" t="inlineStr">
        <is>
          <t>Windshield Wiper Motor - 43-4064</t>
        </is>
      </c>
      <c r="E803" t="inlineStr">
        <is>
          <t>CARDONE Reman</t>
        </is>
      </c>
      <c r="F803" t="inlineStr">
        <is>
          <t>76505STXA01</t>
        </is>
      </c>
      <c r="G803" t="inlineStr">
        <is>
          <t>Acura MDX 2007-2013</t>
        </is>
      </c>
      <c r="H803" t="inlineStr">
        <is>
          <t>Acura MDX 2007-2013 3.7L V6 3664cc</t>
        </is>
      </c>
      <c r="I803" t="inlineStr">
        <is>
          <t>{"0": {"productDeskExternalKey": "CPCX|43-4064"}, "1": {"Package Contents": "Wiper Motor; Instruction Sheet"}, "2": {"E-Waste": "Yes"}, "3": {"Product Condition": "Remanufactured"}, "4": {"Mounting Hole Quantity": "3"}, "5": {"Terminal Type": "Blade"}, "6": {"Mounting Type": "Direct Bolt; Grommet"}, "7": {"Weight PG": "2.8400"}, "8": {"Washer Pump Included": "No"}, "9": {"Part Type": "Windshield Wiper Motor"}, "10": {"Warranty Info": "1 Year/18,000 Mile"}, "11": {"Sustainable Choice": "Yes"}, "12": {"Lifecycle Status": "Available to Order"}, "13": {"Application Summary": "Acura MDX 2013-07"}, "14": {"ItemLevelGTIN": "00082617884099"}, "15": {"_addonCardone": "43-4064::98359:98182:292"}, "16": {"Eligible for R&amp;R Service": "Yes"}}</t>
        </is>
      </c>
      <c r="J803" t="inlineStr">
        <is>
          <t>https://www.cardone.com/product/windshield-wiper-motor-43-4064</t>
        </is>
      </c>
      <c r="K803">
        <f>DISPIMG("ID_81A3C7A555D84D05AB73E87F7760A938",1)</f>
        <v/>
      </c>
      <c r="L803" t="inlineStr">
        <is>
          <t>CPCX|43-4064</t>
        </is>
      </c>
      <c r="M803" t="inlineStr">
        <is>
          <t>Wiper Motor; Instruction Sheet</t>
        </is>
      </c>
      <c r="N803" t="inlineStr">
        <is>
          <t>Yes</t>
        </is>
      </c>
      <c r="O803" t="inlineStr">
        <is>
          <t>Remanufactured</t>
        </is>
      </c>
      <c r="P803" t="inlineStr">
        <is>
          <t>3</t>
        </is>
      </c>
      <c r="Q803" t="inlineStr">
        <is>
          <t>Blade</t>
        </is>
      </c>
      <c r="R803" t="inlineStr">
        <is>
          <t>Direct Bolt; Grommet</t>
        </is>
      </c>
      <c r="S803" t="inlineStr">
        <is>
          <t>2.8400</t>
        </is>
      </c>
      <c r="T803" t="inlineStr">
        <is>
          <t>No</t>
        </is>
      </c>
      <c r="U803" t="inlineStr">
        <is>
          <t>1 Year/18,000 Mile</t>
        </is>
      </c>
      <c r="V803" t="inlineStr">
        <is>
          <t>Yes</t>
        </is>
      </c>
      <c r="W803" t="inlineStr">
        <is>
          <t>Available to Order</t>
        </is>
      </c>
      <c r="X803" t="inlineStr">
        <is>
          <t>Acura MDX 2013-07</t>
        </is>
      </c>
      <c r="Y803" t="inlineStr">
        <is>
          <t>00082617884099</t>
        </is>
      </c>
      <c r="Z803" t="inlineStr">
        <is>
          <t>43-4064::98359:98182:292</t>
        </is>
      </c>
      <c r="AA803" t="inlineStr">
        <is>
          <t>Yes</t>
        </is>
      </c>
      <c r="AB803" t="inlineStr"/>
      <c r="AC803" t="inlineStr"/>
    </row>
    <row r="804">
      <c r="A804" t="inlineStr">
        <is>
          <t>803</t>
        </is>
      </c>
      <c r="B804" t="inlineStr">
        <is>
          <t>Windshield Wiper Motor</t>
        </is>
      </c>
      <c r="C804" t="inlineStr">
        <is>
          <t>43-4065</t>
        </is>
      </c>
      <c r="D804" t="inlineStr">
        <is>
          <t>Windshield Wiper Motor - 43-4065</t>
        </is>
      </c>
      <c r="E804" t="inlineStr">
        <is>
          <t>CARDONE Reman</t>
        </is>
      </c>
      <c r="F804" t="inlineStr">
        <is>
          <t>76700STXA01</t>
        </is>
      </c>
      <c r="G804" t="inlineStr">
        <is>
          <t>Acura MDX 2007-2013</t>
        </is>
      </c>
      <c r="H804" t="inlineStr">
        <is>
          <t>Acura MDX 2007-2013 3.7L V6 3664cc</t>
        </is>
      </c>
      <c r="I804" t="inlineStr">
        <is>
          <t>{"0": {"productDeskExternalKey": "CPCX|43-4065"}, "1": {"Package Contents": "Wiper Motor; Instruction Sheet"}, "2": {"E-Waste": "Yes"}, "3": {"Product Condition": "Remanufactured"}, "4": {"Mounting Hole Quantity": "3"}, "5": {"Terminal Type": "Blade"}, "6": {"Mounting Type": "Eyelet; Grommet"}, "7": {"Weight PG": "3.0000"}, "8": {"Washer Pump Included": "No"}, "9": {"Part Type": "Windshield Wiper Motor"}, "10": {"Warranty Info": "1 Year/18,000 Mile"}, "11": {"Sustainable Choice": "Yes"}, "12": {"Lifecycle Status": "Available to Order"}, "13": {"Application Summary": "Acura MDX 2013-07"}, "14": {"ItemLevelGTIN": "00082617884082"}, "15": {"_addonCardone": "43-4065::98359:98192:292"}, "16": {"Eligible for R&amp;R Service": "Yes"}}</t>
        </is>
      </c>
      <c r="J804" t="inlineStr">
        <is>
          <t>https://www.cardone.com/product/windshield-wiper-motor-43-4065</t>
        </is>
      </c>
      <c r="K804">
        <f>DISPIMG("ID_F28CE972DCDE406EB52EAC9320B240E3",1)</f>
        <v/>
      </c>
      <c r="L804" t="inlineStr">
        <is>
          <t>CPCX|43-4065</t>
        </is>
      </c>
      <c r="M804" t="inlineStr">
        <is>
          <t>Wiper Motor; Instruction Sheet</t>
        </is>
      </c>
      <c r="N804" t="inlineStr">
        <is>
          <t>Yes</t>
        </is>
      </c>
      <c r="O804" t="inlineStr">
        <is>
          <t>Remanufactured</t>
        </is>
      </c>
      <c r="P804" t="inlineStr">
        <is>
          <t>3</t>
        </is>
      </c>
      <c r="Q804" t="inlineStr">
        <is>
          <t>Blade</t>
        </is>
      </c>
      <c r="R804" t="inlineStr">
        <is>
          <t>Eyelet; Grommet</t>
        </is>
      </c>
      <c r="S804" t="inlineStr">
        <is>
          <t>3.0000</t>
        </is>
      </c>
      <c r="T804" t="inlineStr">
        <is>
          <t>No</t>
        </is>
      </c>
      <c r="U804" t="inlineStr">
        <is>
          <t>1 Year/18,000 Mile</t>
        </is>
      </c>
      <c r="V804" t="inlineStr">
        <is>
          <t>Yes</t>
        </is>
      </c>
      <c r="W804" t="inlineStr">
        <is>
          <t>Available to Order</t>
        </is>
      </c>
      <c r="X804" t="inlineStr">
        <is>
          <t>Acura MDX 2013-07</t>
        </is>
      </c>
      <c r="Y804" t="inlineStr">
        <is>
          <t>00082617884082</t>
        </is>
      </c>
      <c r="Z804" t="inlineStr">
        <is>
          <t>43-4065::98359:98192:292</t>
        </is>
      </c>
      <c r="AA804" t="inlineStr">
        <is>
          <t>Yes</t>
        </is>
      </c>
      <c r="AB804" t="inlineStr"/>
      <c r="AC804" t="inlineStr"/>
    </row>
    <row r="805">
      <c r="A805" t="inlineStr">
        <is>
          <t>804</t>
        </is>
      </c>
      <c r="B805" t="inlineStr">
        <is>
          <t>Windshield Wiper Motor</t>
        </is>
      </c>
      <c r="C805" t="inlineStr">
        <is>
          <t>43-4066</t>
        </is>
      </c>
      <c r="D805" t="inlineStr">
        <is>
          <t>Windshield Wiper Motor - 43-4066</t>
        </is>
      </c>
      <c r="E805" t="inlineStr">
        <is>
          <t>CARDONE Reman</t>
        </is>
      </c>
      <c r="F805" t="inlineStr">
        <is>
          <t>76700SZAA01</t>
        </is>
      </c>
      <c r="G805" t="inlineStr"/>
      <c r="H805" t="inlineStr"/>
      <c r="I805" t="inlineStr">
        <is>
          <t>{"0": {"productDeskExternalKey": "CPCX|43-4066"}, "1": {"Package Contents": "Wiper Motor; Instruction Sheet"}, "2": {"E-Waste": "Yes"}, "3": {"Product Condition": "Remanufactured"}, "4": {"Mounting Hole Quantity": "3"}, "5": {"Terminal Type": "Blade"}, "6": {"Mounting Type": "Grommet"}, "7": {"Weight PG": "1.9000"}, "8": {"Washer Pump Included": "No"}, "9": {"Part Type": "Windshield Wiper Motor"}, "10": {"Warranty Info": "1 Year/18,000 Mile"}, "11": {"Sustainable Choice": "Yes"}, "12": {"Lifecycle Status": "Available to Order"}, "13": {"Application Summary": "Honda Pilot 2015-09"}, "14": {"ItemLevelGTIN": "00082617891059"}, "15": {"_addonCardone": "43-4066::98359:98201:292"}, "16": {"Eligible for R&amp;R Service": "Yes"}}</t>
        </is>
      </c>
      <c r="J805" t="inlineStr">
        <is>
          <t>https://www.cardone.com/product/windshield-wiper-motor-43-4066</t>
        </is>
      </c>
      <c r="K805">
        <f>DISPIMG("ID_97EC2045DFC34794AA1D1B8EB6D17887",1)</f>
        <v/>
      </c>
      <c r="L805" t="inlineStr">
        <is>
          <t>CPCX|43-4066</t>
        </is>
      </c>
      <c r="M805" t="inlineStr">
        <is>
          <t>Wiper Motor; Instruction Sheet</t>
        </is>
      </c>
      <c r="N805" t="inlineStr">
        <is>
          <t>Yes</t>
        </is>
      </c>
      <c r="O805" t="inlineStr">
        <is>
          <t>Remanufactured</t>
        </is>
      </c>
      <c r="P805" t="inlineStr">
        <is>
          <t>3</t>
        </is>
      </c>
      <c r="Q805" t="inlineStr">
        <is>
          <t>Blade</t>
        </is>
      </c>
      <c r="R805" t="inlineStr">
        <is>
          <t>Grommet</t>
        </is>
      </c>
      <c r="S805" t="inlineStr">
        <is>
          <t>1.9000</t>
        </is>
      </c>
      <c r="T805" t="inlineStr">
        <is>
          <t>No</t>
        </is>
      </c>
      <c r="U805" t="inlineStr">
        <is>
          <t>1 Year/18,000 Mile</t>
        </is>
      </c>
      <c r="V805" t="inlineStr">
        <is>
          <t>Yes</t>
        </is>
      </c>
      <c r="W805" t="inlineStr">
        <is>
          <t>Available to Order</t>
        </is>
      </c>
      <c r="X805" t="inlineStr">
        <is>
          <t>Honda Pilot 2015-09</t>
        </is>
      </c>
      <c r="Y805" t="inlineStr">
        <is>
          <t>00082617891059</t>
        </is>
      </c>
      <c r="Z805" t="inlineStr">
        <is>
          <t>43-4066::98359:98201:292</t>
        </is>
      </c>
      <c r="AA805" t="inlineStr">
        <is>
          <t>Yes</t>
        </is>
      </c>
      <c r="AB805" t="inlineStr"/>
      <c r="AC805" t="inlineStr"/>
    </row>
    <row r="806">
      <c r="A806" t="inlineStr">
        <is>
          <t>805</t>
        </is>
      </c>
      <c r="B806" t="inlineStr">
        <is>
          <t>Windshield Wiper Motor</t>
        </is>
      </c>
      <c r="C806" t="inlineStr">
        <is>
          <t>43-4067</t>
        </is>
      </c>
      <c r="D806" t="inlineStr">
        <is>
          <t>Windshield Wiper Motor - 43-4067</t>
        </is>
      </c>
      <c r="E806" t="inlineStr">
        <is>
          <t>CARDONE Reman</t>
        </is>
      </c>
      <c r="F806" t="inlineStr">
        <is>
          <t>76710TF0003</t>
        </is>
      </c>
      <c r="G806" t="inlineStr">
        <is>
          <t>Honda Fit 2009-2014</t>
        </is>
      </c>
      <c r="H806" t="inlineStr">
        <is>
          <t>Honda Fit 2009-2014 1.5L L4 1497cc
Honda Fit 2013-2014</t>
        </is>
      </c>
      <c r="I806" t="inlineStr">
        <is>
          <t>{"0": {"productDeskExternalKey": "CPCX|43-4067"}, "1": {"Package Contents": "Wiper Motor; Instruction Sheet"}, "2": {"E-Waste": "Yes"}, "3": {"Product Condition": "Remanufactured"}, "4": {"Mounting Hole Quantity": "3"}, "5": {"Terminal Type": "Blade"}, "6": {"Mounting Type": "Through Hole"}, "7": {"Weight PG": "1.9000"}, "8": {"Washer Pump Included": "No"}, "9": {"Part Type": "Windshield Wiper Motor"}, "10": {"Warranty Info": "1 Year/18,000 Mile"}, "11": {"Sustainable Choice": "Yes"}, "12": {"Lifecycle Status": "Available to Order"}, "13": {"Application Summary": "Honda Fit 2014-09"}, "14": {"ItemLevelGTIN": "00082617892391"}, "15": {"_addonCardone": "43-4067::98359:98208:292"}, "16": {"Eligible for R&amp;R Service": "Yes"}}</t>
        </is>
      </c>
      <c r="J806" t="inlineStr">
        <is>
          <t>https://www.cardone.com/product/windshield-wiper-motor-43-4067</t>
        </is>
      </c>
      <c r="K806">
        <f>DISPIMG("ID_75871405FB5C44D8B270A172F5B983F5",1)</f>
        <v/>
      </c>
      <c r="L806" t="inlineStr">
        <is>
          <t>CPCX|43-4067</t>
        </is>
      </c>
      <c r="M806" t="inlineStr">
        <is>
          <t>Wiper Motor; Instruction Sheet</t>
        </is>
      </c>
      <c r="N806" t="inlineStr">
        <is>
          <t>Yes</t>
        </is>
      </c>
      <c r="O806" t="inlineStr">
        <is>
          <t>Remanufactured</t>
        </is>
      </c>
      <c r="P806" t="inlineStr">
        <is>
          <t>3</t>
        </is>
      </c>
      <c r="Q806" t="inlineStr">
        <is>
          <t>Blade</t>
        </is>
      </c>
      <c r="R806" t="inlineStr">
        <is>
          <t>Through Hole</t>
        </is>
      </c>
      <c r="S806" t="inlineStr">
        <is>
          <t>1.9000</t>
        </is>
      </c>
      <c r="T806" t="inlineStr">
        <is>
          <t>No</t>
        </is>
      </c>
      <c r="U806" t="inlineStr">
        <is>
          <t>1 Year/18,000 Mile</t>
        </is>
      </c>
      <c r="V806" t="inlineStr">
        <is>
          <t>Yes</t>
        </is>
      </c>
      <c r="W806" t="inlineStr">
        <is>
          <t>Available to Order</t>
        </is>
      </c>
      <c r="X806" t="inlineStr">
        <is>
          <t>Honda Fit 2014-09</t>
        </is>
      </c>
      <c r="Y806" t="inlineStr">
        <is>
          <t>00082617892391</t>
        </is>
      </c>
      <c r="Z806" t="inlineStr">
        <is>
          <t>43-4067::98359:98208:292</t>
        </is>
      </c>
      <c r="AA806" t="inlineStr">
        <is>
          <t>Yes</t>
        </is>
      </c>
      <c r="AB806" t="inlineStr"/>
      <c r="AC806" t="inlineStr"/>
    </row>
    <row r="807">
      <c r="A807" t="inlineStr">
        <is>
          <t>806</t>
        </is>
      </c>
      <c r="B807" t="inlineStr">
        <is>
          <t>Windshield Wiper Motor</t>
        </is>
      </c>
      <c r="C807" t="inlineStr">
        <is>
          <t>43-4068</t>
        </is>
      </c>
      <c r="D807" t="inlineStr">
        <is>
          <t>Windshield Wiper Motor - 43-4068</t>
        </is>
      </c>
      <c r="E807" t="inlineStr">
        <is>
          <t>CARDONE Reman</t>
        </is>
      </c>
      <c r="F807" t="inlineStr">
        <is>
          <t>76505TK4A01;76505SWAA02</t>
        </is>
      </c>
      <c r="G807" t="inlineStr">
        <is>
          <t>Acura TL 2009-2014
Honda CR-V 2010-2011</t>
        </is>
      </c>
      <c r="H807" t="inlineStr">
        <is>
          <t>Acura TL 2009-2014 3.5L V6 3471cc
Acura TL 2009-2014 3.7L V6 3664cc
Honda CR-V 2010-2011 2.4L L4 144cid</t>
        </is>
      </c>
      <c r="I807" t="inlineStr">
        <is>
          <t>{"0": {"productDeskExternalKey": "CPCX|43-4068"},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"Acura TL 2014-09; Honda CR-V 2011-10, Pilot 2015-09"}, "14": {"ItemLevelGTIN": "00082617894630"}, "15": {"_addonCardone": "43-4068::98359:98216:292"}, "16": {"Eligible for R&amp;R Service": "Yes"}}</t>
        </is>
      </c>
      <c r="J807" t="inlineStr">
        <is>
          <t>https://www.cardone.com/product/windshield-wiper-motor-43-4068</t>
        </is>
      </c>
      <c r="K807">
        <f>DISPIMG("ID_CCE8008E98934CB6BB64C11B4D106A65",1)</f>
        <v/>
      </c>
      <c r="L807" t="inlineStr">
        <is>
          <t>CPCX|43-4068</t>
        </is>
      </c>
      <c r="M807" t="inlineStr">
        <is>
          <t>Wiper Motor; Instruction Sheet</t>
        </is>
      </c>
      <c r="N807" t="inlineStr">
        <is>
          <t>Yes</t>
        </is>
      </c>
      <c r="O807" t="inlineStr">
        <is>
          <t>Remanufactured</t>
        </is>
      </c>
      <c r="P807" t="inlineStr">
        <is>
          <t>3</t>
        </is>
      </c>
      <c r="Q807" t="inlineStr">
        <is>
          <t>Blade</t>
        </is>
      </c>
      <c r="R807" t="inlineStr">
        <is>
          <t>Direct Bolt</t>
        </is>
      </c>
      <c r="S807" t="inlineStr">
        <is>
          <t>3.0000</t>
        </is>
      </c>
      <c r="T807" t="inlineStr">
        <is>
          <t>No</t>
        </is>
      </c>
      <c r="U807" t="inlineStr">
        <is>
          <t>1 Year/18,000 Mile</t>
        </is>
      </c>
      <c r="V807" t="inlineStr">
        <is>
          <t>Yes</t>
        </is>
      </c>
      <c r="W807" t="inlineStr">
        <is>
          <t>Available to Order</t>
        </is>
      </c>
      <c r="X807" t="inlineStr">
        <is>
          <t>Acura TL 2014-09; Honda CR-V 2011-10, Pilot 2015-09</t>
        </is>
      </c>
      <c r="Y807" t="inlineStr">
        <is>
          <t>00082617894630</t>
        </is>
      </c>
      <c r="Z807" t="inlineStr">
        <is>
          <t>43-4068::98359:98216:292</t>
        </is>
      </c>
      <c r="AA807" t="inlineStr">
        <is>
          <t>Yes</t>
        </is>
      </c>
      <c r="AB807" t="inlineStr"/>
      <c r="AC807" t="inlineStr"/>
    </row>
    <row r="808">
      <c r="A808" t="inlineStr">
        <is>
          <t>807</t>
        </is>
      </c>
      <c r="B808" t="inlineStr">
        <is>
          <t>Windshield Wiper Motor</t>
        </is>
      </c>
      <c r="C808" t="inlineStr">
        <is>
          <t>43-4069</t>
        </is>
      </c>
      <c r="D808" t="inlineStr">
        <is>
          <t>Windshield Wiper Motor - 43-4069</t>
        </is>
      </c>
      <c r="E808" t="inlineStr">
        <is>
          <t>CARDONE Reman</t>
        </is>
      </c>
      <c r="F808" t="inlineStr">
        <is>
          <t>76710TP6A01</t>
        </is>
      </c>
      <c r="G808" t="inlineStr">
        <is>
          <t>Honda Accord Crosstour 2010-2011
Honda CR-Z 2014-2015
Honda Crosstour 2012-2015</t>
        </is>
      </c>
      <c r="H808" t="inlineStr">
        <is>
          <t>Honda Accord Crosstour 2010-2011 3.5L V6 3471cc
Honda CR-Z 2014-2015 1.5L L4 1497cc
Honda Crosstour 2012-2015 2.4L L4 144cid
Honda Crosstour 2012-2015 3.5L V6 3471cc</t>
        </is>
      </c>
      <c r="I808" t="inlineStr">
        <is>
          <t>{"0": {"productDeskExternalKey": "CPCX|43-4069"}, "1": {"Package Contents": "Wiper Motor; Instruction Sheet"}, "2": {"E-Waste": "Yes"}, "3": {"Product Condition": "Remanufactured"}, "4": {"Mounting Hole Quantity": "3"}, "5": {"Terminal Type": "Blade"}, "6": {"Mounting Type": "Direct Bolt; Grommet"}, "7": {"Weight PG": "2.1000"}, "8": {"Washer Pump Included": "No"}, "9": {"Part Type": "Windshield Wiper Motor"}, "10": {"Warranty Info": "1 Year/18,000 Mile"}, "11": {"Sustainable Choice": "Yes"}, "12": {"Lifecycle Status": "Available to Order"}, "13": {"Application Summary": "Honda Accord Crosstour 2011-10, Crosstour 2015-12, CR-Z 2015-14"}, "14": {"ItemLevelGTIN": "00082617967143"}, "15": {"_addonCardone": "43-4069::98359:98225:292"}, "16": {"Eligible for R&amp;R Service": "Yes"}}</t>
        </is>
      </c>
      <c r="J808" t="inlineStr">
        <is>
          <t>https://www.cardone.com/product/windshield-wiper-motor-43-4069</t>
        </is>
      </c>
      <c r="K808">
        <f>DISPIMG("ID_28753ED31CBB4F4CB93287E9D9B842CD",1)</f>
        <v/>
      </c>
      <c r="L808" t="inlineStr">
        <is>
          <t>CPCX|43-4069</t>
        </is>
      </c>
      <c r="M808" t="inlineStr">
        <is>
          <t>Wiper Motor; Instruction Sheet</t>
        </is>
      </c>
      <c r="N808" t="inlineStr">
        <is>
          <t>Yes</t>
        </is>
      </c>
      <c r="O808" t="inlineStr">
        <is>
          <t>Remanufactured</t>
        </is>
      </c>
      <c r="P808" t="inlineStr">
        <is>
          <t>3</t>
        </is>
      </c>
      <c r="Q808" t="inlineStr">
        <is>
          <t>Blade</t>
        </is>
      </c>
      <c r="R808" t="inlineStr">
        <is>
          <t>Direct Bolt; Grommet</t>
        </is>
      </c>
      <c r="S808" t="inlineStr">
        <is>
          <t>2.1000</t>
        </is>
      </c>
      <c r="T808" t="inlineStr">
        <is>
          <t>No</t>
        </is>
      </c>
      <c r="U808" t="inlineStr">
        <is>
          <t>1 Year/18,000 Mile</t>
        </is>
      </c>
      <c r="V808" t="inlineStr">
        <is>
          <t>Yes</t>
        </is>
      </c>
      <c r="W808" t="inlineStr">
        <is>
          <t>Available to Order</t>
        </is>
      </c>
      <c r="X808" t="inlineStr">
        <is>
          <t>Honda Accord Crosstour 2011-10, Crosstour 2015-12, CR-Z 2015-14</t>
        </is>
      </c>
      <c r="Y808" t="inlineStr">
        <is>
          <t>00082617967143</t>
        </is>
      </c>
      <c r="Z808" t="inlineStr">
        <is>
          <t>43-4069::98359:98225:292</t>
        </is>
      </c>
      <c r="AA808" t="inlineStr">
        <is>
          <t>Yes</t>
        </is>
      </c>
      <c r="AB808" t="inlineStr"/>
      <c r="AC808" t="inlineStr"/>
    </row>
    <row r="809">
      <c r="A809" t="inlineStr">
        <is>
          <t>808</t>
        </is>
      </c>
      <c r="B809" t="inlineStr">
        <is>
          <t>Windshield Wiper Motor</t>
        </is>
      </c>
      <c r="C809" t="inlineStr">
        <is>
          <t>43-4076</t>
        </is>
      </c>
      <c r="D809" t="inlineStr">
        <is>
          <t>Windshield Wiper Motor - 43-4076</t>
        </is>
      </c>
      <c r="E809" t="inlineStr">
        <is>
          <t>CARDONE Reman</t>
        </is>
      </c>
      <c r="F809" t="inlineStr">
        <is>
          <t>76505TA0A01;76505TA0A02</t>
        </is>
      </c>
      <c r="G809" t="inlineStr">
        <is>
          <t>Acura TSX 2009-2014
Honda Accord 2008-2012
Honda Accord Crosstour 2010-2011
Honda CR-Z 2014-2015
Honda Crosstour 2012-2015</t>
        </is>
      </c>
      <c r="H809" t="inlineStr">
        <is>
          <t>Acura TSX 2009-2014 2.4L L4 144cid
Acura TSX 2010-2014 3.5L V6 3471cc
Honda Accord 2008-2012 2.4L L4 144cid
Honda Accord 2008-2012 3.5L V6 3471cc
Honda Accord Crosstour 2010-2011 3.5L V6 3471cc
Honda CR-Z 2014-2015 1.5L L4 1497cc
Honda Crosstour 2012-2015 2.4L L4 144cid
Honda Crosstour 2012-2015 3.5L V6 3471cc</t>
        </is>
      </c>
      <c r="I809" t="inlineStr">
        <is>
          <t>{"0": {"productDeskExternalKey": "CPCX|43-4076"},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"Acura TSX 2014-09; Honda Accord 2012-08, Accord Crosstour 2011-10, Crosstour 2015-12, CR-Z 2015-14"}, "14": {"ItemLevelGTIN": "00884548068117"}, "15": {"_addonCardone": "43-4076::98359:98236:292"}, "16": {"Eligible for R&amp;R Service": "Yes"}}</t>
        </is>
      </c>
      <c r="J809" t="inlineStr">
        <is>
          <t>https://www.cardone.com/product/windshield-wiper-motor-43-4076</t>
        </is>
      </c>
      <c r="K809">
        <f>DISPIMG("ID_056F1C137F584A3DB7C428F3B46D850D",1)</f>
        <v/>
      </c>
      <c r="L809" t="inlineStr">
        <is>
          <t>CPCX|43-4076</t>
        </is>
      </c>
      <c r="M809" t="inlineStr">
        <is>
          <t>Wiper Motor; Instruction Sheet</t>
        </is>
      </c>
      <c r="N809" t="inlineStr">
        <is>
          <t>Yes</t>
        </is>
      </c>
      <c r="O809" t="inlineStr">
        <is>
          <t>Remanufactured</t>
        </is>
      </c>
      <c r="P809" t="inlineStr">
        <is>
          <t>3</t>
        </is>
      </c>
      <c r="Q809" t="inlineStr">
        <is>
          <t>Blade</t>
        </is>
      </c>
      <c r="R809" t="inlineStr">
        <is>
          <t>Direct Bolt</t>
        </is>
      </c>
      <c r="S809" t="inlineStr">
        <is>
          <t>3.0000</t>
        </is>
      </c>
      <c r="T809" t="inlineStr">
        <is>
          <t>No</t>
        </is>
      </c>
      <c r="U809" t="inlineStr">
        <is>
          <t>1 Year/18,000 Mile</t>
        </is>
      </c>
      <c r="V809" t="inlineStr">
        <is>
          <t>Yes</t>
        </is>
      </c>
      <c r="W809" t="inlineStr">
        <is>
          <t>Available to Order</t>
        </is>
      </c>
      <c r="X809" t="inlineStr">
        <is>
          <t>Acura TSX 2014-09; Honda Accord 2012-08, Accord Crosstour 2011-10, Crosstour 2015-12, CR-Z 2015-14</t>
        </is>
      </c>
      <c r="Y809" t="inlineStr">
        <is>
          <t>00884548068117</t>
        </is>
      </c>
      <c r="Z809" t="inlineStr">
        <is>
          <t>43-4076::98359:98236:292</t>
        </is>
      </c>
      <c r="AA809" t="inlineStr">
        <is>
          <t>Yes</t>
        </is>
      </c>
      <c r="AB809" t="inlineStr"/>
      <c r="AC809" t="inlineStr"/>
    </row>
    <row r="810">
      <c r="A810" t="inlineStr">
        <is>
          <t>809</t>
        </is>
      </c>
      <c r="B810" t="inlineStr">
        <is>
          <t>Windshield Wiper Motor</t>
        </is>
      </c>
      <c r="C810" t="inlineStr">
        <is>
          <t>43-4077</t>
        </is>
      </c>
      <c r="D810" t="inlineStr">
        <is>
          <t>Windshield Wiper Motor - 43-4077</t>
        </is>
      </c>
      <c r="E810" t="inlineStr">
        <is>
          <t>CARDONE Reman</t>
        </is>
      </c>
      <c r="F810" t="inlineStr">
        <is>
          <t>76710TM8003</t>
        </is>
      </c>
      <c r="G810" t="inlineStr"/>
      <c r="H810" t="inlineStr"/>
      <c r="I810" t="inlineStr">
        <is>
          <t>{"0": {"productDeskExternalKey": "CPCX|43-4077"},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"Honda Insight 2010"}, "14": {"ItemLevelGTIN": "00884548068124"}, "15": {"_addonCardone": "43-4077::98359:98250:292"}, "16": {"Eligible for R&amp;R Service": "Yes"}}</t>
        </is>
      </c>
      <c r="J810" t="inlineStr">
        <is>
          <t>https://www.cardone.com/product/windshield-wiper-motor-43-4077</t>
        </is>
      </c>
      <c r="K810">
        <f>DISPIMG("ID_C27670FC82D34702B1E833B6337163E6",1)</f>
        <v/>
      </c>
      <c r="L810" t="inlineStr">
        <is>
          <t>CPCX|43-4077</t>
        </is>
      </c>
      <c r="M810" t="inlineStr">
        <is>
          <t>Wiper Motor; Instruction Sheet</t>
        </is>
      </c>
      <c r="N810" t="inlineStr">
        <is>
          <t>Yes</t>
        </is>
      </c>
      <c r="O810" t="inlineStr">
        <is>
          <t>Remanufactured</t>
        </is>
      </c>
      <c r="P810" t="inlineStr">
        <is>
          <t>3</t>
        </is>
      </c>
      <c r="Q810" t="inlineStr">
        <is>
          <t>Blade</t>
        </is>
      </c>
      <c r="R810" t="inlineStr">
        <is>
          <t>Grommet</t>
        </is>
      </c>
      <c r="S810" t="inlineStr">
        <is>
          <t>2.0000</t>
        </is>
      </c>
      <c r="T810" t="inlineStr">
        <is>
          <t>No</t>
        </is>
      </c>
      <c r="U810" t="inlineStr">
        <is>
          <t>1 Year/18,000 Mile</t>
        </is>
      </c>
      <c r="V810" t="inlineStr">
        <is>
          <t>Yes</t>
        </is>
      </c>
      <c r="W810" t="inlineStr">
        <is>
          <t>Available to Order</t>
        </is>
      </c>
      <c r="X810" t="inlineStr">
        <is>
          <t>Honda Insight 2010</t>
        </is>
      </c>
      <c r="Y810" t="inlineStr">
        <is>
          <t>00884548068124</t>
        </is>
      </c>
      <c r="Z810" t="inlineStr">
        <is>
          <t>43-4077::98359:98250:292</t>
        </is>
      </c>
      <c r="AA810" t="inlineStr">
        <is>
          <t>Yes</t>
        </is>
      </c>
      <c r="AB810" t="inlineStr"/>
      <c r="AC810" t="inlineStr"/>
    </row>
    <row r="811">
      <c r="A811" t="inlineStr">
        <is>
          <t>810</t>
        </is>
      </c>
      <c r="B811" t="inlineStr">
        <is>
          <t>Windshield Wiper Motor</t>
        </is>
      </c>
      <c r="C811" t="inlineStr">
        <is>
          <t>43-4078</t>
        </is>
      </c>
      <c r="D811" t="inlineStr">
        <is>
          <t>Windshield Wiper Motor - 43-4078</t>
        </is>
      </c>
      <c r="E811" t="inlineStr">
        <is>
          <t>CARDONE Reman</t>
        </is>
      </c>
      <c r="F811" t="inlineStr">
        <is>
          <t>76505TK8A02;76505TK8A01</t>
        </is>
      </c>
      <c r="G811" t="inlineStr"/>
      <c r="H811" t="inlineStr"/>
      <c r="I811" t="inlineStr">
        <is>
          <t>{"0": {"productDeskExternalKey": "CPCX|43-4078"}, "1": {"Package Contents": "Wiper Motor; Instruction Sheet"}, "2": {"E-Waste": "Yes"}, "3": {"Product Condition": "Remanufactured"}, "4": {"Mounting Hole Quantity": "3"}, "5": {"Terminal Type": "Blade"}, "6": {"Mounting Type": "Direct Bolt"}, "7": {"Weight PG": "3.4000"}, "8": {"Washer Pump Included": "No"}, "9": {"Part Type": "Windshield Wiper Motor"}, "10": {"Warranty Info": "1 Year/18,000 Mile"}, "11": {"Sustainable Choice": "Yes"}, "12": {"Lifecycle Status": "Available to Order"}, "13": {"Application Summary": "Honda Odyssey 2017-11"}, "14": {"ItemLevelGTIN": "00884548085800"}, "15": {"_addonCardone": "43-4078::98359:98264:292"}, "16": {"Eligible for R&amp;R Service": "Yes"}}</t>
        </is>
      </c>
      <c r="J811" t="inlineStr">
        <is>
          <t>https://www.cardone.com/product/windshield-wiper-motor-43-4078</t>
        </is>
      </c>
      <c r="K811">
        <f>DISPIMG("ID_773045CAB399490BA5C505C8C0358795",1)</f>
        <v/>
      </c>
      <c r="L811" t="inlineStr">
        <is>
          <t>CPCX|43-4078</t>
        </is>
      </c>
      <c r="M811" t="inlineStr">
        <is>
          <t>Wiper Motor; Instruction Sheet</t>
        </is>
      </c>
      <c r="N811" t="inlineStr">
        <is>
          <t>Yes</t>
        </is>
      </c>
      <c r="O811" t="inlineStr">
        <is>
          <t>Remanufactured</t>
        </is>
      </c>
      <c r="P811" t="inlineStr">
        <is>
          <t>3</t>
        </is>
      </c>
      <c r="Q811" t="inlineStr">
        <is>
          <t>Blade</t>
        </is>
      </c>
      <c r="R811" t="inlineStr">
        <is>
          <t>Direct Bolt</t>
        </is>
      </c>
      <c r="S811" t="inlineStr">
        <is>
          <t>3.4000</t>
        </is>
      </c>
      <c r="T811" t="inlineStr">
        <is>
          <t>No</t>
        </is>
      </c>
      <c r="U811" t="inlineStr">
        <is>
          <t>1 Year/18,000 Mile</t>
        </is>
      </c>
      <c r="V811" t="inlineStr">
        <is>
          <t>Yes</t>
        </is>
      </c>
      <c r="W811" t="inlineStr">
        <is>
          <t>Available to Order</t>
        </is>
      </c>
      <c r="X811" t="inlineStr">
        <is>
          <t>Honda Odyssey 2017-11</t>
        </is>
      </c>
      <c r="Y811" t="inlineStr">
        <is>
          <t>00884548085800</t>
        </is>
      </c>
      <c r="Z811" t="inlineStr">
        <is>
          <t>43-4078::98359:98264:292</t>
        </is>
      </c>
      <c r="AA811" t="inlineStr">
        <is>
          <t>Yes</t>
        </is>
      </c>
      <c r="AB811" t="inlineStr"/>
      <c r="AC811" t="inlineStr"/>
    </row>
    <row r="812">
      <c r="A812" t="inlineStr">
        <is>
          <t>811</t>
        </is>
      </c>
      <c r="B812" t="inlineStr">
        <is>
          <t>Windshield Wiper Motor</t>
        </is>
      </c>
      <c r="C812" t="inlineStr">
        <is>
          <t>43-4079</t>
        </is>
      </c>
      <c r="D812" t="inlineStr">
        <is>
          <t>Windshield Wiper Motor - 43-4079</t>
        </is>
      </c>
      <c r="E812" t="inlineStr">
        <is>
          <t>CARDONE Reman</t>
        </is>
      </c>
      <c r="F812" t="inlineStr">
        <is>
          <t>76700TK8A01</t>
        </is>
      </c>
      <c r="G812" t="inlineStr"/>
      <c r="H812" t="inlineStr"/>
      <c r="I812" t="inlineStr">
        <is>
          <t>{"0": {"productDeskExternalKey": "CPCX|43-4079"},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"Honda Odyssey 2016-11"}, "14": {"ItemLevelGTIN": "00884548085817"}, "15": {"_addonCardone": "43-4079::98359:98276:292"}, "16": {"Eligible for R&amp;R Service": "Yes"}}</t>
        </is>
      </c>
      <c r="J812" t="inlineStr">
        <is>
          <t>https://www.cardone.com/product/windshield-wiper-motor-43-4079</t>
        </is>
      </c>
      <c r="K812">
        <f>DISPIMG("ID_0321176BAEF74231B1F03C3F7BB3A6DD",1)</f>
        <v/>
      </c>
      <c r="L812" t="inlineStr">
        <is>
          <t>CPCX|43-4079</t>
        </is>
      </c>
      <c r="M812" t="inlineStr">
        <is>
          <t>Wiper Motor; Instruction Sheet</t>
        </is>
      </c>
      <c r="N812" t="inlineStr">
        <is>
          <t>Yes</t>
        </is>
      </c>
      <c r="O812" t="inlineStr">
        <is>
          <t>Remanufactured</t>
        </is>
      </c>
      <c r="P812" t="inlineStr">
        <is>
          <t>3</t>
        </is>
      </c>
      <c r="Q812" t="inlineStr">
        <is>
          <t>Blade</t>
        </is>
      </c>
      <c r="R812" t="inlineStr">
        <is>
          <t>Grommet</t>
        </is>
      </c>
      <c r="S812" t="inlineStr">
        <is>
          <t>2.0000</t>
        </is>
      </c>
      <c r="T812" t="inlineStr">
        <is>
          <t>No</t>
        </is>
      </c>
      <c r="U812" t="inlineStr">
        <is>
          <t>1 Year/18,000 Mile</t>
        </is>
      </c>
      <c r="V812" t="inlineStr">
        <is>
          <t>Yes</t>
        </is>
      </c>
      <c r="W812" t="inlineStr">
        <is>
          <t>Available to Order</t>
        </is>
      </c>
      <c r="X812" t="inlineStr">
        <is>
          <t>Honda Odyssey 2016-11</t>
        </is>
      </c>
      <c r="Y812" t="inlineStr">
        <is>
          <t>00884548085817</t>
        </is>
      </c>
      <c r="Z812" t="inlineStr">
        <is>
          <t>43-4079::98359:98276:292</t>
        </is>
      </c>
      <c r="AA812" t="inlineStr">
        <is>
          <t>Yes</t>
        </is>
      </c>
      <c r="AB812" t="inlineStr"/>
      <c r="AC812" t="inlineStr"/>
    </row>
    <row r="813">
      <c r="A813" t="inlineStr">
        <is>
          <t>812</t>
        </is>
      </c>
      <c r="B813" t="inlineStr">
        <is>
          <t>Windshield Wiper Motor</t>
        </is>
      </c>
      <c r="C813" t="inlineStr">
        <is>
          <t>43-4080</t>
        </is>
      </c>
      <c r="D813" t="inlineStr">
        <is>
          <t>Windshield Wiper Motor - 43-4080</t>
        </is>
      </c>
      <c r="E813" t="inlineStr">
        <is>
          <t>CARDONE Reman</t>
        </is>
      </c>
      <c r="F813" t="inlineStr">
        <is>
          <t>76505TR0A01</t>
        </is>
      </c>
      <c r="G813" t="inlineStr"/>
      <c r="H813" t="inlineStr"/>
      <c r="I813" t="inlineStr">
        <is>
          <t>{"0": {"productDeskExternalKey": "CPCX|43-4080"}, "1": {"Package Contents": "Wiper Motor; Instruction Sheet"}, "2": {"E-Waste": "Yes"}, "3": {"Product Condition": "Remanufactured"}, "4": {"Mounting Hole Quantity": "3"}, "5": {"Terminal Type": "Blade"}, "6": {"Mounting Type": "Direct Bolt"}, "7": {"Weight PG": "2.0000"}, "8": {"Washer Pump Included": "No"}, "9": {"Part Type": "Windshield Wiper Motor"}, "10": {"Warranty Info": "1 Year/18,000 Mile"}, "11": {"Sustainable Choice": "Yes"}, "12": {"Lifecycle Status": "Available to Order"}, "13": {"Application Summary": "Honda Civic 2015-12"}, "14": {"ItemLevelGTIN": "00884548086517"}, "15": {"_addonCardone": "43-4080::98359:98289:292"}, "16": {"Eligible for R&amp;R Service": "Yes"}}</t>
        </is>
      </c>
      <c r="J813" t="inlineStr">
        <is>
          <t>https://www.cardone.com/product/windshield-wiper-motor-43-4080</t>
        </is>
      </c>
      <c r="K813">
        <f>DISPIMG("ID_EA3E5497CF8C452C8D8665B4F8D22220",1)</f>
        <v/>
      </c>
      <c r="L813" t="inlineStr">
        <is>
          <t>CPCX|43-4080</t>
        </is>
      </c>
      <c r="M813" t="inlineStr">
        <is>
          <t>Wiper Motor; Instruction Sheet</t>
        </is>
      </c>
      <c r="N813" t="inlineStr">
        <is>
          <t>Yes</t>
        </is>
      </c>
      <c r="O813" t="inlineStr">
        <is>
          <t>Remanufactured</t>
        </is>
      </c>
      <c r="P813" t="inlineStr">
        <is>
          <t>3</t>
        </is>
      </c>
      <c r="Q813" t="inlineStr">
        <is>
          <t>Blade</t>
        </is>
      </c>
      <c r="R813" t="inlineStr">
        <is>
          <t>Direct Bolt</t>
        </is>
      </c>
      <c r="S813" t="inlineStr">
        <is>
          <t>2.0000</t>
        </is>
      </c>
      <c r="T813" t="inlineStr">
        <is>
          <t>No</t>
        </is>
      </c>
      <c r="U813" t="inlineStr">
        <is>
          <t>1 Year/18,000 Mile</t>
        </is>
      </c>
      <c r="V813" t="inlineStr">
        <is>
          <t>Yes</t>
        </is>
      </c>
      <c r="W813" t="inlineStr">
        <is>
          <t>Available to Order</t>
        </is>
      </c>
      <c r="X813" t="inlineStr">
        <is>
          <t>Honda Civic 2015-12</t>
        </is>
      </c>
      <c r="Y813" t="inlineStr">
        <is>
          <t>00884548086517</t>
        </is>
      </c>
      <c r="Z813" t="inlineStr">
        <is>
          <t>43-4080::98359:98289:292</t>
        </is>
      </c>
      <c r="AA813" t="inlineStr">
        <is>
          <t>Yes</t>
        </is>
      </c>
      <c r="AB813" t="inlineStr"/>
      <c r="AC813" t="inlineStr"/>
    </row>
    <row r="814">
      <c r="A814" t="inlineStr">
        <is>
          <t>813</t>
        </is>
      </c>
      <c r="B814" t="inlineStr">
        <is>
          <t>Windshield Wiper Motor</t>
        </is>
      </c>
      <c r="C814" t="inlineStr">
        <is>
          <t>43-4081</t>
        </is>
      </c>
      <c r="D814" t="inlineStr">
        <is>
          <t>Windshield Wiper Motor - 43-4081</t>
        </is>
      </c>
      <c r="E814" t="inlineStr">
        <is>
          <t>CARDONE Reman</t>
        </is>
      </c>
      <c r="F814" t="inlineStr">
        <is>
          <t>76505TM8A01;76505TE0A02;76505SZTG01;20910181;76505TK6A01</t>
        </is>
      </c>
      <c r="G814" t="inlineStr">
        <is>
          <t>Cadillac XTS 2013-2017
Honda Accord 2008-2012
Honda Fit 2012-2014</t>
        </is>
      </c>
      <c r="H814" t="inlineStr">
        <is>
          <t>Cadillac XTS 2013-2017 3.6L V6 217cid
Honda Accord 2008-2012 2.4L L4 144cid
Honda Accord 2008-2012 3.5L V6 3471cc
Honda Fit 2012-2014 1.5L L4 1497cc
Honda Fit 2013-2014</t>
        </is>
      </c>
      <c r="I814" t="inlineStr">
        <is>
          <t>{"0": {"productDeskExternalKey": "CPCX|43-4081"}, "1": {"Package Contents": "Wiper Motor; Instruction Sheet"}, "2": {"E-Waste": "Yes"}, "3": {"Product Condition": "Remanufactured"}, "4": {"Mounting Hole Quantity": "3"}, "5": {"Terminal Type": "Blade"}, "6": {"Mounting Type": "Direct Bolt"}, "7": {"Weight PG": "2.6500"}, "8": {"Washer Pump Included": "No"}, "9": {"Part Type": "Windshield Wiper Motor"}, "10": {"Warranty Info": "1 Year/18,000 Mile"}, "11": {"Sustainable Choice": "Yes"}, "12": {"Lifecycle Status": "Available to Order"}, "13": {"Application Summary": "Cadillac XTS 2017-13; Honda Accord 2012-08, CR-Z 2016 2013-11, Fit 2014-09, Insight 2014-10"}, "14": {"ItemLevelGTIN": "00884548122826"}, "15": {"_addonCardone": "43-4081::98359:98300:292"}, "16": {"Eligible for R&amp;R Service": "Yes"}}</t>
        </is>
      </c>
      <c r="J814" t="inlineStr">
        <is>
          <t>https://www.cardone.com/product/windshield-wiper-motor-43-4081</t>
        </is>
      </c>
      <c r="K814">
        <f>DISPIMG("ID_EF7F2999BDF649D3A8358E345B57F98C",1)</f>
        <v/>
      </c>
      <c r="L814" t="inlineStr">
        <is>
          <t>CPCX|43-4081</t>
        </is>
      </c>
      <c r="M814" t="inlineStr">
        <is>
          <t>Wiper Motor; Instruction Sheet</t>
        </is>
      </c>
      <c r="N814" t="inlineStr">
        <is>
          <t>Yes</t>
        </is>
      </c>
      <c r="O814" t="inlineStr">
        <is>
          <t>Remanufactured</t>
        </is>
      </c>
      <c r="P814" t="inlineStr">
        <is>
          <t>3</t>
        </is>
      </c>
      <c r="Q814" t="inlineStr">
        <is>
          <t>Blade</t>
        </is>
      </c>
      <c r="R814" t="inlineStr">
        <is>
          <t>Direct Bolt</t>
        </is>
      </c>
      <c r="S814" t="inlineStr">
        <is>
          <t>2.6500</t>
        </is>
      </c>
      <c r="T814" t="inlineStr">
        <is>
          <t>No</t>
        </is>
      </c>
      <c r="U814" t="inlineStr">
        <is>
          <t>1 Year/18,000 Mile</t>
        </is>
      </c>
      <c r="V814" t="inlineStr">
        <is>
          <t>Yes</t>
        </is>
      </c>
      <c r="W814" t="inlineStr">
        <is>
          <t>Available to Order</t>
        </is>
      </c>
      <c r="X814" t="inlineStr">
        <is>
          <t>Cadillac XTS 2017-13; Honda Accord 2012-08, CR-Z 2016 2013-11, Fit 2014-09, Insight 2014-10</t>
        </is>
      </c>
      <c r="Y814" t="inlineStr">
        <is>
          <t>00884548122826</t>
        </is>
      </c>
      <c r="Z814" t="inlineStr">
        <is>
          <t>43-4081::98359:98300:292</t>
        </is>
      </c>
      <c r="AA814" t="inlineStr">
        <is>
          <t>Yes</t>
        </is>
      </c>
      <c r="AB814" t="inlineStr"/>
      <c r="AC814" t="inlineStr"/>
    </row>
    <row r="815">
      <c r="A815" t="inlineStr">
        <is>
          <t>814</t>
        </is>
      </c>
      <c r="B815" t="inlineStr">
        <is>
          <t>Windshield Wiper Motor</t>
        </is>
      </c>
      <c r="C815" t="inlineStr">
        <is>
          <t>43-4082</t>
        </is>
      </c>
      <c r="D815" t="inlineStr">
        <is>
          <t>Windshield Wiper Motor - 43-4082</t>
        </is>
      </c>
      <c r="E815" t="inlineStr">
        <is>
          <t>CARDONE Reman</t>
        </is>
      </c>
      <c r="F815" t="inlineStr">
        <is>
          <t>76505T0AA01</t>
        </is>
      </c>
      <c r="G815" t="inlineStr">
        <is>
          <t>Honda CR-V 2013-2016</t>
        </is>
      </c>
      <c r="H815" t="inlineStr">
        <is>
          <t>Honda CR-V 2013-2016 2.4L L4 144cid</t>
        </is>
      </c>
      <c r="I815" t="inlineStr">
        <is>
          <t>{"0": {"productDeskExternalKey": "CPCX|43-4082"}, "1": {"Package Contents": "Wiper Motor; Instruction Sheet"}, "2": {"E-Waste": "Yes"}, "3": {"Product Condition": "Remanufactured"}, "4": {"Mounting Hole Quantity": "3"}, "5": {"Terminal Type": "Blade"}, "6": {"Mounting Type": "Direct Bolt"}, "7": {"Weight PG": "2.0000"}, "8": {"Washer Pump Included": "No"}, "9": {"Part Type": "Windshield Wiper Motor"}, "10": {"Warranty Info": "1 Year/18,000 Mile"}, "11": {"Sustainable Choice": "Yes"}, "12": {"Lifecycle Status": "Available to Order"}, "13": {"Application Summary": "Honda CR-V 2016-13"}, "14": {"ItemLevelGTIN": "00884548169708"}, "15": {"_addonCardone": "43-4082::98359:98503:292"}, "16": {"Eligible for R&amp;R Service": "Yes"}}</t>
        </is>
      </c>
      <c r="J815" t="inlineStr">
        <is>
          <t>https://www.cardone.com/product/windshield-wiper-motor-43-4082</t>
        </is>
      </c>
      <c r="K815">
        <f>DISPIMG("ID_BB5F63196413461880FF3718414F5F2F",1)</f>
        <v/>
      </c>
      <c r="L815" t="inlineStr">
        <is>
          <t>CPCX|43-4082</t>
        </is>
      </c>
      <c r="M815" t="inlineStr">
        <is>
          <t>Wiper Motor; Instruction Sheet</t>
        </is>
      </c>
      <c r="N815" t="inlineStr">
        <is>
          <t>Yes</t>
        </is>
      </c>
      <c r="O815" t="inlineStr">
        <is>
          <t>Remanufactured</t>
        </is>
      </c>
      <c r="P815" t="inlineStr">
        <is>
          <t>3</t>
        </is>
      </c>
      <c r="Q815" t="inlineStr">
        <is>
          <t>Blade</t>
        </is>
      </c>
      <c r="R815" t="inlineStr">
        <is>
          <t>Direct Bolt</t>
        </is>
      </c>
      <c r="S815" t="inlineStr">
        <is>
          <t>2.0000</t>
        </is>
      </c>
      <c r="T815" t="inlineStr">
        <is>
          <t>No</t>
        </is>
      </c>
      <c r="U815" t="inlineStr">
        <is>
          <t>1 Year/18,000 Mile</t>
        </is>
      </c>
      <c r="V815" t="inlineStr">
        <is>
          <t>Yes</t>
        </is>
      </c>
      <c r="W815" t="inlineStr">
        <is>
          <t>Available to Order</t>
        </is>
      </c>
      <c r="X815" t="inlineStr">
        <is>
          <t>Honda CR-V 2016-13</t>
        </is>
      </c>
      <c r="Y815" t="inlineStr">
        <is>
          <t>00884548169708</t>
        </is>
      </c>
      <c r="Z815" t="inlineStr">
        <is>
          <t>43-4082::98359:98503:292</t>
        </is>
      </c>
      <c r="AA815" t="inlineStr">
        <is>
          <t>Yes</t>
        </is>
      </c>
      <c r="AB815" t="inlineStr"/>
      <c r="AC815" t="inlineStr"/>
    </row>
    <row r="816">
      <c r="A816" t="inlineStr">
        <is>
          <t>815</t>
        </is>
      </c>
      <c r="B816" t="inlineStr">
        <is>
          <t>Windshield Wiper Motor</t>
        </is>
      </c>
      <c r="C816" t="inlineStr">
        <is>
          <t>43-4083</t>
        </is>
      </c>
      <c r="D816" t="inlineStr">
        <is>
          <t>Windshield Wiper Motor - 43-4083</t>
        </is>
      </c>
      <c r="E816" t="inlineStr">
        <is>
          <t>CARDONE Reman</t>
        </is>
      </c>
      <c r="F816" t="inlineStr">
        <is>
          <t>76710T0A003</t>
        </is>
      </c>
      <c r="G816" t="inlineStr">
        <is>
          <t>Honda CR-V 2012-2016</t>
        </is>
      </c>
      <c r="H816" t="inlineStr">
        <is>
          <t>Honda CR-V 2012-2016 2.4L L4 144cid</t>
        </is>
      </c>
      <c r="I816" t="inlineStr">
        <is>
          <t>{"0": {"productDeskExternalKey": "CPCX|43-4083"}, "1": {"Package Contents": "Wiper Motor; Instruction Sheet"}, "2": {"E-Waste": "Yes"}, "3": {"Product Condition": "Remanufactured"}, "4": {"Mounting Hole Quantity": "3"}, "5": {"Terminal Type": "Blade"}, "6": {"Mounting Type": "Grommet; Through Hole"}, "7": {"Weight PG": "2.2000"}, "8": {"Washer Pump Included": "No"}, "9": {"Part Type": "Windshield Wiper Motor"}, "10": {"Warranty Info": "1 Year/18,000 Mile"}, "11": {"Sustainable Choice": "Yes"}, "12": {"Lifecycle Status": "Available to Order"}, "13": {"Application Summary": "Honda CR-V 2016-12"}, "14": {"ItemLevelGTIN": "00884548169746"}, "15": {"_addonCardone": "43-4083::98359:98512:292"}, "16": {"Eligible for R&amp;R Service": "Yes"}}</t>
        </is>
      </c>
      <c r="J816" t="inlineStr">
        <is>
          <t>https://www.cardone.com/product/windshield-wiper-motor-43-4083</t>
        </is>
      </c>
      <c r="K816">
        <f>DISPIMG("ID_6EA8EC3531D347E389E15F838C5E047B",1)</f>
        <v/>
      </c>
      <c r="L816" t="inlineStr">
        <is>
          <t>CPCX|43-4083</t>
        </is>
      </c>
      <c r="M816" t="inlineStr">
        <is>
          <t>Wiper Motor; Instruction Sheet</t>
        </is>
      </c>
      <c r="N816" t="inlineStr">
        <is>
          <t>Yes</t>
        </is>
      </c>
      <c r="O816" t="inlineStr">
        <is>
          <t>Remanufactured</t>
        </is>
      </c>
      <c r="P816" t="inlineStr">
        <is>
          <t>3</t>
        </is>
      </c>
      <c r="Q816" t="inlineStr">
        <is>
          <t>Blade</t>
        </is>
      </c>
      <c r="R816" t="inlineStr">
        <is>
          <t>Grommet; Through Hole</t>
        </is>
      </c>
      <c r="S816" t="inlineStr">
        <is>
          <t>2.2000</t>
        </is>
      </c>
      <c r="T816" t="inlineStr">
        <is>
          <t>No</t>
        </is>
      </c>
      <c r="U816" t="inlineStr">
        <is>
          <t>1 Year/18,000 Mile</t>
        </is>
      </c>
      <c r="V816" t="inlineStr">
        <is>
          <t>Yes</t>
        </is>
      </c>
      <c r="W816" t="inlineStr">
        <is>
          <t>Available to Order</t>
        </is>
      </c>
      <c r="X816" t="inlineStr">
        <is>
          <t>Honda CR-V 2016-12</t>
        </is>
      </c>
      <c r="Y816" t="inlineStr">
        <is>
          <t>00884548169746</t>
        </is>
      </c>
      <c r="Z816" t="inlineStr">
        <is>
          <t>43-4083::98359:98512:292</t>
        </is>
      </c>
      <c r="AA816" t="inlineStr">
        <is>
          <t>Yes</t>
        </is>
      </c>
      <c r="AB816" t="inlineStr"/>
      <c r="AC816" t="inlineStr"/>
    </row>
    <row r="817">
      <c r="A817" t="inlineStr">
        <is>
          <t>816</t>
        </is>
      </c>
      <c r="B817" t="inlineStr">
        <is>
          <t>Windshield Wiper Motor</t>
        </is>
      </c>
      <c r="C817" t="inlineStr">
        <is>
          <t>43-4084</t>
        </is>
      </c>
      <c r="D817" t="inlineStr">
        <is>
          <t>Windshield Wiper Motor - 43-4084</t>
        </is>
      </c>
      <c r="E817" t="inlineStr">
        <is>
          <t>CARDONE Reman</t>
        </is>
      </c>
      <c r="F817" t="inlineStr">
        <is>
          <t>76505T3VA01;76505T2FA01</t>
        </is>
      </c>
      <c r="G817" t="inlineStr">
        <is>
          <t>Honda Accord 2013-2017</t>
        </is>
      </c>
      <c r="H817" t="inlineStr">
        <is>
          <t>Honda Accord 2013-2017 2.4L L4 144cid
Honda Accord 2013-2017 3.5L V6 3471cc
Honda Accord 2014-2017 2L L4 122cid</t>
        </is>
      </c>
      <c r="I817" t="inlineStr">
        <is>
          <t>{"0": {"productDeskExternalKey": "CPCX|43-4084"}, "1": {"Package Contents": "Wiper Motor; Instruction Sheet"}, "2": {"E-Waste": "Yes"}, "3": {"Product Condition": "Remanufactured"}, "4": {"Mounting Hole Quantity": "2"}, "5": {"Terminal Type": "Blade"}, "6": {"Mounting Type": "Through Bolt"}, "7": {"Weight PG": "2.2000"}, "8": {"Washer Pump Included": "No"}, "9": {"Part Type": "Windshield Wiper Motor"}, "10": {"Warranty Info": "1 Year/18,000 Mile"}, "11": {"Sustainable Choice": "Yes"}, "12": {"Lifecycle Status": "Available to Order"}, "13": {"Application Summary": "Honda Accord 2017-13"}, "14": {"ItemLevelGTIN": "00884548169753"}, "15": {"_addonCardone": "43-4084::98359:98521:292"}, "16": {"Eligible for R&amp;R Service": "Yes"}}</t>
        </is>
      </c>
      <c r="J817" t="inlineStr">
        <is>
          <t>https://www.cardone.com/product/windshield-wiper-motor-43-4084</t>
        </is>
      </c>
      <c r="K817">
        <f>DISPIMG("ID_D13B472AE01F473DBE5C5CC680F8F3AB",1)</f>
        <v/>
      </c>
      <c r="L817" t="inlineStr">
        <is>
          <t>CPCX|43-4084</t>
        </is>
      </c>
      <c r="M817" t="inlineStr">
        <is>
          <t>Wiper Motor; Instruction Sheet</t>
        </is>
      </c>
      <c r="N817" t="inlineStr">
        <is>
          <t>Yes</t>
        </is>
      </c>
      <c r="O817" t="inlineStr">
        <is>
          <t>Remanufactured</t>
        </is>
      </c>
      <c r="P817" t="inlineStr">
        <is>
          <t>2</t>
        </is>
      </c>
      <c r="Q817" t="inlineStr">
        <is>
          <t>Blade</t>
        </is>
      </c>
      <c r="R817" t="inlineStr">
        <is>
          <t>Through Bolt</t>
        </is>
      </c>
      <c r="S817" t="inlineStr">
        <is>
          <t>2.2000</t>
        </is>
      </c>
      <c r="T817" t="inlineStr">
        <is>
          <t>No</t>
        </is>
      </c>
      <c r="U817" t="inlineStr">
        <is>
          <t>1 Year/18,000 Mile</t>
        </is>
      </c>
      <c r="V817" t="inlineStr">
        <is>
          <t>Yes</t>
        </is>
      </c>
      <c r="W817" t="inlineStr">
        <is>
          <t>Available to Order</t>
        </is>
      </c>
      <c r="X817" t="inlineStr">
        <is>
          <t>Honda Accord 2017-13</t>
        </is>
      </c>
      <c r="Y817" t="inlineStr">
        <is>
          <t>00884548169753</t>
        </is>
      </c>
      <c r="Z817" t="inlineStr">
        <is>
          <t>43-4084::98359:98521:292</t>
        </is>
      </c>
      <c r="AA817" t="inlineStr">
        <is>
          <t>Yes</t>
        </is>
      </c>
      <c r="AB817" t="inlineStr"/>
      <c r="AC817" t="inlineStr"/>
    </row>
    <row r="818">
      <c r="A818" t="inlineStr">
        <is>
          <t>817</t>
        </is>
      </c>
      <c r="B818" t="inlineStr">
        <is>
          <t>Windshield Wiper Motor</t>
        </is>
      </c>
      <c r="C818" t="inlineStr">
        <is>
          <t>43-4100</t>
        </is>
      </c>
      <c r="D818" t="inlineStr">
        <is>
          <t>Windshield Wiper Motor - 43-4100</t>
        </is>
      </c>
      <c r="E818" t="inlineStr">
        <is>
          <t>CARDONE Reman</t>
        </is>
      </c>
      <c r="F818" t="inlineStr">
        <is>
          <t>3810165D00</t>
        </is>
      </c>
      <c r="G818" t="inlineStr">
        <is>
          <t>Suzuki Grand Vitara 1999-2006
Suzuki XL-7 2002-2006</t>
        </is>
      </c>
      <c r="H818" t="inlineStr">
        <is>
          <t>Suzuki Grand Vitara 1999-2005 2.5L V6 2500cc
Suzuki Grand Vitara 2001-2006 2.7L V6 2737cc
Suzuki XL-7 2002-2006 2.7L V6 2737cc</t>
        </is>
      </c>
      <c r="I818" t="inlineStr">
        <is>
          <t>{"0": {"productDeskExternalKey": "CPCX|43-4100"},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"Suzuki Grand Vitara 2006-99, XL-7 2006-02"}, "14": {"ItemLevelGTIN": "00082617589871"}, "15": {"_addonCardone": "43-4100::98359:98529:292"}, "16": {"Eligible for R&amp;R Service": "Yes"}}</t>
        </is>
      </c>
      <c r="J818" t="inlineStr">
        <is>
          <t>https://www.cardone.com/product/windshield-wiper-motor-43-4100</t>
        </is>
      </c>
      <c r="K818">
        <f>DISPIMG("ID_B27265DFBDCA4F4197B7085A499A1D1D",1)</f>
        <v/>
      </c>
      <c r="L818" t="inlineStr">
        <is>
          <t>CPCX|43-4100</t>
        </is>
      </c>
      <c r="M818" t="inlineStr">
        <is>
          <t>Wiper Motor; Instruction Sheet</t>
        </is>
      </c>
      <c r="N818" t="inlineStr">
        <is>
          <t>Yes</t>
        </is>
      </c>
      <c r="O818" t="inlineStr">
        <is>
          <t>Remanufactured</t>
        </is>
      </c>
      <c r="P818" t="inlineStr">
        <is>
          <t>3</t>
        </is>
      </c>
      <c r="Q818" t="inlineStr">
        <is>
          <t>Blade</t>
        </is>
      </c>
      <c r="R818" t="inlineStr">
        <is>
          <t>Direct Bolt</t>
        </is>
      </c>
      <c r="S818" t="inlineStr">
        <is>
          <t>2.5000</t>
        </is>
      </c>
      <c r="T818" t="inlineStr">
        <is>
          <t>No</t>
        </is>
      </c>
      <c r="U818" t="inlineStr">
        <is>
          <t>1 Year/18,000 Mile</t>
        </is>
      </c>
      <c r="V818" t="inlineStr">
        <is>
          <t>Yes</t>
        </is>
      </c>
      <c r="W818" t="inlineStr">
        <is>
          <t>Available to Order</t>
        </is>
      </c>
      <c r="X818" t="inlineStr">
        <is>
          <t>Suzuki Grand Vitara 2006-99, XL-7 2006-02</t>
        </is>
      </c>
      <c r="Y818" t="inlineStr">
        <is>
          <t>00082617589871</t>
        </is>
      </c>
      <c r="Z818" t="inlineStr">
        <is>
          <t>43-4100::98359:98529:292</t>
        </is>
      </c>
      <c r="AA818" t="inlineStr">
        <is>
          <t>Yes</t>
        </is>
      </c>
      <c r="AB818" t="inlineStr"/>
      <c r="AC818" t="inlineStr"/>
    </row>
    <row r="819">
      <c r="A819" t="inlineStr">
        <is>
          <t>818</t>
        </is>
      </c>
      <c r="B819" t="inlineStr">
        <is>
          <t>Windshield Wiper Motor</t>
        </is>
      </c>
      <c r="C819" t="inlineStr">
        <is>
          <t>43-4101</t>
        </is>
      </c>
      <c r="D819" t="inlineStr">
        <is>
          <t>Windshield Wiper Motor - 43-4101</t>
        </is>
      </c>
      <c r="E819" t="inlineStr">
        <is>
          <t>CARDONE Reman</t>
        </is>
      </c>
      <c r="F819" t="inlineStr">
        <is>
          <t>96206770</t>
        </is>
      </c>
      <c r="G819" t="inlineStr">
        <is>
          <t>Daewoo Leganza 1999-2002</t>
        </is>
      </c>
      <c r="H819" t="inlineStr">
        <is>
          <t>Daewoo Leganza 1999-2002 2.2L L4 134cid</t>
        </is>
      </c>
      <c r="I819" t="inlineStr">
        <is>
          <t>{"0": {"productDeskExternalKey": "CPCX|43-4101"}, "1": {"Package Contents": "Wiper Motor; Instruction Sheet"}, "2": {"E-Waste": "Yes"}, "3": {"Product Condition": "Remanufactured"}, "4": {"Mounting Hole Quantity": "4"}, "5": {"Terminal Type": "Blade"}, "6": {"Mounting Type": "Grommet"}, "7": {"Weight PG": "3.0000"}, "8": {"Washer Pump Included": "No"}, "9": {"Part Type": "Windshield Wiper Motor"}, "10": {"Warranty Info": "1 Year/18,000 Mile"}, "11": {"Sustainable Choice": "Yes"}, "12": {"Lifecycle Status": "Available to Order"}, "13": {"Application Summary": "Daewoo Leganza 2002-99"}, "14": {"ItemLevelGTIN": "00082617755726"}, "15": {"_addonCardone": "43-4101::98359:98540:292"}, "16": {"Eligible for R&amp;R Service": "Yes"}}</t>
        </is>
      </c>
      <c r="J819" t="inlineStr">
        <is>
          <t>https://www.cardone.com/product/windshield-wiper-motor-43-4101</t>
        </is>
      </c>
      <c r="K819">
        <f>DISPIMG("ID_3543F2DF80D745B6B947641E0A5E33DF",1)</f>
        <v/>
      </c>
      <c r="L819" t="inlineStr">
        <is>
          <t>CPCX|43-4101</t>
        </is>
      </c>
      <c r="M819" t="inlineStr">
        <is>
          <t>Wiper Motor; Instruction Sheet</t>
        </is>
      </c>
      <c r="N819" t="inlineStr">
        <is>
          <t>Yes</t>
        </is>
      </c>
      <c r="O819" t="inlineStr">
        <is>
          <t>Remanufactured</t>
        </is>
      </c>
      <c r="P819" t="inlineStr">
        <is>
          <t>4</t>
        </is>
      </c>
      <c r="Q819" t="inlineStr">
        <is>
          <t>Blade</t>
        </is>
      </c>
      <c r="R819" t="inlineStr">
        <is>
          <t>Grommet</t>
        </is>
      </c>
      <c r="S819" t="inlineStr">
        <is>
          <t>3.0000</t>
        </is>
      </c>
      <c r="T819" t="inlineStr">
        <is>
          <t>No</t>
        </is>
      </c>
      <c r="U819" t="inlineStr">
        <is>
          <t>1 Year/18,000 Mile</t>
        </is>
      </c>
      <c r="V819" t="inlineStr">
        <is>
          <t>Yes</t>
        </is>
      </c>
      <c r="W819" t="inlineStr">
        <is>
          <t>Available to Order</t>
        </is>
      </c>
      <c r="X819" t="inlineStr">
        <is>
          <t>Daewoo Leganza 2002-99</t>
        </is>
      </c>
      <c r="Y819" t="inlineStr">
        <is>
          <t>00082617755726</t>
        </is>
      </c>
      <c r="Z819" t="inlineStr">
        <is>
          <t>43-4101::98359:98540:292</t>
        </is>
      </c>
      <c r="AA819" t="inlineStr">
        <is>
          <t>Yes</t>
        </is>
      </c>
      <c r="AB819" t="inlineStr"/>
      <c r="AC819" t="inlineStr"/>
    </row>
    <row r="820">
      <c r="A820" t="inlineStr">
        <is>
          <t>819</t>
        </is>
      </c>
      <c r="B820" t="inlineStr">
        <is>
          <t>Windshield Wiper Motor</t>
        </is>
      </c>
      <c r="C820" t="inlineStr">
        <is>
          <t>43-4102</t>
        </is>
      </c>
      <c r="D820" t="inlineStr">
        <is>
          <t>Windshield Wiper Motor - 43-4102</t>
        </is>
      </c>
      <c r="E820" t="inlineStr">
        <is>
          <t>CARDONE Reman</t>
        </is>
      </c>
      <c r="F820" t="inlineStr">
        <is>
          <t>96297031</t>
        </is>
      </c>
      <c r="G820" t="inlineStr">
        <is>
          <t>Daewoo Nubira 1999-2002</t>
        </is>
      </c>
      <c r="H820" t="inlineStr">
        <is>
          <t>Daewoo Nubira 1999-2002 2L L4 122cid</t>
        </is>
      </c>
      <c r="I820" t="inlineStr">
        <is>
          <t>{"0": {"productDeskExternalKey": "CPCX|43-4102"}, "1": {"E-Waste": "Yes"}, "2": {"Product Condition": "Remanufactured"}, "3": {"Weight PG": "3.0000"}, "4": {"Part Type": "Windshield Wiper Motor"}, "5": {"Warranty Info": "1 Year/18,000 Mile"}, "6": {"Sustainable Choice": "Yes"}, "7": {"Lifecycle Status": "Available to Order"}, "8": {"Application Summary": "Daewoo Nubira 2002-99"}, "9": {"ItemLevelGTIN": "00082617755740"}, "10": {"_addonCardone": "43-4102::98359:98551:292"}, "11": {"Eligible for R&amp;R Service": "Yes"}}</t>
        </is>
      </c>
      <c r="J820" t="inlineStr">
        <is>
          <t>https://www.cardone.com/product/windshield-wiper-motor-43-4102</t>
        </is>
      </c>
      <c r="K820">
        <f>DISPIMG("ID_4774015B53514D40AF81F557ACCF767F",1)</f>
        <v/>
      </c>
      <c r="L820" t="inlineStr">
        <is>
          <t>CPCX|43-4102</t>
        </is>
      </c>
      <c r="M820" t="inlineStr"/>
      <c r="N820" t="inlineStr">
        <is>
          <t>Yes</t>
        </is>
      </c>
      <c r="O820" t="inlineStr">
        <is>
          <t>Remanufactured</t>
        </is>
      </c>
      <c r="P820" t="inlineStr"/>
      <c r="Q820" t="inlineStr"/>
      <c r="R820" t="inlineStr"/>
      <c r="S820" t="inlineStr">
        <is>
          <t>3.0000</t>
        </is>
      </c>
      <c r="T820" t="inlineStr"/>
      <c r="U820" t="inlineStr">
        <is>
          <t>1 Year/18,000 Mile</t>
        </is>
      </c>
      <c r="V820" t="inlineStr">
        <is>
          <t>Yes</t>
        </is>
      </c>
      <c r="W820" t="inlineStr">
        <is>
          <t>Available to Order</t>
        </is>
      </c>
      <c r="X820" t="inlineStr">
        <is>
          <t>Daewoo Nubira 2002-99</t>
        </is>
      </c>
      <c r="Y820" t="inlineStr">
        <is>
          <t>00082617755740</t>
        </is>
      </c>
      <c r="Z820" t="inlineStr">
        <is>
          <t>43-4102::98359:98551:292</t>
        </is>
      </c>
      <c r="AA820" t="inlineStr">
        <is>
          <t>Yes</t>
        </is>
      </c>
      <c r="AB820" t="inlineStr"/>
      <c r="AC820" t="inlineStr"/>
    </row>
    <row r="821">
      <c r="A821" t="inlineStr">
        <is>
          <t>820</t>
        </is>
      </c>
      <c r="B821" t="inlineStr">
        <is>
          <t>Windshield Wiper Motor</t>
        </is>
      </c>
      <c r="C821" t="inlineStr">
        <is>
          <t>43-4103</t>
        </is>
      </c>
      <c r="D821" t="inlineStr">
        <is>
          <t>Windshield Wiper Motor - 43-4103</t>
        </is>
      </c>
      <c r="E821" t="inlineStr">
        <is>
          <t>CARDONE Reman</t>
        </is>
      </c>
      <c r="F821" t="inlineStr">
        <is>
          <t>3810185Z00;3881085Z10;3810085Z10;96442580</t>
        </is>
      </c>
      <c r="G821" t="inlineStr">
        <is>
          <t>Chevrolet Optra 2004-2010
Suzuki Forenza 2004-2008
Suzuki Reno 2005-2008</t>
        </is>
      </c>
      <c r="H821" t="inlineStr">
        <is>
          <t>Chevrolet Optra 2004-2010 2L L4 122cid
Suzuki Forenza 2004-2008 2L L4 122cid
Suzuki Reno 2005-2007 2L L4 1998cc
Suzuki Reno 2008 2L L4 122cid</t>
        </is>
      </c>
      <c r="I821" t="inlineStr">
        <is>
          <t>{"0": {"productDeskExternalKey": "CPCX|43-4103"}, "1": {"Package Contents": "Wiper Motor; Instruction Sheet"}, "2": {"E-Waste": "Yes"}, "3": {"Product Condition": "Remanufactured"}, "4": {"Mounting Hole Quantity": "3"}, "5": {"Terminal Type": "Blade"}, "6": {"Mounting Type": "Direct Bolt; Grommet"}, "7": {"Weight PG": "2.5000"}, "8": {"Washer Pump Included": "No"}, "9": {"Part Type": "Windshield Wiper Motor"}, "10": {"Warranty Info": "1 Year/18,000 Mile"}, "11": {"Sustainable Choice": "Yes"}, "12": {"Lifecycle Status": "Available to Order"}, "13": {"Application Summary": "Chevrolet Optra 2010-04; Suzuki Forenza 2008-04, Reno 2008-05"}, "14": {"ItemLevelGTIN": "00082617755856"}, "15": {"_addonCardone": "43-4103::98359:98560:292"}, "16": {"Eligible for R&amp;R Service": "Yes"}}</t>
        </is>
      </c>
      <c r="J821" t="inlineStr">
        <is>
          <t>https://www.cardone.com/product/windshield-wiper-motor-43-4103</t>
        </is>
      </c>
      <c r="K821">
        <f>DISPIMG("ID_EF892AB5A9124D53841159576622212E",1)</f>
        <v/>
      </c>
      <c r="L821" t="inlineStr">
        <is>
          <t>CPCX|43-4103</t>
        </is>
      </c>
      <c r="M821" t="inlineStr">
        <is>
          <t>Wiper Motor; Instruction Sheet</t>
        </is>
      </c>
      <c r="N821" t="inlineStr">
        <is>
          <t>Yes</t>
        </is>
      </c>
      <c r="O821" t="inlineStr">
        <is>
          <t>Remanufactured</t>
        </is>
      </c>
      <c r="P821" t="inlineStr">
        <is>
          <t>3</t>
        </is>
      </c>
      <c r="Q821" t="inlineStr">
        <is>
          <t>Blade</t>
        </is>
      </c>
      <c r="R821" t="inlineStr">
        <is>
          <t>Direct Bolt; Grommet</t>
        </is>
      </c>
      <c r="S821" t="inlineStr">
        <is>
          <t>2.5000</t>
        </is>
      </c>
      <c r="T821" t="inlineStr">
        <is>
          <t>No</t>
        </is>
      </c>
      <c r="U821" t="inlineStr">
        <is>
          <t>1 Year/18,000 Mile</t>
        </is>
      </c>
      <c r="V821" t="inlineStr">
        <is>
          <t>Yes</t>
        </is>
      </c>
      <c r="W821" t="inlineStr">
        <is>
          <t>Available to Order</t>
        </is>
      </c>
      <c r="X821" t="inlineStr">
        <is>
          <t>Chevrolet Optra 2010-04; Suzuki Forenza 2008-04, Reno 2008-05</t>
        </is>
      </c>
      <c r="Y821" t="inlineStr">
        <is>
          <t>00082617755856</t>
        </is>
      </c>
      <c r="Z821" t="inlineStr">
        <is>
          <t>43-4103::98359:98560:292</t>
        </is>
      </c>
      <c r="AA821" t="inlineStr">
        <is>
          <t>Yes</t>
        </is>
      </c>
      <c r="AB821" t="inlineStr"/>
      <c r="AC821" t="inlineStr"/>
    </row>
    <row r="822">
      <c r="A822" t="inlineStr">
        <is>
          <t>821</t>
        </is>
      </c>
      <c r="B822" t="inlineStr">
        <is>
          <t>Windshield Wiper Motor</t>
        </is>
      </c>
      <c r="C822" t="inlineStr">
        <is>
          <t>43-4104</t>
        </is>
      </c>
      <c r="D822" t="inlineStr">
        <is>
          <t>Windshield Wiper Motor - 43-4104</t>
        </is>
      </c>
      <c r="E822" t="inlineStr">
        <is>
          <t>CARDONE Reman</t>
        </is>
      </c>
      <c r="F822" t="inlineStr">
        <is>
          <t>96306756</t>
        </is>
      </c>
      <c r="G822" t="inlineStr">
        <is>
          <t>Daewoo Nubira 1999-2002</t>
        </is>
      </c>
      <c r="H822" t="inlineStr">
        <is>
          <t>Daewoo Nubira 1999-2002 2L L4 122cid</t>
        </is>
      </c>
      <c r="I822" t="inlineStr">
        <is>
          <t>{"0": {"productDeskExternalKey": "CPCX|43-4104"}, "1": {"E-Waste": "Yes"}, "2": {"Product Condition": "Remanufactured"}, "3": {"Weight PG": "2.6000"}, "4": {"Part Type": "Windshield Wiper Motor"}, "5": {"Warranty Info": "1 Year/18,000 Mile"}, "6": {"Sustainable Choice": "Yes"}, "7": {"Lifecycle Status": "Available to Order"}, "8": {"Application Summary": "Daewoo Nubira 2002-99"}, "9": {"ItemLevelGTIN": "00082617785709"}, "10": {"_addonCardone": "43-4104::98359:98567:292"}, "11": {"Eligible for R&amp;R Service": "Yes"}}</t>
        </is>
      </c>
      <c r="J822" t="inlineStr">
        <is>
          <t>https://www.cardone.com/product/windshield-wiper-motor-43-4104</t>
        </is>
      </c>
      <c r="K822">
        <f>DISPIMG("ID_DFFC4DAEA11343F18C809DB6E90231C7",1)</f>
        <v/>
      </c>
      <c r="L822" t="inlineStr">
        <is>
          <t>CPCX|43-4104</t>
        </is>
      </c>
      <c r="M822" t="inlineStr"/>
      <c r="N822" t="inlineStr">
        <is>
          <t>Yes</t>
        </is>
      </c>
      <c r="O822" t="inlineStr">
        <is>
          <t>Remanufactured</t>
        </is>
      </c>
      <c r="P822" t="inlineStr"/>
      <c r="Q822" t="inlineStr"/>
      <c r="R822" t="inlineStr"/>
      <c r="S822" t="inlineStr">
        <is>
          <t>2.6000</t>
        </is>
      </c>
      <c r="T822" t="inlineStr"/>
      <c r="U822" t="inlineStr">
        <is>
          <t>1 Year/18,000 Mile</t>
        </is>
      </c>
      <c r="V822" t="inlineStr">
        <is>
          <t>Yes</t>
        </is>
      </c>
      <c r="W822" t="inlineStr">
        <is>
          <t>Available to Order</t>
        </is>
      </c>
      <c r="X822" t="inlineStr">
        <is>
          <t>Daewoo Nubira 2002-99</t>
        </is>
      </c>
      <c r="Y822" t="inlineStr">
        <is>
          <t>00082617785709</t>
        </is>
      </c>
      <c r="Z822" t="inlineStr">
        <is>
          <t>43-4104::98359:98567:292</t>
        </is>
      </c>
      <c r="AA822" t="inlineStr">
        <is>
          <t>Yes</t>
        </is>
      </c>
      <c r="AB822" t="inlineStr"/>
      <c r="AC822" t="inlineStr"/>
    </row>
    <row r="823">
      <c r="A823" t="inlineStr">
        <is>
          <t>822</t>
        </is>
      </c>
      <c r="B823" t="inlineStr">
        <is>
          <t>Windshield Wiper Motor</t>
        </is>
      </c>
      <c r="C823" t="inlineStr">
        <is>
          <t>43-4107</t>
        </is>
      </c>
      <c r="D823" t="inlineStr">
        <is>
          <t>Windshield Wiper Motor - 43-4107</t>
        </is>
      </c>
      <c r="E823" t="inlineStr">
        <is>
          <t>CARDONE Reman</t>
        </is>
      </c>
      <c r="F823" t="inlineStr">
        <is>
          <t>3810186Z00</t>
        </is>
      </c>
      <c r="G823" t="inlineStr">
        <is>
          <t>Suzuki Verona 2004-2006</t>
        </is>
      </c>
      <c r="H823" t="inlineStr">
        <is>
          <t>Suzuki Verona 2004-2006 2.5L L6 2492cc</t>
        </is>
      </c>
      <c r="I823" t="inlineStr">
        <is>
          <t>{"0": {"productDeskExternalKey": "CPCX|43-4107"}, "1": {"Package Contents": "Wiper Motor; Instruction Sheet"}, "2": {"E-Waste": "Yes"}, "3": {"Product Condition": "Remanufactured"}, "4": {"Mounting Hole Quantity": "3"}, "5": {"Terminal Type": "Blade"}, "6": {"Mounting Type": "Direct Bolt; Grommet"}, "7": {"Weight PG": "2.7500"}, "8": {"Washer Pump Included": "No"}, "9": {"Part Type": "Windshield Wiper Motor"}, "10": {"Warranty Info": "1 Year/18,000 Mile"}, "11": {"Sustainable Choice": "Yes"}, "12": {"Lifecycle Status": "Available to Order"}, "13": {"Application Summary": "Suzuki Verona 2006-04"}, "14": {"ItemLevelGTIN": "00082617813051"}, "15": {"_addonCardone": "43-4107::98359:98575:292"}, "16": {"Eligible for R&amp;R Service": "Yes"}}</t>
        </is>
      </c>
      <c r="J823" t="inlineStr">
        <is>
          <t>https://www.cardone.com/product/windshield-wiper-motor-43-4107</t>
        </is>
      </c>
      <c r="K823">
        <f>DISPIMG("ID_D8055217CD874292AE8BC23ADAB85764",1)</f>
        <v/>
      </c>
      <c r="L823" t="inlineStr">
        <is>
          <t>CPCX|43-4107</t>
        </is>
      </c>
      <c r="M823" t="inlineStr">
        <is>
          <t>Wiper Motor; Instruction Sheet</t>
        </is>
      </c>
      <c r="N823" t="inlineStr">
        <is>
          <t>Yes</t>
        </is>
      </c>
      <c r="O823" t="inlineStr">
        <is>
          <t>Remanufactured</t>
        </is>
      </c>
      <c r="P823" t="inlineStr">
        <is>
          <t>3</t>
        </is>
      </c>
      <c r="Q823" t="inlineStr">
        <is>
          <t>Blade</t>
        </is>
      </c>
      <c r="R823" t="inlineStr">
        <is>
          <t>Direct Bolt; Grommet</t>
        </is>
      </c>
      <c r="S823" t="inlineStr">
        <is>
          <t>2.7500</t>
        </is>
      </c>
      <c r="T823" t="inlineStr">
        <is>
          <t>No</t>
        </is>
      </c>
      <c r="U823" t="inlineStr">
        <is>
          <t>1 Year/18,000 Mile</t>
        </is>
      </c>
      <c r="V823" t="inlineStr">
        <is>
          <t>Yes</t>
        </is>
      </c>
      <c r="W823" t="inlineStr">
        <is>
          <t>Available to Order</t>
        </is>
      </c>
      <c r="X823" t="inlineStr">
        <is>
          <t>Suzuki Verona 2006-04</t>
        </is>
      </c>
      <c r="Y823" t="inlineStr">
        <is>
          <t>00082617813051</t>
        </is>
      </c>
      <c r="Z823" t="inlineStr">
        <is>
          <t>43-4107::98359:98575:292</t>
        </is>
      </c>
      <c r="AA823" t="inlineStr">
        <is>
          <t>Yes</t>
        </is>
      </c>
      <c r="AB823" t="inlineStr"/>
      <c r="AC823" t="inlineStr"/>
    </row>
    <row r="824">
      <c r="A824" t="inlineStr">
        <is>
          <t>823</t>
        </is>
      </c>
      <c r="B824" t="inlineStr">
        <is>
          <t>Windshield Wiper Motor</t>
        </is>
      </c>
      <c r="C824" t="inlineStr">
        <is>
          <t>43-4109</t>
        </is>
      </c>
      <c r="D824" t="inlineStr">
        <is>
          <t>Windshield Wiper Motor - 43-4109</t>
        </is>
      </c>
      <c r="E824" t="inlineStr">
        <is>
          <t>CARDONE Reman</t>
        </is>
      </c>
      <c r="F824" t="inlineStr">
        <is>
          <t>3881080J00</t>
        </is>
      </c>
      <c r="G824" t="inlineStr">
        <is>
          <t>Suzuki SX4 2007-2013</t>
        </is>
      </c>
      <c r="H824" t="inlineStr">
        <is>
          <t>Suzuki SX4 2007-2013 2L L4 122cid</t>
        </is>
      </c>
      <c r="I824" t="inlineStr">
        <is>
          <t>{"0": {"productDeskExternalKey": "CPCX|43-4109"}, "1": {"Package Contents": "Wiper Motor; Instruction Sheet"}, "2": {"E-Waste": "Yes"}, "3": {"Product Condition": "Remanufactured"}, "4": {"Mounting Hole Quantity": "3"}, "5": {"Terminal Type": "Blade"}, "6": {"Mounting Type": "Eyelet"}, "7": {"Weight PG": "2.0000"}, "8": {"Washer Pump Included": "No"}, "9": {"Part Type": "Windshield Wiper Motor"}, "10": {"Warranty Info": "1 Year/18,000 Mile"}, "11": {"Sustainable Choice": "Yes"}, "12": {"Lifecycle Status": "Available to Order"}, "13": {"Application Summary": "Suzuki SX4 2013-07"}, "14": {"ItemLevelGTIN": "00082617815987"}, "15": {"_addonCardone": "43-4109::98359:98585:292"}, "16": {"Eligible for R&amp;R Service": "Yes"}}</t>
        </is>
      </c>
      <c r="J824" t="inlineStr">
        <is>
          <t>https://www.cardone.com/product/windshield-wiper-motor-43-4109</t>
        </is>
      </c>
      <c r="K824">
        <f>DISPIMG("ID_4954E7BA73C54A7D980A08648F0FFE70",1)</f>
        <v/>
      </c>
      <c r="L824" t="inlineStr">
        <is>
          <t>CPCX|43-4109</t>
        </is>
      </c>
      <c r="M824" t="inlineStr">
        <is>
          <t>Wiper Motor; Instruction Sheet</t>
        </is>
      </c>
      <c r="N824" t="inlineStr">
        <is>
          <t>Yes</t>
        </is>
      </c>
      <c r="O824" t="inlineStr">
        <is>
          <t>Remanufactured</t>
        </is>
      </c>
      <c r="P824" t="inlineStr">
        <is>
          <t>3</t>
        </is>
      </c>
      <c r="Q824" t="inlineStr">
        <is>
          <t>Blade</t>
        </is>
      </c>
      <c r="R824" t="inlineStr">
        <is>
          <t>Eyelet</t>
        </is>
      </c>
      <c r="S824" t="inlineStr">
        <is>
          <t>2.0000</t>
        </is>
      </c>
      <c r="T824" t="inlineStr">
        <is>
          <t>No</t>
        </is>
      </c>
      <c r="U824" t="inlineStr">
        <is>
          <t>1 Year/18,000 Mile</t>
        </is>
      </c>
      <c r="V824" t="inlineStr">
        <is>
          <t>Yes</t>
        </is>
      </c>
      <c r="W824" t="inlineStr">
        <is>
          <t>Available to Order</t>
        </is>
      </c>
      <c r="X824" t="inlineStr">
        <is>
          <t>Suzuki SX4 2013-07</t>
        </is>
      </c>
      <c r="Y824" t="inlineStr">
        <is>
          <t>00082617815987</t>
        </is>
      </c>
      <c r="Z824" t="inlineStr">
        <is>
          <t>43-4109::98359:98585:292</t>
        </is>
      </c>
      <c r="AA824" t="inlineStr">
        <is>
          <t>Yes</t>
        </is>
      </c>
      <c r="AB824" t="inlineStr"/>
      <c r="AC824" t="inlineStr"/>
    </row>
    <row r="825">
      <c r="A825" t="inlineStr">
        <is>
          <t>824</t>
        </is>
      </c>
      <c r="B825" t="inlineStr">
        <is>
          <t>Windshield Wiper Motor</t>
        </is>
      </c>
      <c r="C825" t="inlineStr">
        <is>
          <t>43-4111</t>
        </is>
      </c>
      <c r="D825" t="inlineStr">
        <is>
          <t>Windshield Wiper Motor - 43-4111</t>
        </is>
      </c>
      <c r="E825" t="inlineStr">
        <is>
          <t>CARDONE Reman</t>
        </is>
      </c>
      <c r="F825" t="inlineStr">
        <is>
          <t>3881064J00;3881065J00</t>
        </is>
      </c>
      <c r="G825" t="inlineStr">
        <is>
          <t>Suzuki Grand Vitara 2007-2013</t>
        </is>
      </c>
      <c r="H825" t="inlineStr">
        <is>
          <t>Suzuki Grand Vitara 2007-2008 2.7L V6 2737cc
Suzuki Grand Vitara 2009-2010 3.2L V6 3195cc
Suzuki Grand Vitara 2009-2013 2.4L L4 2393cc</t>
        </is>
      </c>
      <c r="I825" t="inlineStr">
        <is>
          <t>{"0": {"productDeskExternalKey": "CPCX|43-4111"}, "1": {"Package Contents": "Wiper Motor; Instruction Sheet"}, "2": {"E-Waste": "Yes"}, "3": {"Product Condition": "Remanufactured"}, "4": {"Mounting Hole Quantity": "3"}, "5": {"Terminal Type": "Blade"}, "6": {"Mounting Type": "Grommet"}, "7": {"Weight PG": "2.1000"}, "8": {"Washer Pump Included": "No"}, "9": {"Part Type": "Windshield Wiper Motor"}, "10": {"Warranty Info": "1 Year/18,000 Mile"}, "11": {"Sustainable Choice": "Yes"}, "12": {"Lifecycle Status": "Available to Order"}, "13": {"Application Summary": "Suzuki Grand Vitara 2013-07"}, "14": {"ItemLevelGTIN": "00082617816007"}, "15": {"_addonCardone": "43-4111::98359:98595:292"}, "16": {"Eligible for R&amp;R Service": "Yes"}}</t>
        </is>
      </c>
      <c r="J825" t="inlineStr">
        <is>
          <t>https://www.cardone.com/product/windshield-wiper-motor-43-4111</t>
        </is>
      </c>
      <c r="K825">
        <f>DISPIMG("ID_407A45F7491840F6B88CF9810974ACB6",1)</f>
        <v/>
      </c>
      <c r="L825" t="inlineStr">
        <is>
          <t>CPCX|43-4111</t>
        </is>
      </c>
      <c r="M825" t="inlineStr">
        <is>
          <t>Wiper Motor; Instruction Sheet</t>
        </is>
      </c>
      <c r="N825" t="inlineStr">
        <is>
          <t>Yes</t>
        </is>
      </c>
      <c r="O825" t="inlineStr">
        <is>
          <t>Remanufactured</t>
        </is>
      </c>
      <c r="P825" t="inlineStr">
        <is>
          <t>3</t>
        </is>
      </c>
      <c r="Q825" t="inlineStr">
        <is>
          <t>Blade</t>
        </is>
      </c>
      <c r="R825" t="inlineStr">
        <is>
          <t>Grommet</t>
        </is>
      </c>
      <c r="S825" t="inlineStr">
        <is>
          <t>2.1000</t>
        </is>
      </c>
      <c r="T825" t="inlineStr">
        <is>
          <t>No</t>
        </is>
      </c>
      <c r="U825" t="inlineStr">
        <is>
          <t>1 Year/18,000 Mile</t>
        </is>
      </c>
      <c r="V825" t="inlineStr">
        <is>
          <t>Yes</t>
        </is>
      </c>
      <c r="W825" t="inlineStr">
        <is>
          <t>Available to Order</t>
        </is>
      </c>
      <c r="X825" t="inlineStr">
        <is>
          <t>Suzuki Grand Vitara 2013-07</t>
        </is>
      </c>
      <c r="Y825" t="inlineStr">
        <is>
          <t>00082617816007</t>
        </is>
      </c>
      <c r="Z825" t="inlineStr">
        <is>
          <t>43-4111::98359:98595:292</t>
        </is>
      </c>
      <c r="AA825" t="inlineStr">
        <is>
          <t>Yes</t>
        </is>
      </c>
      <c r="AB825" t="inlineStr"/>
      <c r="AC825" t="inlineStr"/>
    </row>
    <row r="826">
      <c r="A826" t="inlineStr">
        <is>
          <t>825</t>
        </is>
      </c>
      <c r="B826" t="inlineStr">
        <is>
          <t>Windshield Wiper Motor</t>
        </is>
      </c>
      <c r="C826" t="inlineStr">
        <is>
          <t>43-4115</t>
        </is>
      </c>
      <c r="D826" t="inlineStr">
        <is>
          <t>Windshield Wiper Motor - 43-4115</t>
        </is>
      </c>
      <c r="E826" t="inlineStr">
        <is>
          <t>CARDONE Reman</t>
        </is>
      </c>
      <c r="F826" t="inlineStr">
        <is>
          <t>3881150G00</t>
        </is>
      </c>
      <c r="G826" t="inlineStr">
        <is>
          <t>Suzuki Swift 1995-2001</t>
        </is>
      </c>
      <c r="H826" t="inlineStr">
        <is>
          <t>Suzuki Swift 1995-2001 1.3L L4 79cid</t>
        </is>
      </c>
      <c r="I826" t="inlineStr">
        <is>
          <t>{"0": {"productDeskExternalKey": "CPCX|43-4115"}, "1": {"E-Waste": "Yes"}, "2": {"Product Condition": "Remanufactured"}, "3": {"Weight PG": "2.7500"}, "4": {"Part Type": "Windshield Wiper Motor"}, "5": {"Warranty Info": "1 Year/18,000 Mile"}, "6": {"Sustainable Choice": "Yes"}, "7": {"Lifecycle Status": "Available to Order"}, "8": {"Application Summary": "Suzuki Swift 2001-95"}, "9": {"ItemLevelGTIN": "00082617820851"}, "10": {"_addonCardone": "43-4115::98359:98609:292"}, "11": {"Eligible for R&amp;R Service": "Yes"}}</t>
        </is>
      </c>
      <c r="J826" t="inlineStr">
        <is>
          <t>https://www.cardone.com/product/windshield-wiper-motor-43-4115</t>
        </is>
      </c>
      <c r="K826">
        <f>DISPIMG("ID_97A829444E4E49059EFC030038A1C24F",1)</f>
        <v/>
      </c>
      <c r="L826" t="inlineStr">
        <is>
          <t>CPCX|43-4115</t>
        </is>
      </c>
      <c r="M826" t="inlineStr"/>
      <c r="N826" t="inlineStr">
        <is>
          <t>Yes</t>
        </is>
      </c>
      <c r="O826" t="inlineStr">
        <is>
          <t>Remanufactured</t>
        </is>
      </c>
      <c r="P826" t="inlineStr"/>
      <c r="Q826" t="inlineStr"/>
      <c r="R826" t="inlineStr"/>
      <c r="S826" t="inlineStr">
        <is>
          <t>2.7500</t>
        </is>
      </c>
      <c r="T826" t="inlineStr"/>
      <c r="U826" t="inlineStr">
        <is>
          <t>1 Year/18,000 Mile</t>
        </is>
      </c>
      <c r="V826" t="inlineStr">
        <is>
          <t>Yes</t>
        </is>
      </c>
      <c r="W826" t="inlineStr">
        <is>
          <t>Available to Order</t>
        </is>
      </c>
      <c r="X826" t="inlineStr">
        <is>
          <t>Suzuki Swift 2001-95</t>
        </is>
      </c>
      <c r="Y826" t="inlineStr">
        <is>
          <t>00082617820851</t>
        </is>
      </c>
      <c r="Z826" t="inlineStr">
        <is>
          <t>43-4115::98359:98609:292</t>
        </is>
      </c>
      <c r="AA826" t="inlineStr">
        <is>
          <t>Yes</t>
        </is>
      </c>
      <c r="AB826" t="inlineStr"/>
      <c r="AC826" t="inlineStr"/>
    </row>
    <row r="827">
      <c r="A827" t="inlineStr">
        <is>
          <t>826</t>
        </is>
      </c>
      <c r="B827" t="inlineStr">
        <is>
          <t>Windshield Wiper Motor</t>
        </is>
      </c>
      <c r="C827" t="inlineStr">
        <is>
          <t>43-4118</t>
        </is>
      </c>
      <c r="D827" t="inlineStr">
        <is>
          <t>Windshield Wiper Motor - 43-4118</t>
        </is>
      </c>
      <c r="E827" t="inlineStr">
        <is>
          <t>CARDONE Reman</t>
        </is>
      </c>
      <c r="F827" t="inlineStr">
        <is>
          <t>3881161A00</t>
        </is>
      </c>
      <c r="G827" t="inlineStr">
        <is>
          <t>Suzuki Sidekick 1989-1998</t>
        </is>
      </c>
      <c r="H827" t="inlineStr">
        <is>
          <t>Suzuki Sidekick 1989 1.3L L4 81cid
Suzuki Sidekick 1989-1998 1.6L L4 97cid
Suzuki Sidekick 1996-1998 1.8L L4 1840cc</t>
        </is>
      </c>
      <c r="I827" t="inlineStr">
        <is>
          <t>{"0": {"productDeskExternalKey": "CPCX|43-4118"}, "1": {"E-Waste": "Yes"}, "2": {"Product Condition": "Remanufactured"}, "3": {"Weight PG": "2.7500"}, "4": {"Part Type": "Windshield Wiper Motor"}, "5": {"Warranty Info": "1 Year/18,000 Mile"}, "6": {"Sustainable Choice": "Yes"}, "7": {"Lifecycle Status": "Available to Order"}, "8": {"Application Summary": "Suzuki Sidekick 1998-89"}, "9": {"ItemLevelGTIN": "00082617838252"}, "10": {"_addonCardone": "43-4118::98359:98617:292"}, "11": {"Eligible for R&amp;R Service": "Yes"}}</t>
        </is>
      </c>
      <c r="J827" t="inlineStr">
        <is>
          <t>https://www.cardone.com/product/windshield-wiper-motor-43-4118</t>
        </is>
      </c>
      <c r="K827">
        <f>DISPIMG("ID_6E6915C0048347A78F20D00FAD845415",1)</f>
        <v/>
      </c>
      <c r="L827" t="inlineStr">
        <is>
          <t>CPCX|43-4118</t>
        </is>
      </c>
      <c r="M827" t="inlineStr"/>
      <c r="N827" t="inlineStr">
        <is>
          <t>Yes</t>
        </is>
      </c>
      <c r="O827" t="inlineStr">
        <is>
          <t>Remanufactured</t>
        </is>
      </c>
      <c r="P827" t="inlineStr"/>
      <c r="Q827" t="inlineStr"/>
      <c r="R827" t="inlineStr"/>
      <c r="S827" t="inlineStr">
        <is>
          <t>2.7500</t>
        </is>
      </c>
      <c r="T827" t="inlineStr"/>
      <c r="U827" t="inlineStr">
        <is>
          <t>1 Year/18,000 Mile</t>
        </is>
      </c>
      <c r="V827" t="inlineStr">
        <is>
          <t>Yes</t>
        </is>
      </c>
      <c r="W827" t="inlineStr">
        <is>
          <t>Available to Order</t>
        </is>
      </c>
      <c r="X827" t="inlineStr">
        <is>
          <t>Suzuki Sidekick 1998-89</t>
        </is>
      </c>
      <c r="Y827" t="inlineStr">
        <is>
          <t>00082617838252</t>
        </is>
      </c>
      <c r="Z827" t="inlineStr">
        <is>
          <t>43-4118::98359:98617:292</t>
        </is>
      </c>
      <c r="AA827" t="inlineStr">
        <is>
          <t>Yes</t>
        </is>
      </c>
      <c r="AB827" t="inlineStr"/>
      <c r="AC827" t="inlineStr"/>
    </row>
    <row r="828">
      <c r="A828" t="inlineStr">
        <is>
          <t>827</t>
        </is>
      </c>
      <c r="B828" t="inlineStr">
        <is>
          <t>Windshield Wiper Motor</t>
        </is>
      </c>
      <c r="C828" t="inlineStr">
        <is>
          <t>43-4120</t>
        </is>
      </c>
      <c r="D828" t="inlineStr">
        <is>
          <t>Windshield Wiper Motor - 43-4120</t>
        </is>
      </c>
      <c r="E828" t="inlineStr">
        <is>
          <t>CARDONE Reman</t>
        </is>
      </c>
      <c r="F828" t="inlineStr">
        <is>
          <t>3881085Z00;3881085Z10;96190209</t>
        </is>
      </c>
      <c r="G828" t="inlineStr">
        <is>
          <t>Chevrolet Optra 2004-2010
Suzuki Forenza 2005-2008
Suzuki Reno 2005-2008</t>
        </is>
      </c>
      <c r="H828" t="inlineStr">
        <is>
          <t>Chevrolet Optra 2004-2010 2L L4 122cid
Suzuki Forenza 2005-2008 2L L4 122cid
Suzuki Reno 2005-2007 2L L4 1998cc
Suzuki Reno 2008 2L L4 122cid</t>
        </is>
      </c>
      <c r="I828" t="inlineStr">
        <is>
          <t>{"0": {"productDeskExternalKey": "CPCX|43-4120"},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"Chevrolet Optra 2010-04; Suzuki Forenza 2008-05, Reno 2008-05"}, "14": {"ItemLevelGTIN": "00082617838757"}, "15": {"_addonCardone": "43-4120::98359:98623:292"}, "16": {"Eligible for R&amp;R Service": "Yes"}}</t>
        </is>
      </c>
      <c r="J828" t="inlineStr">
        <is>
          <t>https://www.cardone.com/product/windshield-wiper-motor-43-4120</t>
        </is>
      </c>
      <c r="K828">
        <f>DISPIMG("ID_28F48804812342DC9BF4B52BFEB88674",1)</f>
        <v/>
      </c>
      <c r="L828" t="inlineStr">
        <is>
          <t>CPCX|43-4120</t>
        </is>
      </c>
      <c r="M828" t="inlineStr">
        <is>
          <t>Wiper Motor; Instruction Sheet</t>
        </is>
      </c>
      <c r="N828" t="inlineStr">
        <is>
          <t>Yes</t>
        </is>
      </c>
      <c r="O828" t="inlineStr">
        <is>
          <t>Remanufactured</t>
        </is>
      </c>
      <c r="P828" t="inlineStr">
        <is>
          <t>3</t>
        </is>
      </c>
      <c r="Q828" t="inlineStr">
        <is>
          <t>Blade</t>
        </is>
      </c>
      <c r="R828" t="inlineStr">
        <is>
          <t>Grommet</t>
        </is>
      </c>
      <c r="S828" t="inlineStr">
        <is>
          <t>2.2000</t>
        </is>
      </c>
      <c r="T828" t="inlineStr">
        <is>
          <t>No</t>
        </is>
      </c>
      <c r="U828" t="inlineStr">
        <is>
          <t>1 Year/18,000 Mile</t>
        </is>
      </c>
      <c r="V828" t="inlineStr">
        <is>
          <t>Yes</t>
        </is>
      </c>
      <c r="W828" t="inlineStr">
        <is>
          <t>Available to Order</t>
        </is>
      </c>
      <c r="X828" t="inlineStr">
        <is>
          <t>Chevrolet Optra 2010-04; Suzuki Forenza 2008-05, Reno 2008-05</t>
        </is>
      </c>
      <c r="Y828" t="inlineStr">
        <is>
          <t>00082617838757</t>
        </is>
      </c>
      <c r="Z828" t="inlineStr">
        <is>
          <t>43-4120::98359:98623:292</t>
        </is>
      </c>
      <c r="AA828" t="inlineStr">
        <is>
          <t>Yes</t>
        </is>
      </c>
      <c r="AB828" t="inlineStr"/>
      <c r="AC828" t="inlineStr"/>
    </row>
    <row r="829">
      <c r="A829" t="inlineStr">
        <is>
          <t>828</t>
        </is>
      </c>
      <c r="B829" t="inlineStr">
        <is>
          <t>Windshield Wiper Motor</t>
        </is>
      </c>
      <c r="C829" t="inlineStr">
        <is>
          <t>43-4121</t>
        </is>
      </c>
      <c r="D829" t="inlineStr">
        <is>
          <t>Windshield Wiper Motor - 43-4121</t>
        </is>
      </c>
      <c r="E829" t="inlineStr">
        <is>
          <t>CARDONE Reman</t>
        </is>
      </c>
      <c r="F829" t="inlineStr">
        <is>
          <t>3881063G00</t>
        </is>
      </c>
      <c r="G829" t="inlineStr">
        <is>
          <t>Suzuki Esteem 1999-2002</t>
        </is>
      </c>
      <c r="H829" t="inlineStr">
        <is>
          <t>Suzuki Esteem 1999-2001 1.6L L4 97cid
Suzuki Esteem 1999-2002 1.8L L4 1790cc</t>
        </is>
      </c>
      <c r="I829" t="inlineStr">
        <is>
          <t>{"0": {"productDeskExternalKey": "CPCX|43-4121"}, "1": {"E-Waste": "Yes"}, "2": {"Product Condition": "Remanufactured"}, "3": {"Weight PG": "2.7500"}, "4": {"Part Type": "Windshield Wiper Motor"}, "5": {"Warranty Info": "1 Year/18,000 Mile"}, "6": {"Sustainable Choice": "Yes"}, "7": {"Lifecycle Status": "Available to Order"}, "8": {"Application Summary": "Suzuki Esteem 2002-99"}, "9": {"ItemLevelGTIN": "00082617838801"}, "10": {"_addonCardone": "43-4121::98359:98629:292"}, "11": {"Eligible for R&amp;R Service": "Yes"}}</t>
        </is>
      </c>
      <c r="J829" t="inlineStr">
        <is>
          <t>https://www.cardone.com/product/windshield-wiper-motor-43-4121</t>
        </is>
      </c>
      <c r="K829">
        <f>DISPIMG("ID_2D2C9FB4B49C4373808297F16C7A695B",1)</f>
        <v/>
      </c>
      <c r="L829" t="inlineStr">
        <is>
          <t>CPCX|43-4121</t>
        </is>
      </c>
      <c r="M829" t="inlineStr"/>
      <c r="N829" t="inlineStr">
        <is>
          <t>Yes</t>
        </is>
      </c>
      <c r="O829" t="inlineStr">
        <is>
          <t>Remanufactured</t>
        </is>
      </c>
      <c r="P829" t="inlineStr"/>
      <c r="Q829" t="inlineStr"/>
      <c r="R829" t="inlineStr"/>
      <c r="S829" t="inlineStr">
        <is>
          <t>2.7500</t>
        </is>
      </c>
      <c r="T829" t="inlineStr"/>
      <c r="U829" t="inlineStr">
        <is>
          <t>1 Year/18,000 Mile</t>
        </is>
      </c>
      <c r="V829" t="inlineStr">
        <is>
          <t>Yes</t>
        </is>
      </c>
      <c r="W829" t="inlineStr">
        <is>
          <t>Available to Order</t>
        </is>
      </c>
      <c r="X829" t="inlineStr">
        <is>
          <t>Suzuki Esteem 2002-99</t>
        </is>
      </c>
      <c r="Y829" t="inlineStr">
        <is>
          <t>00082617838801</t>
        </is>
      </c>
      <c r="Z829" t="inlineStr">
        <is>
          <t>43-4121::98359:98629:292</t>
        </is>
      </c>
      <c r="AA829" t="inlineStr">
        <is>
          <t>Yes</t>
        </is>
      </c>
      <c r="AB829" t="inlineStr"/>
      <c r="AC829" t="inlineStr"/>
    </row>
    <row r="830">
      <c r="A830" t="inlineStr">
        <is>
          <t>829</t>
        </is>
      </c>
      <c r="B830" t="inlineStr">
        <is>
          <t>Windshield Wiper Motor</t>
        </is>
      </c>
      <c r="C830" t="inlineStr">
        <is>
          <t>43-4122</t>
        </is>
      </c>
      <c r="D830" t="inlineStr">
        <is>
          <t>Windshield Wiper Motor - 43-4122</t>
        </is>
      </c>
      <c r="E830" t="inlineStr">
        <is>
          <t>CARDONE Reman</t>
        </is>
      </c>
      <c r="F830" t="inlineStr">
        <is>
          <t>96303127</t>
        </is>
      </c>
      <c r="G830" t="inlineStr">
        <is>
          <t>Daewoo Lanos 1999-2002</t>
        </is>
      </c>
      <c r="H830" t="inlineStr">
        <is>
          <t>Daewoo Lanos 1999-2002 1.5L L4 1498cc
Daewoo Lanos 1999-2002 1.6L L4 98cid</t>
        </is>
      </c>
      <c r="I830" t="inlineStr">
        <is>
          <t>{"0": {"productDeskExternalKey": "CPCX|43-4122"}, "1": {"Package Contents": "Wiper Motor; Instruction Sheet"}, "2": {"E-Waste": "Yes"}, "3": {"Product Condition": "Remanufactured"}, "4": {"Mounting Hole Quantity": "3"}, "5": {"Terminal Type": "Blade"}, "6": {"Mounting Type": "Grommet"}, "7": {"Weight PG": "1.5000"}, "8": {"Washer Pump Included": "No"}, "9": {"Part Type": "Windshield Wiper Motor"}, "10": {"Warranty Info": "1 Year/18,000 Mile"}, "11": {"Sustainable Choice": "Yes"}, "12": {"Lifecycle Status": "Available to Order"}, "13": {"Application Summary": "Daewoo Lanos 2002-99"}, "14": {"ItemLevelGTIN": "00082617838818"}, "15": {"_addonCardone": "43-4122::98359:98638:292"}, "16": {"Eligible for R&amp;R Service": "Yes"}}</t>
        </is>
      </c>
      <c r="J830" t="inlineStr">
        <is>
          <t>https://www.cardone.com/product/windshield-wiper-motor-43-4122</t>
        </is>
      </c>
      <c r="K830">
        <f>DISPIMG("ID_3F0E451FA387480398A737735A8BF1C6",1)</f>
        <v/>
      </c>
      <c r="L830" t="inlineStr">
        <is>
          <t>CPCX|43-4122</t>
        </is>
      </c>
      <c r="M830" t="inlineStr">
        <is>
          <t>Wiper Motor; Instruction Sheet</t>
        </is>
      </c>
      <c r="N830" t="inlineStr">
        <is>
          <t>Yes</t>
        </is>
      </c>
      <c r="O830" t="inlineStr">
        <is>
          <t>Remanufactured</t>
        </is>
      </c>
      <c r="P830" t="inlineStr">
        <is>
          <t>3</t>
        </is>
      </c>
      <c r="Q830" t="inlineStr">
        <is>
          <t>Blade</t>
        </is>
      </c>
      <c r="R830" t="inlineStr">
        <is>
          <t>Grommet</t>
        </is>
      </c>
      <c r="S830" t="inlineStr">
        <is>
          <t>1.5000</t>
        </is>
      </c>
      <c r="T830" t="inlineStr">
        <is>
          <t>No</t>
        </is>
      </c>
      <c r="U830" t="inlineStr">
        <is>
          <t>1 Year/18,000 Mile</t>
        </is>
      </c>
      <c r="V830" t="inlineStr">
        <is>
          <t>Yes</t>
        </is>
      </c>
      <c r="W830" t="inlineStr">
        <is>
          <t>Available to Order</t>
        </is>
      </c>
      <c r="X830" t="inlineStr">
        <is>
          <t>Daewoo Lanos 2002-99</t>
        </is>
      </c>
      <c r="Y830" t="inlineStr">
        <is>
          <t>00082617838818</t>
        </is>
      </c>
      <c r="Z830" t="inlineStr">
        <is>
          <t>43-4122::98359:98638:292</t>
        </is>
      </c>
      <c r="AA830" t="inlineStr">
        <is>
          <t>Yes</t>
        </is>
      </c>
      <c r="AB830" t="inlineStr"/>
      <c r="AC830" t="inlineStr"/>
    </row>
    <row r="831">
      <c r="A831" t="inlineStr">
        <is>
          <t>830</t>
        </is>
      </c>
      <c r="B831" t="inlineStr">
        <is>
          <t>Windshield Wiper Motor</t>
        </is>
      </c>
      <c r="C831" t="inlineStr">
        <is>
          <t>43-4123</t>
        </is>
      </c>
      <c r="D831" t="inlineStr">
        <is>
          <t>Windshield Wiper Motor - 43-4123</t>
        </is>
      </c>
      <c r="E831" t="inlineStr">
        <is>
          <t>CARDONE Reman</t>
        </is>
      </c>
      <c r="F831" t="inlineStr">
        <is>
          <t>3810178J10;3810178J01</t>
        </is>
      </c>
      <c r="G831" t="inlineStr">
        <is>
          <t>Suzuki XL-7 2008-2009</t>
        </is>
      </c>
      <c r="H831" t="inlineStr">
        <is>
          <t>Suzuki XL-7 2008-2009 3.2L V6 195cid
Suzuki XL-7 2008-2009 3.6L V6 3564cc</t>
        </is>
      </c>
      <c r="I831" t="inlineStr">
        <is>
          <t>{"0": {"productDeskExternalKey": "CPCX|43-4123"}, "1": {"Package Contents": "Wiper Motor; Instruction Sheet"}, "2": {"E-Waste": "Yes"}, "3": {"Product Condition": "Remanufactured"}, "4": {"Mounting Hole Quantity": "3"}, "5": {"Terminal Type": "Blade"}, "6": {"Mounting Type": "Direct Bolt; Grommet"}, "7": {"Weight PG": "3.5000"}, "8": {"Washer Pump Included": "No"}, "9": {"Part Type": "Windshield Wiper Motor"}, "10": {"Warranty Info": "1 Year/18,000 Mile"}, "11": {"Sustainable Choice": "Yes"}, "12": {"Lifecycle Status": "Available to Order"}, "13": {"Application Summary": "Suzuki XL-7 2009-08"}, "14": {"ItemLevelGTIN": "00082617864671"}, "15": {"_addonCardone": "43-4123::98359:98646:292"}, "16": {"Eligible for R&amp;R Service": "Yes"}}</t>
        </is>
      </c>
      <c r="J831" t="inlineStr">
        <is>
          <t>https://www.cardone.com/product/windshield-wiper-motor-43-4123</t>
        </is>
      </c>
      <c r="K831">
        <f>DISPIMG("ID_7BF8F5E17E374D6187BC8F8A659BF2F4",1)</f>
        <v/>
      </c>
      <c r="L831" t="inlineStr">
        <is>
          <t>CPCX|43-4123</t>
        </is>
      </c>
      <c r="M831" t="inlineStr">
        <is>
          <t>Wiper Motor; Instruction Sheet</t>
        </is>
      </c>
      <c r="N831" t="inlineStr">
        <is>
          <t>Yes</t>
        </is>
      </c>
      <c r="O831" t="inlineStr">
        <is>
          <t>Remanufactured</t>
        </is>
      </c>
      <c r="P831" t="inlineStr">
        <is>
          <t>3</t>
        </is>
      </c>
      <c r="Q831" t="inlineStr">
        <is>
          <t>Blade</t>
        </is>
      </c>
      <c r="R831" t="inlineStr">
        <is>
          <t>Direct Bolt; Grommet</t>
        </is>
      </c>
      <c r="S831" t="inlineStr">
        <is>
          <t>3.5000</t>
        </is>
      </c>
      <c r="T831" t="inlineStr">
        <is>
          <t>No</t>
        </is>
      </c>
      <c r="U831" t="inlineStr">
        <is>
          <t>1 Year/18,000 Mile</t>
        </is>
      </c>
      <c r="V831" t="inlineStr">
        <is>
          <t>Yes</t>
        </is>
      </c>
      <c r="W831" t="inlineStr">
        <is>
          <t>Available to Order</t>
        </is>
      </c>
      <c r="X831" t="inlineStr">
        <is>
          <t>Suzuki XL-7 2009-08</t>
        </is>
      </c>
      <c r="Y831" t="inlineStr">
        <is>
          <t>00082617864671</t>
        </is>
      </c>
      <c r="Z831" t="inlineStr">
        <is>
          <t>43-4123::98359:98646:292</t>
        </is>
      </c>
      <c r="AA831" t="inlineStr">
        <is>
          <t>Yes</t>
        </is>
      </c>
      <c r="AB831" t="inlineStr"/>
      <c r="AC831" t="inlineStr"/>
    </row>
    <row r="832">
      <c r="A832" t="inlineStr">
        <is>
          <t>831</t>
        </is>
      </c>
      <c r="B832" t="inlineStr">
        <is>
          <t>Windshield Wiper Motor</t>
        </is>
      </c>
      <c r="C832" t="inlineStr">
        <is>
          <t>43-4200</t>
        </is>
      </c>
      <c r="D832" t="inlineStr">
        <is>
          <t>Windshield Wiper Motor - 43-4200</t>
        </is>
      </c>
      <c r="E832" t="inlineStr">
        <is>
          <t>CARDONE Reman</t>
        </is>
      </c>
      <c r="F832" t="inlineStr">
        <is>
          <t>MR311041;MR387975</t>
        </is>
      </c>
      <c r="G832" t="inlineStr">
        <is>
          <t>Chrysler Cirrus 1998-1999
Chrysler Sebring 1998-2000
Dodge Avenger 1998-2000</t>
        </is>
      </c>
      <c r="H832" t="inlineStr">
        <is>
          <t>Chrysler Cirrus 1998-1999 2.4L L4 148cid
Chrysler Cirrus 1998-1999 2.5L V6 152cid
Chrysler Sebring 1998-1999 2L L4 122cid
Chrysler Sebring 1998-2000 2.5L V6 152cid
Dodge Avenger 1998-1999 2L L4 122cid
Dodge Avenger 1998-2000 2.5L V6 152cid</t>
        </is>
      </c>
      <c r="I832" t="inlineStr">
        <is>
          <t>{"0": {"productDeskExternalKey": "CPCX|43-4200"}, "1": {"Package Contents": "Wiper Motor; Instruction Sheet"}, "2": {"E-Waste": "Yes"}, "3": {"Product Condition": "Remanufactured"}, "4": {"Mounting Hole Quantity": "3"}, "5": {"Terminal Type": "Blade"}, "6": {"Mounting Type": "Direct Bolt"}, "7": {"Weight PG": "2.9000"}, "8": {"Washer Pump Included": "No"}, "9": {"Part Type": "Windshield Wiper Motor"}, "10": {"Warranty Info": "1 Year/18,000 Mile"}, "11": {"Sustainable Choice": "Yes"}, "12": {"Lifecycle Status": "Available to Order"}, "13": {"Application Summary": "Chrysler Cirrus 1999-98, Sebring 2000-98; Dodge Avenger 2000-98; Mitsubishi Eclipse 1999-98"}, "14": {"ItemLevelGTIN": "00082617566872"}, "15": {"_addonCardone": "43-4200::98359:98793:292"}, "16": {"Eligible for R&amp;R Service": "Yes"}}</t>
        </is>
      </c>
      <c r="J832" t="inlineStr">
        <is>
          <t>https://www.cardone.com/product/windshield-wiper-motor-43-4200</t>
        </is>
      </c>
      <c r="K832">
        <f>DISPIMG("ID_23FF43C3D2D145A6A9C9702F2951B95F",1)</f>
        <v/>
      </c>
      <c r="L832" t="inlineStr">
        <is>
          <t>CPCX|43-4200</t>
        </is>
      </c>
      <c r="M832" t="inlineStr">
        <is>
          <t>Wiper Motor; Instruction Sheet</t>
        </is>
      </c>
      <c r="N832" t="inlineStr">
        <is>
          <t>Yes</t>
        </is>
      </c>
      <c r="O832" t="inlineStr">
        <is>
          <t>Remanufactured</t>
        </is>
      </c>
      <c r="P832" t="inlineStr">
        <is>
          <t>3</t>
        </is>
      </c>
      <c r="Q832" t="inlineStr">
        <is>
          <t>Blade</t>
        </is>
      </c>
      <c r="R832" t="inlineStr">
        <is>
          <t>Direct Bolt</t>
        </is>
      </c>
      <c r="S832" t="inlineStr">
        <is>
          <t>2.9000</t>
        </is>
      </c>
      <c r="T832" t="inlineStr">
        <is>
          <t>No</t>
        </is>
      </c>
      <c r="U832" t="inlineStr">
        <is>
          <t>1 Year/18,000 Mile</t>
        </is>
      </c>
      <c r="V832" t="inlineStr">
        <is>
          <t>Yes</t>
        </is>
      </c>
      <c r="W832" t="inlineStr">
        <is>
          <t>Available to Order</t>
        </is>
      </c>
      <c r="X832" t="inlineStr">
        <is>
          <t>Chrysler Cirrus 1999-98, Sebring 2000-98; Dodge Avenger 2000-98; Mitsubishi Eclipse 1999-98</t>
        </is>
      </c>
      <c r="Y832" t="inlineStr">
        <is>
          <t>00082617566872</t>
        </is>
      </c>
      <c r="Z832" t="inlineStr">
        <is>
          <t>43-4200::98359:98793:292</t>
        </is>
      </c>
      <c r="AA832" t="inlineStr">
        <is>
          <t>Yes</t>
        </is>
      </c>
      <c r="AB832" t="inlineStr"/>
      <c r="AC832" t="inlineStr"/>
    </row>
    <row r="833">
      <c r="A833" t="inlineStr">
        <is>
          <t>832</t>
        </is>
      </c>
      <c r="B833" t="inlineStr">
        <is>
          <t>Windshield Wiper Motor</t>
        </is>
      </c>
      <c r="C833" t="inlineStr">
        <is>
          <t>43-4201</t>
        </is>
      </c>
      <c r="D833" t="inlineStr">
        <is>
          <t>Windshield Wiper Motor - 43-4201</t>
        </is>
      </c>
      <c r="E833" t="inlineStr">
        <is>
          <t>CARDONE Reman</t>
        </is>
      </c>
      <c r="F833" t="inlineStr">
        <is>
          <t>MR192056;MR221974</t>
        </is>
      </c>
      <c r="G833" t="inlineStr">
        <is>
          <t>Mitsubishi Mirage 1997-2002
Mitsubishi Montero Sport 1997-2004</t>
        </is>
      </c>
      <c r="H833" t="inlineStr">
        <is>
          <t>Mitsubishi Mirage 1997-2002 1.5L L4 90cid
Mitsubishi Mirage 1997-2002 1.8L L4 112cid
Mitsubishi Montero Sport 1997-2003 3L V6 181cid
Mitsubishi Montero Sport 1999-2004 3.5L V6 215cid</t>
        </is>
      </c>
      <c r="I833" t="inlineStr">
        <is>
          <t>{"0": {"productDeskExternalKey": "CPCX|43-4201"}, "1": {"Package Contents": "Wiper Motor; Instruction Sheet"}, "2": {"E-Waste": "Yes"}, "3": {"Product Condition": "Remanufactured"}, "4": {"Mounting Hole Quantity": "4"}, "5": {"Terminal Type": "Blade"}, "6": {"Mounting Type": "Grommet"}, "7": {"Weight PG": "2.5000"}, "8": {"Washer Pump Included": "No"}, "9": {"Part Type": "Windshield Wiper Motor"}, "10": {"Warranty Info": "1 Year/18,000 Mile"}, "11": {"Sustainable Choice": "Yes"}, "12": {"Lifecycle Status": "Available to Order"}, "13": {"Application Summary": "Mitsubishi Mirage 2002-97, Montero Sport 2004-97"}, "14": {"ItemLevelGTIN": "00082617588072"}, "15": {"_addonCardone": "43-4201::98359:98802:292"}, "16": {"Eligible for R&amp;R Service": "Yes"}}</t>
        </is>
      </c>
      <c r="J833" t="inlineStr">
        <is>
          <t>https://www.cardone.com/product/windshield-wiper-motor-43-4201</t>
        </is>
      </c>
      <c r="K833">
        <f>DISPIMG("ID_30D5154EF0634349878973B6745A8E3B",1)</f>
        <v/>
      </c>
      <c r="L833" t="inlineStr">
        <is>
          <t>CPCX|43-4201</t>
        </is>
      </c>
      <c r="M833" t="inlineStr">
        <is>
          <t>Wiper Motor; Instruction Sheet</t>
        </is>
      </c>
      <c r="N833" t="inlineStr">
        <is>
          <t>Yes</t>
        </is>
      </c>
      <c r="O833" t="inlineStr">
        <is>
          <t>Remanufactured</t>
        </is>
      </c>
      <c r="P833" t="inlineStr">
        <is>
          <t>4</t>
        </is>
      </c>
      <c r="Q833" t="inlineStr">
        <is>
          <t>Blade</t>
        </is>
      </c>
      <c r="R833" t="inlineStr">
        <is>
          <t>Grommet</t>
        </is>
      </c>
      <c r="S833" t="inlineStr">
        <is>
          <t>2.5000</t>
        </is>
      </c>
      <c r="T833" t="inlineStr">
        <is>
          <t>No</t>
        </is>
      </c>
      <c r="U833" t="inlineStr">
        <is>
          <t>1 Year/18,000 Mile</t>
        </is>
      </c>
      <c r="V833" t="inlineStr">
        <is>
          <t>Yes</t>
        </is>
      </c>
      <c r="W833" t="inlineStr">
        <is>
          <t>Available to Order</t>
        </is>
      </c>
      <c r="X833" t="inlineStr">
        <is>
          <t>Mitsubishi Mirage 2002-97, Montero Sport 2004-97</t>
        </is>
      </c>
      <c r="Y833" t="inlineStr">
        <is>
          <t>00082617588072</t>
        </is>
      </c>
      <c r="Z833" t="inlineStr">
        <is>
          <t>43-4201::98359:98802:292</t>
        </is>
      </c>
      <c r="AA833" t="inlineStr">
        <is>
          <t>Yes</t>
        </is>
      </c>
      <c r="AB833" t="inlineStr"/>
      <c r="AC833" t="inlineStr"/>
    </row>
    <row r="834">
      <c r="A834" t="inlineStr">
        <is>
          <t>833</t>
        </is>
      </c>
      <c r="B834" t="inlineStr">
        <is>
          <t>Windshield Wiper Motor</t>
        </is>
      </c>
      <c r="C834" t="inlineStr">
        <is>
          <t>43-4202</t>
        </is>
      </c>
      <c r="D834" t="inlineStr">
        <is>
          <t>Windshield Wiper Motor - 43-4202</t>
        </is>
      </c>
      <c r="E834" t="inlineStr">
        <is>
          <t>CARDONE Reman</t>
        </is>
      </c>
      <c r="F834" t="inlineStr">
        <is>
          <t>MR275485</t>
        </is>
      </c>
      <c r="G834" t="inlineStr">
        <is>
          <t>Eagle Talon 1997-1998</t>
        </is>
      </c>
      <c r="H834" t="inlineStr">
        <is>
          <t>Eagle Talon 1997-1998 2L L4 122cid</t>
        </is>
      </c>
      <c r="I834" t="inlineStr">
        <is>
          <t>{"0": {"productDeskExternalKey": "CPCX|43-4202"}, "1": {"Package Contents": "Wiper Motor; Instruction Sheet"}, "2": {"E-Waste": "Yes"}, "3": {"Product Condition": "Remanufactured"}, "4": {"Mounting Hole Quantity": "3"}, "5": {"Terminal Type": "Blade"}, "6": {"Mounting Type": "Direct Bolt"}, "7": {"Washer Pump Included": "No"}, "8": {"Part Type": "Windshield Wiper Motor"}, "9": {"Warranty Info": "1 Year/18,000 Mile"}, "10": {"Sustainable Choice": "Yes"}, "11": {"Lifecycle Status": "Available to Order"}, "12": {"Application Summary": "Eagle Talon 1998-97; Mitsubishi Eclipse 1999-97"}, "13": {"Weight PG": "2.5000"}, "14": {"ItemLevelGTIN": "00082617594943"}, "15": {"_addonCardone": "43-4202::98359:98810:292"}, "16": {"Eligible for R&amp;R Service": "Yes"}}</t>
        </is>
      </c>
      <c r="J834" t="inlineStr">
        <is>
          <t>https://www.cardone.com/product/windshield-wiper-motor-43-4202</t>
        </is>
      </c>
      <c r="K834">
        <f>DISPIMG("ID_A331A828D2034ED1A53B3C2A86DEC395",1)</f>
        <v/>
      </c>
      <c r="L834" t="inlineStr">
        <is>
          <t>CPCX|43-4202</t>
        </is>
      </c>
      <c r="M834" t="inlineStr">
        <is>
          <t>Wiper Motor; Instruction Sheet</t>
        </is>
      </c>
      <c r="N834" t="inlineStr">
        <is>
          <t>Yes</t>
        </is>
      </c>
      <c r="O834" t="inlineStr">
        <is>
          <t>Remanufactured</t>
        </is>
      </c>
      <c r="P834" t="inlineStr">
        <is>
          <t>3</t>
        </is>
      </c>
      <c r="Q834" t="inlineStr">
        <is>
          <t>Blade</t>
        </is>
      </c>
      <c r="R834" t="inlineStr">
        <is>
          <t>Direct Bolt</t>
        </is>
      </c>
      <c r="S834" t="inlineStr">
        <is>
          <t>2.5000</t>
        </is>
      </c>
      <c r="T834" t="inlineStr">
        <is>
          <t>No</t>
        </is>
      </c>
      <c r="U834" t="inlineStr">
        <is>
          <t>1 Year/18,000 Mile</t>
        </is>
      </c>
      <c r="V834" t="inlineStr">
        <is>
          <t>Yes</t>
        </is>
      </c>
      <c r="W834" t="inlineStr">
        <is>
          <t>Available to Order</t>
        </is>
      </c>
      <c r="X834" t="inlineStr">
        <is>
          <t>Eagle Talon 1998-97; Mitsubishi Eclipse 1999-97</t>
        </is>
      </c>
      <c r="Y834" t="inlineStr">
        <is>
          <t>00082617594943</t>
        </is>
      </c>
      <c r="Z834" t="inlineStr">
        <is>
          <t>43-4202::98359:98810:292</t>
        </is>
      </c>
      <c r="AA834" t="inlineStr">
        <is>
          <t>Yes</t>
        </is>
      </c>
      <c r="AB834" t="inlineStr"/>
      <c r="AC834" t="inlineStr"/>
    </row>
    <row r="835">
      <c r="A835" t="inlineStr">
        <is>
          <t>834</t>
        </is>
      </c>
      <c r="B835" t="inlineStr">
        <is>
          <t>Windshield Wiper Motor</t>
        </is>
      </c>
      <c r="C835" t="inlineStr">
        <is>
          <t>43-4203</t>
        </is>
      </c>
      <c r="D835" t="inlineStr">
        <is>
          <t>Windshield Wiper Motor - 43-4203</t>
        </is>
      </c>
      <c r="E835" t="inlineStr">
        <is>
          <t>CARDONE Reman</t>
        </is>
      </c>
      <c r="F835" t="inlineStr">
        <is>
          <t>MR221228</t>
        </is>
      </c>
      <c r="G835" t="inlineStr">
        <is>
          <t>Mitsubishi Montero Sport 1997-2004</t>
        </is>
      </c>
      <c r="H835" t="inlineStr">
        <is>
          <t>Mitsubishi Montero Sport 1997-1999 2.4L L4 2351cc
Mitsubishi Montero Sport 1997-2003 3L V6 181cid
Mitsubishi Montero Sport 1999-2004 3.5L V6 215cid</t>
        </is>
      </c>
      <c r="I835" t="inlineStr">
        <is>
          <t>{"0": {"productDeskExternalKey": "CPCX|43-4203"},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"Mitsubishi Montero Sport 2004-97"}, "14": {"ItemLevelGTIN": "00082617594950"}, "15": {"_addonCardone": "43-4203::98359:98823:292"}, "16": {"Eligible for R&amp;R Service": "Yes"}}</t>
        </is>
      </c>
      <c r="J835" t="inlineStr">
        <is>
          <t>https://www.cardone.com/product/windshield-wiper-motor-43-4203</t>
        </is>
      </c>
      <c r="K835">
        <f>DISPIMG("ID_3A9A4037CB9A4219AD100E5250F723B3",1)</f>
        <v/>
      </c>
      <c r="L835" t="inlineStr">
        <is>
          <t>CPCX|43-4203</t>
        </is>
      </c>
      <c r="M835" t="inlineStr">
        <is>
          <t>Wiper Motor; Instruction Sheet</t>
        </is>
      </c>
      <c r="N835" t="inlineStr">
        <is>
          <t>Yes</t>
        </is>
      </c>
      <c r="O835" t="inlineStr">
        <is>
          <t>Remanufactured</t>
        </is>
      </c>
      <c r="P835" t="inlineStr">
        <is>
          <t>3</t>
        </is>
      </c>
      <c r="Q835" t="inlineStr">
        <is>
          <t>Blade</t>
        </is>
      </c>
      <c r="R835" t="inlineStr">
        <is>
          <t>Grommet</t>
        </is>
      </c>
      <c r="S835" t="inlineStr">
        <is>
          <t>2.0000</t>
        </is>
      </c>
      <c r="T835" t="inlineStr">
        <is>
          <t>No</t>
        </is>
      </c>
      <c r="U835" t="inlineStr">
        <is>
          <t>1 Year/18,000 Mile</t>
        </is>
      </c>
      <c r="V835" t="inlineStr">
        <is>
          <t>Yes</t>
        </is>
      </c>
      <c r="W835" t="inlineStr">
        <is>
          <t>Available to Order</t>
        </is>
      </c>
      <c r="X835" t="inlineStr">
        <is>
          <t>Mitsubishi Montero Sport 2004-97</t>
        </is>
      </c>
      <c r="Y835" t="inlineStr">
        <is>
          <t>00082617594950</t>
        </is>
      </c>
      <c r="Z835" t="inlineStr">
        <is>
          <t>43-4203::98359:98823:292</t>
        </is>
      </c>
      <c r="AA835" t="inlineStr">
        <is>
          <t>Yes</t>
        </is>
      </c>
      <c r="AB835" t="inlineStr"/>
      <c r="AC835" t="inlineStr"/>
    </row>
    <row r="836">
      <c r="A836" t="inlineStr">
        <is>
          <t>835</t>
        </is>
      </c>
      <c r="B836" t="inlineStr">
        <is>
          <t>Windshield Wiper Motor</t>
        </is>
      </c>
      <c r="C836" t="inlineStr">
        <is>
          <t>43-4204</t>
        </is>
      </c>
      <c r="D836" t="inlineStr">
        <is>
          <t>Windshield Wiper Motor - 43-4204</t>
        </is>
      </c>
      <c r="E836" t="inlineStr">
        <is>
          <t>CARDONE Reman</t>
        </is>
      </c>
      <c r="F836" t="inlineStr">
        <is>
          <t>MB622725</t>
        </is>
      </c>
      <c r="G836" t="inlineStr">
        <is>
          <t>Dodge Stealth 1991-1996</t>
        </is>
      </c>
      <c r="H836" t="inlineStr">
        <is>
          <t>Dodge Stealth 1991-1996 3L V6 181cid</t>
        </is>
      </c>
      <c r="I836" t="inlineStr">
        <is>
          <t>{"0": {"productDeskExternalKey": "CPCX|43-4204"},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"Dodge Stealth 1996-91; Mitsubishi 3000GT 1999-91"}, "14": {"ItemLevelGTIN": "00082617594967"}, "15": {"_addonCardone": "43-4204::98359:98833:292"}, "16": {"Eligible for R&amp;R Service": "Yes"}}</t>
        </is>
      </c>
      <c r="J836" t="inlineStr">
        <is>
          <t>https://www.cardone.com/product/windshield-wiper-motor-43-4204</t>
        </is>
      </c>
      <c r="K836">
        <f>DISPIMG("ID_B382D424B3C94CF98190B0565DDAC6EB",1)</f>
        <v/>
      </c>
      <c r="L836" t="inlineStr">
        <is>
          <t>CPCX|43-4204</t>
        </is>
      </c>
      <c r="M836" t="inlineStr">
        <is>
          <t>Wiper Motor; Instruction Sheet</t>
        </is>
      </c>
      <c r="N836" t="inlineStr">
        <is>
          <t>Yes</t>
        </is>
      </c>
      <c r="O836" t="inlineStr">
        <is>
          <t>Remanufactured</t>
        </is>
      </c>
      <c r="P836" t="inlineStr">
        <is>
          <t>3</t>
        </is>
      </c>
      <c r="Q836" t="inlineStr">
        <is>
          <t>Blade</t>
        </is>
      </c>
      <c r="R836" t="inlineStr">
        <is>
          <t>Grommet</t>
        </is>
      </c>
      <c r="S836" t="inlineStr">
        <is>
          <t>2.0000</t>
        </is>
      </c>
      <c r="T836" t="inlineStr">
        <is>
          <t>No</t>
        </is>
      </c>
      <c r="U836" t="inlineStr">
        <is>
          <t>1 Year/18,000 Mile</t>
        </is>
      </c>
      <c r="V836" t="inlineStr">
        <is>
          <t>Yes</t>
        </is>
      </c>
      <c r="W836" t="inlineStr">
        <is>
          <t>Available to Order</t>
        </is>
      </c>
      <c r="X836" t="inlineStr">
        <is>
          <t>Dodge Stealth 1996-91; Mitsubishi 3000GT 1999-91</t>
        </is>
      </c>
      <c r="Y836" t="inlineStr">
        <is>
          <t>00082617594967</t>
        </is>
      </c>
      <c r="Z836" t="inlineStr">
        <is>
          <t>43-4204::98359:98833:292</t>
        </is>
      </c>
      <c r="AA836" t="inlineStr">
        <is>
          <t>Yes</t>
        </is>
      </c>
      <c r="AB836" t="inlineStr"/>
      <c r="AC836" t="inlineStr"/>
    </row>
    <row r="837">
      <c r="A837" t="inlineStr">
        <is>
          <t>836</t>
        </is>
      </c>
      <c r="B837" t="inlineStr">
        <is>
          <t>Windshield Wiper Motor</t>
        </is>
      </c>
      <c r="C837" t="inlineStr">
        <is>
          <t>43-4205</t>
        </is>
      </c>
      <c r="D837" t="inlineStr">
        <is>
          <t>Windshield Wiper Motor - 43-4205</t>
        </is>
      </c>
      <c r="E837" t="inlineStr">
        <is>
          <t>CARDONE Reman</t>
        </is>
      </c>
      <c r="F837" t="inlineStr">
        <is>
          <t>MB623360</t>
        </is>
      </c>
      <c r="G837" t="inlineStr">
        <is>
          <t>Mitsubishi Montero 1992-2000</t>
        </is>
      </c>
      <c r="H837" t="inlineStr">
        <is>
          <t>Mitsubishi Montero 1992-1996 3L V6 181cid
Mitsubishi Montero 1994-2000 3.5L V6 215cid</t>
        </is>
      </c>
      <c r="I837" t="inlineStr">
        <is>
          <t>{"0": {"productDeskExternalKey": "CPCX|43-4205"}, "1": {"Package Contents": "Wiper Motor; Instruction Sheet"}, "2": {"E-Waste": "Yes"}, "3": {"Product Condition": "Remanufactured"}, "4": {"Mounting Hole Quantity": "3"}, "5": {"Terminal Type": "Blade"}, "6": {"Mounting Type": "Grommet"}, "7": {"Weight PG": "2.0500"}, "8": {"Washer Pump Included": "No"}, "9": {"Part Type": "Windshield Wiper Motor"}, "10": {"Warranty Info": "1 Year/18,000 Mile"}, "11": {"Sustainable Choice": "Yes"}, "12": {"Lifecycle Status": "Available to Order"}, "13": {"Application Summary": "Mitsubishi Montero 2000-92"}, "14": {"ItemLevelGTIN": "00082617594974"}, "15": {"_addonCardone": "43-4205::98359:98841:292"}, "16": {"Eligible for R&amp;R Service": "Yes"}}</t>
        </is>
      </c>
      <c r="J837" t="inlineStr">
        <is>
          <t>https://www.cardone.com/product/windshield-wiper-motor-43-4205</t>
        </is>
      </c>
      <c r="K837">
        <f>DISPIMG("ID_FCF713FD75244D029158549207332FA5",1)</f>
        <v/>
      </c>
      <c r="L837" t="inlineStr">
        <is>
          <t>CPCX|43-4205</t>
        </is>
      </c>
      <c r="M837" t="inlineStr">
        <is>
          <t>Wiper Motor; Instruction Sheet</t>
        </is>
      </c>
      <c r="N837" t="inlineStr">
        <is>
          <t>Yes</t>
        </is>
      </c>
      <c r="O837" t="inlineStr">
        <is>
          <t>Remanufactured</t>
        </is>
      </c>
      <c r="P837" t="inlineStr">
        <is>
          <t>3</t>
        </is>
      </c>
      <c r="Q837" t="inlineStr">
        <is>
          <t>Blade</t>
        </is>
      </c>
      <c r="R837" t="inlineStr">
        <is>
          <t>Grommet</t>
        </is>
      </c>
      <c r="S837" t="inlineStr">
        <is>
          <t>2.0500</t>
        </is>
      </c>
      <c r="T837" t="inlineStr">
        <is>
          <t>No</t>
        </is>
      </c>
      <c r="U837" t="inlineStr">
        <is>
          <t>1 Year/18,000 Mile</t>
        </is>
      </c>
      <c r="V837" t="inlineStr">
        <is>
          <t>Yes</t>
        </is>
      </c>
      <c r="W837" t="inlineStr">
        <is>
          <t>Available to Order</t>
        </is>
      </c>
      <c r="X837" t="inlineStr">
        <is>
          <t>Mitsubishi Montero 2000-92</t>
        </is>
      </c>
      <c r="Y837" t="inlineStr">
        <is>
          <t>00082617594974</t>
        </is>
      </c>
      <c r="Z837" t="inlineStr">
        <is>
          <t>43-4205::98359:98841:292</t>
        </is>
      </c>
      <c r="AA837" t="inlineStr">
        <is>
          <t>Yes</t>
        </is>
      </c>
      <c r="AB837" t="inlineStr"/>
      <c r="AC837" t="inlineStr"/>
    </row>
    <row r="838">
      <c r="A838" t="inlineStr">
        <is>
          <t>837</t>
        </is>
      </c>
      <c r="B838" t="inlineStr">
        <is>
          <t>Windshield Wiper Motor</t>
        </is>
      </c>
      <c r="C838" t="inlineStr">
        <is>
          <t>43-4206</t>
        </is>
      </c>
      <c r="D838" t="inlineStr">
        <is>
          <t>Windshield Wiper Motor - 43-4206</t>
        </is>
      </c>
      <c r="E838" t="inlineStr">
        <is>
          <t>CARDONE Reman</t>
        </is>
      </c>
      <c r="F838" t="inlineStr">
        <is>
          <t>MB623610</t>
        </is>
      </c>
      <c r="G838" t="inlineStr">
        <is>
          <t>Eagle Summit 1992-1996
Plymouth Colt 1992-1994</t>
        </is>
      </c>
      <c r="H838" t="inlineStr">
        <is>
          <t>Eagle Summit 1992-1996 1.5L L4 90cid
Eagle Summit 1992-1996 1.8L L4 112cid
Eagle Summit 1992-1996 2.4L L4 2351cc
Plymouth Colt 1992-1994 1.8L L4 112cid
Plymouth Colt 1992-1994 2.4L L4 2351cc
Plymouth Colt 1994 1.5L L4 90cid</t>
        </is>
      </c>
      <c r="I838" t="inlineStr">
        <is>
          <t>{"0": {"productDeskExternalKey": "CPCX|43-4206"},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"Eagle Summit 1996-92; Mitsubishi Expo 1995-92, Expo LRV 1994-92; Plymouth Colt 1994-92"}, "14": {"ItemLevelGTIN": "00082617594981"}, "15": {"_addonCardone": "43-4206::98359:98846:292"}, "16": {"Eligible for R&amp;R Service": "Yes"}}</t>
        </is>
      </c>
      <c r="J838" t="inlineStr">
        <is>
          <t>https://www.cardone.com/product/windshield-wiper-motor-43-4206</t>
        </is>
      </c>
      <c r="K838">
        <f>DISPIMG("ID_07B4EDCC3EAB4551ADEC082537F5DA30",1)</f>
        <v/>
      </c>
      <c r="L838" t="inlineStr">
        <is>
          <t>CPCX|43-4206</t>
        </is>
      </c>
      <c r="M838" t="inlineStr">
        <is>
          <t>Wiper Motor; Instruction Sheet</t>
        </is>
      </c>
      <c r="N838" t="inlineStr">
        <is>
          <t>Yes</t>
        </is>
      </c>
      <c r="O838" t="inlineStr">
        <is>
          <t>Remanufactured</t>
        </is>
      </c>
      <c r="P838" t="inlineStr">
        <is>
          <t>3</t>
        </is>
      </c>
      <c r="Q838" t="inlineStr">
        <is>
          <t>Blade</t>
        </is>
      </c>
      <c r="R838" t="inlineStr">
        <is>
          <t>Grommet</t>
        </is>
      </c>
      <c r="S838" t="inlineStr">
        <is>
          <t>2.0000</t>
        </is>
      </c>
      <c r="T838" t="inlineStr">
        <is>
          <t>No</t>
        </is>
      </c>
      <c r="U838" t="inlineStr">
        <is>
          <t>1 Year/18,000 Mile</t>
        </is>
      </c>
      <c r="V838" t="inlineStr">
        <is>
          <t>Yes</t>
        </is>
      </c>
      <c r="W838" t="inlineStr">
        <is>
          <t>Available to Order</t>
        </is>
      </c>
      <c r="X838" t="inlineStr">
        <is>
          <t>Eagle Summit 1996-92; Mitsubishi Expo 1995-92, Expo LRV 1994-92; Plymouth Colt 1994-92</t>
        </is>
      </c>
      <c r="Y838" t="inlineStr">
        <is>
          <t>00082617594981</t>
        </is>
      </c>
      <c r="Z838" t="inlineStr">
        <is>
          <t>43-4206::98359:98846:292</t>
        </is>
      </c>
      <c r="AA838" t="inlineStr">
        <is>
          <t>Yes</t>
        </is>
      </c>
      <c r="AB838" t="inlineStr"/>
      <c r="AC838" t="inlineStr"/>
    </row>
    <row r="839">
      <c r="A839" t="inlineStr">
        <is>
          <t>838</t>
        </is>
      </c>
      <c r="B839" t="inlineStr">
        <is>
          <t>Windshield Wiper Motor</t>
        </is>
      </c>
      <c r="C839" t="inlineStr">
        <is>
          <t>43-4207</t>
        </is>
      </c>
      <c r="D839" t="inlineStr">
        <is>
          <t>Windshield Wiper Motor - 43-4207</t>
        </is>
      </c>
      <c r="E839" t="inlineStr">
        <is>
          <t>CARDONE Reman</t>
        </is>
      </c>
      <c r="F839" t="inlineStr">
        <is>
          <t>MR522057</t>
        </is>
      </c>
      <c r="G839" t="inlineStr">
        <is>
          <t>Mitsubishi Lancer 2002-2007</t>
        </is>
      </c>
      <c r="H839" t="inlineStr">
        <is>
          <t>Mitsubishi Lancer 2002-2004 2L L4 2000cc
Mitsubishi Lancer 2004 2.4L L4 2400cc
Mitsubishi Lancer 2004-2007 2L L4 122cid
Mitsubishi Lancer 2005-2006 2.4L L4 2378cc</t>
        </is>
      </c>
      <c r="I839" t="inlineStr">
        <is>
          <t>{"0": {"productDeskExternalKey": "CPCX|43-4207"}, "1": {"Package Contents": "Wiper Motor; Instruction Sheet"}, "2": {"E-Waste": "Yes"}, "3": {"Product Condition": "Remanufactured"}, "4": {"Mounting Hole Quantity": "3"}, "5": {"Terminal Type": "Blade"}, "6": {"Mounting Type": "Direct Bolt"}, "7": {"Weight PG": "2.0000"}, "8": {"Washer Pump Included": "No"}, "9": {"Part Type": "Windshield Wiper Motor"}, "10": {"Warranty Info": "1 Year/18,000 Mile"}, "11": {"Sustainable Choice": "Yes"}, "12": {"Lifecycle Status": "Available to Order"}, "13": {"Application Summary": "Mitsubishi Lancer 2007-02"}, "14": {"ItemLevelGTIN": "00082617619158"}, "15": {"_addonCardone": "43-4207::98359:98854:292"}, "16": {"Eligible for R&amp;R Service": "Yes"}}</t>
        </is>
      </c>
      <c r="J839" t="inlineStr">
        <is>
          <t>https://www.cardone.com/product/windshield-wiper-motor-43-4207</t>
        </is>
      </c>
      <c r="K839">
        <f>DISPIMG("ID_F4B9FE0A882B4A689D12A77B9C85B71A",1)</f>
        <v/>
      </c>
      <c r="L839" t="inlineStr">
        <is>
          <t>CPCX|43-4207</t>
        </is>
      </c>
      <c r="M839" t="inlineStr">
        <is>
          <t>Wiper Motor; Instruction Sheet</t>
        </is>
      </c>
      <c r="N839" t="inlineStr">
        <is>
          <t>Yes</t>
        </is>
      </c>
      <c r="O839" t="inlineStr">
        <is>
          <t>Remanufactured</t>
        </is>
      </c>
      <c r="P839" t="inlineStr">
        <is>
          <t>3</t>
        </is>
      </c>
      <c r="Q839" t="inlineStr">
        <is>
          <t>Blade</t>
        </is>
      </c>
      <c r="R839" t="inlineStr">
        <is>
          <t>Direct Bolt</t>
        </is>
      </c>
      <c r="S839" t="inlineStr">
        <is>
          <t>2.0000</t>
        </is>
      </c>
      <c r="T839" t="inlineStr">
        <is>
          <t>No</t>
        </is>
      </c>
      <c r="U839" t="inlineStr">
        <is>
          <t>1 Year/18,000 Mile</t>
        </is>
      </c>
      <c r="V839" t="inlineStr">
        <is>
          <t>Yes</t>
        </is>
      </c>
      <c r="W839" t="inlineStr">
        <is>
          <t>Available to Order</t>
        </is>
      </c>
      <c r="X839" t="inlineStr">
        <is>
          <t>Mitsubishi Lancer 2007-02</t>
        </is>
      </c>
      <c r="Y839" t="inlineStr">
        <is>
          <t>00082617619158</t>
        </is>
      </c>
      <c r="Z839" t="inlineStr">
        <is>
          <t>43-4207::98359:98854:292</t>
        </is>
      </c>
      <c r="AA839" t="inlineStr">
        <is>
          <t>Yes</t>
        </is>
      </c>
      <c r="AB839" t="inlineStr"/>
      <c r="AC839" t="inlineStr"/>
    </row>
    <row r="840">
      <c r="A840" t="inlineStr">
        <is>
          <t>839</t>
        </is>
      </c>
      <c r="B840" t="inlineStr">
        <is>
          <t>Windshield Wiper Motor</t>
        </is>
      </c>
      <c r="C840" t="inlineStr">
        <is>
          <t>43-4208</t>
        </is>
      </c>
      <c r="D840" t="inlineStr">
        <is>
          <t>Windshield Wiper Motor - 43-4208</t>
        </is>
      </c>
      <c r="E840" t="inlineStr">
        <is>
          <t>CARDONE Reman</t>
        </is>
      </c>
      <c r="F840" t="inlineStr">
        <is>
          <t>MB510383</t>
        </is>
      </c>
      <c r="G840" t="inlineStr">
        <is>
          <t>Dodge Raider 1987-1989
Mitsubishi Montero 1986-1991</t>
        </is>
      </c>
      <c r="H840" t="inlineStr">
        <is>
          <t>Dodge Raider 1987-1989 2.6L L4 156cid
Dodge Raider 1989 3L V6 181cid
Mitsubishi Montero 1986-1989 2.6L L4 156cid
Mitsubishi Montero 1989-1991 3L V6 181cid</t>
        </is>
      </c>
      <c r="I840" t="inlineStr">
        <is>
          <t>{"0": {"productDeskExternalKey": "CPCX|43-4208"}, "1": {"Package Contents": "Wiper Motor; Instruction Sheet"}, "2": {"E-Waste": "Yes"}, "3": {"Product Condition": "Remanufactured"}, "4": {"Mounting Hole Quantity": "3"}, "5": {"Terminal Type": "Blade"}, "6": {"Mounting Type": "Grommet"}, "7": {"Weight PG": "1.9000"}, "8": {"Washer Pump Included": "No"}, "9": {"Part Type": "Windshield Wiper Motor"}, "10": {"Warranty Info": "1 Year/18,000 Mile"}, "11": {"Sustainable Choice": "Yes"}, "12": {"Lifecycle Status": "Available to Order"}, "13": {"Application Summary": "Dodge Raider 1989-87; Mitsubishi Montero 1991-86"}, "14": {"ItemLevelGTIN": "00082617619141"}, "15": {"_addonCardone": "43-4208::98359:98859:292"}, "16": {"Eligible for R&amp;R Service": "Yes"}}</t>
        </is>
      </c>
      <c r="J840" t="inlineStr">
        <is>
          <t>https://www.cardone.com/product/windshield-wiper-motor-43-4208</t>
        </is>
      </c>
      <c r="K840">
        <f>DISPIMG("ID_B746DACB8A314C07BB9696B3A342E740",1)</f>
        <v/>
      </c>
      <c r="L840" t="inlineStr">
        <is>
          <t>CPCX|43-4208</t>
        </is>
      </c>
      <c r="M840" t="inlineStr">
        <is>
          <t>Wiper Motor; Instruction Sheet</t>
        </is>
      </c>
      <c r="N840" t="inlineStr">
        <is>
          <t>Yes</t>
        </is>
      </c>
      <c r="O840" t="inlineStr">
        <is>
          <t>Remanufactured</t>
        </is>
      </c>
      <c r="P840" t="inlineStr">
        <is>
          <t>3</t>
        </is>
      </c>
      <c r="Q840" t="inlineStr">
        <is>
          <t>Blade</t>
        </is>
      </c>
      <c r="R840" t="inlineStr">
        <is>
          <t>Grommet</t>
        </is>
      </c>
      <c r="S840" t="inlineStr">
        <is>
          <t>1.9000</t>
        </is>
      </c>
      <c r="T840" t="inlineStr">
        <is>
          <t>No</t>
        </is>
      </c>
      <c r="U840" t="inlineStr">
        <is>
          <t>1 Year/18,000 Mile</t>
        </is>
      </c>
      <c r="V840" t="inlineStr">
        <is>
          <t>Yes</t>
        </is>
      </c>
      <c r="W840" t="inlineStr">
        <is>
          <t>Available to Order</t>
        </is>
      </c>
      <c r="X840" t="inlineStr">
        <is>
          <t>Dodge Raider 1989-87; Mitsubishi Montero 1991-86</t>
        </is>
      </c>
      <c r="Y840" t="inlineStr">
        <is>
          <t>00082617619141</t>
        </is>
      </c>
      <c r="Z840" t="inlineStr">
        <is>
          <t>43-4208::98359:98859:292</t>
        </is>
      </c>
      <c r="AA840" t="inlineStr">
        <is>
          <t>Yes</t>
        </is>
      </c>
      <c r="AB840" t="inlineStr"/>
      <c r="AC840" t="inlineStr"/>
    </row>
    <row r="841">
      <c r="A841" t="inlineStr">
        <is>
          <t>840</t>
        </is>
      </c>
      <c r="B841" t="inlineStr">
        <is>
          <t>Windshield Wiper Motor</t>
        </is>
      </c>
      <c r="C841" t="inlineStr">
        <is>
          <t>43-4209L</t>
        </is>
      </c>
      <c r="D841" t="inlineStr">
        <is>
          <t>Windshield Wiper Motor - 43-4209L</t>
        </is>
      </c>
      <c r="E841" t="inlineStr">
        <is>
          <t>CARDONE Reman</t>
        </is>
      </c>
      <c r="F841" t="inlineStr">
        <is>
          <t>MR322150</t>
        </is>
      </c>
      <c r="G841" t="inlineStr">
        <is>
          <t>Chrysler Cirrus 2001-2002
Chrysler Sebring 2001-2002
Dodge Stratus 2001-2002</t>
        </is>
      </c>
      <c r="H841" t="inlineStr">
        <is>
          <t>Chrysler Cirrus 2001-2002 2.7L V6 167cid
Chrysler Sebring 2001-2002 2.4L L4 148cid
Chrysler Sebring 2001-2002 2.4L L4 2351cc
Chrysler Sebring 2001-2002 2.7L V6 167cid
Chrysler Sebring 2001-2002 3L V6 181cid
Dodge Stratus 2001-2002 2.4L L4 148cid
Dodge Stratus 2001-2002 2.4L L4 2351cc
Dodge Stratus 2001-2002 2.7L V6 167cid
Dodge Stratus 2001-2002 3L V6 181cid</t>
        </is>
      </c>
      <c r="I841" t="inlineStr">
        <is>
          <t>{"0": {"productDeskExternalKey": "CPCX|43-4209L"}, "1": {"Package Contents": "Wiper Motor; Instruction Sheet"}, "2": {"E-Waste": "Yes"}, "3": {"Product Condition": "Remanufactured"}, "4": {"Mounting Hole Quantity": "2"}, "5": {"Terminal Type": "Blade"}, "6": {"Mounting Type": "Grommet"}, "7": {"Weight PG": "10.0000"}, "8": {"Washer Pump Included": "No"}, "9": {"Part Type": "Windshield Wiper Motor"}, "10": {"Warranty Info": "1 Year/18,000 Mile"}, "11": {"Sustainable Choice": "Yes"}, "12": {"Lifecycle Status": "Available to Order"}, "13": {"Application Summary": "Chrysler Cirrus 2002-01, Sebring 2002-01; Dodge Stratus 2002-01; Mitsubishi Eclipse 2002-00"}, "14": {"ItemLevelGTIN": "00082617621595"}, "15": {"_addonCardone": "43-4209L::98359:98869:292"}, "16": {"Eligible for R&amp;R Service": "Yes"}}</t>
        </is>
      </c>
      <c r="J841" t="inlineStr">
        <is>
          <t>https://www.cardone.com/product/windshield-wiper-motor-43-4209l</t>
        </is>
      </c>
      <c r="K841">
        <f>DISPIMG("ID_047E0CA05ACB44DB8988C9EA7FE60A6D",1)</f>
        <v/>
      </c>
      <c r="L841" t="inlineStr">
        <is>
          <t>CPCX|43-4209L</t>
        </is>
      </c>
      <c r="M841" t="inlineStr">
        <is>
          <t>Wiper Motor; Instruction Sheet</t>
        </is>
      </c>
      <c r="N841" t="inlineStr">
        <is>
          <t>Yes</t>
        </is>
      </c>
      <c r="O841" t="inlineStr">
        <is>
          <t>Remanufactured</t>
        </is>
      </c>
      <c r="P841" t="inlineStr">
        <is>
          <t>2</t>
        </is>
      </c>
      <c r="Q841" t="inlineStr">
        <is>
          <t>Blade</t>
        </is>
      </c>
      <c r="R841" t="inlineStr">
        <is>
          <t>Grommet</t>
        </is>
      </c>
      <c r="S841" t="inlineStr">
        <is>
          <t>10.0000</t>
        </is>
      </c>
      <c r="T841" t="inlineStr">
        <is>
          <t>No</t>
        </is>
      </c>
      <c r="U841" t="inlineStr">
        <is>
          <t>1 Year/18,000 Mile</t>
        </is>
      </c>
      <c r="V841" t="inlineStr">
        <is>
          <t>Yes</t>
        </is>
      </c>
      <c r="W841" t="inlineStr">
        <is>
          <t>Available to Order</t>
        </is>
      </c>
      <c r="X841" t="inlineStr">
        <is>
          <t>Chrysler Cirrus 2002-01, Sebring 2002-01; Dodge Stratus 2002-01; Mitsubishi Eclipse 2002-00</t>
        </is>
      </c>
      <c r="Y841" t="inlineStr">
        <is>
          <t>00082617621595</t>
        </is>
      </c>
      <c r="Z841" t="inlineStr">
        <is>
          <t>43-4209L::98359:98869:292</t>
        </is>
      </c>
      <c r="AA841" t="inlineStr">
        <is>
          <t>Yes</t>
        </is>
      </c>
      <c r="AB841" t="inlineStr"/>
      <c r="AC841" t="inlineStr"/>
    </row>
    <row r="842">
      <c r="A842" t="inlineStr">
        <is>
          <t>841</t>
        </is>
      </c>
      <c r="B842" t="inlineStr">
        <is>
          <t>Windshield Wiper Motor</t>
        </is>
      </c>
      <c r="C842" t="inlineStr">
        <is>
          <t>43-4210</t>
        </is>
      </c>
      <c r="D842" t="inlineStr">
        <is>
          <t>Windshield Wiper Motor - 43-4210</t>
        </is>
      </c>
      <c r="E842" t="inlineStr">
        <is>
          <t>CARDONE Reman</t>
        </is>
      </c>
      <c r="F842" t="inlineStr">
        <is>
          <t>MR563512</t>
        </is>
      </c>
      <c r="G842" t="inlineStr"/>
      <c r="H842" t="inlineStr"/>
      <c r="I842" t="inlineStr">
        <is>
          <t>{"0": {"productDeskExternalKey": "CPCX|43-4210"}, "1": {"Package Contents": "Wiper Motor; Instruction Sheet"}, "2": {"E-Waste": "Yes"}, "3": {"Product Condition": "Remanufactured"}, "4": {"Mounting Hole Quantity": "3"}, "5": {"Terminal Type": "Blade"}, "6": {"Mounting Type": "Direct Bolt"}, "7": {"Weight PG": "3.1000"}, "8": {"Washer Pump Included": "No"}, "9": {"Part Type": "Windshield Wiper Motor"}, "10": {"Warranty Info": "1 Year/18,000 Mile"}, "11": {"Sustainable Choice": "Yes"}, "12": {"Lifecycle Status": "Available to Order"}, "13": {"Application Summary": "Mitsubishi Endeavor 2011-10 2008-04"}, "14": {"ItemLevelGTIN": "00082617643016"}, "15": {"_addonCardone": "43-4210::98359:98875:292"}, "16": {"Eligible for R&amp;R Service": "Yes"}}</t>
        </is>
      </c>
      <c r="J842" t="inlineStr">
        <is>
          <t>https://www.cardone.com/product/windshield-wiper-motor-43-4210</t>
        </is>
      </c>
      <c r="K842">
        <f>DISPIMG("ID_81D9465E72154489A011E4FA4A447F57",1)</f>
        <v/>
      </c>
      <c r="L842" t="inlineStr">
        <is>
          <t>CPCX|43-4210</t>
        </is>
      </c>
      <c r="M842" t="inlineStr">
        <is>
          <t>Wiper Motor; Instruction Sheet</t>
        </is>
      </c>
      <c r="N842" t="inlineStr">
        <is>
          <t>Yes</t>
        </is>
      </c>
      <c r="O842" t="inlineStr">
        <is>
          <t>Remanufactured</t>
        </is>
      </c>
      <c r="P842" t="inlineStr">
        <is>
          <t>3</t>
        </is>
      </c>
      <c r="Q842" t="inlineStr">
        <is>
          <t>Blade</t>
        </is>
      </c>
      <c r="R842" t="inlineStr">
        <is>
          <t>Direct Bolt</t>
        </is>
      </c>
      <c r="S842" t="inlineStr">
        <is>
          <t>3.1000</t>
        </is>
      </c>
      <c r="T842" t="inlineStr">
        <is>
          <t>No</t>
        </is>
      </c>
      <c r="U842" t="inlineStr">
        <is>
          <t>1 Year/18,000 Mile</t>
        </is>
      </c>
      <c r="V842" t="inlineStr">
        <is>
          <t>Yes</t>
        </is>
      </c>
      <c r="W842" t="inlineStr">
        <is>
          <t>Available to Order</t>
        </is>
      </c>
      <c r="X842" t="inlineStr">
        <is>
          <t>Mitsubishi Endeavor 2011-10 2008-04</t>
        </is>
      </c>
      <c r="Y842" t="inlineStr">
        <is>
          <t>00082617643016</t>
        </is>
      </c>
      <c r="Z842" t="inlineStr">
        <is>
          <t>43-4210::98359:98875:292</t>
        </is>
      </c>
      <c r="AA842" t="inlineStr">
        <is>
          <t>Yes</t>
        </is>
      </c>
      <c r="AB842" t="inlineStr"/>
      <c r="AC842" t="inlineStr"/>
    </row>
    <row r="843">
      <c r="A843" t="inlineStr">
        <is>
          <t>842</t>
        </is>
      </c>
      <c r="B843" t="inlineStr">
        <is>
          <t>Windshield Wiper Motor</t>
        </is>
      </c>
      <c r="C843" t="inlineStr">
        <is>
          <t>43-4212</t>
        </is>
      </c>
      <c r="D843" t="inlineStr">
        <is>
          <t>Windshield Wiper Motor - 43-4212</t>
        </is>
      </c>
      <c r="E843" t="inlineStr">
        <is>
          <t>CARDONE Reman</t>
        </is>
      </c>
      <c r="F843" t="inlineStr">
        <is>
          <t>MR388052</t>
        </is>
      </c>
      <c r="G843" t="inlineStr">
        <is>
          <t>Mitsubishi Montero 2001-2006</t>
        </is>
      </c>
      <c r="H843" t="inlineStr">
        <is>
          <t>Mitsubishi Montero 2001-2002 3.5L V6 215cid
Mitsubishi Montero 2003-2006 3.8L V6 230cid</t>
        </is>
      </c>
      <c r="I843" t="inlineStr">
        <is>
          <t>{"0": {"productDeskExternalKey": "CPCX|43-4212"},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"Mitsubishi Montero 2006-01"}, "14": {"ItemLevelGTIN": "00082617751421"}, "15": {"_addonCardone": "43-4212::98359:98882:292"}, "16": {"Eligible for R&amp;R Service": "Yes"}}</t>
        </is>
      </c>
      <c r="J843" t="inlineStr">
        <is>
          <t>https://www.cardone.com/product/windshield-wiper-motor-43-4212</t>
        </is>
      </c>
      <c r="K843">
        <f>DISPIMG("ID_8D98C812867D4466B8CE09F02FDAC61A",1)</f>
        <v/>
      </c>
      <c r="L843" t="inlineStr">
        <is>
          <t>CPCX|43-4212</t>
        </is>
      </c>
      <c r="M843" t="inlineStr">
        <is>
          <t>Wiper Motor; Instruction Sheet</t>
        </is>
      </c>
      <c r="N843" t="inlineStr">
        <is>
          <t>Yes</t>
        </is>
      </c>
      <c r="O843" t="inlineStr">
        <is>
          <t>Remanufactured</t>
        </is>
      </c>
      <c r="P843" t="inlineStr">
        <is>
          <t>3</t>
        </is>
      </c>
      <c r="Q843" t="inlineStr">
        <is>
          <t>Blade</t>
        </is>
      </c>
      <c r="R843" t="inlineStr">
        <is>
          <t>Grommet</t>
        </is>
      </c>
      <c r="S843" t="inlineStr">
        <is>
          <t>2.0000</t>
        </is>
      </c>
      <c r="T843" t="inlineStr">
        <is>
          <t>No</t>
        </is>
      </c>
      <c r="U843" t="inlineStr">
        <is>
          <t>1 Year/18,000 Mile</t>
        </is>
      </c>
      <c r="V843" t="inlineStr">
        <is>
          <t>Yes</t>
        </is>
      </c>
      <c r="W843" t="inlineStr">
        <is>
          <t>Available to Order</t>
        </is>
      </c>
      <c r="X843" t="inlineStr">
        <is>
          <t>Mitsubishi Montero 2006-01</t>
        </is>
      </c>
      <c r="Y843" t="inlineStr">
        <is>
          <t>00082617751421</t>
        </is>
      </c>
      <c r="Z843" t="inlineStr">
        <is>
          <t>43-4212::98359:98882:292</t>
        </is>
      </c>
      <c r="AA843" t="inlineStr">
        <is>
          <t>Yes</t>
        </is>
      </c>
      <c r="AB843" t="inlineStr"/>
      <c r="AC843" t="inlineStr"/>
    </row>
    <row r="844">
      <c r="A844" t="inlineStr">
        <is>
          <t>843</t>
        </is>
      </c>
      <c r="B844" t="inlineStr">
        <is>
          <t>Windshield Wiper Motor</t>
        </is>
      </c>
      <c r="C844" t="inlineStr">
        <is>
          <t>43-4213</t>
        </is>
      </c>
      <c r="D844" t="inlineStr">
        <is>
          <t>Windshield Wiper Motor - 43-4213</t>
        </is>
      </c>
      <c r="E844" t="inlineStr">
        <is>
          <t>CARDONE Reman</t>
        </is>
      </c>
      <c r="F844" t="inlineStr">
        <is>
          <t>MN142182</t>
        </is>
      </c>
      <c r="G844" t="inlineStr"/>
      <c r="H844" t="inlineStr"/>
      <c r="I844" t="inlineStr">
        <is>
          <t>{"0": {"productDeskExternalKey": "CPCX|43-4213"}, "1": {"Package Contents": "Wiper Motor; Instruction Sheet"}, "2": {"E-Waste": "Yes"}, "3": {"Product Condition": "Remanufactured"}, "4": {"Mounting Hole Quantity": "2"}, "5": {"Terminal Type": "Blade"}, "6": {"Mounting Type": "Grommet"}, "7": {"Weight PG": "1.6500"}, "8": {"Washer Pump Included": "No"}, "9": {"Part Type": "Windshield Wiper Motor"}, "10": {"Warranty Info": "1 Year/18,000 Mile"}, "11": {"Sustainable Choice": "Yes"}, "12": {"Lifecycle Status": "Available to Order"}, "13": {"Application Summary": "Mitsubishi Endeavor 2008-04"}, "14": {"ItemLevelGTIN": "00082617768276"}, "15": {"_addonCardone": "43-4213::98359:98887:292"}, "16": {"Eligible for R&amp;R Service": "Yes"}}</t>
        </is>
      </c>
      <c r="J844" t="inlineStr">
        <is>
          <t>https://www.cardone.com/product/windshield-wiper-motor-43-4213</t>
        </is>
      </c>
      <c r="K844">
        <f>DISPIMG("ID_618974C0B82E48629A4BE0446E2C8022",1)</f>
        <v/>
      </c>
      <c r="L844" t="inlineStr">
        <is>
          <t>CPCX|43-4213</t>
        </is>
      </c>
      <c r="M844" t="inlineStr">
        <is>
          <t>Wiper Motor; Instruction Sheet</t>
        </is>
      </c>
      <c r="N844" t="inlineStr">
        <is>
          <t>Yes</t>
        </is>
      </c>
      <c r="O844" t="inlineStr">
        <is>
          <t>Remanufactured</t>
        </is>
      </c>
      <c r="P844" t="inlineStr">
        <is>
          <t>2</t>
        </is>
      </c>
      <c r="Q844" t="inlineStr">
        <is>
          <t>Blade</t>
        </is>
      </c>
      <c r="R844" t="inlineStr">
        <is>
          <t>Grommet</t>
        </is>
      </c>
      <c r="S844" t="inlineStr">
        <is>
          <t>1.6500</t>
        </is>
      </c>
      <c r="T844" t="inlineStr">
        <is>
          <t>No</t>
        </is>
      </c>
      <c r="U844" t="inlineStr">
        <is>
          <t>1 Year/18,000 Mile</t>
        </is>
      </c>
      <c r="V844" t="inlineStr">
        <is>
          <t>Yes</t>
        </is>
      </c>
      <c r="W844" t="inlineStr">
        <is>
          <t>Available to Order</t>
        </is>
      </c>
      <c r="X844" t="inlineStr">
        <is>
          <t>Mitsubishi Endeavor 2008-04</t>
        </is>
      </c>
      <c r="Y844" t="inlineStr">
        <is>
          <t>00082617768276</t>
        </is>
      </c>
      <c r="Z844" t="inlineStr">
        <is>
          <t>43-4213::98359:98887:292</t>
        </is>
      </c>
      <c r="AA844" t="inlineStr">
        <is>
          <t>Yes</t>
        </is>
      </c>
      <c r="AB844" t="inlineStr"/>
      <c r="AC844" t="inlineStr"/>
    </row>
    <row r="845">
      <c r="A845" t="inlineStr">
        <is>
          <t>844</t>
        </is>
      </c>
      <c r="B845" t="inlineStr">
        <is>
          <t>Windshield Wiper Motor</t>
        </is>
      </c>
      <c r="C845" t="inlineStr">
        <is>
          <t>43-4214</t>
        </is>
      </c>
      <c r="D845" t="inlineStr">
        <is>
          <t>Windshield Wiper Motor - 43-4214</t>
        </is>
      </c>
      <c r="E845" t="inlineStr">
        <is>
          <t>CARDONE Reman</t>
        </is>
      </c>
      <c r="F845" t="inlineStr">
        <is>
          <t>MR971322</t>
        </is>
      </c>
      <c r="G845" t="inlineStr"/>
      <c r="H845" t="inlineStr"/>
      <c r="I845" t="inlineStr">
        <is>
          <t>{"0": {"productDeskExternalKey": "CPCX|43-4214"}, "1": {"Package Contents": "Wiper Motor; Instruction Sheet"}, "2": {"E-Waste": "Yes"}, "3": {"Product Condition": "Remanufactured"}, "4": {"Mounting Hole Quantity": "3"}, "5": {"Terminal Type": "Blade"}, "6": {"Mounting Type": "Direct Bolt"}, "7": {"Weight PG": "2.6500"}, "8": {"Washer Pump Included": "No"}, "9": {"Part Type": "Windshield Wiper Motor"}, "10": {"Warranty Info": "1 Year/18,000 Mile"}, "11": {"Sustainable Choice": "Yes"}, "12": {"Lifecycle Status": "Available to Order"}, "13": {"Application Summary": "Mitsubishi Diamante 2004-97"}, "14": {"ItemLevelGTIN": "00082617776868"}, "15": {"_addonCardone": "43-4214::98359:98892:292"}, "16": {"Eligible for R&amp;R Service": "Yes"}}</t>
        </is>
      </c>
      <c r="J845" t="inlineStr">
        <is>
          <t>https://www.cardone.com/product/windshield-wiper-motor-43-4214</t>
        </is>
      </c>
      <c r="K845">
        <f>DISPIMG("ID_A2BADB61C90F49B6AB3580F23AE51B3D",1)</f>
        <v/>
      </c>
      <c r="L845" t="inlineStr">
        <is>
          <t>CPCX|43-4214</t>
        </is>
      </c>
      <c r="M845" t="inlineStr">
        <is>
          <t>Wiper Motor; Instruction Sheet</t>
        </is>
      </c>
      <c r="N845" t="inlineStr">
        <is>
          <t>Yes</t>
        </is>
      </c>
      <c r="O845" t="inlineStr">
        <is>
          <t>Remanufactured</t>
        </is>
      </c>
      <c r="P845" t="inlineStr">
        <is>
          <t>3</t>
        </is>
      </c>
      <c r="Q845" t="inlineStr">
        <is>
          <t>Blade</t>
        </is>
      </c>
      <c r="R845" t="inlineStr">
        <is>
          <t>Direct Bolt</t>
        </is>
      </c>
      <c r="S845" t="inlineStr">
        <is>
          <t>2.6500</t>
        </is>
      </c>
      <c r="T845" t="inlineStr">
        <is>
          <t>No</t>
        </is>
      </c>
      <c r="U845" t="inlineStr">
        <is>
          <t>1 Year/18,000 Mile</t>
        </is>
      </c>
      <c r="V845" t="inlineStr">
        <is>
          <t>Yes</t>
        </is>
      </c>
      <c r="W845" t="inlineStr">
        <is>
          <t>Available to Order</t>
        </is>
      </c>
      <c r="X845" t="inlineStr">
        <is>
          <t>Mitsubishi Diamante 2004-97</t>
        </is>
      </c>
      <c r="Y845" t="inlineStr">
        <is>
          <t>00082617776868</t>
        </is>
      </c>
      <c r="Z845" t="inlineStr">
        <is>
          <t>43-4214::98359:98892:292</t>
        </is>
      </c>
      <c r="AA845" t="inlineStr">
        <is>
          <t>Yes</t>
        </is>
      </c>
      <c r="AB845" t="inlineStr"/>
      <c r="AC845" t="inlineStr"/>
    </row>
    <row r="846">
      <c r="A846" t="inlineStr">
        <is>
          <t>845</t>
        </is>
      </c>
      <c r="B846" t="inlineStr">
        <is>
          <t>Windshield Wiper Motor</t>
        </is>
      </c>
      <c r="C846" t="inlineStr">
        <is>
          <t>43-4215</t>
        </is>
      </c>
      <c r="D846" t="inlineStr">
        <is>
          <t>Windshield Wiper Motor - 43-4215</t>
        </is>
      </c>
      <c r="E846" t="inlineStr">
        <is>
          <t>CARDONE Reman</t>
        </is>
      </c>
      <c r="F846" t="inlineStr">
        <is>
          <t>MR515743</t>
        </is>
      </c>
      <c r="G846" t="inlineStr">
        <is>
          <t>Mitsubishi Outlander 2003-2004</t>
        </is>
      </c>
      <c r="H846" t="inlineStr">
        <is>
          <t>Mitsubishi Outlander 2003-2004 2.4L L4 2351cc
Mitsubishi Outlander 2004 2.4L L4 2378cc</t>
        </is>
      </c>
      <c r="I846" t="inlineStr">
        <is>
          <t>{"0": {"productDeskExternalKey": "CPCX|43-4215"}, "1": {"Package Contents": "Wiper Motor; Instruction Sheet"}, "2": {"E-Waste": "Yes"}, "3": {"Product Condition": "Remanufactured"}, "4": {"Mounting Hole Quantity": "2"}, "5": {"Terminal Type": "Blade"}, "6": {"Mounting Type": "Grommet"}, "7": {"Weight PG": "1.9000"}, "8": {"Washer Pump Included": "No"}, "9": {"Part Type": "Windshield Wiper Motor"}, "10": {"Warranty Info": "1 Year/18,000 Mile"}, "11": {"Sustainable Choice": "Yes"}, "12": {"Lifecycle Status": "Available to Order"}, "13": {"Application Summary": "Mitsubishi Outlander 2004-03"}, "14": {"ItemLevelGTIN": "00082617784887"}, "15": {"_addonCardone": "43-4215::98359:98899:292"}, "16": {"Eligible for R&amp;R Service": "Yes"}}</t>
        </is>
      </c>
      <c r="J846" t="inlineStr">
        <is>
          <t>https://www.cardone.com/product/windshield-wiper-motor-43-4215</t>
        </is>
      </c>
      <c r="K846">
        <f>DISPIMG("ID_55EAF690329042A9B75941A838E03E77",1)</f>
        <v/>
      </c>
      <c r="L846" t="inlineStr">
        <is>
          <t>CPCX|43-4215</t>
        </is>
      </c>
      <c r="M846" t="inlineStr">
        <is>
          <t>Wiper Motor; Instruction Sheet</t>
        </is>
      </c>
      <c r="N846" t="inlineStr">
        <is>
          <t>Yes</t>
        </is>
      </c>
      <c r="O846" t="inlineStr">
        <is>
          <t>Remanufactured</t>
        </is>
      </c>
      <c r="P846" t="inlineStr">
        <is>
          <t>2</t>
        </is>
      </c>
      <c r="Q846" t="inlineStr">
        <is>
          <t>Blade</t>
        </is>
      </c>
      <c r="R846" t="inlineStr">
        <is>
          <t>Grommet</t>
        </is>
      </c>
      <c r="S846" t="inlineStr">
        <is>
          <t>1.9000</t>
        </is>
      </c>
      <c r="T846" t="inlineStr">
        <is>
          <t>No</t>
        </is>
      </c>
      <c r="U846" t="inlineStr">
        <is>
          <t>1 Year/18,000 Mile</t>
        </is>
      </c>
      <c r="V846" t="inlineStr">
        <is>
          <t>Yes</t>
        </is>
      </c>
      <c r="W846" t="inlineStr">
        <is>
          <t>Available to Order</t>
        </is>
      </c>
      <c r="X846" t="inlineStr">
        <is>
          <t>Mitsubishi Outlander 2004-03</t>
        </is>
      </c>
      <c r="Y846" t="inlineStr">
        <is>
          <t>00082617784887</t>
        </is>
      </c>
      <c r="Z846" t="inlineStr">
        <is>
          <t>43-4215::98359:98899:292</t>
        </is>
      </c>
      <c r="AA846" t="inlineStr">
        <is>
          <t>Yes</t>
        </is>
      </c>
      <c r="AB846" t="inlineStr"/>
      <c r="AC846" t="inlineStr"/>
    </row>
    <row r="847">
      <c r="A847" t="inlineStr">
        <is>
          <t>846</t>
        </is>
      </c>
      <c r="B847" t="inlineStr">
        <is>
          <t>Windshield Wiper Motor</t>
        </is>
      </c>
      <c r="C847" t="inlineStr">
        <is>
          <t>43-4216</t>
        </is>
      </c>
      <c r="D847" t="inlineStr">
        <is>
          <t>Windshield Wiper Motor - 43-4216</t>
        </is>
      </c>
      <c r="E847" t="inlineStr">
        <is>
          <t>CARDONE Reman</t>
        </is>
      </c>
      <c r="F847" t="inlineStr">
        <is>
          <t>MR322195</t>
        </is>
      </c>
      <c r="G847" t="inlineStr"/>
      <c r="H847" t="inlineStr"/>
      <c r="I847" t="inlineStr">
        <is>
          <t>{"0": {"productDeskExternalKey": "CPCX|43-4216"}, "1": {"Package Contents": "Wiper Motor; Instruction Sheet"}, "2": {"E-Waste": "Yes"}, "3": {"Product Condition": "Remanufactured"}, "4": {"Mounting Hole Quantity": "3"}, "5": {"Terminal Type": "Blade"}, "6": {"Mounting Type": "Grommet"}, "7": {"Washer Pump Included": "No"}, "8": {"Part Type": "Windshield Wiper Motor"}, "9": {"Warranty Info": "1 Year/18,000 Mile"}, "10": {"Sustainable Choice": "Yes"}, "11": {"Lifecycle Status": "Available to Order"}, "12": {"Application Summary": "Mitsubishi Eclipse 2005-00"}, "13": {"Weight PG": "1.9000"}, "14": {"ItemLevelGTIN": "00082617784931"}, "15": {"_addonCardone": "43-4216::98359:98904:292"}, "16": {"Eligible for R&amp;R Service": "Yes"}}</t>
        </is>
      </c>
      <c r="J847" t="inlineStr">
        <is>
          <t>https://www.cardone.com/product/windshield-wiper-motor-43-4216</t>
        </is>
      </c>
      <c r="K847">
        <f>DISPIMG("ID_6025495158904091817AF7D8A297824B",1)</f>
        <v/>
      </c>
      <c r="L847" t="inlineStr">
        <is>
          <t>CPCX|43-4216</t>
        </is>
      </c>
      <c r="M847" t="inlineStr">
        <is>
          <t>Wiper Motor; Instruction Sheet</t>
        </is>
      </c>
      <c r="N847" t="inlineStr">
        <is>
          <t>Yes</t>
        </is>
      </c>
      <c r="O847" t="inlineStr">
        <is>
          <t>Remanufactured</t>
        </is>
      </c>
      <c r="P847" t="inlineStr">
        <is>
          <t>3</t>
        </is>
      </c>
      <c r="Q847" t="inlineStr">
        <is>
          <t>Blade</t>
        </is>
      </c>
      <c r="R847" t="inlineStr">
        <is>
          <t>Grommet</t>
        </is>
      </c>
      <c r="S847" t="inlineStr">
        <is>
          <t>1.9000</t>
        </is>
      </c>
      <c r="T847" t="inlineStr">
        <is>
          <t>No</t>
        </is>
      </c>
      <c r="U847" t="inlineStr">
        <is>
          <t>1 Year/18,000 Mile</t>
        </is>
      </c>
      <c r="V847" t="inlineStr">
        <is>
          <t>Yes</t>
        </is>
      </c>
      <c r="W847" t="inlineStr">
        <is>
          <t>Available to Order</t>
        </is>
      </c>
      <c r="X847" t="inlineStr">
        <is>
          <t>Mitsubishi Eclipse 2005-00</t>
        </is>
      </c>
      <c r="Y847" t="inlineStr">
        <is>
          <t>00082617784931</t>
        </is>
      </c>
      <c r="Z847" t="inlineStr">
        <is>
          <t>43-4216::98359:98904:292</t>
        </is>
      </c>
      <c r="AA847" t="inlineStr">
        <is>
          <t>Yes</t>
        </is>
      </c>
      <c r="AB847" t="inlineStr"/>
      <c r="AC847" t="inlineStr"/>
    </row>
    <row r="848">
      <c r="A848" t="inlineStr">
        <is>
          <t>847</t>
        </is>
      </c>
      <c r="B848" t="inlineStr">
        <is>
          <t>Windshield Wiper Motor</t>
        </is>
      </c>
      <c r="C848" t="inlineStr">
        <is>
          <t>43-4217</t>
        </is>
      </c>
      <c r="D848" t="inlineStr">
        <is>
          <t>Windshield Wiper Motor - 43-4217</t>
        </is>
      </c>
      <c r="E848" t="inlineStr">
        <is>
          <t>CARDONE Reman</t>
        </is>
      </c>
      <c r="F848" t="inlineStr">
        <is>
          <t>MR388037</t>
        </is>
      </c>
      <c r="G848" t="inlineStr">
        <is>
          <t>Mitsubishi Montero 2001-2006</t>
        </is>
      </c>
      <c r="H848" t="inlineStr">
        <is>
          <t>Mitsubishi Montero 2001-2002 3.5L V6 215cid
Mitsubishi Montero 2003-2006 3.8L V6 230cid</t>
        </is>
      </c>
      <c r="I848" t="inlineStr">
        <is>
          <t>{"0": {"productDeskExternalKey": "CPCX|43-4217"}, "1": {"Package Contents": "Wiper Motor; Instruction Sheet"}, "2": {"E-Waste": "Yes"}, "3": {"Product Condition": "Remanufactured"}, "4": {"Mounting Hole Quantity": "3"}, "5": {"Terminal Type": "Blade"}, "6": {"Mounting Type": "Grommet"}, "7": {"Weight PG": "2.6000"}, "8": {"Washer Pump Included": "No"}, "9": {"Part Type": "Windshield Wiper Motor"}, "10": {"Warranty Info": "1 Year/18,000 Mile"}, "11": {"Sustainable Choice": "Yes"}, "12": {"Lifecycle Status": "Available to Order"}, "13": {"Application Summary": "Mitsubishi Montero 2006-01"}, "14": {"ItemLevelGTIN": "00082617784948"}, "15": {"_addonCardone": "43-4217::98359:98906:292"}, "16": {"Eligible for R&amp;R Service": "Yes"}}</t>
        </is>
      </c>
      <c r="J848" t="inlineStr">
        <is>
          <t>https://www.cardone.com/product/windshield-wiper-motor-43-4217</t>
        </is>
      </c>
      <c r="K848">
        <f>DISPIMG("ID_D39982168AC849DA9BE3C26B6B6B0577",1)</f>
        <v/>
      </c>
      <c r="L848" t="inlineStr">
        <is>
          <t>CPCX|43-4217</t>
        </is>
      </c>
      <c r="M848" t="inlineStr">
        <is>
          <t>Wiper Motor; Instruction Sheet</t>
        </is>
      </c>
      <c r="N848" t="inlineStr">
        <is>
          <t>Yes</t>
        </is>
      </c>
      <c r="O848" t="inlineStr">
        <is>
          <t>Remanufactured</t>
        </is>
      </c>
      <c r="P848" t="inlineStr">
        <is>
          <t>3</t>
        </is>
      </c>
      <c r="Q848" t="inlineStr">
        <is>
          <t>Blade</t>
        </is>
      </c>
      <c r="R848" t="inlineStr">
        <is>
          <t>Grommet</t>
        </is>
      </c>
      <c r="S848" t="inlineStr">
        <is>
          <t>2.6000</t>
        </is>
      </c>
      <c r="T848" t="inlineStr">
        <is>
          <t>No</t>
        </is>
      </c>
      <c r="U848" t="inlineStr">
        <is>
          <t>1 Year/18,000 Mile</t>
        </is>
      </c>
      <c r="V848" t="inlineStr">
        <is>
          <t>Yes</t>
        </is>
      </c>
      <c r="W848" t="inlineStr">
        <is>
          <t>Available to Order</t>
        </is>
      </c>
      <c r="X848" t="inlineStr">
        <is>
          <t>Mitsubishi Montero 2006-01</t>
        </is>
      </c>
      <c r="Y848" t="inlineStr">
        <is>
          <t>00082617784948</t>
        </is>
      </c>
      <c r="Z848" t="inlineStr">
        <is>
          <t>43-4217::98359:98906:292</t>
        </is>
      </c>
      <c r="AA848" t="inlineStr">
        <is>
          <t>Yes</t>
        </is>
      </c>
      <c r="AB848" t="inlineStr"/>
      <c r="AC848" t="inlineStr"/>
    </row>
    <row r="849">
      <c r="A849" t="inlineStr">
        <is>
          <t>848</t>
        </is>
      </c>
      <c r="B849" t="inlineStr">
        <is>
          <t>Windshield Wiper Motor</t>
        </is>
      </c>
      <c r="C849" t="inlineStr">
        <is>
          <t>43-4219</t>
        </is>
      </c>
      <c r="D849" t="inlineStr">
        <is>
          <t>Windshield Wiper Motor - 43-4219</t>
        </is>
      </c>
      <c r="E849" t="inlineStr">
        <is>
          <t>CARDONE Reman</t>
        </is>
      </c>
      <c r="F849" t="inlineStr">
        <is>
          <t>8253A011</t>
        </is>
      </c>
      <c r="G849" t="inlineStr">
        <is>
          <t>Mitsubishi Outlander 2007-2013
Mitsubishi Outlander Sport 2011</t>
        </is>
      </c>
      <c r="H849" t="inlineStr">
        <is>
          <t>Mitsubishi Outlander 2007-2013 3L V6 182cid
Mitsubishi Outlander 2008-2010 2.4L L4 2351cc
Mitsubishi Outlander 2008-2013 2.4L L4 144cid
Mitsubishi Outlander Sport 2011 2L L4 122cid</t>
        </is>
      </c>
      <c r="I849" t="inlineStr">
        <is>
          <t>{"0": {"productDeskExternalKey": "CPCX|43-4219"}, "1": {"E-Waste": "Yes"}, "2": {"Product Condition": "Remanufactured"}, "3": {"Weight PG": "2.2000"}, "4": {"Part Type": "Windshield Wiper Motor"}, "5": {"Warranty Info": "1 Year/18,000 Mile"}, "6": {"Sustainable Choice": "Yes"}, "7": {"Lifecycle Status": "Available to Order"}, "8": {"Application Summary": "Mitsubishi Outlander 2013-07, Outlander Sport 2011"}, "9": {"ItemLevelGTIN": "00082617820400"}, "10": {"_addonCardone": "43-4219::98359:98912:292"}, "11": {"Eligible for R&amp;R Service": "Yes"}}</t>
        </is>
      </c>
      <c r="J849" t="inlineStr">
        <is>
          <t>https://www.cardone.com/product/windshield-wiper-motor-43-4219</t>
        </is>
      </c>
      <c r="K849">
        <f>DISPIMG("ID_6171DC605FFC46F3BD94C2BA64A8DC84",1)</f>
        <v/>
      </c>
      <c r="L849" t="inlineStr">
        <is>
          <t>CPCX|43-4219</t>
        </is>
      </c>
      <c r="M849" t="inlineStr"/>
      <c r="N849" t="inlineStr">
        <is>
          <t>Yes</t>
        </is>
      </c>
      <c r="O849" t="inlineStr">
        <is>
          <t>Remanufactured</t>
        </is>
      </c>
      <c r="P849" t="inlineStr"/>
      <c r="Q849" t="inlineStr"/>
      <c r="R849" t="inlineStr"/>
      <c r="S849" t="inlineStr">
        <is>
          <t>2.2000</t>
        </is>
      </c>
      <c r="T849" t="inlineStr"/>
      <c r="U849" t="inlineStr">
        <is>
          <t>1 Year/18,000 Mile</t>
        </is>
      </c>
      <c r="V849" t="inlineStr">
        <is>
          <t>Yes</t>
        </is>
      </c>
      <c r="W849" t="inlineStr">
        <is>
          <t>Available to Order</t>
        </is>
      </c>
      <c r="X849" t="inlineStr">
        <is>
          <t>Mitsubishi Outlander 2013-07, Outlander Sport 2011</t>
        </is>
      </c>
      <c r="Y849" t="inlineStr">
        <is>
          <t>00082617820400</t>
        </is>
      </c>
      <c r="Z849" t="inlineStr">
        <is>
          <t>43-4219::98359:98912:292</t>
        </is>
      </c>
      <c r="AA849" t="inlineStr">
        <is>
          <t>Yes</t>
        </is>
      </c>
      <c r="AB849" t="inlineStr"/>
      <c r="AC849" t="inlineStr"/>
    </row>
    <row r="850">
      <c r="A850" t="inlineStr">
        <is>
          <t>849</t>
        </is>
      </c>
      <c r="B850" t="inlineStr">
        <is>
          <t>Windshield Wiper Motor</t>
        </is>
      </c>
      <c r="C850" t="inlineStr">
        <is>
          <t>43-4222</t>
        </is>
      </c>
      <c r="D850" t="inlineStr">
        <is>
          <t>Windshield Wiper Motor - 43-4222</t>
        </is>
      </c>
      <c r="E850" t="inlineStr">
        <is>
          <t>CARDONE Reman</t>
        </is>
      </c>
      <c r="F850" t="inlineStr">
        <is>
          <t>MN175258</t>
        </is>
      </c>
      <c r="G850" t="inlineStr">
        <is>
          <t>Mitsubishi Outlander 2005-2006</t>
        </is>
      </c>
      <c r="H850" t="inlineStr">
        <is>
          <t>Mitsubishi Outlander 2005-2006 2.4L L4 2378cc</t>
        </is>
      </c>
      <c r="I850" t="inlineStr">
        <is>
          <t>{"0": {"productDeskExternalKey": "CPCX|43-4222"}, "1": {"Package Contents": "Wiper Motor; Instruction Sheet"}, "2": {"E-Waste": "Yes"}, "3": {"Product Condition": "Remanufactured"}, "4": {"Mounting Hole Quantity": "3"}, "5": {"Terminal Type": "Blade"}, "6": {"Mounting Type": "Grommet"}, "7": {"Weight PG": "1.8000"}, "8": {"Washer Pump Included": "No"}, "9": {"Part Type": "Windshield Wiper Motor"}, "10": {"Warranty Info": "1 Year/18,000 Mile"}, "11": {"Sustainable Choice": "Yes"}, "12": {"Lifecycle Status": "Available to Order"}, "13": {"Application Summary": "Mitsubishi Outlander 2006-05"}, "14": {"ItemLevelGTIN": "00082617820745"}, "15": {"_addonCardone": "43-4222::98359:98918:292"}, "16": {"Eligible for R&amp;R Service": "Yes"}}</t>
        </is>
      </c>
      <c r="J850" t="inlineStr">
        <is>
          <t>https://www.cardone.com/product/windshield-wiper-motor-43-4222</t>
        </is>
      </c>
      <c r="K850">
        <f>DISPIMG("ID_9FFCF224A011496F8354455D0ECC8E68",1)</f>
        <v/>
      </c>
      <c r="L850" t="inlineStr">
        <is>
          <t>CPCX|43-4222</t>
        </is>
      </c>
      <c r="M850" t="inlineStr">
        <is>
          <t>Wiper Motor; Instruction Sheet</t>
        </is>
      </c>
      <c r="N850" t="inlineStr">
        <is>
          <t>Yes</t>
        </is>
      </c>
      <c r="O850" t="inlineStr">
        <is>
          <t>Remanufactured</t>
        </is>
      </c>
      <c r="P850" t="inlineStr">
        <is>
          <t>3</t>
        </is>
      </c>
      <c r="Q850" t="inlineStr">
        <is>
          <t>Blade</t>
        </is>
      </c>
      <c r="R850" t="inlineStr">
        <is>
          <t>Grommet</t>
        </is>
      </c>
      <c r="S850" t="inlineStr">
        <is>
          <t>1.8000</t>
        </is>
      </c>
      <c r="T850" t="inlineStr">
        <is>
          <t>No</t>
        </is>
      </c>
      <c r="U850" t="inlineStr">
        <is>
          <t>1 Year/18,000 Mile</t>
        </is>
      </c>
      <c r="V850" t="inlineStr">
        <is>
          <t>Yes</t>
        </is>
      </c>
      <c r="W850" t="inlineStr">
        <is>
          <t>Available to Order</t>
        </is>
      </c>
      <c r="X850" t="inlineStr">
        <is>
          <t>Mitsubishi Outlander 2006-05</t>
        </is>
      </c>
      <c r="Y850" t="inlineStr">
        <is>
          <t>00082617820745</t>
        </is>
      </c>
      <c r="Z850" t="inlineStr">
        <is>
          <t>43-4222::98359:98918:292</t>
        </is>
      </c>
      <c r="AA850" t="inlineStr">
        <is>
          <t>Yes</t>
        </is>
      </c>
      <c r="AB850" t="inlineStr"/>
      <c r="AC850" t="inlineStr"/>
    </row>
    <row r="851">
      <c r="A851" t="inlineStr">
        <is>
          <t>850</t>
        </is>
      </c>
      <c r="B851" t="inlineStr">
        <is>
          <t>Windshield Wiper Motor</t>
        </is>
      </c>
      <c r="C851" t="inlineStr">
        <is>
          <t>43-4228</t>
        </is>
      </c>
      <c r="D851" t="inlineStr">
        <is>
          <t>Windshield Wiper Motor - 43-4228</t>
        </is>
      </c>
      <c r="E851" t="inlineStr">
        <is>
          <t>CARDONE Reman</t>
        </is>
      </c>
      <c r="F851" t="inlineStr">
        <is>
          <t>MR522069</t>
        </is>
      </c>
      <c r="G851" t="inlineStr">
        <is>
          <t>Mitsubishi Lancer 2003-2006</t>
        </is>
      </c>
      <c r="H851" t="inlineStr">
        <is>
          <t>Mitsubishi Lancer 2003-2006 2L L4 122cid</t>
        </is>
      </c>
      <c r="I851" t="inlineStr">
        <is>
          <t>{"0": {"productDeskExternalKey": "CPCX|43-4228"},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"Mitsubishi Lancer 2006-03"}, "14": {"ItemLevelGTIN": "00082617817448"}, "15": {"_addonCardone": "43-4228::98359:98923:292"}, "16": {"Eligible for R&amp;R Service": "Yes"}}</t>
        </is>
      </c>
      <c r="J851" t="inlineStr">
        <is>
          <t>https://www.cardone.com/product/windshield-wiper-motor-43-4228</t>
        </is>
      </c>
      <c r="K851">
        <f>DISPIMG("ID_78DD7235C5584568BEAA843841302D4D",1)</f>
        <v/>
      </c>
      <c r="L851" t="inlineStr">
        <is>
          <t>CPCX|43-4228</t>
        </is>
      </c>
      <c r="M851" t="inlineStr">
        <is>
          <t>Wiper Motor; Instruction Sheet</t>
        </is>
      </c>
      <c r="N851" t="inlineStr">
        <is>
          <t>Yes</t>
        </is>
      </c>
      <c r="O851" t="inlineStr">
        <is>
          <t>Remanufactured</t>
        </is>
      </c>
      <c r="P851" t="inlineStr">
        <is>
          <t>3</t>
        </is>
      </c>
      <c r="Q851" t="inlineStr">
        <is>
          <t>Blade</t>
        </is>
      </c>
      <c r="R851" t="inlineStr">
        <is>
          <t>Grommet</t>
        </is>
      </c>
      <c r="S851" t="inlineStr">
        <is>
          <t>2.2000</t>
        </is>
      </c>
      <c r="T851" t="inlineStr">
        <is>
          <t>No</t>
        </is>
      </c>
      <c r="U851" t="inlineStr">
        <is>
          <t>1 Year/18,000 Mile</t>
        </is>
      </c>
      <c r="V851" t="inlineStr">
        <is>
          <t>Yes</t>
        </is>
      </c>
      <c r="W851" t="inlineStr">
        <is>
          <t>Available to Order</t>
        </is>
      </c>
      <c r="X851" t="inlineStr">
        <is>
          <t>Mitsubishi Lancer 2006-03</t>
        </is>
      </c>
      <c r="Y851" t="inlineStr">
        <is>
          <t>00082617817448</t>
        </is>
      </c>
      <c r="Z851" t="inlineStr">
        <is>
          <t>43-4228::98359:98923:292</t>
        </is>
      </c>
      <c r="AA851" t="inlineStr">
        <is>
          <t>Yes</t>
        </is>
      </c>
      <c r="AB851" t="inlineStr"/>
      <c r="AC851" t="inlineStr"/>
    </row>
    <row r="852">
      <c r="A852" t="inlineStr">
        <is>
          <t>851</t>
        </is>
      </c>
      <c r="B852" t="inlineStr">
        <is>
          <t>Windshield Wiper Motor</t>
        </is>
      </c>
      <c r="C852" t="inlineStr">
        <is>
          <t>43-4230</t>
        </is>
      </c>
      <c r="D852" t="inlineStr">
        <is>
          <t>Windshield Wiper Motor - 43-4230</t>
        </is>
      </c>
      <c r="E852" t="inlineStr">
        <is>
          <t>CARDONE Reman</t>
        </is>
      </c>
      <c r="F852" t="inlineStr">
        <is>
          <t>MN142094</t>
        </is>
      </c>
      <c r="G852" t="inlineStr"/>
      <c r="H852" t="inlineStr"/>
      <c r="I852" t="inlineStr">
        <is>
          <t>{"0": {"productDeskExternalKey": "CPCX|43-4230"}, "1": {"Package Contents": "Wiper Motor; Instruction Sheet"}, "2": {"E-Waste": "Yes"}, "3": {"Product Condition": "Remanufactured"}, "4": {"Mounting Hole Quantity": "3"}, "5": {"Terminal Type": "Blade"}, "6": {"Mounting Type": "Grommet"}, "7": {"Weight PG": "1.8500"}, "8": {"Washer Pump Included": "No"}, "9": {"Part Type": "Windshield Wiper Motor"}, "10": {"Warranty Info": "1 Year/18,000 Mile"}, "11": {"Sustainable Choice": "Yes"}, "12": {"Lifecycle Status": "Available to Order"}, "13": {"Application Summary": "Mitsubishi Eclipse 2012-06"}, "14": {"ItemLevelGTIN": "00082617822336"}, "15": {"_addonCardone": "43-4230::98359:98929:292"}, "16": {"Eligible for R&amp;R Service": "Yes"}}</t>
        </is>
      </c>
      <c r="J852" t="inlineStr">
        <is>
          <t>https://www.cardone.com/product/windshield-wiper-motor-43-4230</t>
        </is>
      </c>
      <c r="K852">
        <f>DISPIMG("ID_962E4FA875E84BA8A576AA5370EECA1E",1)</f>
        <v/>
      </c>
      <c r="L852" t="inlineStr">
        <is>
          <t>CPCX|43-4230</t>
        </is>
      </c>
      <c r="M852" t="inlineStr">
        <is>
          <t>Wiper Motor; Instruction Sheet</t>
        </is>
      </c>
      <c r="N852" t="inlineStr">
        <is>
          <t>Yes</t>
        </is>
      </c>
      <c r="O852" t="inlineStr">
        <is>
          <t>Remanufactured</t>
        </is>
      </c>
      <c r="P852" t="inlineStr">
        <is>
          <t>3</t>
        </is>
      </c>
      <c r="Q852" t="inlineStr">
        <is>
          <t>Blade</t>
        </is>
      </c>
      <c r="R852" t="inlineStr">
        <is>
          <t>Grommet</t>
        </is>
      </c>
      <c r="S852" t="inlineStr">
        <is>
          <t>1.8500</t>
        </is>
      </c>
      <c r="T852" t="inlineStr">
        <is>
          <t>No</t>
        </is>
      </c>
      <c r="U852" t="inlineStr">
        <is>
          <t>1 Year/18,000 Mile</t>
        </is>
      </c>
      <c r="V852" t="inlineStr">
        <is>
          <t>Yes</t>
        </is>
      </c>
      <c r="W852" t="inlineStr">
        <is>
          <t>Available to Order</t>
        </is>
      </c>
      <c r="X852" t="inlineStr">
        <is>
          <t>Mitsubishi Eclipse 2012-06</t>
        </is>
      </c>
      <c r="Y852" t="inlineStr">
        <is>
          <t>00082617822336</t>
        </is>
      </c>
      <c r="Z852" t="inlineStr">
        <is>
          <t>43-4230::98359:98929:292</t>
        </is>
      </c>
      <c r="AA852" t="inlineStr">
        <is>
          <t>Yes</t>
        </is>
      </c>
      <c r="AB852" t="inlineStr"/>
      <c r="AC852" t="inlineStr"/>
    </row>
    <row r="853">
      <c r="A853" t="inlineStr">
        <is>
          <t>852</t>
        </is>
      </c>
      <c r="B853" t="inlineStr">
        <is>
          <t>Windshield Wiper Motor</t>
        </is>
      </c>
      <c r="C853" t="inlineStr">
        <is>
          <t>43-4231</t>
        </is>
      </c>
      <c r="D853" t="inlineStr">
        <is>
          <t>Windshield Wiper Motor - 43-4231</t>
        </is>
      </c>
      <c r="E853" t="inlineStr">
        <is>
          <t>CARDONE Reman</t>
        </is>
      </c>
      <c r="F853" t="inlineStr">
        <is>
          <t>8250A170</t>
        </is>
      </c>
      <c r="G853" t="inlineStr">
        <is>
          <t>Mitsubishi Lancer 2008-2017</t>
        </is>
      </c>
      <c r="H853" t="inlineStr">
        <is>
          <t>Mitsubishi Lancer 2008-2017 2L L4 122cid
Mitsubishi Lancer 2009-2017 2.4L L4 144cid
Mitsubishi Lancer 2010-2012 2.4L L4 2351cc</t>
        </is>
      </c>
      <c r="I853" t="inlineStr">
        <is>
          <t>{"0": {"productDeskExternalKey": "CPCX|43-4231"}, "1": {"Package Contents": "Wiper Motor; Instruction Sheet"}, "2": {"E-Waste": "Yes"}, "3": {"Product Condition": "Remanufactured"}, "4": {"Mounting Hole Quantity": "3"}, "5": {"Terminal Type": "Blade"}, "6": {"Mounting Type": "Direct Bolt"}, "7": {"Weight PG": "2.3000"}, "8": {"Washer Pump Included": "No"}, "9": {"Part Type": "Windshield Wiper Motor"}, "10": {"Warranty Info": "1 Year/18,000 Mile"}, "11": {"Sustainable Choice": "Yes"}, "12": {"Lifecycle Status": "Available to Order"}, "13": {"Application Summary": "Mitsubishi Lancer 2017-08"}, "14": {"ItemLevelGTIN": "00082617864763"}, "15": {"_addonCardone": "43-4231::98359:98934:292"}, "16": {"Eligible for R&amp;R Service": "Yes"}}</t>
        </is>
      </c>
      <c r="J853" t="inlineStr">
        <is>
          <t>https://www.cardone.com/product/windshield-wiper-motor-43-4231</t>
        </is>
      </c>
      <c r="K853">
        <f>DISPIMG("ID_C4FF2E04DE004C64994393DA92C023B1",1)</f>
        <v/>
      </c>
      <c r="L853" t="inlineStr">
        <is>
          <t>CPCX|43-4231</t>
        </is>
      </c>
      <c r="M853" t="inlineStr">
        <is>
          <t>Wiper Motor; Instruction Sheet</t>
        </is>
      </c>
      <c r="N853" t="inlineStr">
        <is>
          <t>Yes</t>
        </is>
      </c>
      <c r="O853" t="inlineStr">
        <is>
          <t>Remanufactured</t>
        </is>
      </c>
      <c r="P853" t="inlineStr">
        <is>
          <t>3</t>
        </is>
      </c>
      <c r="Q853" t="inlineStr">
        <is>
          <t>Blade</t>
        </is>
      </c>
      <c r="R853" t="inlineStr">
        <is>
          <t>Direct Bolt</t>
        </is>
      </c>
      <c r="S853" t="inlineStr">
        <is>
          <t>2.3000</t>
        </is>
      </c>
      <c r="T853" t="inlineStr">
        <is>
          <t>No</t>
        </is>
      </c>
      <c r="U853" t="inlineStr">
        <is>
          <t>1 Year/18,000 Mile</t>
        </is>
      </c>
      <c r="V853" t="inlineStr">
        <is>
          <t>Yes</t>
        </is>
      </c>
      <c r="W853" t="inlineStr">
        <is>
          <t>Available to Order</t>
        </is>
      </c>
      <c r="X853" t="inlineStr">
        <is>
          <t>Mitsubishi Lancer 2017-08</t>
        </is>
      </c>
      <c r="Y853" t="inlineStr">
        <is>
          <t>00082617864763</t>
        </is>
      </c>
      <c r="Z853" t="inlineStr">
        <is>
          <t>43-4231::98359:98934:292</t>
        </is>
      </c>
      <c r="AA853" t="inlineStr">
        <is>
          <t>Yes</t>
        </is>
      </c>
      <c r="AB853" t="inlineStr"/>
      <c r="AC853" t="inlineStr"/>
    </row>
    <row r="854">
      <c r="A854" t="inlineStr">
        <is>
          <t>853</t>
        </is>
      </c>
      <c r="B854" t="inlineStr">
        <is>
          <t>Windshield Wiper Motor</t>
        </is>
      </c>
      <c r="C854" t="inlineStr">
        <is>
          <t>43-4300</t>
        </is>
      </c>
      <c r="D854" t="inlineStr">
        <is>
          <t>Windshield Wiper Motor - 43-4300</t>
        </is>
      </c>
      <c r="E854" t="inlineStr">
        <is>
          <t>CARDONE Reman</t>
        </is>
      </c>
      <c r="F854" t="inlineStr">
        <is>
          <t>F3XY17508B;287000B300</t>
        </is>
      </c>
      <c r="G854" t="inlineStr">
        <is>
          <t>Nissan Quest 1993-1994</t>
        </is>
      </c>
      <c r="H854" t="inlineStr">
        <is>
          <t>Nissan Quest 1993-1994 3L V6 181cid</t>
        </is>
      </c>
      <c r="I854" t="inlineStr">
        <is>
          <t>{"0": {"productDeskExternalKey": "CPCX|43-4300"}, "1": {"Package Contents": "Wiper Motor; Instruction Sheet"}, "2": {"E-Waste": "Yes"}, "3": {"Product Condition": "Remanufactured"}, "4": {"Mounting Hole Quantity": "2"}, "5": {"Terminal Type": "Blade"}, "6": {"Mounting Type": "Direct Bolt"}, "7": {"Weight PG": "2.4200"}, "8": {"Washer Pump Included": "No"}, "9": {"Part Type": "Windshield Wiper Motor"}, "10": {"Warranty Info": "1 Year/18,000 Mile"}, "11": {"Sustainable Choice": "Yes"}, "12": {"Lifecycle Status": "Available to Order"}, "13": {"Application Summary": "Mercury Villager 1993; Nissan Quest 1994-93"}, "14": {"ItemLevelGTIN": "00082617456340"}, "15": {"_addonCardone": "43-4300::98359:99066:292"}, "16": {"Eligible for R&amp;R Service": "Yes"}}</t>
        </is>
      </c>
      <c r="J854" t="inlineStr">
        <is>
          <t>https://www.cardone.com/product/windshield-wiper-motor-43-4300</t>
        </is>
      </c>
      <c r="K854">
        <f>DISPIMG("ID_E789BD075CD34EA2A0F3DC0461BFCB8A",1)</f>
        <v/>
      </c>
      <c r="L854" t="inlineStr">
        <is>
          <t>CPCX|43-4300</t>
        </is>
      </c>
      <c r="M854" t="inlineStr">
        <is>
          <t>Wiper Motor; Instruction Sheet</t>
        </is>
      </c>
      <c r="N854" t="inlineStr">
        <is>
          <t>Yes</t>
        </is>
      </c>
      <c r="O854" t="inlineStr">
        <is>
          <t>Remanufactured</t>
        </is>
      </c>
      <c r="P854" t="inlineStr">
        <is>
          <t>2</t>
        </is>
      </c>
      <c r="Q854" t="inlineStr">
        <is>
          <t>Blade</t>
        </is>
      </c>
      <c r="R854" t="inlineStr">
        <is>
          <t>Direct Bolt</t>
        </is>
      </c>
      <c r="S854" t="inlineStr">
        <is>
          <t>2.4200</t>
        </is>
      </c>
      <c r="T854" t="inlineStr">
        <is>
          <t>No</t>
        </is>
      </c>
      <c r="U854" t="inlineStr">
        <is>
          <t>1 Year/18,000 Mile</t>
        </is>
      </c>
      <c r="V854" t="inlineStr">
        <is>
          <t>Yes</t>
        </is>
      </c>
      <c r="W854" t="inlineStr">
        <is>
          <t>Available to Order</t>
        </is>
      </c>
      <c r="X854" t="inlineStr">
        <is>
          <t>Mercury Villager 1993; Nissan Quest 1994-93</t>
        </is>
      </c>
      <c r="Y854" t="inlineStr">
        <is>
          <t>00082617456340</t>
        </is>
      </c>
      <c r="Z854" t="inlineStr">
        <is>
          <t>43-4300::98359:99066:292</t>
        </is>
      </c>
      <c r="AA854" t="inlineStr">
        <is>
          <t>Yes</t>
        </is>
      </c>
      <c r="AB854" t="inlineStr"/>
      <c r="AC854" t="inlineStr"/>
    </row>
    <row r="855">
      <c r="A855" t="inlineStr">
        <is>
          <t>854</t>
        </is>
      </c>
      <c r="B855" t="inlineStr">
        <is>
          <t>Windshield Wiper Motor</t>
        </is>
      </c>
      <c r="C855" t="inlineStr">
        <is>
          <t>43-4301</t>
        </is>
      </c>
      <c r="D855" t="inlineStr">
        <is>
          <t>Windshield Wiper Motor - 43-4301</t>
        </is>
      </c>
      <c r="E855" t="inlineStr">
        <is>
          <t>CARDONE Reman</t>
        </is>
      </c>
      <c r="F855" t="inlineStr">
        <is>
          <t>2870041G00;8970243181;8970243180</t>
        </is>
      </c>
      <c r="G855" t="inlineStr">
        <is>
          <t>Isuzu Rodeo 1991-1997</t>
        </is>
      </c>
      <c r="H855" t="inlineStr">
        <is>
          <t>Isuzu Rodeo 1991-1992 3.1L V6 3137cc
Isuzu Rodeo 1991-1997 2.6L L4 2559cc
Isuzu Rodeo 1993-1997 3.2L V6 3165cc</t>
        </is>
      </c>
      <c r="I855" t="inlineStr">
        <is>
          <t>{"0": {"productDeskExternalKey": "CPCX|43-4301"}, "1": {"Package Contents": "Wiper Motor; Instruction Sheet"}, "2": {"E-Waste": "Yes"}, "3": {"Product Condition": "Remanufactured"}, "4": {"Mounting Hole Quantity": "3"}, "5": {"Terminal Type": "Blade"}, "6": {"Mounting Type": "Direct Bolt"}, "7": {"Weight PG": "1.4400"}, "8": {"Washer Pump Included": "No"}, "9": {"Part Type": "Windshield Wiper Motor"}, "10": {"Warranty Info": "1 Year/18,000 Mile"}, "11": {"Sustainable Choice": "Yes"}, "12": {"Lifecycle Status": "Available to Order"}, "13": {"Application Summary": "Honda Passport 1997-94; Isuzu Rodeo 1997-91; Nissan Pathfinder 1995-87"}, "14": {"ItemLevelGTIN": "00082617456357"}, "15": {"_addonCardone": "43-4301::98359:99073:292"}, "16": {"Eligible for R&amp;R Service": "Yes"}}</t>
        </is>
      </c>
      <c r="J855" t="inlineStr">
        <is>
          <t>https://www.cardone.com/product/windshield-wiper-motor-43-4301</t>
        </is>
      </c>
      <c r="K855">
        <f>DISPIMG("ID_ACE7CB3933D34B0C9B4342558249180E",1)</f>
        <v/>
      </c>
      <c r="L855" t="inlineStr">
        <is>
          <t>CPCX|43-4301</t>
        </is>
      </c>
      <c r="M855" t="inlineStr">
        <is>
          <t>Wiper Motor; Instruction Sheet</t>
        </is>
      </c>
      <c r="N855" t="inlineStr">
        <is>
          <t>Yes</t>
        </is>
      </c>
      <c r="O855" t="inlineStr">
        <is>
          <t>Remanufactured</t>
        </is>
      </c>
      <c r="P855" t="inlineStr">
        <is>
          <t>3</t>
        </is>
      </c>
      <c r="Q855" t="inlineStr">
        <is>
          <t>Blade</t>
        </is>
      </c>
      <c r="R855" t="inlineStr">
        <is>
          <t>Direct Bolt</t>
        </is>
      </c>
      <c r="S855" t="inlineStr">
        <is>
          <t>1.4400</t>
        </is>
      </c>
      <c r="T855" t="inlineStr">
        <is>
          <t>No</t>
        </is>
      </c>
      <c r="U855" t="inlineStr">
        <is>
          <t>1 Year/18,000 Mile</t>
        </is>
      </c>
      <c r="V855" t="inlineStr">
        <is>
          <t>Yes</t>
        </is>
      </c>
      <c r="W855" t="inlineStr">
        <is>
          <t>Available to Order</t>
        </is>
      </c>
      <c r="X855" t="inlineStr">
        <is>
          <t>Honda Passport 1997-94; Isuzu Rodeo 1997-91; Nissan Pathfinder 1995-87</t>
        </is>
      </c>
      <c r="Y855" t="inlineStr">
        <is>
          <t>00082617456357</t>
        </is>
      </c>
      <c r="Z855" t="inlineStr">
        <is>
          <t>43-4301::98359:99073:292</t>
        </is>
      </c>
      <c r="AA855" t="inlineStr">
        <is>
          <t>Yes</t>
        </is>
      </c>
      <c r="AB855" t="inlineStr"/>
      <c r="AC855" t="inlineStr"/>
    </row>
    <row r="856">
      <c r="A856" t="inlineStr">
        <is>
          <t>855</t>
        </is>
      </c>
      <c r="B856" t="inlineStr">
        <is>
          <t>Windshield Wiper Motor</t>
        </is>
      </c>
      <c r="C856" t="inlineStr">
        <is>
          <t>43-4302</t>
        </is>
      </c>
      <c r="D856" t="inlineStr">
        <is>
          <t>Windshield Wiper Motor - 43-4302</t>
        </is>
      </c>
      <c r="E856" t="inlineStr">
        <is>
          <t>CARDONE Reman</t>
        </is>
      </c>
      <c r="F856" t="inlineStr">
        <is>
          <t>2871004M00</t>
        </is>
      </c>
      <c r="G856" t="inlineStr">
        <is>
          <t>Nissan Pulsar 1983
Nissan Pulsar NX 1983-1986</t>
        </is>
      </c>
      <c r="H856" t="inlineStr">
        <is>
          <t>Nissan Pulsar 1983 1.6L L4 97cid
Nissan Pulsar NX 1983-1984 1.5L L4 1488cc
Nissan Pulsar NX 1983-1986 1.6L L4 97cid</t>
        </is>
      </c>
      <c r="I856" t="inlineStr">
        <is>
          <t>{"0": {"productDeskExternalKey": "CPCX|43-4302"}, "1": {"Package Contents": "Wiper Motor; Instruction Sheet"}, "2": {"E-Waste": "Yes"}, "3": {"Product Condition": "Remanufactured"}, "4": {"Mounting Hole Quantity": "2"}, "5": {"Terminal Type": "Bullet"}, "6": {"Mounting Type": "Grommet"}, "7": {"Weight PG": "2.0000"}, "8": {"Washer Pump Included": "No"}, "9": {"Part Type": "Windshield Wiper Motor"}, "10": {"Warranty Info": "1 Year/18,000 Mile"}, "11": {"Sustainable Choice": "Yes"}, "12": {"Lifecycle Status": "Available to Order"}, "13": {"Application Summary": "Nissan Pulsar 1983, Pulsar NX 1986-83"}, "14": {"ItemLevelGTIN": "00082617456371"}, "15": {"_addonCardone": "43-4302::98359:99081:292"}, "16": {"Eligible for R&amp;R Service": "Yes"}}</t>
        </is>
      </c>
      <c r="J856" t="inlineStr">
        <is>
          <t>https://www.cardone.com/product/windshield-wiper-motor-43-4302</t>
        </is>
      </c>
      <c r="K856">
        <f>DISPIMG("ID_A99C9C0CCF2C4A95B94CE4CE4E04191E",1)</f>
        <v/>
      </c>
      <c r="L856" t="inlineStr">
        <is>
          <t>CPCX|43-4302</t>
        </is>
      </c>
      <c r="M856" t="inlineStr">
        <is>
          <t>Wiper Motor; Instruction Sheet</t>
        </is>
      </c>
      <c r="N856" t="inlineStr">
        <is>
          <t>Yes</t>
        </is>
      </c>
      <c r="O856" t="inlineStr">
        <is>
          <t>Remanufactured</t>
        </is>
      </c>
      <c r="P856" t="inlineStr">
        <is>
          <t>2</t>
        </is>
      </c>
      <c r="Q856" t="inlineStr">
        <is>
          <t>Bullet</t>
        </is>
      </c>
      <c r="R856" t="inlineStr">
        <is>
          <t>Grommet</t>
        </is>
      </c>
      <c r="S856" t="inlineStr">
        <is>
          <t>2.0000</t>
        </is>
      </c>
      <c r="T856" t="inlineStr">
        <is>
          <t>No</t>
        </is>
      </c>
      <c r="U856" t="inlineStr">
        <is>
          <t>1 Year/18,000 Mile</t>
        </is>
      </c>
      <c r="V856" t="inlineStr">
        <is>
          <t>Yes</t>
        </is>
      </c>
      <c r="W856" t="inlineStr">
        <is>
          <t>Available to Order</t>
        </is>
      </c>
      <c r="X856" t="inlineStr">
        <is>
          <t>Nissan Pulsar 1983, Pulsar NX 1986-83</t>
        </is>
      </c>
      <c r="Y856" t="inlineStr">
        <is>
          <t>00082617456371</t>
        </is>
      </c>
      <c r="Z856" t="inlineStr">
        <is>
          <t>43-4302::98359:99081:292</t>
        </is>
      </c>
      <c r="AA856" t="inlineStr">
        <is>
          <t>Yes</t>
        </is>
      </c>
      <c r="AB856" t="inlineStr"/>
      <c r="AC856" t="inlineStr"/>
    </row>
    <row r="857">
      <c r="A857" t="inlineStr">
        <is>
          <t>856</t>
        </is>
      </c>
      <c r="B857" t="inlineStr">
        <is>
          <t>Windshield Wiper Motor</t>
        </is>
      </c>
      <c r="C857" t="inlineStr">
        <is>
          <t>43-4303</t>
        </is>
      </c>
      <c r="D857" t="inlineStr">
        <is>
          <t>Windshield Wiper Motor - 43-4303</t>
        </is>
      </c>
      <c r="E857" t="inlineStr">
        <is>
          <t>CARDONE Reman</t>
        </is>
      </c>
      <c r="F857" t="inlineStr">
        <is>
          <t>B871015F01;2871015F01</t>
        </is>
      </c>
      <c r="G857" t="inlineStr">
        <is>
          <t>Nissan 200SX 1984-1988</t>
        </is>
      </c>
      <c r="H857" t="inlineStr">
        <is>
          <t>Nissan 200SX 1984-1987 1.8L L4 1809cc
Nissan 200SX 1984-1988 2L L4 1974cc
Nissan 200SX 1987-1988 3L V6 181cid</t>
        </is>
      </c>
      <c r="I857" t="inlineStr">
        <is>
          <t>{"0": {"productDeskExternalKey": "CPCX|43-4303"}, "1": {"Package Contents": "Wiper Motor; Instruction Sheet"}, "2": {"E-Waste": "Yes"}, "3": {"Product Condition": "Remanufactured"}, "4": {"Mounting Hole Quantity": "2"}, "5": {"Terminal Type": "Bullet"}, "6": {"Mounting Type": "Grommet"}, "7": {"Weight PG": "2.3600"}, "8": {"Washer Pump Included": "No"}, "9": {"Part Type": "Windshield Wiper Motor"}, "10": {"Warranty Info": "1 Year/18,000 Mile"}, "11": {"Sustainable Choice": "Yes"}, "12": {"Lifecycle Status": "Available to Order"}, "13": {"Application Summary": "Nissan 200SX 1988-84"}, "14": {"ItemLevelGTIN": "00082617456388"}, "15": {"_addonCardone": "43-4303::98359:99086:292"}, "16": {"Eligible for R&amp;R Service": "Yes"}}</t>
        </is>
      </c>
      <c r="J857" t="inlineStr">
        <is>
          <t>https://www.cardone.com/product/windshield-wiper-motor-43-4303</t>
        </is>
      </c>
      <c r="K857">
        <f>DISPIMG("ID_2A79E81282C2426C9E6B54B36E8463EE",1)</f>
        <v/>
      </c>
      <c r="L857" t="inlineStr">
        <is>
          <t>CPCX|43-4303</t>
        </is>
      </c>
      <c r="M857" t="inlineStr">
        <is>
          <t>Wiper Motor; Instruction Sheet</t>
        </is>
      </c>
      <c r="N857" t="inlineStr">
        <is>
          <t>Yes</t>
        </is>
      </c>
      <c r="O857" t="inlineStr">
        <is>
          <t>Remanufactured</t>
        </is>
      </c>
      <c r="P857" t="inlineStr">
        <is>
          <t>2</t>
        </is>
      </c>
      <c r="Q857" t="inlineStr">
        <is>
          <t>Bullet</t>
        </is>
      </c>
      <c r="R857" t="inlineStr">
        <is>
          <t>Grommet</t>
        </is>
      </c>
      <c r="S857" t="inlineStr">
        <is>
          <t>2.3600</t>
        </is>
      </c>
      <c r="T857" t="inlineStr">
        <is>
          <t>No</t>
        </is>
      </c>
      <c r="U857" t="inlineStr">
        <is>
          <t>1 Year/18,000 Mile</t>
        </is>
      </c>
      <c r="V857" t="inlineStr">
        <is>
          <t>Yes</t>
        </is>
      </c>
      <c r="W857" t="inlineStr">
        <is>
          <t>Available to Order</t>
        </is>
      </c>
      <c r="X857" t="inlineStr">
        <is>
          <t>Nissan 200SX 1988-84</t>
        </is>
      </c>
      <c r="Y857" t="inlineStr">
        <is>
          <t>00082617456388</t>
        </is>
      </c>
      <c r="Z857" t="inlineStr">
        <is>
          <t>43-4303::98359:99086:292</t>
        </is>
      </c>
      <c r="AA857" t="inlineStr">
        <is>
          <t>Yes</t>
        </is>
      </c>
      <c r="AB857" t="inlineStr"/>
      <c r="AC857" t="inlineStr"/>
    </row>
    <row r="858">
      <c r="A858" t="inlineStr">
        <is>
          <t>857</t>
        </is>
      </c>
      <c r="B858" t="inlineStr">
        <is>
          <t>Windshield Wiper Motor</t>
        </is>
      </c>
      <c r="C858" t="inlineStr">
        <is>
          <t>43-4304</t>
        </is>
      </c>
      <c r="D858" t="inlineStr">
        <is>
          <t>Windshield Wiper Motor - 43-4304</t>
        </is>
      </c>
      <c r="E858" t="inlineStr">
        <is>
          <t>CARDONE Reman</t>
        </is>
      </c>
      <c r="F858" t="inlineStr">
        <is>
          <t>2871001P00</t>
        </is>
      </c>
      <c r="G858" t="inlineStr">
        <is>
          <t>Nissan 300ZX 1984-1989</t>
        </is>
      </c>
      <c r="H858" t="inlineStr">
        <is>
          <t>Nissan 300ZX 1984-1989 3L V6 181cid</t>
        </is>
      </c>
      <c r="I858" t="inlineStr">
        <is>
          <t>{"0": {"productDeskExternalKey": "CPCX|43-4304"}, "1": {"Package Contents": "Wiper Motor; Instruction Sheet"}, "2": {"E-Waste": "Yes"}, "3": {"Product Condition": "Remanufactured"}, "4": {"Mounting Hole Quantity": "3"}, "5": {"Terminal Type": "Bullet"}, "6": {"Mounting Type": "Grommet"}, "7": {"Weight PG": "2.2000"}, "8": {"Washer Pump Included": "No"}, "9": {"Part Type": "Windshield Wiper Motor"}, "10": {"Warranty Info": "1 Year/18,000 Mile"}, "11": {"Sustainable Choice": "Yes"}, "12": {"Lifecycle Status": "Available to Order"}, "13": {"Application Summary": "Nissan 300ZX 1989-84"}, "14": {"ItemLevelGTIN": "00082617456364"}, "15": {"_addonCardone": "43-4304::98359:99092:292"}, "16": {"Eligible for R&amp;R Service": "Yes"}}</t>
        </is>
      </c>
      <c r="J858" t="inlineStr">
        <is>
          <t>https://www.cardone.com/product/windshield-wiper-motor-43-4304</t>
        </is>
      </c>
      <c r="K858">
        <f>DISPIMG("ID_A5906B691D3A477CB3F198AC21ED3B08",1)</f>
        <v/>
      </c>
      <c r="L858" t="inlineStr">
        <is>
          <t>CPCX|43-4304</t>
        </is>
      </c>
      <c r="M858" t="inlineStr">
        <is>
          <t>Wiper Motor; Instruction Sheet</t>
        </is>
      </c>
      <c r="N858" t="inlineStr">
        <is>
          <t>Yes</t>
        </is>
      </c>
      <c r="O858" t="inlineStr">
        <is>
          <t>Remanufactured</t>
        </is>
      </c>
      <c r="P858" t="inlineStr">
        <is>
          <t>3</t>
        </is>
      </c>
      <c r="Q858" t="inlineStr">
        <is>
          <t>Bullet</t>
        </is>
      </c>
      <c r="R858" t="inlineStr">
        <is>
          <t>Grommet</t>
        </is>
      </c>
      <c r="S858" t="inlineStr">
        <is>
          <t>2.2000</t>
        </is>
      </c>
      <c r="T858" t="inlineStr">
        <is>
          <t>No</t>
        </is>
      </c>
      <c r="U858" t="inlineStr">
        <is>
          <t>1 Year/18,000 Mile</t>
        </is>
      </c>
      <c r="V858" t="inlineStr">
        <is>
          <t>Yes</t>
        </is>
      </c>
      <c r="W858" t="inlineStr">
        <is>
          <t>Available to Order</t>
        </is>
      </c>
      <c r="X858" t="inlineStr">
        <is>
          <t>Nissan 300ZX 1989-84</t>
        </is>
      </c>
      <c r="Y858" t="inlineStr">
        <is>
          <t>00082617456364</t>
        </is>
      </c>
      <c r="Z858" t="inlineStr">
        <is>
          <t>43-4304::98359:99092:292</t>
        </is>
      </c>
      <c r="AA858" t="inlineStr">
        <is>
          <t>Yes</t>
        </is>
      </c>
      <c r="AB858" t="inlineStr"/>
      <c r="AC858" t="inlineStr"/>
    </row>
    <row r="859">
      <c r="A859" t="inlineStr">
        <is>
          <t>858</t>
        </is>
      </c>
      <c r="B859" t="inlineStr">
        <is>
          <t>Windshield Wiper Motor</t>
        </is>
      </c>
      <c r="C859" t="inlineStr">
        <is>
          <t>43-4305</t>
        </is>
      </c>
      <c r="D859" t="inlineStr">
        <is>
          <t>Windshield Wiper Motor - 43-4305</t>
        </is>
      </c>
      <c r="E859" t="inlineStr">
        <is>
          <t>CARDONE Reman</t>
        </is>
      </c>
      <c r="F859" t="inlineStr">
        <is>
          <t>288104B000</t>
        </is>
      </c>
      <c r="G859" t="inlineStr">
        <is>
          <t>Nissan 200SX 1995-1998
Nissan Sentra 1995-1999</t>
        </is>
      </c>
      <c r="H859" t="inlineStr">
        <is>
          <t>Nissan 200SX 1995-1998 1.6L L4 97cid
Nissan 200SX 1995-1998 2L L4 122cid
Nissan Sentra 1995-1999 1.6L L4 97cid
Nissan Sentra 1996-1999 2L L4 122cid</t>
        </is>
      </c>
      <c r="I859" t="inlineStr">
        <is>
          <t>{"0": {"productDeskExternalKey": "CPCX|43-4305"}, "1": {"Package Contents": "Wiper Motor; Instruction Sheet"}, "2": {"E-Waste": "Yes"}, "3": {"Product Condition": "Remanufactured"}, "4": {"Mounting Hole Quantity": "4"}, "5": {"Terminal Type": "Blade"}, "6": {"Mounting Type": "Grommet"}, "7": {"Weight PG": "2.8400"}, "8": {"Washer Pump Included": "No"}, "9": {"Part Type": "Windshield Wiper Motor"}, "10": {"Warranty Info": "1 Year/18,000 Mile"}, "11": {"Sustainable Choice": "Yes"}, "12": {"Lifecycle Status": "Available to Order"}, "13": {"Application Summary": "Nissan 200SX 1998-95, Lucino 1998-96, Sentra 1999-95"}, "14": {"ItemLevelGTIN": "00082617456395"}, "15": {"_addonCardone": "43-4305::98359:99098:292"}, "16": {"Eligible for R&amp;R Service": "Yes"}}</t>
        </is>
      </c>
      <c r="J859" t="inlineStr">
        <is>
          <t>https://www.cardone.com/product/windshield-wiper-motor-43-4305</t>
        </is>
      </c>
      <c r="K859">
        <f>DISPIMG("ID_7AEA9DA6A2244835ADCB572F0E8628C6",1)</f>
        <v/>
      </c>
      <c r="L859" t="inlineStr">
        <is>
          <t>CPCX|43-4305</t>
        </is>
      </c>
      <c r="M859" t="inlineStr">
        <is>
          <t>Wiper Motor; Instruction Sheet</t>
        </is>
      </c>
      <c r="N859" t="inlineStr">
        <is>
          <t>Yes</t>
        </is>
      </c>
      <c r="O859" t="inlineStr">
        <is>
          <t>Remanufactured</t>
        </is>
      </c>
      <c r="P859" t="inlineStr">
        <is>
          <t>4</t>
        </is>
      </c>
      <c r="Q859" t="inlineStr">
        <is>
          <t>Blade</t>
        </is>
      </c>
      <c r="R859" t="inlineStr">
        <is>
          <t>Grommet</t>
        </is>
      </c>
      <c r="S859" t="inlineStr">
        <is>
          <t>2.8400</t>
        </is>
      </c>
      <c r="T859" t="inlineStr">
        <is>
          <t>No</t>
        </is>
      </c>
      <c r="U859" t="inlineStr">
        <is>
          <t>1 Year/18,000 Mile</t>
        </is>
      </c>
      <c r="V859" t="inlineStr">
        <is>
          <t>Yes</t>
        </is>
      </c>
      <c r="W859" t="inlineStr">
        <is>
          <t>Available to Order</t>
        </is>
      </c>
      <c r="X859" t="inlineStr">
        <is>
          <t>Nissan 200SX 1998-95, Lucino 1998-96, Sentra 1999-95</t>
        </is>
      </c>
      <c r="Y859" t="inlineStr">
        <is>
          <t>00082617456395</t>
        </is>
      </c>
      <c r="Z859" t="inlineStr">
        <is>
          <t>43-4305::98359:99098:292</t>
        </is>
      </c>
      <c r="AA859" t="inlineStr">
        <is>
          <t>Yes</t>
        </is>
      </c>
      <c r="AB859" t="inlineStr"/>
      <c r="AC859" t="inlineStr"/>
    </row>
    <row r="860">
      <c r="A860" t="inlineStr">
        <is>
          <t>859</t>
        </is>
      </c>
      <c r="B860" t="inlineStr">
        <is>
          <t>Windshield Wiper Motor</t>
        </is>
      </c>
      <c r="C860" t="inlineStr">
        <is>
          <t>43-4306</t>
        </is>
      </c>
      <c r="D860" t="inlineStr">
        <is>
          <t>Windshield Wiper Motor - 43-4306</t>
        </is>
      </c>
      <c r="E860" t="inlineStr">
        <is>
          <t>CARDONE Reman</t>
        </is>
      </c>
      <c r="F860" t="inlineStr">
        <is>
          <t>288100W000</t>
        </is>
      </c>
      <c r="G860" t="inlineStr">
        <is>
          <t>INFINITI QX4 1997-1998</t>
        </is>
      </c>
      <c r="H860" t="inlineStr">
        <is>
          <t>INFINITI QX4 1997-1998 3.3L V6 3275cc</t>
        </is>
      </c>
      <c r="I860" t="inlineStr">
        <is>
          <t>{"0": {"productDeskExternalKey": "CPCX|43-4306"}, "1": {"Package Contents": "Wiper Motor; Instruction Sheet"}, "2": {"E-Waste": "Yes"}, "3": {"Product Condition": "Remanufactured"}, "4": {"Mounting Hole Quantity": "4"}, "5": {"Terminal Type": "Blade"}, "6": {"Mounting Type": "Grommet"}, "7": {"Weight PG": "2.9800"}, "8": {"Washer Pump Included": "No"}, "9": {"Part Type": "Windshield Wiper Motor"}, "10": {"Warranty Info": "1 Year/18,000 Mile"}, "11": {"Sustainable Choice": "Yes"}, "12": {"Lifecycle Status": "Available to Order"}, "13": {"Application Summary": "INFINITI QX4 1998-97; Nissan Pathfinder 1997-96"}, "14": {"ItemLevelGTIN": "00082617456067"}, "15": {"_addonCardone": "43-4306::98359:99102:292"}, "16": {"Eligible for R&amp;R Service": "Yes"}}</t>
        </is>
      </c>
      <c r="J860" t="inlineStr">
        <is>
          <t>https://www.cardone.com/product/windshield-wiper-motor-43-4306</t>
        </is>
      </c>
      <c r="K860">
        <f>DISPIMG("ID_2CAB1174A4D24C8BBDD7B89A47FBE112",1)</f>
        <v/>
      </c>
      <c r="L860" t="inlineStr">
        <is>
          <t>CPCX|43-4306</t>
        </is>
      </c>
      <c r="M860" t="inlineStr">
        <is>
          <t>Wiper Motor; Instruction Sheet</t>
        </is>
      </c>
      <c r="N860" t="inlineStr">
        <is>
          <t>Yes</t>
        </is>
      </c>
      <c r="O860" t="inlineStr">
        <is>
          <t>Remanufactured</t>
        </is>
      </c>
      <c r="P860" t="inlineStr">
        <is>
          <t>4</t>
        </is>
      </c>
      <c r="Q860" t="inlineStr">
        <is>
          <t>Blade</t>
        </is>
      </c>
      <c r="R860" t="inlineStr">
        <is>
          <t>Grommet</t>
        </is>
      </c>
      <c r="S860" t="inlineStr">
        <is>
          <t>2.9800</t>
        </is>
      </c>
      <c r="T860" t="inlineStr">
        <is>
          <t>No</t>
        </is>
      </c>
      <c r="U860" t="inlineStr">
        <is>
          <t>1 Year/18,000 Mile</t>
        </is>
      </c>
      <c r="V860" t="inlineStr">
        <is>
          <t>Yes</t>
        </is>
      </c>
      <c r="W860" t="inlineStr">
        <is>
          <t>Available to Order</t>
        </is>
      </c>
      <c r="X860" t="inlineStr">
        <is>
          <t>INFINITI QX4 1998-97; Nissan Pathfinder 1997-96</t>
        </is>
      </c>
      <c r="Y860" t="inlineStr">
        <is>
          <t>00082617456067</t>
        </is>
      </c>
      <c r="Z860" t="inlineStr">
        <is>
          <t>43-4306::98359:99102:292</t>
        </is>
      </c>
      <c r="AA860" t="inlineStr">
        <is>
          <t>Yes</t>
        </is>
      </c>
      <c r="AB860" t="inlineStr"/>
      <c r="AC860" t="inlineStr"/>
    </row>
    <row r="861">
      <c r="A861" t="inlineStr">
        <is>
          <t>860</t>
        </is>
      </c>
      <c r="B861" t="inlineStr">
        <is>
          <t>Windshield Wiper Motor</t>
        </is>
      </c>
      <c r="C861" t="inlineStr">
        <is>
          <t>43-4307</t>
        </is>
      </c>
      <c r="D861" t="inlineStr">
        <is>
          <t>Windshield Wiper Motor - 43-4307</t>
        </is>
      </c>
      <c r="E861" t="inlineStr">
        <is>
          <t>CARDONE Reman</t>
        </is>
      </c>
      <c r="F861" t="inlineStr">
        <is>
          <t>288109B000;288105B600</t>
        </is>
      </c>
      <c r="G861" t="inlineStr">
        <is>
          <t>Nissan Altima 1996-2000</t>
        </is>
      </c>
      <c r="H861" t="inlineStr">
        <is>
          <t>Nissan Altima 1996-2000 2.4L L4 2389cc</t>
        </is>
      </c>
      <c r="I861" t="inlineStr">
        <is>
          <t>{"0": {"productDeskExternalKey": "CPCX|43-4307"}, "1": {"Package Contents": "Wiper Motor; Instruction Sheet"}, "2": {"E-Waste": "Yes"}, "3": {"Product Condition": "Remanufactured"}, "4": {"Mounting Hole Quantity": "4"}, "5": {"Terminal Type": "Blade"}, "6": {"Mounting Type": "Grommet"}, "7": {"Weight PG": "2.6400"}, "8": {"Washer Pump Included": "No"}, "9": {"Part Type": "Windshield Wiper Motor"}, "10": {"Warranty Info": "1 Year/18,000 Mile"}, "11": {"Sustainable Choice": "Yes"}, "12": {"Lifecycle Status": "Available to Order"}, "13": {"Application Summary": "Nissan Altima 2001-96"}, "14": {"ItemLevelGTIN": "00082617456401"}, "15": {"_addonCardone": "43-4307::98359:99108:292"}, "16": {"Eligible for R&amp;R Service": "Yes"}}</t>
        </is>
      </c>
      <c r="J861" t="inlineStr">
        <is>
          <t>https://www.cardone.com/product/windshield-wiper-motor-43-4307</t>
        </is>
      </c>
      <c r="K861">
        <f>DISPIMG("ID_8649DE28BC27464A850A1EC40F6E765F",1)</f>
        <v/>
      </c>
      <c r="L861" t="inlineStr">
        <is>
          <t>CPCX|43-4307</t>
        </is>
      </c>
      <c r="M861" t="inlineStr">
        <is>
          <t>Wiper Motor; Instruction Sheet</t>
        </is>
      </c>
      <c r="N861" t="inlineStr">
        <is>
          <t>Yes</t>
        </is>
      </c>
      <c r="O861" t="inlineStr">
        <is>
          <t>Remanufactured</t>
        </is>
      </c>
      <c r="P861" t="inlineStr">
        <is>
          <t>4</t>
        </is>
      </c>
      <c r="Q861" t="inlineStr">
        <is>
          <t>Blade</t>
        </is>
      </c>
      <c r="R861" t="inlineStr">
        <is>
          <t>Grommet</t>
        </is>
      </c>
      <c r="S861" t="inlineStr">
        <is>
          <t>2.6400</t>
        </is>
      </c>
      <c r="T861" t="inlineStr">
        <is>
          <t>No</t>
        </is>
      </c>
      <c r="U861" t="inlineStr">
        <is>
          <t>1 Year/18,000 Mile</t>
        </is>
      </c>
      <c r="V861" t="inlineStr">
        <is>
          <t>Yes</t>
        </is>
      </c>
      <c r="W861" t="inlineStr">
        <is>
          <t>Available to Order</t>
        </is>
      </c>
      <c r="X861" t="inlineStr">
        <is>
          <t>Nissan Altima 2001-96</t>
        </is>
      </c>
      <c r="Y861" t="inlineStr">
        <is>
          <t>00082617456401</t>
        </is>
      </c>
      <c r="Z861" t="inlineStr">
        <is>
          <t>43-4307::98359:99108:292</t>
        </is>
      </c>
      <c r="AA861" t="inlineStr">
        <is>
          <t>Yes</t>
        </is>
      </c>
      <c r="AB861" t="inlineStr"/>
      <c r="AC861" t="inlineStr"/>
    </row>
    <row r="862">
      <c r="A862" t="inlineStr">
        <is>
          <t>861</t>
        </is>
      </c>
      <c r="B862" t="inlineStr">
        <is>
          <t>Windshield Wiper Motor</t>
        </is>
      </c>
      <c r="C862" t="inlineStr">
        <is>
          <t>43-4309</t>
        </is>
      </c>
      <c r="D862" t="inlineStr">
        <is>
          <t>Windshield Wiper Motor - 43-4309</t>
        </is>
      </c>
      <c r="E862" t="inlineStr">
        <is>
          <t>CARDONE Reman</t>
        </is>
      </c>
      <c r="F862" t="inlineStr">
        <is>
          <t>2881040U10</t>
        </is>
      </c>
      <c r="G862" t="inlineStr"/>
      <c r="H862" t="inlineStr"/>
      <c r="I862" t="inlineStr">
        <is>
          <t>{"0": {"productDeskExternalKey": "CPCX|43-4309"}, "1": {"Package Contents": "Wiper Motor; Instruction Sheet"}, "2": {"E-Waste": "Yes"}, "3": {"Product Condition": "Remanufactured"}, "4": {"Mounting Hole Quantity": "4"}, "5": {"Terminal Type": "Blade"}, "6": {"Mounting Type": "Grommet"}, "7": {"Weight PG": "3.1200"}, "8": {"Washer Pump Included": "No"}, "9": {"Part Type": "Windshield Wiper Motor"}, "10": {"Warranty Info": "1 Year/18,000 Mile"}, "11": {"Sustainable Choice": "Yes"}, "12": {"Lifecycle Status": "Available to Order"}, "13": {"Application Summary": "INFINITI I30 1999-96; Nissan Maxima 1999-95"}, "14": {"ItemLevelGTIN": "00082617457057"}, "15": {"_addonCardone": "43-4309::98359:99113:292"}, "16": {"Eligible for R&amp;R Service": "Yes"}}</t>
        </is>
      </c>
      <c r="J862" t="inlineStr">
        <is>
          <t>https://www.cardone.com/product/windshield-wiper-motor-43-4309</t>
        </is>
      </c>
      <c r="K862">
        <f>DISPIMG("ID_EE8C205B898B45B2ADC072B63A45F82D",1)</f>
        <v/>
      </c>
      <c r="L862" t="inlineStr">
        <is>
          <t>CPCX|43-4309</t>
        </is>
      </c>
      <c r="M862" t="inlineStr">
        <is>
          <t>Wiper Motor; Instruction Sheet</t>
        </is>
      </c>
      <c r="N862" t="inlineStr">
        <is>
          <t>Yes</t>
        </is>
      </c>
      <c r="O862" t="inlineStr">
        <is>
          <t>Remanufactured</t>
        </is>
      </c>
      <c r="P862" t="inlineStr">
        <is>
          <t>4</t>
        </is>
      </c>
      <c r="Q862" t="inlineStr">
        <is>
          <t>Blade</t>
        </is>
      </c>
      <c r="R862" t="inlineStr">
        <is>
          <t>Grommet</t>
        </is>
      </c>
      <c r="S862" t="inlineStr">
        <is>
          <t>3.1200</t>
        </is>
      </c>
      <c r="T862" t="inlineStr">
        <is>
          <t>No</t>
        </is>
      </c>
      <c r="U862" t="inlineStr">
        <is>
          <t>1 Year/18,000 Mile</t>
        </is>
      </c>
      <c r="V862" t="inlineStr">
        <is>
          <t>Yes</t>
        </is>
      </c>
      <c r="W862" t="inlineStr">
        <is>
          <t>Available to Order</t>
        </is>
      </c>
      <c r="X862" t="inlineStr">
        <is>
          <t>INFINITI I30 1999-96; Nissan Maxima 1999-95</t>
        </is>
      </c>
      <c r="Y862" t="inlineStr">
        <is>
          <t>00082617457057</t>
        </is>
      </c>
      <c r="Z862" t="inlineStr">
        <is>
          <t>43-4309::98359:99113:292</t>
        </is>
      </c>
      <c r="AA862" t="inlineStr">
        <is>
          <t>Yes</t>
        </is>
      </c>
      <c r="AB862" t="inlineStr"/>
      <c r="AC862" t="inlineStr"/>
    </row>
    <row r="863">
      <c r="A863" t="inlineStr">
        <is>
          <t>862</t>
        </is>
      </c>
      <c r="B863" t="inlineStr">
        <is>
          <t>Windshield Wiper Motor</t>
        </is>
      </c>
      <c r="C863" t="inlineStr">
        <is>
          <t>43-43102</t>
        </is>
      </c>
      <c r="D863" t="inlineStr">
        <is>
          <t>Windshield Wiper Motor - 43-43102</t>
        </is>
      </c>
      <c r="E863" t="inlineStr">
        <is>
          <t>CARDONE Reman</t>
        </is>
      </c>
      <c r="F863" t="inlineStr">
        <is>
          <t>2881000QAA</t>
        </is>
      </c>
      <c r="G863" t="inlineStr">
        <is>
          <t>Nissan Platina 2002-2010</t>
        </is>
      </c>
      <c r="H863" t="inlineStr">
        <is>
          <t>Nissan Platina 2002-2010 1.6L L4 98cid</t>
        </is>
      </c>
      <c r="I863" t="inlineStr">
        <is>
          <t>{"0": {"productDeskExternalKey": "CPCX|43-43102"}, "1": {"Package Contents": "Wiper Motor; Instruction Sheet"}, "2": {"E-Waste": "Yes"}, "3": {"Product Condition": "Remanufactured"}, "4": {"Mounting Hole Quantity": "3"}, "5": {"Terminal Type": "Blade"}, "6": {"Mounting Type": "Direct Bolt"}, "7": {"Washer Pump Included": "No"}, "8": {"Part Type": "Windshield Wiper Motor"}, "9": {"Warranty Info": "1 Year/18,000 Mile"}, "10": {"Sustainable Choice": "Yes"}, "11": {"Lifecycle Status": "Available to Order"}, "12": {"Application Summary": "Nissan Platina 2010-02"}, "13": {"Weight PG": "2.7000"}, "14": {"ItemLevelGTIN": "00884548028586"}, "15": {"_addonCardone": "43-43102::98359:99118:292"}, "16": {"Eligible for R&amp;R Service": "Yes"}}</t>
        </is>
      </c>
      <c r="J863" t="inlineStr">
        <is>
          <t>https://www.cardone.com/product/windshield-wiper-motor-43-43102</t>
        </is>
      </c>
      <c r="K863">
        <f>DISPIMG("ID_1530435494144FE180A3AE0F7A397E78",1)</f>
        <v/>
      </c>
      <c r="L863" t="inlineStr">
        <is>
          <t>CPCX|43-43102</t>
        </is>
      </c>
      <c r="M863" t="inlineStr">
        <is>
          <t>Wiper Motor; Instruction Sheet</t>
        </is>
      </c>
      <c r="N863" t="inlineStr">
        <is>
          <t>Yes</t>
        </is>
      </c>
      <c r="O863" t="inlineStr">
        <is>
          <t>Remanufactured</t>
        </is>
      </c>
      <c r="P863" t="inlineStr">
        <is>
          <t>3</t>
        </is>
      </c>
      <c r="Q863" t="inlineStr">
        <is>
          <t>Blade</t>
        </is>
      </c>
      <c r="R863" t="inlineStr">
        <is>
          <t>Direct Bolt</t>
        </is>
      </c>
      <c r="S863" t="inlineStr">
        <is>
          <t>2.7000</t>
        </is>
      </c>
      <c r="T863" t="inlineStr">
        <is>
          <t>No</t>
        </is>
      </c>
      <c r="U863" t="inlineStr">
        <is>
          <t>1 Year/18,000 Mile</t>
        </is>
      </c>
      <c r="V863" t="inlineStr">
        <is>
          <t>Yes</t>
        </is>
      </c>
      <c r="W863" t="inlineStr">
        <is>
          <t>Available to Order</t>
        </is>
      </c>
      <c r="X863" t="inlineStr">
        <is>
          <t>Nissan Platina 2010-02</t>
        </is>
      </c>
      <c r="Y863" t="inlineStr">
        <is>
          <t>00884548028586</t>
        </is>
      </c>
      <c r="Z863" t="inlineStr">
        <is>
          <t>43-43102::98359:99118:292</t>
        </is>
      </c>
      <c r="AA863" t="inlineStr">
        <is>
          <t>Yes</t>
        </is>
      </c>
      <c r="AB863" t="inlineStr"/>
      <c r="AC863" t="inlineStr"/>
    </row>
    <row r="864">
      <c r="A864" t="inlineStr">
        <is>
          <t>863</t>
        </is>
      </c>
      <c r="B864" t="inlineStr">
        <is>
          <t>Windshield Wiper Motor</t>
        </is>
      </c>
      <c r="C864" t="inlineStr">
        <is>
          <t>43-43103</t>
        </is>
      </c>
      <c r="D864" t="inlineStr">
        <is>
          <t>Windshield Wiper Motor - 43-43103</t>
        </is>
      </c>
      <c r="E864" t="inlineStr">
        <is>
          <t>CARDONE Reman</t>
        </is>
      </c>
      <c r="F864" t="inlineStr">
        <is>
          <t>288103NA0A</t>
        </is>
      </c>
      <c r="G864" t="inlineStr"/>
      <c r="H864" t="inlineStr"/>
      <c r="I864" t="inlineStr">
        <is>
          <t>{"0": {"productDeskExternalKey": "CPCX|43-43103"}, "1": {"E-Waste": "Yes"}, "2": {"Product Condition": "Remanufactured"}, "3": {"Weight PG": "3.0000"}, "4": {"Part Type": "Windshield Wiper Motor"}, "5": {"Warranty Info": "1 Year/18,000 Mile"}, "6": {"Sustainable Choice": "Yes"}, "7": {"Lifecycle Status": "Available to Order"}, "8": {"Application Summary": "Nissan LEAF 2013-11"}, "9": {"ItemLevelGTIN": "00884548028593"}, "10": {"_addonCardone": "43-43103::98359:99126:292"}, "11": {"Eligible for R&amp;R Service": "Yes"}}</t>
        </is>
      </c>
      <c r="J864" t="inlineStr">
        <is>
          <t>https://www.cardone.com/product/windshield-wiper-motor-43-43103</t>
        </is>
      </c>
      <c r="K864">
        <f>DISPIMG("ID_3285A4B07B084D338CDA1FFF975583D1",1)</f>
        <v/>
      </c>
      <c r="L864" t="inlineStr">
        <is>
          <t>CPCX|43-43103</t>
        </is>
      </c>
      <c r="M864" t="inlineStr"/>
      <c r="N864" t="inlineStr">
        <is>
          <t>Yes</t>
        </is>
      </c>
      <c r="O864" t="inlineStr">
        <is>
          <t>Remanufactured</t>
        </is>
      </c>
      <c r="P864" t="inlineStr"/>
      <c r="Q864" t="inlineStr"/>
      <c r="R864" t="inlineStr"/>
      <c r="S864" t="inlineStr">
        <is>
          <t>3.0000</t>
        </is>
      </c>
      <c r="T864" t="inlineStr"/>
      <c r="U864" t="inlineStr">
        <is>
          <t>1 Year/18,000 Mile</t>
        </is>
      </c>
      <c r="V864" t="inlineStr">
        <is>
          <t>Yes</t>
        </is>
      </c>
      <c r="W864" t="inlineStr">
        <is>
          <t>Available to Order</t>
        </is>
      </c>
      <c r="X864" t="inlineStr">
        <is>
          <t>Nissan LEAF 2013-11</t>
        </is>
      </c>
      <c r="Y864" t="inlineStr">
        <is>
          <t>00884548028593</t>
        </is>
      </c>
      <c r="Z864" t="inlineStr">
        <is>
          <t>43-43103::98359:99126:292</t>
        </is>
      </c>
      <c r="AA864" t="inlineStr">
        <is>
          <t>Yes</t>
        </is>
      </c>
      <c r="AB864" t="inlineStr"/>
      <c r="AC864" t="inlineStr"/>
    </row>
    <row r="865">
      <c r="A865" t="inlineStr">
        <is>
          <t>864</t>
        </is>
      </c>
      <c r="B865" t="inlineStr">
        <is>
          <t>Windshield Wiper Motor</t>
        </is>
      </c>
      <c r="C865" t="inlineStr">
        <is>
          <t>43-43106</t>
        </is>
      </c>
      <c r="D865" t="inlineStr">
        <is>
          <t>Windshield Wiper Motor - 43-43106</t>
        </is>
      </c>
      <c r="E865" t="inlineStr">
        <is>
          <t>CARDONE Reman</t>
        </is>
      </c>
      <c r="F865" t="inlineStr">
        <is>
          <t>288101KA0A</t>
        </is>
      </c>
      <c r="G865" t="inlineStr">
        <is>
          <t>Nissan Juke 2011</t>
        </is>
      </c>
      <c r="H865" t="inlineStr">
        <is>
          <t>Nissan Juke 2011 1.6L L4 1618cc</t>
        </is>
      </c>
      <c r="I865" t="inlineStr">
        <is>
          <t>{"0": {"productDeskExternalKey": "CPCX|43-43106"}, "1": {"E-Waste": "Yes"}, "2": {"Product Condition": "Remanufactured"}, "3": {"Weight PG": "3.0000"}, "4": {"Part Type": "Windshield Wiper Motor"}, "5": {"Warranty Info": "1 Year/18,000 Mile"}, "6": {"Sustainable Choice": "Yes"}, "7": {"Lifecycle Status": "Available to Order"}, "8": {"Application Summary": "Nissan Juke 2011"}, "9": {"ItemLevelGTIN": "00884548028623"}, "10": {"_addonCardone": "43-43106::98359:99133:292"}, "11": {"Eligible for R&amp;R Service": "Yes"}}</t>
        </is>
      </c>
      <c r="J865" t="inlineStr">
        <is>
          <t>https://www.cardone.com/product/windshield-wiper-motor-43-43106</t>
        </is>
      </c>
      <c r="K865">
        <f>DISPIMG("ID_77C26BFADC724666A49BC96FC1042275",1)</f>
        <v/>
      </c>
      <c r="L865" t="inlineStr">
        <is>
          <t>CPCX|43-43106</t>
        </is>
      </c>
      <c r="M865" t="inlineStr"/>
      <c r="N865" t="inlineStr">
        <is>
          <t>Yes</t>
        </is>
      </c>
      <c r="O865" t="inlineStr">
        <is>
          <t>Remanufactured</t>
        </is>
      </c>
      <c r="P865" t="inlineStr"/>
      <c r="Q865" t="inlineStr"/>
      <c r="R865" t="inlineStr"/>
      <c r="S865" t="inlineStr">
        <is>
          <t>3.0000</t>
        </is>
      </c>
      <c r="T865" t="inlineStr"/>
      <c r="U865" t="inlineStr">
        <is>
          <t>1 Year/18,000 Mile</t>
        </is>
      </c>
      <c r="V865" t="inlineStr">
        <is>
          <t>Yes</t>
        </is>
      </c>
      <c r="W865" t="inlineStr">
        <is>
          <t>Available to Order</t>
        </is>
      </c>
      <c r="X865" t="inlineStr">
        <is>
          <t>Nissan Juke 2011</t>
        </is>
      </c>
      <c r="Y865" t="inlineStr">
        <is>
          <t>00884548028623</t>
        </is>
      </c>
      <c r="Z865" t="inlineStr">
        <is>
          <t>43-43106::98359:99133:292</t>
        </is>
      </c>
      <c r="AA865" t="inlineStr">
        <is>
          <t>Yes</t>
        </is>
      </c>
      <c r="AB865" t="inlineStr"/>
      <c r="AC865" t="inlineStr"/>
    </row>
    <row r="866">
      <c r="A866" t="inlineStr">
        <is>
          <t>865</t>
        </is>
      </c>
      <c r="B866" t="inlineStr">
        <is>
          <t>Windshield Wiper Motor</t>
        </is>
      </c>
      <c r="C866" t="inlineStr">
        <is>
          <t>43-43107</t>
        </is>
      </c>
      <c r="D866" t="inlineStr">
        <is>
          <t>Windshield Wiper Motor - 43-43107</t>
        </is>
      </c>
      <c r="E866" t="inlineStr">
        <is>
          <t>CARDONE Reman</t>
        </is>
      </c>
      <c r="F866" t="inlineStr">
        <is>
          <t>287101KA0A</t>
        </is>
      </c>
      <c r="G866" t="inlineStr"/>
      <c r="H866" t="inlineStr"/>
      <c r="I866" t="inlineStr">
        <is>
          <t>{"0": {"productDeskExternalKey": "CPCX|43-43107"}, "1": {"E-Waste": "Yes"}, "2": {"Product Condition": "Remanufactured"}, "3": {"Weight PG": "2.4000"}, "4": {"Part Type": "Windshield Wiper Motor"}, "5": {"Warranty Info": "1 Year/18,000 Mile"}, "6": {"Sustainable Choice": "Yes"}, "7": {"Lifecycle Status": "Available to Order"}, "8": {"Application Summary": "Nissan Juke 2017-11"}, "9": {"ItemLevelGTIN": "00884548028630"}, "10": {"_addonCardone": "43-43107::98359:99139:292"}, "11": {"Eligible for R&amp;R Service": "Yes"}}</t>
        </is>
      </c>
      <c r="J866" t="inlineStr">
        <is>
          <t>https://www.cardone.com/product/windshield-wiper-motor-43-43107</t>
        </is>
      </c>
      <c r="K866">
        <f>DISPIMG("ID_BE04A289EAE14E739B6D7A562E0E519F",1)</f>
        <v/>
      </c>
      <c r="L866" t="inlineStr">
        <is>
          <t>CPCX|43-43107</t>
        </is>
      </c>
      <c r="M866" t="inlineStr"/>
      <c r="N866" t="inlineStr">
        <is>
          <t>Yes</t>
        </is>
      </c>
      <c r="O866" t="inlineStr">
        <is>
          <t>Remanufactured</t>
        </is>
      </c>
      <c r="P866" t="inlineStr"/>
      <c r="Q866" t="inlineStr"/>
      <c r="R866" t="inlineStr"/>
      <c r="S866" t="inlineStr">
        <is>
          <t>2.4000</t>
        </is>
      </c>
      <c r="T866" t="inlineStr"/>
      <c r="U866" t="inlineStr">
        <is>
          <t>1 Year/18,000 Mile</t>
        </is>
      </c>
      <c r="V866" t="inlineStr">
        <is>
          <t>Yes</t>
        </is>
      </c>
      <c r="W866" t="inlineStr">
        <is>
          <t>Available to Order</t>
        </is>
      </c>
      <c r="X866" t="inlineStr">
        <is>
          <t>Nissan Juke 2017-11</t>
        </is>
      </c>
      <c r="Y866" t="inlineStr">
        <is>
          <t>00884548028630</t>
        </is>
      </c>
      <c r="Z866" t="inlineStr">
        <is>
          <t>43-43107::98359:99139:292</t>
        </is>
      </c>
      <c r="AA866" t="inlineStr">
        <is>
          <t>Yes</t>
        </is>
      </c>
      <c r="AB866" t="inlineStr"/>
      <c r="AC866" t="inlineStr"/>
    </row>
    <row r="867">
      <c r="A867" t="inlineStr">
        <is>
          <t>866</t>
        </is>
      </c>
      <c r="B867" t="inlineStr">
        <is>
          <t>Windshield Wiper Motor</t>
        </is>
      </c>
      <c r="C867" t="inlineStr">
        <is>
          <t>43-43109</t>
        </is>
      </c>
      <c r="D867" t="inlineStr">
        <is>
          <t>Windshield Wiper Motor - 43-43109</t>
        </is>
      </c>
      <c r="E867" t="inlineStr">
        <is>
          <t>CARDONE Reman</t>
        </is>
      </c>
      <c r="F867" t="inlineStr">
        <is>
          <t>287101JA0A</t>
        </is>
      </c>
      <c r="G867" t="inlineStr">
        <is>
          <t>Nissan Quest 2011-2013</t>
        </is>
      </c>
      <c r="H867" t="inlineStr">
        <is>
          <t>Nissan Quest 2011-2013 3.5L V6 3498cc</t>
        </is>
      </c>
      <c r="I867" t="inlineStr">
        <is>
          <t>{"0": {"productDeskExternalKey": "CPCX|43-43109"}, "1": {"E-Waste": "Yes"}, "2": {"Product Condition": "Remanufactured"}, "3": {"Weight PG": "3.0000"}, "4": {"Part Type": "Windshield Wiper Motor"}, "5": {"Warranty Info": "1 Year/18,000 Mile"}, "6": {"Sustainable Choice": "Yes"}, "7": {"Lifecycle Status": "Available to Order"}, "8": {"Application Summary": "Nissan Quest 2013-11"}, "9": {"ItemLevelGTIN": "00884548028654"}, "10": {"_addonCardone": "43-43109::98359:99147:292"}, "11": {"Eligible for R&amp;R Service": "Yes"}}</t>
        </is>
      </c>
      <c r="J867" t="inlineStr">
        <is>
          <t>https://www.cardone.com/product/windshield-wiper-motor-43-43109</t>
        </is>
      </c>
      <c r="K867">
        <f>DISPIMG("ID_B84EA557F5504DBA953D4235375032FD",1)</f>
        <v/>
      </c>
      <c r="L867" t="inlineStr">
        <is>
          <t>CPCX|43-43109</t>
        </is>
      </c>
      <c r="M867" t="inlineStr"/>
      <c r="N867" t="inlineStr">
        <is>
          <t>Yes</t>
        </is>
      </c>
      <c r="O867" t="inlineStr">
        <is>
          <t>Remanufactured</t>
        </is>
      </c>
      <c r="P867" t="inlineStr"/>
      <c r="Q867" t="inlineStr"/>
      <c r="R867" t="inlineStr"/>
      <c r="S867" t="inlineStr">
        <is>
          <t>3.0000</t>
        </is>
      </c>
      <c r="T867" t="inlineStr"/>
      <c r="U867" t="inlineStr">
        <is>
          <t>1 Year/18,000 Mile</t>
        </is>
      </c>
      <c r="V867" t="inlineStr">
        <is>
          <t>Yes</t>
        </is>
      </c>
      <c r="W867" t="inlineStr">
        <is>
          <t>Available to Order</t>
        </is>
      </c>
      <c r="X867" t="inlineStr">
        <is>
          <t>Nissan Quest 2013-11</t>
        </is>
      </c>
      <c r="Y867" t="inlineStr">
        <is>
          <t>00884548028654</t>
        </is>
      </c>
      <c r="Z867" t="inlineStr">
        <is>
          <t>43-43109::98359:99147:292</t>
        </is>
      </c>
      <c r="AA867" t="inlineStr">
        <is>
          <t>Yes</t>
        </is>
      </c>
      <c r="AB867" t="inlineStr"/>
      <c r="AC867" t="inlineStr"/>
    </row>
    <row r="868">
      <c r="A868" t="inlineStr">
        <is>
          <t>867</t>
        </is>
      </c>
      <c r="B868" t="inlineStr">
        <is>
          <t>Windshield Wiper Motor</t>
        </is>
      </c>
      <c r="C868" t="inlineStr">
        <is>
          <t>43-4311</t>
        </is>
      </c>
      <c r="D868" t="inlineStr">
        <is>
          <t>Windshield Wiper Motor - 43-4311</t>
        </is>
      </c>
      <c r="E868" t="inlineStr">
        <is>
          <t>CARDONE Reman</t>
        </is>
      </c>
      <c r="F868" t="inlineStr">
        <is>
          <t>288102B500</t>
        </is>
      </c>
      <c r="G868" t="inlineStr"/>
      <c r="H868" t="inlineStr"/>
      <c r="I868" t="inlineStr">
        <is>
          <t>{"0": {"productDeskExternalKey": "CPCX|43-4311"}, "1": {"Package Contents": "Wiper Motor; Instruction Sheet"}, "2": {"E-Waste": "Yes"}, "3": {"Product Condition": "Remanufactured"}, "4": {"Mounting Hole Quantity": "4"}, "5": {"Terminal Type": "Blade"}, "6": {"Mounting Type": "Grommet"}, "7": {"Weight PG": "2.8000"}, "8": {"Washer Pump Included": "No"}, "9": {"Part Type": "Windshield Wiper Motor"}, "10": {"Warranty Info": "1 Year/18,000 Mile"}, "11": {"Sustainable Choice": "Yes"}, "12": {"Lifecycle Status": "Available to Order"}, "13": {"Application Summary": "Nissan Altima 1996-95"}, "14": {"ItemLevelGTIN": "00082617457088"}, "15": {"_addonCardone": "43-4311::98359:99156:292"}, "16": {"Eligible for R&amp;R Service": "Yes"}}</t>
        </is>
      </c>
      <c r="J868" t="inlineStr">
        <is>
          <t>https://www.cardone.com/product/windshield-wiper-motor-43-4311</t>
        </is>
      </c>
      <c r="K868">
        <f>DISPIMG("ID_EF2A066B178547DB8861DD790ACD752C",1)</f>
        <v/>
      </c>
      <c r="L868" t="inlineStr">
        <is>
          <t>CPCX|43-4311</t>
        </is>
      </c>
      <c r="M868" t="inlineStr">
        <is>
          <t>Wiper Motor; Instruction Sheet</t>
        </is>
      </c>
      <c r="N868" t="inlineStr">
        <is>
          <t>Yes</t>
        </is>
      </c>
      <c r="O868" t="inlineStr">
        <is>
          <t>Remanufactured</t>
        </is>
      </c>
      <c r="P868" t="inlineStr">
        <is>
          <t>4</t>
        </is>
      </c>
      <c r="Q868" t="inlineStr">
        <is>
          <t>Blade</t>
        </is>
      </c>
      <c r="R868" t="inlineStr">
        <is>
          <t>Grommet</t>
        </is>
      </c>
      <c r="S868" t="inlineStr">
        <is>
          <t>2.8000</t>
        </is>
      </c>
      <c r="T868" t="inlineStr">
        <is>
          <t>No</t>
        </is>
      </c>
      <c r="U868" t="inlineStr">
        <is>
          <t>1 Year/18,000 Mile</t>
        </is>
      </c>
      <c r="V868" t="inlineStr">
        <is>
          <t>Yes</t>
        </is>
      </c>
      <c r="W868" t="inlineStr">
        <is>
          <t>Available to Order</t>
        </is>
      </c>
      <c r="X868" t="inlineStr">
        <is>
          <t>Nissan Altima 1996-95</t>
        </is>
      </c>
      <c r="Y868" t="inlineStr">
        <is>
          <t>00082617457088</t>
        </is>
      </c>
      <c r="Z868" t="inlineStr">
        <is>
          <t>43-4311::98359:99156:292</t>
        </is>
      </c>
      <c r="AA868" t="inlineStr">
        <is>
          <t>Yes</t>
        </is>
      </c>
      <c r="AB868" t="inlineStr"/>
      <c r="AC868" t="inlineStr"/>
    </row>
    <row r="869">
      <c r="A869" t="inlineStr">
        <is>
          <t>868</t>
        </is>
      </c>
      <c r="B869" t="inlineStr">
        <is>
          <t>Windshield Wiper Motor</t>
        </is>
      </c>
      <c r="C869" t="inlineStr">
        <is>
          <t>43-43111</t>
        </is>
      </c>
      <c r="D869" t="inlineStr">
        <is>
          <t>Windshield Wiper Motor - 43-43111</t>
        </is>
      </c>
      <c r="E869" t="inlineStr">
        <is>
          <t>CARDONE Reman</t>
        </is>
      </c>
      <c r="F869" t="inlineStr">
        <is>
          <t>28710BM415</t>
        </is>
      </c>
      <c r="G869" t="inlineStr">
        <is>
          <t>Nissan Almera 2004-2005</t>
        </is>
      </c>
      <c r="H869" t="inlineStr">
        <is>
          <t>Nissan Almera 2004-2005 1.8L L4 1769cc</t>
        </is>
      </c>
      <c r="I869" t="inlineStr">
        <is>
          <t>{"0": {"productDeskExternalKey": "CPCX|43-43111"}, "1": {"E-Waste": "Yes"}, "2": {"Product Condition": "Remanufactured"}, "3": {"Weight PG": "1.5000"}, "4": {"Part Type": "Windshield Wiper Motor"}, "5": {"Warranty Info": "1 Year/18,000 Mile"}, "6": {"Sustainable Choice": "Yes"}, "7": {"Lifecycle Status": "Available to Order"}, "8": {"Application Summary": "Nissan Almera 2005-04"}, "9": {"ItemLevelGTIN": "00884548068742"}, "10": {"_addonCardone": "43-43111::98359:99164:292"}, "11": {"Eligible for R&amp;R Service": "Yes"}}</t>
        </is>
      </c>
      <c r="J869" t="inlineStr">
        <is>
          <t>https://www.cardone.com/product/windshield-wiper-motor-43-43111</t>
        </is>
      </c>
      <c r="K869">
        <f>DISPIMG("ID_1E76D51F035A49B6B4765C748EBB1AAD",1)</f>
        <v/>
      </c>
      <c r="L869" t="inlineStr">
        <is>
          <t>CPCX|43-43111</t>
        </is>
      </c>
      <c r="M869" t="inlineStr"/>
      <c r="N869" t="inlineStr">
        <is>
          <t>Yes</t>
        </is>
      </c>
      <c r="O869" t="inlineStr">
        <is>
          <t>Remanufactured</t>
        </is>
      </c>
      <c r="P869" t="inlineStr"/>
      <c r="Q869" t="inlineStr"/>
      <c r="R869" t="inlineStr"/>
      <c r="S869" t="inlineStr">
        <is>
          <t>1.5000</t>
        </is>
      </c>
      <c r="T869" t="inlineStr"/>
      <c r="U869" t="inlineStr">
        <is>
          <t>1 Year/18,000 Mile</t>
        </is>
      </c>
      <c r="V869" t="inlineStr">
        <is>
          <t>Yes</t>
        </is>
      </c>
      <c r="W869" t="inlineStr">
        <is>
          <t>Available to Order</t>
        </is>
      </c>
      <c r="X869" t="inlineStr">
        <is>
          <t>Nissan Almera 2005-04</t>
        </is>
      </c>
      <c r="Y869" t="inlineStr">
        <is>
          <t>00884548068742</t>
        </is>
      </c>
      <c r="Z869" t="inlineStr">
        <is>
          <t>43-43111::98359:99164:292</t>
        </is>
      </c>
      <c r="AA869" t="inlineStr">
        <is>
          <t>Yes</t>
        </is>
      </c>
      <c r="AB869" t="inlineStr"/>
      <c r="AC869" t="inlineStr"/>
    </row>
    <row r="870">
      <c r="A870" t="inlineStr">
        <is>
          <t>869</t>
        </is>
      </c>
      <c r="B870" t="inlineStr">
        <is>
          <t>Windshield Wiper Motor</t>
        </is>
      </c>
      <c r="C870" t="inlineStr">
        <is>
          <t>43-43112</t>
        </is>
      </c>
      <c r="D870" t="inlineStr">
        <is>
          <t>Windshield Wiper Motor - 43-43112</t>
        </is>
      </c>
      <c r="E870" t="inlineStr">
        <is>
          <t>CARDONE Reman</t>
        </is>
      </c>
      <c r="F870" t="inlineStr">
        <is>
          <t>28810AX700</t>
        </is>
      </c>
      <c r="G870" t="inlineStr"/>
      <c r="H870" t="inlineStr"/>
      <c r="I870" t="inlineStr">
        <is>
          <t>{"0": {"productDeskExternalKey": "CPCX|43-43112"}, "1": {"E-Waste": "Yes"}, "2": {"Product Condition": "Remanufactured"}, "3": {"Weight PG": "1.5000"}, "4": {"Part Type": "Windshield Wiper Motor"}, "5": {"Warranty Info": "1 Year/18,000 Mile"}, "6": {"Sustainable Choice": "Yes"}, "7": {"Lifecycle Status": "Available to Order"}, "8": {"Application Summary": "Nissan Micra 2006-05"}, "9": {"ItemLevelGTIN": "00884548068759"}, "10": {"_addonCardone": "43-43112::98359:99170:292"}, "11": {"Eligible for R&amp;R Service": "Yes"}}</t>
        </is>
      </c>
      <c r="J870" t="inlineStr">
        <is>
          <t>https://www.cardone.com/product/windshield-wiper-motor-43-43112</t>
        </is>
      </c>
      <c r="K870">
        <f>DISPIMG("ID_41F1F7DB3AB941D4B6786D0A6A2678C6",1)</f>
        <v/>
      </c>
      <c r="L870" t="inlineStr">
        <is>
          <t>CPCX|43-43112</t>
        </is>
      </c>
      <c r="M870" t="inlineStr"/>
      <c r="N870" t="inlineStr">
        <is>
          <t>Yes</t>
        </is>
      </c>
      <c r="O870" t="inlineStr">
        <is>
          <t>Remanufactured</t>
        </is>
      </c>
      <c r="P870" t="inlineStr"/>
      <c r="Q870" t="inlineStr"/>
      <c r="R870" t="inlineStr"/>
      <c r="S870" t="inlineStr">
        <is>
          <t>1.5000</t>
        </is>
      </c>
      <c r="T870" t="inlineStr"/>
      <c r="U870" t="inlineStr">
        <is>
          <t>1 Year/18,000 Mile</t>
        </is>
      </c>
      <c r="V870" t="inlineStr">
        <is>
          <t>Yes</t>
        </is>
      </c>
      <c r="W870" t="inlineStr">
        <is>
          <t>Available to Order</t>
        </is>
      </c>
      <c r="X870" t="inlineStr">
        <is>
          <t>Nissan Micra 2006-05</t>
        </is>
      </c>
      <c r="Y870" t="inlineStr">
        <is>
          <t>00884548068759</t>
        </is>
      </c>
      <c r="Z870" t="inlineStr">
        <is>
          <t>43-43112::98359:99170:292</t>
        </is>
      </c>
      <c r="AA870" t="inlineStr">
        <is>
          <t>Yes</t>
        </is>
      </c>
      <c r="AB870" t="inlineStr"/>
      <c r="AC870" t="inlineStr"/>
    </row>
    <row r="871">
      <c r="A871" t="inlineStr">
        <is>
          <t>870</t>
        </is>
      </c>
      <c r="B871" t="inlineStr">
        <is>
          <t>Windshield Wiper Motor</t>
        </is>
      </c>
      <c r="C871" t="inlineStr">
        <is>
          <t>43-43113</t>
        </is>
      </c>
      <c r="D871" t="inlineStr">
        <is>
          <t>Windshield Wiper Motor - 43-43113</t>
        </is>
      </c>
      <c r="E871" t="inlineStr">
        <is>
          <t>CARDONE Reman</t>
        </is>
      </c>
      <c r="F871" t="inlineStr">
        <is>
          <t>28710AX600</t>
        </is>
      </c>
      <c r="G871" t="inlineStr"/>
      <c r="H871" t="inlineStr"/>
      <c r="I871" t="inlineStr">
        <is>
          <t>{"0": {"productDeskExternalKey": "CPCX|43-43113"}, "1": {"E-Waste": "Yes"}, "2": {"Product Condition": "Remanufactured"}, "3": {"Weight PG": "1.5000"}, "4": {"Part Type": "Windshield Wiper Motor"}, "5": {"Warranty Info": "1 Year/18,000 Mile"}, "6": {"Sustainable Choice": "Yes"}, "7": {"Lifecycle Status": "Available to Order"}, "8": {"Application Summary": "Nissan Micra 2006-05"}, "9": {"ItemLevelGTIN": "00884548068766"}, "10": {"_addonCardone": "43-43113::98359:99178:292"}, "11": {"Eligible for R&amp;R Service": "Yes"}}</t>
        </is>
      </c>
      <c r="J871" t="inlineStr">
        <is>
          <t>https://www.cardone.com/product/windshield-wiper-motor-43-43113</t>
        </is>
      </c>
      <c r="K871">
        <f>DISPIMG("ID_D0CE70052B494DFCA1DB14B4BC7790F1",1)</f>
        <v/>
      </c>
      <c r="L871" t="inlineStr">
        <is>
          <t>CPCX|43-43113</t>
        </is>
      </c>
      <c r="M871" t="inlineStr"/>
      <c r="N871" t="inlineStr">
        <is>
          <t>Yes</t>
        </is>
      </c>
      <c r="O871" t="inlineStr">
        <is>
          <t>Remanufactured</t>
        </is>
      </c>
      <c r="P871" t="inlineStr"/>
      <c r="Q871" t="inlineStr"/>
      <c r="R871" t="inlineStr"/>
      <c r="S871" t="inlineStr">
        <is>
          <t>1.5000</t>
        </is>
      </c>
      <c r="T871" t="inlineStr"/>
      <c r="U871" t="inlineStr">
        <is>
          <t>1 Year/18,000 Mile</t>
        </is>
      </c>
      <c r="V871" t="inlineStr">
        <is>
          <t>Yes</t>
        </is>
      </c>
      <c r="W871" t="inlineStr">
        <is>
          <t>Available to Order</t>
        </is>
      </c>
      <c r="X871" t="inlineStr">
        <is>
          <t>Nissan Micra 2006-05</t>
        </is>
      </c>
      <c r="Y871" t="inlineStr">
        <is>
          <t>00884548068766</t>
        </is>
      </c>
      <c r="Z871" t="inlineStr">
        <is>
          <t>43-43113::98359:99178:292</t>
        </is>
      </c>
      <c r="AA871" t="inlineStr">
        <is>
          <t>Yes</t>
        </is>
      </c>
      <c r="AB871" t="inlineStr"/>
      <c r="AC871" t="inlineStr"/>
    </row>
    <row r="872">
      <c r="A872" t="inlineStr">
        <is>
          <t>871</t>
        </is>
      </c>
      <c r="B872" t="inlineStr">
        <is>
          <t>Windshield Wiper Motor</t>
        </is>
      </c>
      <c r="C872" t="inlineStr">
        <is>
          <t>43-43114</t>
        </is>
      </c>
      <c r="D872" t="inlineStr">
        <is>
          <t>Windshield Wiper Motor - 43-43114</t>
        </is>
      </c>
      <c r="E872" t="inlineStr">
        <is>
          <t>CARDONE Reman</t>
        </is>
      </c>
      <c r="F872" t="inlineStr">
        <is>
          <t>28815ED500</t>
        </is>
      </c>
      <c r="G872" t="inlineStr">
        <is>
          <t>Nissan Tiida 2007</t>
        </is>
      </c>
      <c r="H872" t="inlineStr">
        <is>
          <t>Nissan Tiida 2007 1.8L L4 1798cc</t>
        </is>
      </c>
      <c r="I872" t="inlineStr">
        <is>
          <t>{"0": {"productDeskExternalKey": "CPCX|43-43114"}, "1": {"E-Waste": "Yes"}, "2": {"Product Condition": "Remanufactured"}, "3": {"Weight PG": "1.5000"}, "4": {"Part Type": "Windshield Wiper Motor"}, "5": {"Warranty Info": "1 Year/18,000 Mile"}, "6": {"Sustainable Choice": "Yes"}, "7": {"Lifecycle Status": "Available to Order"}, "8": {"Application Summary": "Nissan Tiida 2007"}, "9": {"ItemLevelGTIN": "00884548068773"}, "10": {"_addonCardone": "43-43114::98359:99187:292"}, "11": {"Eligible for R&amp;R Service": "Yes"}}</t>
        </is>
      </c>
      <c r="J872" t="inlineStr">
        <is>
          <t>https://www.cardone.com/product/windshield-wiper-motor-43-43114</t>
        </is>
      </c>
      <c r="K872">
        <f>DISPIMG("ID_F0D15C12472045E5862F7D547B19309C",1)</f>
        <v/>
      </c>
      <c r="L872" t="inlineStr">
        <is>
          <t>CPCX|43-43114</t>
        </is>
      </c>
      <c r="M872" t="inlineStr"/>
      <c r="N872" t="inlineStr">
        <is>
          <t>Yes</t>
        </is>
      </c>
      <c r="O872" t="inlineStr">
        <is>
          <t>Remanufactured</t>
        </is>
      </c>
      <c r="P872" t="inlineStr"/>
      <c r="Q872" t="inlineStr"/>
      <c r="R872" t="inlineStr"/>
      <c r="S872" t="inlineStr">
        <is>
          <t>1.5000</t>
        </is>
      </c>
      <c r="T872" t="inlineStr"/>
      <c r="U872" t="inlineStr">
        <is>
          <t>1 Year/18,000 Mile</t>
        </is>
      </c>
      <c r="V872" t="inlineStr">
        <is>
          <t>Yes</t>
        </is>
      </c>
      <c r="W872" t="inlineStr">
        <is>
          <t>Available to Order</t>
        </is>
      </c>
      <c r="X872" t="inlineStr">
        <is>
          <t>Nissan Tiida 2007</t>
        </is>
      </c>
      <c r="Y872" t="inlineStr">
        <is>
          <t>00884548068773</t>
        </is>
      </c>
      <c r="Z872" t="inlineStr">
        <is>
          <t>43-43114::98359:99187:292</t>
        </is>
      </c>
      <c r="AA872" t="inlineStr">
        <is>
          <t>Yes</t>
        </is>
      </c>
      <c r="AB872" t="inlineStr"/>
      <c r="AC872" t="inlineStr"/>
    </row>
    <row r="873">
      <c r="A873" t="inlineStr">
        <is>
          <t>872</t>
        </is>
      </c>
      <c r="B873" t="inlineStr">
        <is>
          <t>Windshield Wiper Motor</t>
        </is>
      </c>
      <c r="C873" t="inlineStr">
        <is>
          <t>43-43115</t>
        </is>
      </c>
      <c r="D873" t="inlineStr">
        <is>
          <t>Windshield Wiper Motor - 43-43115</t>
        </is>
      </c>
      <c r="E873" t="inlineStr">
        <is>
          <t>CARDONE Reman</t>
        </is>
      </c>
      <c r="F873" t="inlineStr">
        <is>
          <t>288108H300</t>
        </is>
      </c>
      <c r="G873" t="inlineStr">
        <is>
          <t>Nissan X-Trail 2002-2004</t>
        </is>
      </c>
      <c r="H873" t="inlineStr">
        <is>
          <t>Nissan X-Trail 2002-2004 2.5L L4 152cid</t>
        </is>
      </c>
      <c r="I873" t="inlineStr">
        <is>
          <t>{"0": {"productDeskExternalKey": "CPCX|43-43115"}, "1": {"E-Waste": "Yes"}, "2": {"Product Condition": "Remanufactured"}, "3": {"Weight PG": "1.5000"}, "4": {"Part Type": "Windshield Wiper Motor"}, "5": {"Warranty Info": "1 Year/18,000 Mile"}, "6": {"Sustainable Choice": "Yes"}, "7": {"Lifecycle Status": "Available to Order"}, "8": {"Application Summary": "Nissan X-Trail 2004-02"}, "9": {"ItemLevelGTIN": "00884548068780"}, "10": {"_addonCardone": "43-43115::98359:99192:292"}, "11": {"Eligible for R&amp;R Service": "Yes"}}</t>
        </is>
      </c>
      <c r="J873" t="inlineStr">
        <is>
          <t>https://www.cardone.com/product/windshield-wiper-motor-43-43115</t>
        </is>
      </c>
      <c r="K873">
        <f>DISPIMG("ID_8FFB97DB65144F8B8A73A4E2869FD130",1)</f>
        <v/>
      </c>
      <c r="L873" t="inlineStr">
        <is>
          <t>CPCX|43-43115</t>
        </is>
      </c>
      <c r="M873" t="inlineStr"/>
      <c r="N873" t="inlineStr">
        <is>
          <t>Yes</t>
        </is>
      </c>
      <c r="O873" t="inlineStr">
        <is>
          <t>Remanufactured</t>
        </is>
      </c>
      <c r="P873" t="inlineStr"/>
      <c r="Q873" t="inlineStr"/>
      <c r="R873" t="inlineStr"/>
      <c r="S873" t="inlineStr">
        <is>
          <t>1.5000</t>
        </is>
      </c>
      <c r="T873" t="inlineStr"/>
      <c r="U873" t="inlineStr">
        <is>
          <t>1 Year/18,000 Mile</t>
        </is>
      </c>
      <c r="V873" t="inlineStr">
        <is>
          <t>Yes</t>
        </is>
      </c>
      <c r="W873" t="inlineStr">
        <is>
          <t>Available to Order</t>
        </is>
      </c>
      <c r="X873" t="inlineStr">
        <is>
          <t>Nissan X-Trail 2004-02</t>
        </is>
      </c>
      <c r="Y873" t="inlineStr">
        <is>
          <t>00884548068780</t>
        </is>
      </c>
      <c r="Z873" t="inlineStr">
        <is>
          <t>43-43115::98359:99192:292</t>
        </is>
      </c>
      <c r="AA873" t="inlineStr">
        <is>
          <t>Yes</t>
        </is>
      </c>
      <c r="AB873" t="inlineStr"/>
      <c r="AC873" t="inlineStr"/>
    </row>
    <row r="874">
      <c r="A874" t="inlineStr">
        <is>
          <t>873</t>
        </is>
      </c>
      <c r="B874" t="inlineStr">
        <is>
          <t>Windshield Wiper Motor</t>
        </is>
      </c>
      <c r="C874" t="inlineStr">
        <is>
          <t>43-43116</t>
        </is>
      </c>
      <c r="D874" t="inlineStr">
        <is>
          <t>Windshield Wiper Motor - 43-43116</t>
        </is>
      </c>
      <c r="E874" t="inlineStr">
        <is>
          <t>CARDONE Reman</t>
        </is>
      </c>
      <c r="F874" t="inlineStr">
        <is>
          <t>28810EQ300</t>
        </is>
      </c>
      <c r="G874" t="inlineStr">
        <is>
          <t>Nissan X-Trail 2005-2007</t>
        </is>
      </c>
      <c r="H874" t="inlineStr">
        <is>
          <t>Nissan X-Trail 2005-2007 2.5L L4 152cid</t>
        </is>
      </c>
      <c r="I874" t="inlineStr">
        <is>
          <t>{"0": {"productDeskExternalKey": "CPCX|43-43116"}, "1": {"E-Waste": "Yes"}, "2": {"Product Condition": "Remanufactured"}, "3": {"Weight PG": "2.5000"}, "4": {"Part Type": "Windshield Wiper Motor"}, "5": {"Warranty Info": "1 Year/18,000 Mile"}, "6": {"Sustainable Choice": "Yes"}, "7": {"Lifecycle Status": "Available to Order"}, "8": {"Application Summary": "Nissan X-Trail 2007-05"}, "9": {"ItemLevelGTIN": "00884548068797"}, "10": {"_addonCardone": "43-43116::98359:99199:292"}, "11": {"Eligible for R&amp;R Service": "Yes"}}</t>
        </is>
      </c>
      <c r="J874" t="inlineStr">
        <is>
          <t>https://www.cardone.com/product/windshield-wiper-motor-43-43116</t>
        </is>
      </c>
      <c r="K874">
        <f>DISPIMG("ID_2F7148B4131A4CC3BFCCC637EA40469B",1)</f>
        <v/>
      </c>
      <c r="L874" t="inlineStr">
        <is>
          <t>CPCX|43-43116</t>
        </is>
      </c>
      <c r="M874" t="inlineStr"/>
      <c r="N874" t="inlineStr">
        <is>
          <t>Yes</t>
        </is>
      </c>
      <c r="O874" t="inlineStr">
        <is>
          <t>Remanufactured</t>
        </is>
      </c>
      <c r="P874" t="inlineStr"/>
      <c r="Q874" t="inlineStr"/>
      <c r="R874" t="inlineStr"/>
      <c r="S874" t="inlineStr">
        <is>
          <t>2.5000</t>
        </is>
      </c>
      <c r="T874" t="inlineStr"/>
      <c r="U874" t="inlineStr">
        <is>
          <t>1 Year/18,000 Mile</t>
        </is>
      </c>
      <c r="V874" t="inlineStr">
        <is>
          <t>Yes</t>
        </is>
      </c>
      <c r="W874" t="inlineStr">
        <is>
          <t>Available to Order</t>
        </is>
      </c>
      <c r="X874" t="inlineStr">
        <is>
          <t>Nissan X-Trail 2007-05</t>
        </is>
      </c>
      <c r="Y874" t="inlineStr">
        <is>
          <t>00884548068797</t>
        </is>
      </c>
      <c r="Z874" t="inlineStr">
        <is>
          <t>43-43116::98359:99199:292</t>
        </is>
      </c>
      <c r="AA874" t="inlineStr">
        <is>
          <t>Yes</t>
        </is>
      </c>
      <c r="AB874" t="inlineStr"/>
      <c r="AC874" t="inlineStr"/>
    </row>
    <row r="875">
      <c r="A875" t="inlineStr">
        <is>
          <t>874</t>
        </is>
      </c>
      <c r="B875" t="inlineStr">
        <is>
          <t>Windshield Wiper Motor</t>
        </is>
      </c>
      <c r="C875" t="inlineStr">
        <is>
          <t>43-43119</t>
        </is>
      </c>
      <c r="D875" t="inlineStr">
        <is>
          <t>Windshield Wiper Motor - 43-43119</t>
        </is>
      </c>
      <c r="E875" t="inlineStr">
        <is>
          <t>CARDONE Reman</t>
        </is>
      </c>
      <c r="F875" t="inlineStr">
        <is>
          <t>288103AN1A</t>
        </is>
      </c>
      <c r="G875" t="inlineStr">
        <is>
          <t>Nissan Versa 2012-2019</t>
        </is>
      </c>
      <c r="H875" t="inlineStr">
        <is>
          <t>Nissan Versa 2012-2019 1.6L L4 98cid</t>
        </is>
      </c>
      <c r="I875" t="inlineStr">
        <is>
          <t>{"0": {"productDeskExternalKey": "CPCX|43-43119"}, "1": {"Package Contents": "Wiper Motor; Instruction Sheet"}, "2": {"E-Waste": "Yes"}, "3": {"Product Condition": "Remanufactured"}, "4": {"Mounting Hole Quantity": "3"}, "5": {"Terminal Type": "Blade"}, "6": {"Mounting Type": "Direct Bolt; Grommet"}, "7": {"Weight PG": "3.0000"}, "8": {"Washer Pump Included": "No"}, "9": {"Part Type": "Windshield Wiper Motor"}, "10": {"Warranty Info": "1 Year/18,000 Mile"}, "11": {"Sustainable Choice": "Yes"}, "12": {"Lifecycle Status": "Available to Order"}, "13": {"Application Summary": "Nissan Versa 2019-12"}, "14": {"ItemLevelGTIN": "00884548099722"}, "15": {"_addonCardone": "43-43119::98359:99298:292"}, "16": {"Eligible for R&amp;R Service": "Yes"}}</t>
        </is>
      </c>
      <c r="J875" t="inlineStr">
        <is>
          <t>https://www.cardone.com/product/windshield-wiper-motor-43-43119</t>
        </is>
      </c>
      <c r="K875">
        <f>DISPIMG("ID_BC5E1656AC694FF98D73930496DDEE50",1)</f>
        <v/>
      </c>
      <c r="L875" t="inlineStr">
        <is>
          <t>CPCX|43-43119</t>
        </is>
      </c>
      <c r="M875" t="inlineStr">
        <is>
          <t>Wiper Motor; Instruction Sheet</t>
        </is>
      </c>
      <c r="N875" t="inlineStr">
        <is>
          <t>Yes</t>
        </is>
      </c>
      <c r="O875" t="inlineStr">
        <is>
          <t>Remanufactured</t>
        </is>
      </c>
      <c r="P875" t="inlineStr">
        <is>
          <t>3</t>
        </is>
      </c>
      <c r="Q875" t="inlineStr">
        <is>
          <t>Blade</t>
        </is>
      </c>
      <c r="R875" t="inlineStr">
        <is>
          <t>Direct Bolt; Grommet</t>
        </is>
      </c>
      <c r="S875" t="inlineStr">
        <is>
          <t>3.0000</t>
        </is>
      </c>
      <c r="T875" t="inlineStr">
        <is>
          <t>No</t>
        </is>
      </c>
      <c r="U875" t="inlineStr">
        <is>
          <t>1 Year/18,000 Mile</t>
        </is>
      </c>
      <c r="V875" t="inlineStr">
        <is>
          <t>Yes</t>
        </is>
      </c>
      <c r="W875" t="inlineStr">
        <is>
          <t>Available to Order</t>
        </is>
      </c>
      <c r="X875" t="inlineStr">
        <is>
          <t>Nissan Versa 2019-12</t>
        </is>
      </c>
      <c r="Y875" t="inlineStr">
        <is>
          <t>00884548099722</t>
        </is>
      </c>
      <c r="Z875" t="inlineStr">
        <is>
          <t>43-43119::98359:99298:292</t>
        </is>
      </c>
      <c r="AA875" t="inlineStr">
        <is>
          <t>Yes</t>
        </is>
      </c>
      <c r="AB875" t="inlineStr"/>
      <c r="AC875" t="inlineStr"/>
    </row>
    <row r="876">
      <c r="A876" t="inlineStr">
        <is>
          <t>875</t>
        </is>
      </c>
      <c r="B876" t="inlineStr">
        <is>
          <t>Windshield Wiper Motor</t>
        </is>
      </c>
      <c r="C876" t="inlineStr">
        <is>
          <t>43-4312</t>
        </is>
      </c>
      <c r="D876" t="inlineStr">
        <is>
          <t>Windshield Wiper Motor - 43-4312</t>
        </is>
      </c>
      <c r="E876" t="inlineStr">
        <is>
          <t>CARDONE Reman</t>
        </is>
      </c>
      <c r="F876" t="inlineStr">
        <is>
          <t>2881002A71;2881002A11</t>
        </is>
      </c>
      <c r="G876" t="inlineStr">
        <is>
          <t>Nissan Pulsar 1983
Nissan Pulsar NX 1983-1986
Nissan Sentra 1982-1986</t>
        </is>
      </c>
      <c r="H876" t="inlineStr">
        <is>
          <t>Nissan Pulsar 1983 1.6L L4 97cid
Nissan Pulsar NX 1983-1984 1.5L L4 1488cc
Nissan Pulsar NX 1983-1986 1.6L L4 97cid
Nissan Sentra 1982-1983 1.5L L4 1488cc
Nissan Sentra 1983-1986 1.6L L4 97cid
Nissan Sentra 1983-1986 1.7L L4 1688cc</t>
        </is>
      </c>
      <c r="I876" t="inlineStr">
        <is>
          <t>{"0": {"productDeskExternalKey": "CPCX|43-4312"}, "1": {"Package Contents": "Wiper Motor; Instruction Sheet"}, "2": {"E-Waste": "Yes"}, "3": {"Product Condition": "Remanufactured"}, "4": {"Mounting Hole Quantity": "4"}, "5": {"Terminal Type": "Blade"}, "6": {"Mounting Type": "Grommet"}, "7": {"Weight PG": "2.9600"}, "8": {"Washer Pump Included": "No"}, "9": {"Part Type": "Windshield Wiper Motor"}, "10": {"Warranty Info": "1 Year/18,000 Mile"}, "11": {"Sustainable Choice": "Yes"}, "12": {"Lifecycle Status": "Available to Order"}, "13": {"Application Summary": "Nissan Pulsar 1983, Pulsar NX 1986-83, Sentra 1986-82"}, "14": {"ItemLevelGTIN": "00082617457224"}, "15": {"_addonCardone": "43-4312::98359:99302:292"}, "16": {"Eligible for R&amp;R Service": "Yes"}}</t>
        </is>
      </c>
      <c r="J876" t="inlineStr">
        <is>
          <t>https://www.cardone.com/product/windshield-wiper-motor-43-4312</t>
        </is>
      </c>
      <c r="K876">
        <f>DISPIMG("ID_0A4044694F0E49F3A35B9E7BB70FC76B",1)</f>
        <v/>
      </c>
      <c r="L876" t="inlineStr">
        <is>
          <t>CPCX|43-4312</t>
        </is>
      </c>
      <c r="M876" t="inlineStr">
        <is>
          <t>Wiper Motor; Instruction Sheet</t>
        </is>
      </c>
      <c r="N876" t="inlineStr">
        <is>
          <t>Yes</t>
        </is>
      </c>
      <c r="O876" t="inlineStr">
        <is>
          <t>Remanufactured</t>
        </is>
      </c>
      <c r="P876" t="inlineStr">
        <is>
          <t>4</t>
        </is>
      </c>
      <c r="Q876" t="inlineStr">
        <is>
          <t>Blade</t>
        </is>
      </c>
      <c r="R876" t="inlineStr">
        <is>
          <t>Grommet</t>
        </is>
      </c>
      <c r="S876" t="inlineStr">
        <is>
          <t>2.9600</t>
        </is>
      </c>
      <c r="T876" t="inlineStr">
        <is>
          <t>No</t>
        </is>
      </c>
      <c r="U876" t="inlineStr">
        <is>
          <t>1 Year/18,000 Mile</t>
        </is>
      </c>
      <c r="V876" t="inlineStr">
        <is>
          <t>Yes</t>
        </is>
      </c>
      <c r="W876" t="inlineStr">
        <is>
          <t>Available to Order</t>
        </is>
      </c>
      <c r="X876" t="inlineStr">
        <is>
          <t>Nissan Pulsar 1983, Pulsar NX 1986-83, Sentra 1986-82</t>
        </is>
      </c>
      <c r="Y876" t="inlineStr">
        <is>
          <t>00082617457224</t>
        </is>
      </c>
      <c r="Z876" t="inlineStr">
        <is>
          <t>43-4312::98359:99302:292</t>
        </is>
      </c>
      <c r="AA876" t="inlineStr">
        <is>
          <t>Yes</t>
        </is>
      </c>
      <c r="AB876" t="inlineStr"/>
      <c r="AC876" t="inlineStr"/>
    </row>
    <row r="877">
      <c r="A877" t="inlineStr">
        <is>
          <t>876</t>
        </is>
      </c>
      <c r="B877" t="inlineStr">
        <is>
          <t>Windshield Wiper Motor</t>
        </is>
      </c>
      <c r="C877" t="inlineStr">
        <is>
          <t>43-43120</t>
        </is>
      </c>
      <c r="D877" t="inlineStr">
        <is>
          <t>Windshield Wiper Motor - 43-43120</t>
        </is>
      </c>
      <c r="E877" t="inlineStr">
        <is>
          <t>CARDONE Reman</t>
        </is>
      </c>
      <c r="F877" t="inlineStr">
        <is>
          <t>288101PA0A</t>
        </is>
      </c>
      <c r="G877" t="inlineStr"/>
      <c r="H877" t="inlineStr"/>
      <c r="I877" t="inlineStr">
        <is>
          <t>{"0": {"productDeskExternalKey": "CPCX|43-43120"}, "1": {"Package Contents": "Wiper Motor; Instruction Sheet"}, "2": {"E-Waste": "Yes"}, "3": {"Product Condition": "Remanufactured"}, "4": {"Mounting Hole Quantity": "3"}, "5": {"Terminal Type": "Blade"}, "6": {"Mounting Type": "Direct Bolt; Grommet"}, "7": {"Weight PG": "3.0000"}, "8": {"Washer Pump Included": "No"}, "9": {"Part Type": "Windshield Wiper Motor"}, "10": {"Warranty Info": "1 Year/18,000 Mile"}, "11": {"Sustainable Choice": "Yes"}, "12": {"Lifecycle Status": "Available to Order"}, "13": {"Application Summary": "Nissan NV1500 2021-12, NV2500 2021-12, NV3500 2021-12"}, "14": {"ItemLevelGTIN": "00884548128217"}, "15": {"_addonCardone": "43-43120::98359:99308:292"}, "16": {"Eligible for R&amp;R Service": "Yes"}}</t>
        </is>
      </c>
      <c r="J877" t="inlineStr">
        <is>
          <t>https://www.cardone.com/product/windshield-wiper-motor-43-43120</t>
        </is>
      </c>
      <c r="K877">
        <f>DISPIMG("ID_79F37C91AB834B07B39BC71A1813342F",1)</f>
        <v/>
      </c>
      <c r="L877" t="inlineStr">
        <is>
          <t>CPCX|43-43120</t>
        </is>
      </c>
      <c r="M877" t="inlineStr">
        <is>
          <t>Wiper Motor; Instruction Sheet</t>
        </is>
      </c>
      <c r="N877" t="inlineStr">
        <is>
          <t>Yes</t>
        </is>
      </c>
      <c r="O877" t="inlineStr">
        <is>
          <t>Remanufactured</t>
        </is>
      </c>
      <c r="P877" t="inlineStr">
        <is>
          <t>3</t>
        </is>
      </c>
      <c r="Q877" t="inlineStr">
        <is>
          <t>Blade</t>
        </is>
      </c>
      <c r="R877" t="inlineStr">
        <is>
          <t>Direct Bolt; Grommet</t>
        </is>
      </c>
      <c r="S877" t="inlineStr">
        <is>
          <t>3.0000</t>
        </is>
      </c>
      <c r="T877" t="inlineStr">
        <is>
          <t>No</t>
        </is>
      </c>
      <c r="U877" t="inlineStr">
        <is>
          <t>1 Year/18,000 Mile</t>
        </is>
      </c>
      <c r="V877" t="inlineStr">
        <is>
          <t>Yes</t>
        </is>
      </c>
      <c r="W877" t="inlineStr">
        <is>
          <t>Available to Order</t>
        </is>
      </c>
      <c r="X877" t="inlineStr">
        <is>
          <t>Nissan NV1500 2021-12, NV2500 2021-12, NV3500 2021-12</t>
        </is>
      </c>
      <c r="Y877" t="inlineStr">
        <is>
          <t>00884548128217</t>
        </is>
      </c>
      <c r="Z877" t="inlineStr">
        <is>
          <t>43-43120::98359:99308:292</t>
        </is>
      </c>
      <c r="AA877" t="inlineStr">
        <is>
          <t>Yes</t>
        </is>
      </c>
      <c r="AB877" t="inlineStr"/>
      <c r="AC877" t="inlineStr"/>
    </row>
    <row r="878">
      <c r="A878" t="inlineStr">
        <is>
          <t>877</t>
        </is>
      </c>
      <c r="B878" t="inlineStr">
        <is>
          <t>Windshield Wiper Motor</t>
        </is>
      </c>
      <c r="C878" t="inlineStr">
        <is>
          <t>43-43121</t>
        </is>
      </c>
      <c r="D878" t="inlineStr">
        <is>
          <t>Windshield Wiper Motor - 43-43121</t>
        </is>
      </c>
      <c r="E878" t="inlineStr">
        <is>
          <t>CARDONE Reman</t>
        </is>
      </c>
      <c r="F878" t="inlineStr">
        <is>
          <t>288003TA2A;288104BA0A;288003TA0A</t>
        </is>
      </c>
      <c r="G878" t="inlineStr">
        <is>
          <t>Nissan Rogue 2014-2020</t>
        </is>
      </c>
      <c r="H878" t="inlineStr">
        <is>
          <t>Nissan Rogue 2014-2020 2.5L L4 152cid
Nissan Rogue 2017-2019 2L L4 1997cc</t>
        </is>
      </c>
      <c r="I878" t="inlineStr">
        <is>
          <t>{"0": {"productDeskExternalKey": "CPCX|43-43121"}, "1": {"Package Contents": "Wiper Motor; Instruction Sheet"}, "2": {"E-Waste": "Yes"}, "3": {"Product Condition": "Remanufactured"}, "4": {"Mounting Hole Quantity": "3"}, "5": {"Terminal Type": "Blade"}, "6": {"Mounting Type": "Direct Bolt; Grommet"}, "7": {"Weight PG": "2.0000"}, "8": {"Washer Pump Included": "No"}, "9": {"Part Type": "Windshield Wiper Motor"}, "10": {"Warranty Info": "1 Year/18,000 Mile"}, "11": {"Sustainable Choice": "Yes"}, "12": {"Lifecycle Status": "Available to Order"}, "13": {"Application Summary": "Nissan Altima 2015-13, Rogue 2020-14"}, "14": {"ItemLevelGTIN": "00884548134324"}, "15": {"_addonCardone": "43-43121::98359:99316:292"}, "16": {"Eligible for R&amp;R Service": "Yes"}}</t>
        </is>
      </c>
      <c r="J878" t="inlineStr">
        <is>
          <t>https://www.cardone.com/product/windshield-wiper-motor-43-43121</t>
        </is>
      </c>
      <c r="K878">
        <f>DISPIMG("ID_50B9B67E0FB0414A9B0985AC40BCE3DB",1)</f>
        <v/>
      </c>
      <c r="L878" t="inlineStr">
        <is>
          <t>CPCX|43-43121</t>
        </is>
      </c>
      <c r="M878" t="inlineStr">
        <is>
          <t>Wiper Motor; Instruction Sheet</t>
        </is>
      </c>
      <c r="N878" t="inlineStr">
        <is>
          <t>Yes</t>
        </is>
      </c>
      <c r="O878" t="inlineStr">
        <is>
          <t>Remanufactured</t>
        </is>
      </c>
      <c r="P878" t="inlineStr">
        <is>
          <t>3</t>
        </is>
      </c>
      <c r="Q878" t="inlineStr">
        <is>
          <t>Blade</t>
        </is>
      </c>
      <c r="R878" t="inlineStr">
        <is>
          <t>Direct Bolt; Grommet</t>
        </is>
      </c>
      <c r="S878" t="inlineStr">
        <is>
          <t>2.0000</t>
        </is>
      </c>
      <c r="T878" t="inlineStr">
        <is>
          <t>No</t>
        </is>
      </c>
      <c r="U878" t="inlineStr">
        <is>
          <t>1 Year/18,000 Mile</t>
        </is>
      </c>
      <c r="V878" t="inlineStr">
        <is>
          <t>Yes</t>
        </is>
      </c>
      <c r="W878" t="inlineStr">
        <is>
          <t>Available to Order</t>
        </is>
      </c>
      <c r="X878" t="inlineStr">
        <is>
          <t>Nissan Altima 2015-13, Rogue 2020-14</t>
        </is>
      </c>
      <c r="Y878" t="inlineStr">
        <is>
          <t>00884548134324</t>
        </is>
      </c>
      <c r="Z878" t="inlineStr">
        <is>
          <t>43-43121::98359:99316:292</t>
        </is>
      </c>
      <c r="AA878" t="inlineStr">
        <is>
          <t>Yes</t>
        </is>
      </c>
      <c r="AB878" t="inlineStr"/>
      <c r="AC878" t="inlineStr"/>
    </row>
    <row r="879">
      <c r="A879" t="inlineStr">
        <is>
          <t>878</t>
        </is>
      </c>
      <c r="B879" t="inlineStr">
        <is>
          <t>Windshield Wiper Motor</t>
        </is>
      </c>
      <c r="C879" t="inlineStr">
        <is>
          <t>43-43122</t>
        </is>
      </c>
      <c r="D879" t="inlineStr">
        <is>
          <t>Windshield Wiper Motor - 43-43122</t>
        </is>
      </c>
      <c r="E879" t="inlineStr">
        <is>
          <t>CARDONE Reman</t>
        </is>
      </c>
      <c r="F879" t="inlineStr">
        <is>
          <t>288103SG0A</t>
        </is>
      </c>
      <c r="G879" t="inlineStr">
        <is>
          <t>Nissan Sentra 2013-2019</t>
        </is>
      </c>
      <c r="H879" t="inlineStr">
        <is>
          <t>Nissan Sentra 2013-2019 1.8L L4 110cid
Nissan Sentra 2017-2019 1.6L L4 1618cc</t>
        </is>
      </c>
      <c r="I879" t="inlineStr">
        <is>
          <t>{"0": {"productDeskExternalKey": "CPCX|43-43122"}, "1": {"Package Contents": "Wiper Motor; Instruction Sheet"}, "2": {"E-Waste": "Yes"}, "3": {"Product Condition": "Remanufactured"}, "4": {"Mounting Hole Quantity": "4"}, "5": {"Terminal Type": "Blade"}, "6": {"Mounting Type": "Direct Bolt"}, "7": {"Weight PG": "2.0000"}, "8": {"Washer Pump Included": "No"}, "9": {"Part Type": "Windshield Wiper Motor"}, "10": {"Warranty Info": "1 Year/18,000 Mile"}, "11": {"Sustainable Choice": "Yes"}, "12": {"Lifecycle Status": "Available to Order"}, "13": {"Application Summary": "Nissan Sentra 2019-13"}, "14": {"ItemLevelGTIN": "00884548169425"}, "15": {"_addonCardone": "43-43122::98359:99324:292"}, "16": {"Eligible for R&amp;R Service": "Yes"}}</t>
        </is>
      </c>
      <c r="J879" t="inlineStr">
        <is>
          <t>https://www.cardone.com/product/windshield-wiper-motor-43-43122</t>
        </is>
      </c>
      <c r="K879">
        <f>DISPIMG("ID_9A25273DF5904609B4D0D1EF75F00813",1)</f>
        <v/>
      </c>
      <c r="L879" t="inlineStr">
        <is>
          <t>CPCX|43-43122</t>
        </is>
      </c>
      <c r="M879" t="inlineStr">
        <is>
          <t>Wiper Motor; Instruction Sheet</t>
        </is>
      </c>
      <c r="N879" t="inlineStr">
        <is>
          <t>Yes</t>
        </is>
      </c>
      <c r="O879" t="inlineStr">
        <is>
          <t>Remanufactured</t>
        </is>
      </c>
      <c r="P879" t="inlineStr">
        <is>
          <t>4</t>
        </is>
      </c>
      <c r="Q879" t="inlineStr">
        <is>
          <t>Blade</t>
        </is>
      </c>
      <c r="R879" t="inlineStr">
        <is>
          <t>Direct Bolt</t>
        </is>
      </c>
      <c r="S879" t="inlineStr">
        <is>
          <t>2.0000</t>
        </is>
      </c>
      <c r="T879" t="inlineStr">
        <is>
          <t>No</t>
        </is>
      </c>
      <c r="U879" t="inlineStr">
        <is>
          <t>1 Year/18,000 Mile</t>
        </is>
      </c>
      <c r="V879" t="inlineStr">
        <is>
          <t>Yes</t>
        </is>
      </c>
      <c r="W879" t="inlineStr">
        <is>
          <t>Available to Order</t>
        </is>
      </c>
      <c r="X879" t="inlineStr">
        <is>
          <t>Nissan Sentra 2019-13</t>
        </is>
      </c>
      <c r="Y879" t="inlineStr">
        <is>
          <t>00884548169425</t>
        </is>
      </c>
      <c r="Z879" t="inlineStr">
        <is>
          <t>43-43122::98359:99324:292</t>
        </is>
      </c>
      <c r="AA879" t="inlineStr">
        <is>
          <t>Yes</t>
        </is>
      </c>
      <c r="AB879" t="inlineStr"/>
      <c r="AC879" t="inlineStr"/>
    </row>
    <row r="880">
      <c r="A880" t="inlineStr">
        <is>
          <t>879</t>
        </is>
      </c>
      <c r="B880" t="inlineStr">
        <is>
          <t>Windshield Wiper Motor</t>
        </is>
      </c>
      <c r="C880" t="inlineStr">
        <is>
          <t>43-43123</t>
        </is>
      </c>
      <c r="D880" t="inlineStr">
        <is>
          <t>Windshield Wiper Motor - 43-43123</t>
        </is>
      </c>
      <c r="E880" t="inlineStr">
        <is>
          <t>CARDONE Reman</t>
        </is>
      </c>
      <c r="F880" t="inlineStr">
        <is>
          <t>288003JA0A;288003JA2A</t>
        </is>
      </c>
      <c r="G880" t="inlineStr">
        <is>
          <t>INFINITI QX60 2014-2016
Nissan Pathfinder 2013-2015</t>
        </is>
      </c>
      <c r="H880" t="inlineStr">
        <is>
          <t>INFINITI QX60 2014-2016 2.5L L4 152cid
INFINITI QX60 2014-2016 3.5L V6 3498cc
Nissan Pathfinder 2013-2015 3.5L V6 3498cc
Nissan Pathfinder 2014-2015 2.5L L4 152cid</t>
        </is>
      </c>
      <c r="I880" t="inlineStr">
        <is>
          <t>{"0": {"productDeskExternalKey": "CPCX|43-43123"}, "1": {"Package Contents": "Wiper Motor; Instruction Sheet"}, "2": {"E-Waste": "Yes"}, "3": {"Product Condition": "Remanufactured"}, "4": {"Terminal Type": "Blade"}, "5": {"Mounting Type": "Direct Bolt; Grommet"}, "6": {"Weight PG": "2.0000"}, "7": {"Washer Pump Included": "No"}, "8": {"Part Type": "Windshield Wiper Motor"}, "9": {"Warranty Info": "1 Year/18,000 Mile"}, "10": {"Sustainable Choice": "Yes"}, "11": {"Lifecycle Status": "Available to Order"}, "12": {"Application Summary": "INFINITI JX35 2013, QX60 2016-14; Nissan Pathfinder 2015-13"}, "13": {"ItemLevelGTIN": "00884548169432"}, "14": {"_addonCardone": "43-43123::98359:99331:292"}, "15": {"Eligible for R&amp;R Service": "Yes"}}</t>
        </is>
      </c>
      <c r="J880" t="inlineStr">
        <is>
          <t>https://www.cardone.com/product/windshield-wiper-motor-43-43123</t>
        </is>
      </c>
      <c r="K880">
        <f>DISPIMG("ID_AA53B1A916CD4204BB3C60F08EEAFD60",1)</f>
        <v/>
      </c>
      <c r="L880" t="inlineStr">
        <is>
          <t>CPCX|43-43123</t>
        </is>
      </c>
      <c r="M880" t="inlineStr">
        <is>
          <t>Wiper Motor; Instruction Sheet</t>
        </is>
      </c>
      <c r="N880" t="inlineStr">
        <is>
          <t>Yes</t>
        </is>
      </c>
      <c r="O880" t="inlineStr">
        <is>
          <t>Remanufactured</t>
        </is>
      </c>
      <c r="P880" t="inlineStr"/>
      <c r="Q880" t="inlineStr">
        <is>
          <t>Blade</t>
        </is>
      </c>
      <c r="R880" t="inlineStr">
        <is>
          <t>Direct Bolt; Grommet</t>
        </is>
      </c>
      <c r="S880" t="inlineStr">
        <is>
          <t>2.0000</t>
        </is>
      </c>
      <c r="T880" t="inlineStr">
        <is>
          <t>No</t>
        </is>
      </c>
      <c r="U880" t="inlineStr">
        <is>
          <t>1 Year/18,000 Mile</t>
        </is>
      </c>
      <c r="V880" t="inlineStr">
        <is>
          <t>Yes</t>
        </is>
      </c>
      <c r="W880" t="inlineStr">
        <is>
          <t>Available to Order</t>
        </is>
      </c>
      <c r="X880" t="inlineStr">
        <is>
          <t>INFINITI JX35 2013, QX60 2016-14; Nissan Pathfinder 2015-13</t>
        </is>
      </c>
      <c r="Y880" t="inlineStr">
        <is>
          <t>00884548169432</t>
        </is>
      </c>
      <c r="Z880" t="inlineStr">
        <is>
          <t>43-43123::98359:99331:292</t>
        </is>
      </c>
      <c r="AA880" t="inlineStr">
        <is>
          <t>Yes</t>
        </is>
      </c>
      <c r="AB880" t="inlineStr"/>
      <c r="AC880" t="inlineStr"/>
    </row>
    <row r="881">
      <c r="A881" t="inlineStr">
        <is>
          <t>880</t>
        </is>
      </c>
      <c r="B881" t="inlineStr">
        <is>
          <t>Windshield Wiper Motor</t>
        </is>
      </c>
      <c r="C881" t="inlineStr">
        <is>
          <t>43-4313</t>
        </is>
      </c>
      <c r="D881" t="inlineStr">
        <is>
          <t>Windshield Wiper Motor - 43-4313</t>
        </is>
      </c>
      <c r="E881" t="inlineStr">
        <is>
          <t>CARDONE Reman</t>
        </is>
      </c>
      <c r="F881" t="inlineStr">
        <is>
          <t>28710P7100</t>
        </is>
      </c>
      <c r="G881" t="inlineStr">
        <is>
          <t>Nissan 280ZX 1979-1983</t>
        </is>
      </c>
      <c r="H881" t="inlineStr">
        <is>
          <t>Nissan 280ZX 1979-1983 2.8L L6 2753cc</t>
        </is>
      </c>
      <c r="I881" t="inlineStr">
        <is>
          <t>{"0": {"productDeskExternalKey": "CPCX|43-4313"},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"Nissan 280ZX 1983-79"}, "14": {"ItemLevelGTIN": "00082617512626"}, "15": {"_addonCardone": "43-4313::98359:99340:292"}, "16": {"Eligible for R&amp;R Service": "Yes"}}</t>
        </is>
      </c>
      <c r="J881" t="inlineStr">
        <is>
          <t>https://www.cardone.com/product/windshield-wiper-motor-43-4313</t>
        </is>
      </c>
      <c r="K881">
        <f>DISPIMG("ID_E77CCF0E75BA4E1A850FDFAEA910BDEF",1)</f>
        <v/>
      </c>
      <c r="L881" t="inlineStr">
        <is>
          <t>CPCX|43-4313</t>
        </is>
      </c>
      <c r="M881" t="inlineStr">
        <is>
          <t>Wiper Motor; Instruction Sheet</t>
        </is>
      </c>
      <c r="N881" t="inlineStr">
        <is>
          <t>Yes</t>
        </is>
      </c>
      <c r="O881" t="inlineStr">
        <is>
          <t>Remanufactured</t>
        </is>
      </c>
      <c r="P881" t="inlineStr">
        <is>
          <t>3</t>
        </is>
      </c>
      <c r="Q881" t="inlineStr">
        <is>
          <t>Blade</t>
        </is>
      </c>
      <c r="R881" t="inlineStr">
        <is>
          <t>Grommet</t>
        </is>
      </c>
      <c r="S881" t="inlineStr">
        <is>
          <t>2.2000</t>
        </is>
      </c>
      <c r="T881" t="inlineStr">
        <is>
          <t>No</t>
        </is>
      </c>
      <c r="U881" t="inlineStr">
        <is>
          <t>1 Year/18,000 Mile</t>
        </is>
      </c>
      <c r="V881" t="inlineStr">
        <is>
          <t>Yes</t>
        </is>
      </c>
      <c r="W881" t="inlineStr">
        <is>
          <t>Available to Order</t>
        </is>
      </c>
      <c r="X881" t="inlineStr">
        <is>
          <t>Nissan 280ZX 1983-79</t>
        </is>
      </c>
      <c r="Y881" t="inlineStr">
        <is>
          <t>00082617512626</t>
        </is>
      </c>
      <c r="Z881" t="inlineStr">
        <is>
          <t>43-4313::98359:99340:292</t>
        </is>
      </c>
      <c r="AA881" t="inlineStr">
        <is>
          <t>Yes</t>
        </is>
      </c>
      <c r="AB881" t="inlineStr"/>
      <c r="AC881" t="inlineStr"/>
    </row>
    <row r="882">
      <c r="A882" t="inlineStr">
        <is>
          <t>881</t>
        </is>
      </c>
      <c r="B882" t="inlineStr">
        <is>
          <t>Windshield Wiper Motor</t>
        </is>
      </c>
      <c r="C882" t="inlineStr">
        <is>
          <t>43-4314</t>
        </is>
      </c>
      <c r="D882" t="inlineStr">
        <is>
          <t>Windshield Wiper Motor - 43-4314</t>
        </is>
      </c>
      <c r="E882" t="inlineStr">
        <is>
          <t>CARDONE Reman</t>
        </is>
      </c>
      <c r="F882" t="inlineStr">
        <is>
          <t>287000W000;287002W100;287001W310;287000W010</t>
        </is>
      </c>
      <c r="G882" t="inlineStr">
        <is>
          <t>INFINITI QX4 1997-2001</t>
        </is>
      </c>
      <c r="H882" t="inlineStr">
        <is>
          <t>INFINITI QX4 1997-2000 3.3L V6 3275cc
INFINITI QX4 2001 3.5L V6 3498cc</t>
        </is>
      </c>
      <c r="I882" t="inlineStr">
        <is>
          <t>{"0": {"productDeskExternalKey": "CPCX|43-4314"}, "1": {"Package Contents": "Wiper Motor; Instruction Sheet"}, "2": {"E-Waste": "Yes"}, "3": {"Product Condition": "Remanufactured"}, "4": {"Mounting Hole Quantity": "3"}, "5": {"Terminal Type": "Blade"}, "6": {"Mounting Type": "Direct Bolt"}, "7": {"Weight PG": "1.2500"}, "8": {"Washer Pump Included": "No"}, "9": {"Part Type": "Windshield Wiper Motor"}, "10": {"Warranty Info": "1 Year/18,000 Mile"}, "11": {"Sustainable Choice": "Yes"}, "12": {"Lifecycle Status": "Available to Order"}, "13": {"Application Summary": "INFINITI QX4 2001-97; Nissan Pathfinder 2001-96"}, "14": {"ItemLevelGTIN": "00082617513456"}, "15": {"_addonCardone": "43-4314::98359:99348:292"}, "16": {"Eligible for R&amp;R Service": "Yes"}}</t>
        </is>
      </c>
      <c r="J882" t="inlineStr">
        <is>
          <t>https://www.cardone.com/product/windshield-wiper-motor-43-4314</t>
        </is>
      </c>
      <c r="K882">
        <f>DISPIMG("ID_B47F24407A704D3BBD56535F677D555D",1)</f>
        <v/>
      </c>
      <c r="L882" t="inlineStr">
        <is>
          <t>CPCX|43-4314</t>
        </is>
      </c>
      <c r="M882" t="inlineStr">
        <is>
          <t>Wiper Motor; Instruction Sheet</t>
        </is>
      </c>
      <c r="N882" t="inlineStr">
        <is>
          <t>Yes</t>
        </is>
      </c>
      <c r="O882" t="inlineStr">
        <is>
          <t>Remanufactured</t>
        </is>
      </c>
      <c r="P882" t="inlineStr">
        <is>
          <t>3</t>
        </is>
      </c>
      <c r="Q882" t="inlineStr">
        <is>
          <t>Blade</t>
        </is>
      </c>
      <c r="R882" t="inlineStr">
        <is>
          <t>Direct Bolt</t>
        </is>
      </c>
      <c r="S882" t="inlineStr">
        <is>
          <t>1.2500</t>
        </is>
      </c>
      <c r="T882" t="inlineStr">
        <is>
          <t>No</t>
        </is>
      </c>
      <c r="U882" t="inlineStr">
        <is>
          <t>1 Year/18,000 Mile</t>
        </is>
      </c>
      <c r="V882" t="inlineStr">
        <is>
          <t>Yes</t>
        </is>
      </c>
      <c r="W882" t="inlineStr">
        <is>
          <t>Available to Order</t>
        </is>
      </c>
      <c r="X882" t="inlineStr">
        <is>
          <t>INFINITI QX4 2001-97; Nissan Pathfinder 2001-96</t>
        </is>
      </c>
      <c r="Y882" t="inlineStr">
        <is>
          <t>00082617513456</t>
        </is>
      </c>
      <c r="Z882" t="inlineStr">
        <is>
          <t>43-4314::98359:99348:292</t>
        </is>
      </c>
      <c r="AA882" t="inlineStr">
        <is>
          <t>Yes</t>
        </is>
      </c>
      <c r="AB882" t="inlineStr"/>
      <c r="AC882" t="inlineStr"/>
    </row>
    <row r="883">
      <c r="A883" t="inlineStr">
        <is>
          <t>882</t>
        </is>
      </c>
      <c r="B883" t="inlineStr">
        <is>
          <t>Windshield Wiper Motor</t>
        </is>
      </c>
      <c r="C883" t="inlineStr">
        <is>
          <t>43-4315</t>
        </is>
      </c>
      <c r="D883" t="inlineStr">
        <is>
          <t>Windshield Wiper Motor - 43-4315</t>
        </is>
      </c>
      <c r="E883" t="inlineStr">
        <is>
          <t>CARDONE Reman</t>
        </is>
      </c>
      <c r="F883" t="inlineStr">
        <is>
          <t>288100W010;288103H000;288106P100</t>
        </is>
      </c>
      <c r="G883" t="inlineStr">
        <is>
          <t>INFINITI QX4 1999-2000
Nissan Pathfinder 1998-2000</t>
        </is>
      </c>
      <c r="H883" t="inlineStr">
        <is>
          <t>INFINITI QX4 1999-2000 3.3L V6 3275cc
Nissan Pathfinder 1998-2000 3.3L V6 3275cc</t>
        </is>
      </c>
      <c r="I883" t="inlineStr">
        <is>
          <t>{"0": {"productDeskExternalKey": "CPCX|43-4315"}, "1": {"Package Contents": "Wiper Motor; Instruction Sheet"}, "2": {"E-Waste": "Yes"}, "3": {"Product Condition": "Remanufactured"}, "4": {"Mounting Hole Quantity": "4"}, "5": {"Terminal Type": "Blade"}, "6": {"Mounting Type": "Grommet"}, "7": {"Weight PG": "3.1200"}, "8": {"Washer Pump Included": "No"}, "9": {"Part Type": "Windshield Wiper Motor"}, "10": {"Warranty Info": "1 Year/18,000 Mile"}, "11": {"Sustainable Choice": "Yes"}, "12": {"Lifecycle Status": "Available to Order"}, "13": {"Application Summary": "INFINITI Q45 2001-97, QX4 2000-99; Nissan Pathfinder 2001-98"}, "14": {"ItemLevelGTIN": "00082617588034"}, "15": {"_addonCardone": "43-4315::98359:99353:292"}, "16": {"Eligible for R&amp;R Service": "Yes"}}</t>
        </is>
      </c>
      <c r="J883" t="inlineStr">
        <is>
          <t>https://www.cardone.com/product/windshield-wiper-motor-43-4315</t>
        </is>
      </c>
      <c r="K883">
        <f>DISPIMG("ID_947C2ECADACE47D1B26121891B13B27E",1)</f>
        <v/>
      </c>
      <c r="L883" t="inlineStr">
        <is>
          <t>CPCX|43-4315</t>
        </is>
      </c>
      <c r="M883" t="inlineStr">
        <is>
          <t>Wiper Motor; Instruction Sheet</t>
        </is>
      </c>
      <c r="N883" t="inlineStr">
        <is>
          <t>Yes</t>
        </is>
      </c>
      <c r="O883" t="inlineStr">
        <is>
          <t>Remanufactured</t>
        </is>
      </c>
      <c r="P883" t="inlineStr">
        <is>
          <t>4</t>
        </is>
      </c>
      <c r="Q883" t="inlineStr">
        <is>
          <t>Blade</t>
        </is>
      </c>
      <c r="R883" t="inlineStr">
        <is>
          <t>Grommet</t>
        </is>
      </c>
      <c r="S883" t="inlineStr">
        <is>
          <t>3.1200</t>
        </is>
      </c>
      <c r="T883" t="inlineStr">
        <is>
          <t>No</t>
        </is>
      </c>
      <c r="U883" t="inlineStr">
        <is>
          <t>1 Year/18,000 Mile</t>
        </is>
      </c>
      <c r="V883" t="inlineStr">
        <is>
          <t>Yes</t>
        </is>
      </c>
      <c r="W883" t="inlineStr">
        <is>
          <t>Available to Order</t>
        </is>
      </c>
      <c r="X883" t="inlineStr">
        <is>
          <t>INFINITI Q45 2001-97, QX4 2000-99; Nissan Pathfinder 2001-98</t>
        </is>
      </c>
      <c r="Y883" t="inlineStr">
        <is>
          <t>00082617588034</t>
        </is>
      </c>
      <c r="Z883" t="inlineStr">
        <is>
          <t>43-4315::98359:99353:292</t>
        </is>
      </c>
      <c r="AA883" t="inlineStr">
        <is>
          <t>Yes</t>
        </is>
      </c>
      <c r="AB883" t="inlineStr"/>
      <c r="AC883" t="inlineStr"/>
    </row>
    <row r="884">
      <c r="A884" t="inlineStr">
        <is>
          <t>883</t>
        </is>
      </c>
      <c r="B884" t="inlineStr">
        <is>
          <t>Windshield Wiper Motor</t>
        </is>
      </c>
      <c r="C884" t="inlineStr">
        <is>
          <t>43-4316</t>
        </is>
      </c>
      <c r="D884" t="inlineStr">
        <is>
          <t>Windshield Wiper Motor - 43-4316</t>
        </is>
      </c>
      <c r="E884" t="inlineStr">
        <is>
          <t>CARDONE Reman</t>
        </is>
      </c>
      <c r="F884" t="inlineStr">
        <is>
          <t>288105M000</t>
        </is>
      </c>
      <c r="G884" t="inlineStr">
        <is>
          <t>Nissan Sentra 2000-2007</t>
        </is>
      </c>
      <c r="H884" t="inlineStr">
        <is>
          <t>Nissan Sentra 2000 1.6L L4 97cid
Nissan Sentra 2000-2006 1.8L L4 1769cc
Nissan Sentra 2000-2007 2L L4 122cid
Nissan Sentra 2002-2007 2.5L L4 152cid</t>
        </is>
      </c>
      <c r="I884" t="inlineStr">
        <is>
          <t>{"0": {"productDeskExternalKey": "CPCX|43-4316"}, "1": {"Package Contents": "Wiper Motor; Instruction Sheet"}, "2": {"E-Waste": "Yes"}, "3": {"Product Condition": "Remanufactured"}, "4": {"Mounting Hole Quantity": "3"}, "5": {"Terminal Type": "Blade"}, "6": {"Mounting Type": "Direct Bolt; Grommet"}, "7": {"Weight PG": "2.7250"}, "8": {"Washer Pump Included": "No"}, "9": {"Part Type": "Windshield Wiper Motor"}, "10": {"Warranty Info": "1 Year/18,000 Mile"}, "11": {"Sustainable Choice": "Yes"}, "12": {"Lifecycle Status": "Available to Order"}, "13": {"Application Summary": "Nissan Sentra 2007-00"}, "14": {"ItemLevelGTIN": "00082617588058"}, "15": {"_addonCardone": "43-4316::98359:99358:292"}, "16": {"Eligible for R&amp;R Service": "Yes"}}</t>
        </is>
      </c>
      <c r="J884" t="inlineStr">
        <is>
          <t>https://www.cardone.com/product/windshield-wiper-motor-43-4316</t>
        </is>
      </c>
      <c r="K884">
        <f>DISPIMG("ID_FBC4441FE0E14AFB9541B9E7BD98FFDF",1)</f>
        <v/>
      </c>
      <c r="L884" t="inlineStr">
        <is>
          <t>CPCX|43-4316</t>
        </is>
      </c>
      <c r="M884" t="inlineStr">
        <is>
          <t>Wiper Motor; Instruction Sheet</t>
        </is>
      </c>
      <c r="N884" t="inlineStr">
        <is>
          <t>Yes</t>
        </is>
      </c>
      <c r="O884" t="inlineStr">
        <is>
          <t>Remanufactured</t>
        </is>
      </c>
      <c r="P884" t="inlineStr">
        <is>
          <t>3</t>
        </is>
      </c>
      <c r="Q884" t="inlineStr">
        <is>
          <t>Blade</t>
        </is>
      </c>
      <c r="R884" t="inlineStr">
        <is>
          <t>Direct Bolt; Grommet</t>
        </is>
      </c>
      <c r="S884" t="inlineStr">
        <is>
          <t>2.7250</t>
        </is>
      </c>
      <c r="T884" t="inlineStr">
        <is>
          <t>No</t>
        </is>
      </c>
      <c r="U884" t="inlineStr">
        <is>
          <t>1 Year/18,000 Mile</t>
        </is>
      </c>
      <c r="V884" t="inlineStr">
        <is>
          <t>Yes</t>
        </is>
      </c>
      <c r="W884" t="inlineStr">
        <is>
          <t>Available to Order</t>
        </is>
      </c>
      <c r="X884" t="inlineStr">
        <is>
          <t>Nissan Sentra 2007-00</t>
        </is>
      </c>
      <c r="Y884" t="inlineStr">
        <is>
          <t>00082617588058</t>
        </is>
      </c>
      <c r="Z884" t="inlineStr">
        <is>
          <t>43-4316::98359:99358:292</t>
        </is>
      </c>
      <c r="AA884" t="inlineStr">
        <is>
          <t>Yes</t>
        </is>
      </c>
      <c r="AB884" t="inlineStr"/>
      <c r="AC884" t="inlineStr"/>
    </row>
    <row r="885">
      <c r="A885" t="inlineStr">
        <is>
          <t>884</t>
        </is>
      </c>
      <c r="B885" t="inlineStr">
        <is>
          <t>Windshield Wiper Motor</t>
        </is>
      </c>
      <c r="C885" t="inlineStr">
        <is>
          <t>43-4317</t>
        </is>
      </c>
      <c r="D885" t="inlineStr">
        <is>
          <t>Windshield Wiper Motor - 43-4317</t>
        </is>
      </c>
      <c r="E885" t="inlineStr">
        <is>
          <t>CARDONE Reman</t>
        </is>
      </c>
      <c r="F885" t="inlineStr">
        <is>
          <t>288102W600;288107J101;288109Z400</t>
        </is>
      </c>
      <c r="G885" t="inlineStr">
        <is>
          <t>Nissan Frontier 2001-2004
Nissan Pathfinder 2001
Nissan Xterra 2001-2004</t>
        </is>
      </c>
      <c r="H885" t="inlineStr">
        <is>
          <t>Nissan Frontier 2001-2004 2.4L L4 2389cc
Nissan Frontier 2001-2004 3.3L V6 3275cc
Nissan Pathfinder 2001 3.5L V6 3498cc
Nissan Xterra 2001-2004 2.4L L4 2389cc
Nissan Xterra 2001-2004 3.3L V6 3275cc</t>
        </is>
      </c>
      <c r="I885" t="inlineStr">
        <is>
          <t>{"0": {"productDeskExternalKey": "CPCX|43-4317"}, "1": {"Package Contents": "Wiper Motor; Instruction Sheet"}, "2": {"E-Waste": "Yes"}, "3": {"Product Condition": "Remanufactured"}, "4": {"Mounting Hole Quantity": "4"}, "5": {"Terminal Type": "Blade"}, "6": {"Mounting Type": "Grommet"}, "7": {"Weight PG": "3.1200"}, "8": {"Washer Pump Included": "No"}, "9": {"Part Type": "Windshield Wiper Motor"}, "10": {"Warranty Info": "1 Year/18,000 Mile"}, "11": {"Sustainable Choice": "Yes"}, "12": {"Lifecycle Status": "Available to Order"}, "13": {"Application Summary": "INFINITI G20 2002, QX4 2003-01; Nissan Frontier 2004-01, Pathfinder 2004-01, Xterra 2004-01"}, "14": {"ItemLevelGTIN": "00082617588041"}, "15": {"_addonCardone": "43-4317::98359:99365:292"}, "16": {"Eligible for R&amp;R Service": "Yes"}}</t>
        </is>
      </c>
      <c r="J885" t="inlineStr">
        <is>
          <t>https://www.cardone.com/product/windshield-wiper-motor-43-4317</t>
        </is>
      </c>
      <c r="K885">
        <f>DISPIMG("ID_16F5D38A8E764DE0B2331493C6AFD930",1)</f>
        <v/>
      </c>
      <c r="L885" t="inlineStr">
        <is>
          <t>CPCX|43-4317</t>
        </is>
      </c>
      <c r="M885" t="inlineStr">
        <is>
          <t>Wiper Motor; Instruction Sheet</t>
        </is>
      </c>
      <c r="N885" t="inlineStr">
        <is>
          <t>Yes</t>
        </is>
      </c>
      <c r="O885" t="inlineStr">
        <is>
          <t>Remanufactured</t>
        </is>
      </c>
      <c r="P885" t="inlineStr">
        <is>
          <t>4</t>
        </is>
      </c>
      <c r="Q885" t="inlineStr">
        <is>
          <t>Blade</t>
        </is>
      </c>
      <c r="R885" t="inlineStr">
        <is>
          <t>Grommet</t>
        </is>
      </c>
      <c r="S885" t="inlineStr">
        <is>
          <t>3.1200</t>
        </is>
      </c>
      <c r="T885" t="inlineStr">
        <is>
          <t>No</t>
        </is>
      </c>
      <c r="U885" t="inlineStr">
        <is>
          <t>1 Year/18,000 Mile</t>
        </is>
      </c>
      <c r="V885" t="inlineStr">
        <is>
          <t>Yes</t>
        </is>
      </c>
      <c r="W885" t="inlineStr">
        <is>
          <t>Available to Order</t>
        </is>
      </c>
      <c r="X885" t="inlineStr">
        <is>
          <t>INFINITI G20 2002, QX4 2003-01; Nissan Frontier 2004-01, Pathfinder 2004-01, Xterra 2004-01</t>
        </is>
      </c>
      <c r="Y885" t="inlineStr">
        <is>
          <t>00082617588041</t>
        </is>
      </c>
      <c r="Z885" t="inlineStr">
        <is>
          <t>43-4317::98359:99365:292</t>
        </is>
      </c>
      <c r="AA885" t="inlineStr">
        <is>
          <t>Yes</t>
        </is>
      </c>
      <c r="AB885" t="inlineStr"/>
      <c r="AC885" t="inlineStr"/>
    </row>
    <row r="886">
      <c r="A886" t="inlineStr">
        <is>
          <t>885</t>
        </is>
      </c>
      <c r="B886" t="inlineStr">
        <is>
          <t>Windshield Wiper Motor</t>
        </is>
      </c>
      <c r="C886" t="inlineStr">
        <is>
          <t>43-4318</t>
        </is>
      </c>
      <c r="D886" t="inlineStr">
        <is>
          <t>Windshield Wiper Motor - 43-4318</t>
        </is>
      </c>
      <c r="E886" t="inlineStr">
        <is>
          <t>CARDONE Reman</t>
        </is>
      </c>
      <c r="F886" t="inlineStr">
        <is>
          <t>288102Y900;288102Y910;288102Y905</t>
        </is>
      </c>
      <c r="G886" t="inlineStr"/>
      <c r="H886" t="inlineStr"/>
      <c r="I886" t="inlineStr">
        <is>
          <t>{"0": {"productDeskExternalKey": "CPCX|43-4318"}, "1": {"Package Contents": "Wiper Motor; Instruction Sheet"}, "2": {"E-Waste": "Yes"}, "3": {"Product Condition": "Remanufactured"}, "4": {"Mounting Hole Quantity": "4"}, "5": {"Terminal Type": "Blade"}, "6": {"Mounting Type": "Grommet"}, "7": {"Weight PG": "2.6500"}, "8": {"Washer Pump Included": "No"}, "9": {"Part Type": "Windshield Wiper Motor"}, "10": {"Warranty Info": "1 Year/18,000 Mile"}, "11": {"Sustainable Choice": "Yes"}, "12": {"Lifecycle Status": "Available to Order"}, "13": {"Application Summary": "INFINITI I30 2001-00, I35 2004-02; Nissan Maxima 2003-00"}, "14": {"ItemLevelGTIN": "00082617589833"}, "15": {"_addonCardone": "43-4318::98359:99373:292"}, "16": {"Eligible for R&amp;R Service": "Yes"}}</t>
        </is>
      </c>
      <c r="J886" t="inlineStr">
        <is>
          <t>https://www.cardone.com/product/windshield-wiper-motor-43-4318</t>
        </is>
      </c>
      <c r="K886">
        <f>DISPIMG("ID_255A96A9E5B6490CA7A4A739C42B47EC",1)</f>
        <v/>
      </c>
      <c r="L886" t="inlineStr">
        <is>
          <t>CPCX|43-4318</t>
        </is>
      </c>
      <c r="M886" t="inlineStr">
        <is>
          <t>Wiper Motor; Instruction Sheet</t>
        </is>
      </c>
      <c r="N886" t="inlineStr">
        <is>
          <t>Yes</t>
        </is>
      </c>
      <c r="O886" t="inlineStr">
        <is>
          <t>Remanufactured</t>
        </is>
      </c>
      <c r="P886" t="inlineStr">
        <is>
          <t>4</t>
        </is>
      </c>
      <c r="Q886" t="inlineStr">
        <is>
          <t>Blade</t>
        </is>
      </c>
      <c r="R886" t="inlineStr">
        <is>
          <t>Grommet</t>
        </is>
      </c>
      <c r="S886" t="inlineStr">
        <is>
          <t>2.6500</t>
        </is>
      </c>
      <c r="T886" t="inlineStr">
        <is>
          <t>No</t>
        </is>
      </c>
      <c r="U886" t="inlineStr">
        <is>
          <t>1 Year/18,000 Mile</t>
        </is>
      </c>
      <c r="V886" t="inlineStr">
        <is>
          <t>Yes</t>
        </is>
      </c>
      <c r="W886" t="inlineStr">
        <is>
          <t>Available to Order</t>
        </is>
      </c>
      <c r="X886" t="inlineStr">
        <is>
          <t>INFINITI I30 2001-00, I35 2004-02; Nissan Maxima 2003-00</t>
        </is>
      </c>
      <c r="Y886" t="inlineStr">
        <is>
          <t>00082617589833</t>
        </is>
      </c>
      <c r="Z886" t="inlineStr">
        <is>
          <t>43-4318::98359:99373:292</t>
        </is>
      </c>
      <c r="AA886" t="inlineStr">
        <is>
          <t>Yes</t>
        </is>
      </c>
      <c r="AB886" t="inlineStr"/>
      <c r="AC886" t="inlineStr"/>
    </row>
    <row r="887">
      <c r="A887" t="inlineStr">
        <is>
          <t>886</t>
        </is>
      </c>
      <c r="B887" t="inlineStr">
        <is>
          <t>Windshield Wiper Motor</t>
        </is>
      </c>
      <c r="C887" t="inlineStr">
        <is>
          <t>43-4319</t>
        </is>
      </c>
      <c r="D887" t="inlineStr">
        <is>
          <t>Windshield Wiper Motor - 43-4319</t>
        </is>
      </c>
      <c r="E887" t="inlineStr">
        <is>
          <t>CARDONE Reman</t>
        </is>
      </c>
      <c r="F887" t="inlineStr">
        <is>
          <t>287007Z000</t>
        </is>
      </c>
      <c r="G887" t="inlineStr">
        <is>
          <t>Nissan Xterra 2000-2002</t>
        </is>
      </c>
      <c r="H887" t="inlineStr">
        <is>
          <t>Nissan Xterra 2000-2002 2.4L L4 2389cc
Nissan Xterra 2000-2002 3.3L V6 3275cc</t>
        </is>
      </c>
      <c r="I887" t="inlineStr">
        <is>
          <t>{"0": {"productDeskExternalKey": "CPCX|43-4319"},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"Nissan Xterra 2002-00"}, "14": {"ItemLevelGTIN": "00082617597043"}, "15": {"_addonCardone": "43-4319::98359:99380:292"}, "16": {"Eligible for R&amp;R Service": "Yes"}}</t>
        </is>
      </c>
      <c r="J887" t="inlineStr">
        <is>
          <t>https://www.cardone.com/product/windshield-wiper-motor-43-4319</t>
        </is>
      </c>
      <c r="K887">
        <f>DISPIMG("ID_FE2C40DF1E21475DB4BCE54A1E7D1770",1)</f>
        <v/>
      </c>
      <c r="L887" t="inlineStr">
        <is>
          <t>CPCX|43-4319</t>
        </is>
      </c>
      <c r="M887" t="inlineStr">
        <is>
          <t>Wiper Motor; Instruction Sheet</t>
        </is>
      </c>
      <c r="N887" t="inlineStr">
        <is>
          <t>Yes</t>
        </is>
      </c>
      <c r="O887" t="inlineStr">
        <is>
          <t>Remanufactured</t>
        </is>
      </c>
      <c r="P887" t="inlineStr">
        <is>
          <t>3</t>
        </is>
      </c>
      <c r="Q887" t="inlineStr">
        <is>
          <t>Blade</t>
        </is>
      </c>
      <c r="R887" t="inlineStr">
        <is>
          <t>Grommet</t>
        </is>
      </c>
      <c r="S887" t="inlineStr">
        <is>
          <t>2.5000</t>
        </is>
      </c>
      <c r="T887" t="inlineStr">
        <is>
          <t>No</t>
        </is>
      </c>
      <c r="U887" t="inlineStr">
        <is>
          <t>1 Year/18,000 Mile</t>
        </is>
      </c>
      <c r="V887" t="inlineStr">
        <is>
          <t>Yes</t>
        </is>
      </c>
      <c r="W887" t="inlineStr">
        <is>
          <t>Available to Order</t>
        </is>
      </c>
      <c r="X887" t="inlineStr">
        <is>
          <t>Nissan Xterra 2002-00</t>
        </is>
      </c>
      <c r="Y887" t="inlineStr">
        <is>
          <t>00082617597043</t>
        </is>
      </c>
      <c r="Z887" t="inlineStr">
        <is>
          <t>43-4319::98359:99380:292</t>
        </is>
      </c>
      <c r="AA887" t="inlineStr">
        <is>
          <t>Yes</t>
        </is>
      </c>
      <c r="AB887" t="inlineStr"/>
      <c r="AC887" t="inlineStr"/>
    </row>
    <row r="888">
      <c r="A888" t="inlineStr">
        <is>
          <t>887</t>
        </is>
      </c>
      <c r="B888" t="inlineStr">
        <is>
          <t>Windshield Wiper Motor</t>
        </is>
      </c>
      <c r="C888" t="inlineStr">
        <is>
          <t>43-4320</t>
        </is>
      </c>
      <c r="D888" t="inlineStr">
        <is>
          <t>Windshield Wiper Motor - 43-4320</t>
        </is>
      </c>
      <c r="E888" t="inlineStr">
        <is>
          <t>CARDONE Reman</t>
        </is>
      </c>
      <c r="F888" t="inlineStr">
        <is>
          <t>2870040F00</t>
        </is>
      </c>
      <c r="G888" t="inlineStr">
        <is>
          <t>Nissan 240SX 1989-1995</t>
        </is>
      </c>
      <c r="H888" t="inlineStr">
        <is>
          <t>Nissan 240SX 1989-1995 2.4L L4 2389cc</t>
        </is>
      </c>
      <c r="I888" t="inlineStr">
        <is>
          <t>{"0": {"productDeskExternalKey": "CPCX|43-4320"},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"Nissan 240SX 1995-89"}, "14": {"ItemLevelGTIN": "00082617597050"}, "15": {"_addonCardone": "43-4320::98359:99392:292"}, "16": {"Eligible for R&amp;R Service": "Yes"}}</t>
        </is>
      </c>
      <c r="J888" t="inlineStr">
        <is>
          <t>https://www.cardone.com/product/windshield-wiper-motor-43-4320</t>
        </is>
      </c>
      <c r="K888">
        <f>DISPIMG("ID_BFF5D0D2F8EF416292CAEFE464BD0B1B",1)</f>
        <v/>
      </c>
      <c r="L888" t="inlineStr">
        <is>
          <t>CPCX|43-4320</t>
        </is>
      </c>
      <c r="M888" t="inlineStr">
        <is>
          <t>Wiper Motor; Instruction Sheet</t>
        </is>
      </c>
      <c r="N888" t="inlineStr">
        <is>
          <t>Yes</t>
        </is>
      </c>
      <c r="O888" t="inlineStr">
        <is>
          <t>Remanufactured</t>
        </is>
      </c>
      <c r="P888" t="inlineStr">
        <is>
          <t>3</t>
        </is>
      </c>
      <c r="Q888" t="inlineStr">
        <is>
          <t>Blade</t>
        </is>
      </c>
      <c r="R888" t="inlineStr">
        <is>
          <t>Grommet</t>
        </is>
      </c>
      <c r="S888" t="inlineStr">
        <is>
          <t>2.5000</t>
        </is>
      </c>
      <c r="T888" t="inlineStr">
        <is>
          <t>No</t>
        </is>
      </c>
      <c r="U888" t="inlineStr">
        <is>
          <t>1 Year/18,000 Mile</t>
        </is>
      </c>
      <c r="V888" t="inlineStr">
        <is>
          <t>Yes</t>
        </is>
      </c>
      <c r="W888" t="inlineStr">
        <is>
          <t>Available to Order</t>
        </is>
      </c>
      <c r="X888" t="inlineStr">
        <is>
          <t>Nissan 240SX 1995-89</t>
        </is>
      </c>
      <c r="Y888" t="inlineStr">
        <is>
          <t>00082617597050</t>
        </is>
      </c>
      <c r="Z888" t="inlineStr">
        <is>
          <t>43-4320::98359:99392:292</t>
        </is>
      </c>
      <c r="AA888" t="inlineStr">
        <is>
          <t>Yes</t>
        </is>
      </c>
      <c r="AB888" t="inlineStr"/>
      <c r="AC888" t="inlineStr"/>
    </row>
    <row r="889">
      <c r="A889" t="inlineStr">
        <is>
          <t>888</t>
        </is>
      </c>
      <c r="B889" t="inlineStr">
        <is>
          <t>Windshield Wiper Motor</t>
        </is>
      </c>
      <c r="C889" t="inlineStr">
        <is>
          <t>43-4321</t>
        </is>
      </c>
      <c r="D889" t="inlineStr">
        <is>
          <t>Windshield Wiper Motor - 43-4321</t>
        </is>
      </c>
      <c r="E889" t="inlineStr">
        <is>
          <t>CARDONE Reman</t>
        </is>
      </c>
      <c r="F889" t="inlineStr">
        <is>
          <t>2870030P00</t>
        </is>
      </c>
      <c r="G889" t="inlineStr">
        <is>
          <t>Nissan 300ZX 1990-1996</t>
        </is>
      </c>
      <c r="H889" t="inlineStr">
        <is>
          <t>Nissan 300ZX 1990-1996 3L V6 181cid</t>
        </is>
      </c>
      <c r="I889" t="inlineStr">
        <is>
          <t>{"0": {"productDeskExternalKey": "CPCX|43-4321"},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"Nissan 300ZX 1996-90"}, "14": {"ItemLevelGTIN": "00082617597067"}, "15": {"_addonCardone": "43-4321::98359:99400:292"}, "16": {"Eligible for R&amp;R Service": "Yes"}}</t>
        </is>
      </c>
      <c r="J889" t="inlineStr">
        <is>
          <t>https://www.cardone.com/product/windshield-wiper-motor-43-4321</t>
        </is>
      </c>
      <c r="K889">
        <f>DISPIMG("ID_E4421D4FCF9048B894100572C3B0F1F5",1)</f>
        <v/>
      </c>
      <c r="L889" t="inlineStr">
        <is>
          <t>CPCX|43-4321</t>
        </is>
      </c>
      <c r="M889" t="inlineStr">
        <is>
          <t>Wiper Motor; Instruction Sheet</t>
        </is>
      </c>
      <c r="N889" t="inlineStr">
        <is>
          <t>Yes</t>
        </is>
      </c>
      <c r="O889" t="inlineStr">
        <is>
          <t>Remanufactured</t>
        </is>
      </c>
      <c r="P889" t="inlineStr">
        <is>
          <t>3</t>
        </is>
      </c>
      <c r="Q889" t="inlineStr">
        <is>
          <t>Blade</t>
        </is>
      </c>
      <c r="R889" t="inlineStr">
        <is>
          <t>Grommet</t>
        </is>
      </c>
      <c r="S889" t="inlineStr">
        <is>
          <t>2.5000</t>
        </is>
      </c>
      <c r="T889" t="inlineStr">
        <is>
          <t>No</t>
        </is>
      </c>
      <c r="U889" t="inlineStr">
        <is>
          <t>1 Year/18,000 Mile</t>
        </is>
      </c>
      <c r="V889" t="inlineStr">
        <is>
          <t>Yes</t>
        </is>
      </c>
      <c r="W889" t="inlineStr">
        <is>
          <t>Available to Order</t>
        </is>
      </c>
      <c r="X889" t="inlineStr">
        <is>
          <t>Nissan 300ZX 1996-90</t>
        </is>
      </c>
      <c r="Y889" t="inlineStr">
        <is>
          <t>00082617597067</t>
        </is>
      </c>
      <c r="Z889" t="inlineStr">
        <is>
          <t>43-4321::98359:99400:292</t>
        </is>
      </c>
      <c r="AA889" t="inlineStr">
        <is>
          <t>Yes</t>
        </is>
      </c>
      <c r="AB889" t="inlineStr"/>
      <c r="AC889" t="inlineStr"/>
    </row>
    <row r="890">
      <c r="A890" t="inlineStr">
        <is>
          <t>889</t>
        </is>
      </c>
      <c r="B890" t="inlineStr">
        <is>
          <t>Windshield Wiper Motor</t>
        </is>
      </c>
      <c r="C890" t="inlineStr">
        <is>
          <t>43-4322</t>
        </is>
      </c>
      <c r="D890" t="inlineStr">
        <is>
          <t>Windshield Wiper Motor - 43-4322</t>
        </is>
      </c>
      <c r="E890" t="inlineStr">
        <is>
          <t>CARDONE Reman</t>
        </is>
      </c>
      <c r="F890" t="inlineStr">
        <is>
          <t>288108J000</t>
        </is>
      </c>
      <c r="G890" t="inlineStr">
        <is>
          <t>Nissan Altima 2002</t>
        </is>
      </c>
      <c r="H890" t="inlineStr">
        <is>
          <t>Nissan Altima 2002 2.5L L4 152cid
Nissan Altima 2002 3.5L V6 3498cc</t>
        </is>
      </c>
      <c r="I890" t="inlineStr">
        <is>
          <t>{"0": {"productDeskExternalKey": "CPCX|43-4322"},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"Nissan Altima 2002"}, "14": {"ItemLevelGTIN": "00082617620895"}, "15": {"_addonCardone": "43-4322::98359:99408:292"}, "16": {"Eligible for R&amp;R Service": "Yes"}}</t>
        </is>
      </c>
      <c r="J890" t="inlineStr">
        <is>
          <t>https://www.cardone.com/product/windshield-wiper-motor-43-4322</t>
        </is>
      </c>
      <c r="K890">
        <f>DISPIMG("ID_86AA73CAF49045DF9742AF9E779D7896",1)</f>
        <v/>
      </c>
      <c r="L890" t="inlineStr">
        <is>
          <t>CPCX|43-4322</t>
        </is>
      </c>
      <c r="M890" t="inlineStr">
        <is>
          <t>Wiper Motor; Instruction Sheet</t>
        </is>
      </c>
      <c r="N890" t="inlineStr">
        <is>
          <t>Yes</t>
        </is>
      </c>
      <c r="O890" t="inlineStr">
        <is>
          <t>Remanufactured</t>
        </is>
      </c>
      <c r="P890" t="inlineStr">
        <is>
          <t>3</t>
        </is>
      </c>
      <c r="Q890" t="inlineStr">
        <is>
          <t>Blade</t>
        </is>
      </c>
      <c r="R890" t="inlineStr">
        <is>
          <t>Direct Bolt</t>
        </is>
      </c>
      <c r="S890" t="inlineStr">
        <is>
          <t>2.5000</t>
        </is>
      </c>
      <c r="T890" t="inlineStr">
        <is>
          <t>No</t>
        </is>
      </c>
      <c r="U890" t="inlineStr">
        <is>
          <t>1 Year/18,000 Mile</t>
        </is>
      </c>
      <c r="V890" t="inlineStr">
        <is>
          <t>Yes</t>
        </is>
      </c>
      <c r="W890" t="inlineStr">
        <is>
          <t>Available to Order</t>
        </is>
      </c>
      <c r="X890" t="inlineStr">
        <is>
          <t>Nissan Altima 2002</t>
        </is>
      </c>
      <c r="Y890" t="inlineStr">
        <is>
          <t>00082617620895</t>
        </is>
      </c>
      <c r="Z890" t="inlineStr">
        <is>
          <t>43-4322::98359:99408:292</t>
        </is>
      </c>
      <c r="AA890" t="inlineStr">
        <is>
          <t>Yes</t>
        </is>
      </c>
      <c r="AB890" t="inlineStr"/>
      <c r="AC890" t="inlineStr"/>
    </row>
    <row r="891">
      <c r="A891" t="inlineStr">
        <is>
          <t>890</t>
        </is>
      </c>
      <c r="B891" t="inlineStr">
        <is>
          <t>Windshield Wiper Motor</t>
        </is>
      </c>
      <c r="C891" t="inlineStr">
        <is>
          <t>43-4323</t>
        </is>
      </c>
      <c r="D891" t="inlineStr">
        <is>
          <t>Windshield Wiper Motor - 43-4323</t>
        </is>
      </c>
      <c r="E891" t="inlineStr">
        <is>
          <t>CARDONE Reman</t>
        </is>
      </c>
      <c r="F891" t="inlineStr">
        <is>
          <t>2871011A00</t>
        </is>
      </c>
      <c r="G891" t="inlineStr">
        <is>
          <t>Nissan Sentra 1982-1986</t>
        </is>
      </c>
      <c r="H891" t="inlineStr">
        <is>
          <t>Nissan Sentra 1982-1983 1.5L L4 1488cc
Nissan Sentra 1983-1986 1.6L L4 97cid
Nissan Sentra 1983-1986 1.7L L4 1688cc</t>
        </is>
      </c>
      <c r="I891" t="inlineStr">
        <is>
          <t>{"0": {"productDeskExternalKey": "CPCX|43-4323"}, "1": {"Package Contents": "Wiper Motor; Instruction Sheet"}, "2": {"E-Waste": "Yes"}, "3": {"Product Condition": "Remanufactured"}, "4": {"Mounting Hole Quantity": "4"}, "5": {"Terminal Type": "Blade"}, "6": {"Mounting Type": "Eyelet"}, "7": {"Weight PG": "2.0000"}, "8": {"Washer Pump Included": "No"}, "9": {"Part Type": "Windshield Wiper Motor"}, "10": {"Warranty Info": "1 Year/18,000 Mile"}, "11": {"Sustainable Choice": "Yes"}, "12": {"Lifecycle Status": "Available to Order"}, "13": {"Application Summary": "Nissan Sentra 1986-82"}, "14": {"ItemLevelGTIN": "00082617620901"}, "15": {"_addonCardone": "43-4323::98359:99416:292"}, "16": {"Eligible for R&amp;R Service": "Yes"}}</t>
        </is>
      </c>
      <c r="J891" t="inlineStr">
        <is>
          <t>https://www.cardone.com/product/windshield-wiper-motor-43-4323</t>
        </is>
      </c>
      <c r="K891">
        <f>DISPIMG("ID_9B6A6D5FC9E7484391C1AFFEC8C256B8",1)</f>
        <v/>
      </c>
      <c r="L891" t="inlineStr">
        <is>
          <t>CPCX|43-4323</t>
        </is>
      </c>
      <c r="M891" t="inlineStr">
        <is>
          <t>Wiper Motor; Instruction Sheet</t>
        </is>
      </c>
      <c r="N891" t="inlineStr">
        <is>
          <t>Yes</t>
        </is>
      </c>
      <c r="O891" t="inlineStr">
        <is>
          <t>Remanufactured</t>
        </is>
      </c>
      <c r="P891" t="inlineStr">
        <is>
          <t>4</t>
        </is>
      </c>
      <c r="Q891" t="inlineStr">
        <is>
          <t>Blade</t>
        </is>
      </c>
      <c r="R891" t="inlineStr">
        <is>
          <t>Eyelet</t>
        </is>
      </c>
      <c r="S891" t="inlineStr">
        <is>
          <t>2.0000</t>
        </is>
      </c>
      <c r="T891" t="inlineStr">
        <is>
          <t>No</t>
        </is>
      </c>
      <c r="U891" t="inlineStr">
        <is>
          <t>1 Year/18,000 Mile</t>
        </is>
      </c>
      <c r="V891" t="inlineStr">
        <is>
          <t>Yes</t>
        </is>
      </c>
      <c r="W891" t="inlineStr">
        <is>
          <t>Available to Order</t>
        </is>
      </c>
      <c r="X891" t="inlineStr">
        <is>
          <t>Nissan Sentra 1986-82</t>
        </is>
      </c>
      <c r="Y891" t="inlineStr">
        <is>
          <t>00082617620901</t>
        </is>
      </c>
      <c r="Z891" t="inlineStr">
        <is>
          <t>43-4323::98359:99416:292</t>
        </is>
      </c>
      <c r="AA891" t="inlineStr">
        <is>
          <t>Yes</t>
        </is>
      </c>
      <c r="AB891" t="inlineStr"/>
      <c r="AC891" t="inlineStr"/>
    </row>
    <row r="892">
      <c r="A892" t="inlineStr">
        <is>
          <t>891</t>
        </is>
      </c>
      <c r="B892" t="inlineStr">
        <is>
          <t>Windshield Wiper Motor</t>
        </is>
      </c>
      <c r="C892" t="inlineStr">
        <is>
          <t>43-4324</t>
        </is>
      </c>
      <c r="D892" t="inlineStr">
        <is>
          <t>Windshield Wiper Motor - 43-4324</t>
        </is>
      </c>
      <c r="E892" t="inlineStr">
        <is>
          <t>CARDONE Reman</t>
        </is>
      </c>
      <c r="F892" t="inlineStr">
        <is>
          <t>2870009E00</t>
        </is>
      </c>
      <c r="G892" t="inlineStr"/>
      <c r="H892" t="inlineStr"/>
      <c r="I892" t="inlineStr">
        <is>
          <t>{"0": {"productDeskExternalKey": "CPCX|43-4324"},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"Nissan Maxima 1988-85"}, "14": {"ItemLevelGTIN": "00082617620918"}, "15": {"_addonCardone": "43-4324::98359:99426:292"}, "16": {"Eligible for R&amp;R Service": "Yes"}}</t>
        </is>
      </c>
      <c r="J892" t="inlineStr">
        <is>
          <t>https://www.cardone.com/product/windshield-wiper-motor-43-4324</t>
        </is>
      </c>
      <c r="K892">
        <f>DISPIMG("ID_BCAC8C47A8144952B32569C26E84B429",1)</f>
        <v/>
      </c>
      <c r="L892" t="inlineStr">
        <is>
          <t>CPCX|43-4324</t>
        </is>
      </c>
      <c r="M892" t="inlineStr">
        <is>
          <t>Wiper Motor; Instruction Sheet</t>
        </is>
      </c>
      <c r="N892" t="inlineStr">
        <is>
          <t>Yes</t>
        </is>
      </c>
      <c r="O892" t="inlineStr">
        <is>
          <t>Remanufactured</t>
        </is>
      </c>
      <c r="P892" t="inlineStr">
        <is>
          <t>3</t>
        </is>
      </c>
      <c r="Q892" t="inlineStr">
        <is>
          <t>Blade</t>
        </is>
      </c>
      <c r="R892" t="inlineStr">
        <is>
          <t>Grommet</t>
        </is>
      </c>
      <c r="S892" t="inlineStr">
        <is>
          <t>2.0000</t>
        </is>
      </c>
      <c r="T892" t="inlineStr">
        <is>
          <t>No</t>
        </is>
      </c>
      <c r="U892" t="inlineStr">
        <is>
          <t>1 Year/18,000 Mile</t>
        </is>
      </c>
      <c r="V892" t="inlineStr">
        <is>
          <t>Yes</t>
        </is>
      </c>
      <c r="W892" t="inlineStr">
        <is>
          <t>Available to Order</t>
        </is>
      </c>
      <c r="X892" t="inlineStr">
        <is>
          <t>Nissan Maxima 1988-85</t>
        </is>
      </c>
      <c r="Y892" t="inlineStr">
        <is>
          <t>00082617620918</t>
        </is>
      </c>
      <c r="Z892" t="inlineStr">
        <is>
          <t>43-4324::98359:99426:292</t>
        </is>
      </c>
      <c r="AA892" t="inlineStr">
        <is>
          <t>Yes</t>
        </is>
      </c>
      <c r="AB892" t="inlineStr"/>
      <c r="AC892" t="inlineStr"/>
    </row>
    <row r="893">
      <c r="A893" t="inlineStr">
        <is>
          <t>892</t>
        </is>
      </c>
      <c r="B893" t="inlineStr">
        <is>
          <t>Windshield Wiper Motor</t>
        </is>
      </c>
      <c r="C893" t="inlineStr">
        <is>
          <t>43-4325</t>
        </is>
      </c>
      <c r="D893" t="inlineStr">
        <is>
          <t>Windshield Wiper Motor - 43-4325</t>
        </is>
      </c>
      <c r="E893" t="inlineStr">
        <is>
          <t>CARDONE Reman</t>
        </is>
      </c>
      <c r="F893" t="inlineStr">
        <is>
          <t>2870021R00</t>
        </is>
      </c>
      <c r="G893" t="inlineStr">
        <is>
          <t>Nissan Stanza 1986-1989</t>
        </is>
      </c>
      <c r="H893" t="inlineStr">
        <is>
          <t>Nissan Stanza 1986-1989 2L L4 1974cc</t>
        </is>
      </c>
      <c r="I893" t="inlineStr">
        <is>
          <t>{"0": {"productDeskExternalKey": "CPCX|43-4325"}, "1": {"Package Contents": "Wiper Motor; Instruction Sheet"}, "2": {"E-Waste": "Yes"}, "3": {"Product Condition": "Remanufactured"}, "4": {"Mounting Hole Quantity": "4"}, "5": {"Terminal Type": "Blade"}, "6": {"Mounting Type": "Grommet"}, "7": {"Weight PG": "2.2500"}, "8": {"Washer Pump Included": "No"}, "9": {"Part Type": "Windshield Wiper Motor"}, "10": {"Warranty Info": "1 Year/18,000 Mile"}, "11": {"Sustainable Choice": "Yes"}, "12": {"Lifecycle Status": "Available to Order"}, "13": {"Application Summary": "Nissan Stanza 1988-86"}, "14": {"ItemLevelGTIN": "00082617641579"}, "15": {"_addonCardone": "43-4325::98359:99431:292"}, "16": {"Eligible for R&amp;R Service": "Yes"}}</t>
        </is>
      </c>
      <c r="J893" t="inlineStr">
        <is>
          <t>https://www.cardone.com/product/windshield-wiper-motor-43-4325</t>
        </is>
      </c>
      <c r="K893">
        <f>DISPIMG("ID_A63B9078F275424485907CBC60A5499F",1)</f>
        <v/>
      </c>
      <c r="L893" t="inlineStr">
        <is>
          <t>CPCX|43-4325</t>
        </is>
      </c>
      <c r="M893" t="inlineStr">
        <is>
          <t>Wiper Motor; Instruction Sheet</t>
        </is>
      </c>
      <c r="N893" t="inlineStr">
        <is>
          <t>Yes</t>
        </is>
      </c>
      <c r="O893" t="inlineStr">
        <is>
          <t>Remanufactured</t>
        </is>
      </c>
      <c r="P893" t="inlineStr">
        <is>
          <t>4</t>
        </is>
      </c>
      <c r="Q893" t="inlineStr">
        <is>
          <t>Blade</t>
        </is>
      </c>
      <c r="R893" t="inlineStr">
        <is>
          <t>Grommet</t>
        </is>
      </c>
      <c r="S893" t="inlineStr">
        <is>
          <t>2.2500</t>
        </is>
      </c>
      <c r="T893" t="inlineStr">
        <is>
          <t>No</t>
        </is>
      </c>
      <c r="U893" t="inlineStr">
        <is>
          <t>1 Year/18,000 Mile</t>
        </is>
      </c>
      <c r="V893" t="inlineStr">
        <is>
          <t>Yes</t>
        </is>
      </c>
      <c r="W893" t="inlineStr">
        <is>
          <t>Available to Order</t>
        </is>
      </c>
      <c r="X893" t="inlineStr">
        <is>
          <t>Nissan Stanza 1988-86</t>
        </is>
      </c>
      <c r="Y893" t="inlineStr">
        <is>
          <t>00082617641579</t>
        </is>
      </c>
      <c r="Z893" t="inlineStr">
        <is>
          <t>43-4325::98359:99431:292</t>
        </is>
      </c>
      <c r="AA893" t="inlineStr">
        <is>
          <t>Yes</t>
        </is>
      </c>
      <c r="AB893" t="inlineStr"/>
      <c r="AC893" t="inlineStr"/>
    </row>
    <row r="894">
      <c r="A894" t="inlineStr">
        <is>
          <t>893</t>
        </is>
      </c>
      <c r="B894" t="inlineStr">
        <is>
          <t>Windshield Wiper Motor</t>
        </is>
      </c>
      <c r="C894" t="inlineStr">
        <is>
          <t>43-4326</t>
        </is>
      </c>
      <c r="D894" t="inlineStr">
        <is>
          <t>Windshield Wiper Motor - 43-4326</t>
        </is>
      </c>
      <c r="E894" t="inlineStr">
        <is>
          <t>CARDONE Reman</t>
        </is>
      </c>
      <c r="F894" t="inlineStr">
        <is>
          <t>8944666303</t>
        </is>
      </c>
      <c r="G894" t="inlineStr">
        <is>
          <t>Geo Storm 1990-1993
Isuzu Impulse 1990-1992</t>
        </is>
      </c>
      <c r="H894" t="inlineStr">
        <is>
          <t>Geo Storm 1990-1993 1.6L L4 98cid
Geo Storm 1992-1993 1.8L L4 110cid
Isuzu Impulse 1990-1992 1.6L L4 1588cc
Isuzu Impulse 1992 1.8L L4 110cid</t>
        </is>
      </c>
      <c r="I894" t="inlineStr">
        <is>
          <t>{"0": {"productDeskExternalKey": "CPCX|43-4326"}, "1": {"Package Contents": "Wiper Motor; Instruction Sheet"}, "2": {"E-Waste": "Yes"}, "3": {"Product Condition": "Remanufactured"}, "4": {"Mounting Hole Quantity": "2"}, "5": {"Terminal Type": "Blade"}, "6": {"Mounting Type": "Grommet"}, "7": {"Weight PG": "2.5000"}, "8": {"Washer Pump Included": "No"}, "9": {"Part Type": "Windshield Wiper Motor"}, "10": {"Warranty Info": "1 Year/18,000 Mile"}, "11": {"Sustainable Choice": "Yes"}, "12": {"Lifecycle Status": "Available to Order"}, "13": {"Application Summary": "Geo Storm 1993-90; Isuzu Impulse 1992-90"}, "14": {"ItemLevelGTIN": "00082617654906"}, "15": {"_addonCardone": "43-4326::98359:99434:292"}, "16": {"Eligible for R&amp;R Service": "Yes"}}</t>
        </is>
      </c>
      <c r="J894" t="inlineStr">
        <is>
          <t>https://www.cardone.com/product/windshield-wiper-motor-43-4326</t>
        </is>
      </c>
      <c r="K894">
        <f>DISPIMG("ID_53D9D464943D4CF1A94DCD26B88A3AC7",1)</f>
        <v/>
      </c>
      <c r="L894" t="inlineStr">
        <is>
          <t>CPCX|43-4326</t>
        </is>
      </c>
      <c r="M894" t="inlineStr">
        <is>
          <t>Wiper Motor; Instruction Sheet</t>
        </is>
      </c>
      <c r="N894" t="inlineStr">
        <is>
          <t>Yes</t>
        </is>
      </c>
      <c r="O894" t="inlineStr">
        <is>
          <t>Remanufactured</t>
        </is>
      </c>
      <c r="P894" t="inlineStr">
        <is>
          <t>2</t>
        </is>
      </c>
      <c r="Q894" t="inlineStr">
        <is>
          <t>Blade</t>
        </is>
      </c>
      <c r="R894" t="inlineStr">
        <is>
          <t>Grommet</t>
        </is>
      </c>
      <c r="S894" t="inlineStr">
        <is>
          <t>2.5000</t>
        </is>
      </c>
      <c r="T894" t="inlineStr">
        <is>
          <t>No</t>
        </is>
      </c>
      <c r="U894" t="inlineStr">
        <is>
          <t>1 Year/18,000 Mile</t>
        </is>
      </c>
      <c r="V894" t="inlineStr">
        <is>
          <t>Yes</t>
        </is>
      </c>
      <c r="W894" t="inlineStr">
        <is>
          <t>Available to Order</t>
        </is>
      </c>
      <c r="X894" t="inlineStr">
        <is>
          <t>Geo Storm 1993-90; Isuzu Impulse 1992-90</t>
        </is>
      </c>
      <c r="Y894" t="inlineStr">
        <is>
          <t>00082617654906</t>
        </is>
      </c>
      <c r="Z894" t="inlineStr">
        <is>
          <t>43-4326::98359:99434:292</t>
        </is>
      </c>
      <c r="AA894" t="inlineStr">
        <is>
          <t>Yes</t>
        </is>
      </c>
      <c r="AB894" t="inlineStr"/>
      <c r="AC894" t="inlineStr"/>
    </row>
    <row r="895">
      <c r="A895" t="inlineStr">
        <is>
          <t>894</t>
        </is>
      </c>
      <c r="B895" t="inlineStr">
        <is>
          <t>Windshield Wiper Motor</t>
        </is>
      </c>
      <c r="C895" t="inlineStr">
        <is>
          <t>43-4327</t>
        </is>
      </c>
      <c r="D895" t="inlineStr">
        <is>
          <t>Windshield Wiper Motor - 43-4327</t>
        </is>
      </c>
      <c r="E895" t="inlineStr">
        <is>
          <t>CARDONE Reman</t>
        </is>
      </c>
      <c r="F895" t="inlineStr">
        <is>
          <t>2870030R10</t>
        </is>
      </c>
      <c r="G895" t="inlineStr">
        <is>
          <t>Nissan Axxess 1990-1992</t>
        </is>
      </c>
      <c r="H895" t="inlineStr">
        <is>
          <t>Nissan Axxess 1990-1992 2.4L L4 2389cc</t>
        </is>
      </c>
      <c r="I895" t="inlineStr">
        <is>
          <t>{"0": {"productDeskExternalKey": "CPCX|43-4327"},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"Nissan Axxess 1992-90"}, "14": {"ItemLevelGTIN": "00082617674812"}, "15": {"_addonCardone": "43-4327::98359:99436:292"}, "16": {"Eligible for R&amp;R Service": "Yes"}}</t>
        </is>
      </c>
      <c r="J895" t="inlineStr">
        <is>
          <t>https://www.cardone.com/product/windshield-wiper-motor-43-4327</t>
        </is>
      </c>
      <c r="K895">
        <f>DISPIMG("ID_F66C8295173D43D78FE9FBAB6867975F",1)</f>
        <v/>
      </c>
      <c r="L895" t="inlineStr">
        <is>
          <t>CPCX|43-4327</t>
        </is>
      </c>
      <c r="M895" t="inlineStr">
        <is>
          <t>Wiper Motor; Instruction Sheet</t>
        </is>
      </c>
      <c r="N895" t="inlineStr">
        <is>
          <t>Yes</t>
        </is>
      </c>
      <c r="O895" t="inlineStr">
        <is>
          <t>Remanufactured</t>
        </is>
      </c>
      <c r="P895" t="inlineStr">
        <is>
          <t>3</t>
        </is>
      </c>
      <c r="Q895" t="inlineStr">
        <is>
          <t>Blade</t>
        </is>
      </c>
      <c r="R895" t="inlineStr">
        <is>
          <t>Grommet</t>
        </is>
      </c>
      <c r="S895" t="inlineStr">
        <is>
          <t>2.5000</t>
        </is>
      </c>
      <c r="T895" t="inlineStr">
        <is>
          <t>No</t>
        </is>
      </c>
      <c r="U895" t="inlineStr">
        <is>
          <t>1 Year/18,000 Mile</t>
        </is>
      </c>
      <c r="V895" t="inlineStr">
        <is>
          <t>Yes</t>
        </is>
      </c>
      <c r="W895" t="inlineStr">
        <is>
          <t>Available to Order</t>
        </is>
      </c>
      <c r="X895" t="inlineStr">
        <is>
          <t>Nissan Axxess 1992-90</t>
        </is>
      </c>
      <c r="Y895" t="inlineStr">
        <is>
          <t>00082617674812</t>
        </is>
      </c>
      <c r="Z895" t="inlineStr">
        <is>
          <t>43-4327::98359:99436:292</t>
        </is>
      </c>
      <c r="AA895" t="inlineStr">
        <is>
          <t>Yes</t>
        </is>
      </c>
      <c r="AB895" t="inlineStr"/>
      <c r="AC895" t="inlineStr"/>
    </row>
    <row r="896">
      <c r="A896" t="inlineStr">
        <is>
          <t>895</t>
        </is>
      </c>
      <c r="B896" t="inlineStr">
        <is>
          <t>Windshield Wiper Motor</t>
        </is>
      </c>
      <c r="C896" t="inlineStr">
        <is>
          <t>43-4328</t>
        </is>
      </c>
      <c r="D896" t="inlineStr">
        <is>
          <t>Windshield Wiper Motor - 43-4328</t>
        </is>
      </c>
      <c r="E896" t="inlineStr">
        <is>
          <t>CARDONE Reman</t>
        </is>
      </c>
      <c r="F896" t="inlineStr">
        <is>
          <t>288107S000</t>
        </is>
      </c>
      <c r="G896" t="inlineStr">
        <is>
          <t>Nissan TITAN 2004-2006</t>
        </is>
      </c>
      <c r="H896" t="inlineStr">
        <is>
          <t>Nissan TITAN 2004-2006 5.6L V8 5552cc</t>
        </is>
      </c>
      <c r="I896" t="inlineStr">
        <is>
          <t>{"0": {"productDeskExternalKey": "CPCX|43-4328"}, "1": {"Package Contents": "Wiper Motor; Instruction Sheet"}, "2": {"E-Waste": "Yes"}, "3": {"Product Condition": "Remanufactured"}, "4": {"Mounting Hole Quantity": "3"}, "5": {"Terminal Type": "Blade"}, "6": {"Mounting Type": "Direct Bolt; Grommet"}, "7": {"Weight PG": "3.0000"}, "8": {"Washer Pump Included": "No"}, "9": {"Part Type": "Windshield Wiper Motor"}, "10": {"Warranty Info": "1 Year/18,000 Mile"}, "11": {"Sustainable Choice": "Yes"}, "12": {"Lifecycle Status": "Available to Order"}, "13": {"Application Summary": "INFINITI QX56 2007-04; Nissan Armada 2007-05, Pathfinder Armada 2004, Titan 2006-04"}, "14": {"ItemLevelGTIN": "00082617705684"}, "15": {"_addonCardone": "43-4328::98359:99440:292"}, "16": {"Eligible for R&amp;R Service": "Yes"}}</t>
        </is>
      </c>
      <c r="J896" t="inlineStr">
        <is>
          <t>https://www.cardone.com/product/windshield-wiper-motor-43-4328</t>
        </is>
      </c>
      <c r="K896">
        <f>DISPIMG("ID_6F31D971F7744DC4A5961B6825198945",1)</f>
        <v/>
      </c>
      <c r="L896" t="inlineStr">
        <is>
          <t>CPCX|43-4328</t>
        </is>
      </c>
      <c r="M896" t="inlineStr">
        <is>
          <t>Wiper Motor; Instruction Sheet</t>
        </is>
      </c>
      <c r="N896" t="inlineStr">
        <is>
          <t>Yes</t>
        </is>
      </c>
      <c r="O896" t="inlineStr">
        <is>
          <t>Remanufactured</t>
        </is>
      </c>
      <c r="P896" t="inlineStr">
        <is>
          <t>3</t>
        </is>
      </c>
      <c r="Q896" t="inlineStr">
        <is>
          <t>Blade</t>
        </is>
      </c>
      <c r="R896" t="inlineStr">
        <is>
          <t>Direct Bolt; Grommet</t>
        </is>
      </c>
      <c r="S896" t="inlineStr">
        <is>
          <t>3.0000</t>
        </is>
      </c>
      <c r="T896" t="inlineStr">
        <is>
          <t>No</t>
        </is>
      </c>
      <c r="U896" t="inlineStr">
        <is>
          <t>1 Year/18,000 Mile</t>
        </is>
      </c>
      <c r="V896" t="inlineStr">
        <is>
          <t>Yes</t>
        </is>
      </c>
      <c r="W896" t="inlineStr">
        <is>
          <t>Available to Order</t>
        </is>
      </c>
      <c r="X896" t="inlineStr">
        <is>
          <t>INFINITI QX56 2007-04; Nissan Armada 2007-05, Pathfinder Armada 2004, Titan 2006-04</t>
        </is>
      </c>
      <c r="Y896" t="inlineStr">
        <is>
          <t>00082617705684</t>
        </is>
      </c>
      <c r="Z896" t="inlineStr">
        <is>
          <t>43-4328::98359:99440:292</t>
        </is>
      </c>
      <c r="AA896" t="inlineStr">
        <is>
          <t>Yes</t>
        </is>
      </c>
      <c r="AB896" t="inlineStr"/>
      <c r="AC896" t="inlineStr"/>
    </row>
    <row r="897">
      <c r="A897" t="inlineStr">
        <is>
          <t>896</t>
        </is>
      </c>
      <c r="B897" t="inlineStr">
        <is>
          <t>Windshield Wiper Motor</t>
        </is>
      </c>
      <c r="C897" t="inlineStr">
        <is>
          <t>43-4329</t>
        </is>
      </c>
      <c r="D897" t="inlineStr">
        <is>
          <t>Windshield Wiper Motor - 43-4329</t>
        </is>
      </c>
      <c r="E897" t="inlineStr">
        <is>
          <t>CARDONE Reman</t>
        </is>
      </c>
      <c r="F897" t="inlineStr">
        <is>
          <t>288105Z000</t>
        </is>
      </c>
      <c r="G897" t="inlineStr">
        <is>
          <t>Nissan Quest 2004-2009</t>
        </is>
      </c>
      <c r="H897" t="inlineStr">
        <is>
          <t>Nissan Quest 2004-2009 3.5L V6 3498cc</t>
        </is>
      </c>
      <c r="I897" t="inlineStr">
        <is>
          <t>{"0": {"productDeskExternalKey": "CPCX|43-4329"}, "1": {"Package Contents": "Wiper Motor; Instruction Sheet"}, "2": {"E-Waste": "Yes"}, "3": {"Product Condition": "Remanufactured"}, "4": {"Mounting Hole Quantity": "3"}, "5": {"Terminal Type": "Blade"}, "6": {"Mounting Type": "Direct Bolt; Grommet"}, "7": {"Weight PG": "3.5000"}, "8": {"Washer Pump Included": "No"}, "9": {"Part Type": "Windshield Wiper Motor"}, "10": {"Warranty Info": "1 Year/18,000 Mile"}, "11": {"Sustainable Choice": "Yes"}, "12": {"Lifecycle Status": "Available to Order"}, "13": {"Application Summary": "Nissan Quest 2009-04"}, "14": {"ItemLevelGTIN": "00082617705691"}, "15": {"_addonCardone": "43-4329::98359:99443:292"}, "16": {"Eligible for R&amp;R Service": "Yes"}}</t>
        </is>
      </c>
      <c r="J897" t="inlineStr">
        <is>
          <t>https://www.cardone.com/product/windshield-wiper-motor-43-4329</t>
        </is>
      </c>
      <c r="K897">
        <f>DISPIMG("ID_80CC8FF58113445CA88E0A189FEA60CA",1)</f>
        <v/>
      </c>
      <c r="L897" t="inlineStr">
        <is>
          <t>CPCX|43-4329</t>
        </is>
      </c>
      <c r="M897" t="inlineStr">
        <is>
          <t>Wiper Motor; Instruction Sheet</t>
        </is>
      </c>
      <c r="N897" t="inlineStr">
        <is>
          <t>Yes</t>
        </is>
      </c>
      <c r="O897" t="inlineStr">
        <is>
          <t>Remanufactured</t>
        </is>
      </c>
      <c r="P897" t="inlineStr">
        <is>
          <t>3</t>
        </is>
      </c>
      <c r="Q897" t="inlineStr">
        <is>
          <t>Blade</t>
        </is>
      </c>
      <c r="R897" t="inlineStr">
        <is>
          <t>Direct Bolt; Grommet</t>
        </is>
      </c>
      <c r="S897" t="inlineStr">
        <is>
          <t>3.5000</t>
        </is>
      </c>
      <c r="T897" t="inlineStr">
        <is>
          <t>No</t>
        </is>
      </c>
      <c r="U897" t="inlineStr">
        <is>
          <t>1 Year/18,000 Mile</t>
        </is>
      </c>
      <c r="V897" t="inlineStr">
        <is>
          <t>Yes</t>
        </is>
      </c>
      <c r="W897" t="inlineStr">
        <is>
          <t>Available to Order</t>
        </is>
      </c>
      <c r="X897" t="inlineStr">
        <is>
          <t>Nissan Quest 2009-04</t>
        </is>
      </c>
      <c r="Y897" t="inlineStr">
        <is>
          <t>00082617705691</t>
        </is>
      </c>
      <c r="Z897" t="inlineStr">
        <is>
          <t>43-4329::98359:99443:292</t>
        </is>
      </c>
      <c r="AA897" t="inlineStr">
        <is>
          <t>Yes</t>
        </is>
      </c>
      <c r="AB897" t="inlineStr"/>
      <c r="AC897" t="inlineStr"/>
    </row>
    <row r="898">
      <c r="A898" t="inlineStr">
        <is>
          <t>897</t>
        </is>
      </c>
      <c r="B898" t="inlineStr">
        <is>
          <t>Windshield Wiper Motor</t>
        </is>
      </c>
      <c r="C898" t="inlineStr">
        <is>
          <t>43-4330</t>
        </is>
      </c>
      <c r="D898" t="inlineStr">
        <is>
          <t>Windshield Wiper Motor - 43-4330</t>
        </is>
      </c>
      <c r="E898" t="inlineStr">
        <is>
          <t>CARDONE Reman</t>
        </is>
      </c>
      <c r="F898" t="inlineStr">
        <is>
          <t>287005Z000</t>
        </is>
      </c>
      <c r="G898" t="inlineStr">
        <is>
          <t>Nissan Quest 2004-2009</t>
        </is>
      </c>
      <c r="H898" t="inlineStr">
        <is>
          <t>Nissan Quest 2004-2009 3.5L V6 3498cc</t>
        </is>
      </c>
      <c r="I898" t="inlineStr">
        <is>
          <t>{"0": {"productDeskExternalKey": "CPCX|43-4330"},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"Nissan Quest 2009-04"}, "14": {"ItemLevelGTIN": "00082617699464"}, "15": {"_addonCardone": "43-4330::98359:99445:292"}, "16": {"Eligible for R&amp;R Service": "Yes"}}</t>
        </is>
      </c>
      <c r="J898" t="inlineStr">
        <is>
          <t>https://www.cardone.com/product/windshield-wiper-motor-43-4330</t>
        </is>
      </c>
      <c r="K898">
        <f>DISPIMG("ID_27BA12146BC942908C18F6A3787BE6CF",1)</f>
        <v/>
      </c>
      <c r="L898" t="inlineStr">
        <is>
          <t>CPCX|43-4330</t>
        </is>
      </c>
      <c r="M898" t="inlineStr">
        <is>
          <t>Wiper Motor; Instruction Sheet</t>
        </is>
      </c>
      <c r="N898" t="inlineStr">
        <is>
          <t>Yes</t>
        </is>
      </c>
      <c r="O898" t="inlineStr">
        <is>
          <t>Remanufactured</t>
        </is>
      </c>
      <c r="P898" t="inlineStr">
        <is>
          <t>3</t>
        </is>
      </c>
      <c r="Q898" t="inlineStr">
        <is>
          <t>Blade</t>
        </is>
      </c>
      <c r="R898" t="inlineStr">
        <is>
          <t>Grommet</t>
        </is>
      </c>
      <c r="S898" t="inlineStr">
        <is>
          <t>2.5000</t>
        </is>
      </c>
      <c r="T898" t="inlineStr">
        <is>
          <t>No</t>
        </is>
      </c>
      <c r="U898" t="inlineStr">
        <is>
          <t>1 Year/18,000 Mile</t>
        </is>
      </c>
      <c r="V898" t="inlineStr">
        <is>
          <t>Yes</t>
        </is>
      </c>
      <c r="W898" t="inlineStr">
        <is>
          <t>Available to Order</t>
        </is>
      </c>
      <c r="X898" t="inlineStr">
        <is>
          <t>Nissan Quest 2009-04</t>
        </is>
      </c>
      <c r="Y898" t="inlineStr">
        <is>
          <t>00082617699464</t>
        </is>
      </c>
      <c r="Z898" t="inlineStr">
        <is>
          <t>43-4330::98359:99445:292</t>
        </is>
      </c>
      <c r="AA898" t="inlineStr">
        <is>
          <t>Yes</t>
        </is>
      </c>
      <c r="AB898" t="inlineStr"/>
      <c r="AC898" t="inlineStr"/>
    </row>
    <row r="899">
      <c r="A899" t="inlineStr">
        <is>
          <t>898</t>
        </is>
      </c>
      <c r="B899" t="inlineStr">
        <is>
          <t>Windshield Wiper Motor</t>
        </is>
      </c>
      <c r="C899" t="inlineStr">
        <is>
          <t>43-4331</t>
        </is>
      </c>
      <c r="D899" t="inlineStr">
        <is>
          <t>Windshield Wiper Motor - 43-4331</t>
        </is>
      </c>
      <c r="E899" t="inlineStr">
        <is>
          <t>CARDONE Reman</t>
        </is>
      </c>
      <c r="F899" t="inlineStr">
        <is>
          <t>288107Y005;288107Y000</t>
        </is>
      </c>
      <c r="G899" t="inlineStr">
        <is>
          <t>Nissan Altima 2007</t>
        </is>
      </c>
      <c r="H899" t="inlineStr">
        <is>
          <t>Nissan Altima 2007 2.5L L4 152cid
Nissan Altima 2007 3.5L V6 3498cc</t>
        </is>
      </c>
      <c r="I899" t="inlineStr">
        <is>
          <t>{"0": {"productDeskExternalKey": "CPCX|43-4331"},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"Nissan Altima 2007-02, Maxima 2008-04"}, "14": {"ItemLevelGTIN": "00082617705677"}, "15": {"_addonCardone": "43-4331::98359:99450:292"}, "16": {"Eligible for R&amp;R Service": "Yes"}}</t>
        </is>
      </c>
      <c r="J899" t="inlineStr">
        <is>
          <t>https://www.cardone.com/product/windshield-wiper-motor-43-4331</t>
        </is>
      </c>
      <c r="K899">
        <f>DISPIMG("ID_224D9EEEA5B14CDAB558FCF35314E05F",1)</f>
        <v/>
      </c>
      <c r="L899" t="inlineStr">
        <is>
          <t>CPCX|43-4331</t>
        </is>
      </c>
      <c r="M899" t="inlineStr">
        <is>
          <t>Wiper Motor; Instruction Sheet</t>
        </is>
      </c>
      <c r="N899" t="inlineStr">
        <is>
          <t>Yes</t>
        </is>
      </c>
      <c r="O899" t="inlineStr">
        <is>
          <t>Remanufactured</t>
        </is>
      </c>
      <c r="P899" t="inlineStr">
        <is>
          <t>3</t>
        </is>
      </c>
      <c r="Q899" t="inlineStr">
        <is>
          <t>Blade</t>
        </is>
      </c>
      <c r="R899" t="inlineStr">
        <is>
          <t>Direct Bolt</t>
        </is>
      </c>
      <c r="S899" t="inlineStr">
        <is>
          <t>2.5000</t>
        </is>
      </c>
      <c r="T899" t="inlineStr">
        <is>
          <t>No</t>
        </is>
      </c>
      <c r="U899" t="inlineStr">
        <is>
          <t>1 Year/18,000 Mile</t>
        </is>
      </c>
      <c r="V899" t="inlineStr">
        <is>
          <t>Yes</t>
        </is>
      </c>
      <c r="W899" t="inlineStr">
        <is>
          <t>Available to Order</t>
        </is>
      </c>
      <c r="X899" t="inlineStr">
        <is>
          <t>Nissan Altima 2007-02, Maxima 2008-04</t>
        </is>
      </c>
      <c r="Y899" t="inlineStr">
        <is>
          <t>00082617705677</t>
        </is>
      </c>
      <c r="Z899" t="inlineStr">
        <is>
          <t>43-4331::98359:99450:292</t>
        </is>
      </c>
      <c r="AA899" t="inlineStr">
        <is>
          <t>Yes</t>
        </is>
      </c>
      <c r="AB899" t="inlineStr"/>
      <c r="AC899" t="inlineStr"/>
    </row>
    <row r="900">
      <c r="A900" t="inlineStr">
        <is>
          <t>899</t>
        </is>
      </c>
      <c r="B900" t="inlineStr">
        <is>
          <t>Windshield Wiper Motor</t>
        </is>
      </c>
      <c r="C900" t="inlineStr">
        <is>
          <t>43-4332</t>
        </is>
      </c>
      <c r="D900" t="inlineStr">
        <is>
          <t>Windshield Wiper Motor - 43-4332</t>
        </is>
      </c>
      <c r="E900" t="inlineStr">
        <is>
          <t>CARDONE Reman</t>
        </is>
      </c>
      <c r="F900" t="inlineStr">
        <is>
          <t>28810AR000;28810AT30A</t>
        </is>
      </c>
      <c r="G900" t="inlineStr"/>
      <c r="H900" t="inlineStr"/>
      <c r="I900" t="inlineStr">
        <is>
          <t>{"0": {"productDeskExternalKey": "CPCX|43-4332"},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"INFINITI Q45 2006-02"}, "14": {"ItemLevelGTIN": "00082617751438"}, "15": {"_addonCardone": "43-4332::98359:99455:292"}, "16": {"Eligible for R&amp;R Service": "Yes"}}</t>
        </is>
      </c>
      <c r="J900" t="inlineStr">
        <is>
          <t>https://www.cardone.com/product/windshield-wiper-motor-43-4332</t>
        </is>
      </c>
      <c r="K900">
        <f>DISPIMG("ID_6A26082BCBA44B18A485CD1F3A1990DB",1)</f>
        <v/>
      </c>
      <c r="L900" t="inlineStr">
        <is>
          <t>CPCX|43-4332</t>
        </is>
      </c>
      <c r="M900" t="inlineStr">
        <is>
          <t>Wiper Motor; Instruction Sheet</t>
        </is>
      </c>
      <c r="N900" t="inlineStr">
        <is>
          <t>Yes</t>
        </is>
      </c>
      <c r="O900" t="inlineStr">
        <is>
          <t>Remanufactured</t>
        </is>
      </c>
      <c r="P900" t="inlineStr">
        <is>
          <t>3</t>
        </is>
      </c>
      <c r="Q900" t="inlineStr">
        <is>
          <t>Blade</t>
        </is>
      </c>
      <c r="R900" t="inlineStr">
        <is>
          <t>Direct Bolt</t>
        </is>
      </c>
      <c r="S900" t="inlineStr">
        <is>
          <t>3.0000</t>
        </is>
      </c>
      <c r="T900" t="inlineStr">
        <is>
          <t>No</t>
        </is>
      </c>
      <c r="U900" t="inlineStr">
        <is>
          <t>1 Year/18,000 Mile</t>
        </is>
      </c>
      <c r="V900" t="inlineStr">
        <is>
          <t>Yes</t>
        </is>
      </c>
      <c r="W900" t="inlineStr">
        <is>
          <t>Available to Order</t>
        </is>
      </c>
      <c r="X900" t="inlineStr">
        <is>
          <t>INFINITI Q45 2006-02</t>
        </is>
      </c>
      <c r="Y900" t="inlineStr">
        <is>
          <t>00082617751438</t>
        </is>
      </c>
      <c r="Z900" t="inlineStr">
        <is>
          <t>43-4332::98359:99455:292</t>
        </is>
      </c>
      <c r="AA900" t="inlineStr">
        <is>
          <t>Yes</t>
        </is>
      </c>
      <c r="AB900" t="inlineStr"/>
      <c r="AC900" t="inlineStr"/>
    </row>
    <row r="901">
      <c r="A901" t="inlineStr">
        <is>
          <t>900</t>
        </is>
      </c>
      <c r="B901" t="inlineStr">
        <is>
          <t>Windshield Wiper Motor</t>
        </is>
      </c>
      <c r="C901" t="inlineStr">
        <is>
          <t>43-4334</t>
        </is>
      </c>
      <c r="D901" t="inlineStr">
        <is>
          <t>Windshield Wiper Motor - 43-4334</t>
        </is>
      </c>
      <c r="E901" t="inlineStr">
        <is>
          <t>CARDONE Reman</t>
        </is>
      </c>
      <c r="F901" t="inlineStr">
        <is>
          <t>28710CB000;28710CA000</t>
        </is>
      </c>
      <c r="G901" t="inlineStr"/>
      <c r="H901" t="inlineStr"/>
      <c r="I901" t="inlineStr">
        <is>
          <t>{"0": {"productDeskExternalKey": "CPCX|43-4334"},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"Nissan Murano 2007-03"}, "14": {"ItemLevelGTIN": "00082617751445"}, "15": {"_addonCardone": "43-4334::98359:99461:292"}, "16": {"Eligible for R&amp;R Service": "Yes"}}</t>
        </is>
      </c>
      <c r="J901" t="inlineStr">
        <is>
          <t>https://www.cardone.com/product/windshield-wiper-motor-43-4334</t>
        </is>
      </c>
      <c r="K901">
        <f>DISPIMG("ID_9508A126DD334EE2899E6184045B66FF",1)</f>
        <v/>
      </c>
      <c r="L901" t="inlineStr">
        <is>
          <t>CPCX|43-4334</t>
        </is>
      </c>
      <c r="M901" t="inlineStr">
        <is>
          <t>Wiper Motor; Instruction Sheet</t>
        </is>
      </c>
      <c r="N901" t="inlineStr">
        <is>
          <t>Yes</t>
        </is>
      </c>
      <c r="O901" t="inlineStr">
        <is>
          <t>Remanufactured</t>
        </is>
      </c>
      <c r="P901" t="inlineStr">
        <is>
          <t>3</t>
        </is>
      </c>
      <c r="Q901" t="inlineStr">
        <is>
          <t>Blade</t>
        </is>
      </c>
      <c r="R901" t="inlineStr">
        <is>
          <t>Grommet</t>
        </is>
      </c>
      <c r="S901" t="inlineStr">
        <is>
          <t>2.5000</t>
        </is>
      </c>
      <c r="T901" t="inlineStr">
        <is>
          <t>No</t>
        </is>
      </c>
      <c r="U901" t="inlineStr">
        <is>
          <t>1 Year/18,000 Mile</t>
        </is>
      </c>
      <c r="V901" t="inlineStr">
        <is>
          <t>Yes</t>
        </is>
      </c>
      <c r="W901" t="inlineStr">
        <is>
          <t>Available to Order</t>
        </is>
      </c>
      <c r="X901" t="inlineStr">
        <is>
          <t>Nissan Murano 2007-03</t>
        </is>
      </c>
      <c r="Y901" t="inlineStr">
        <is>
          <t>00082617751445</t>
        </is>
      </c>
      <c r="Z901" t="inlineStr">
        <is>
          <t>43-4334::98359:99461:292</t>
        </is>
      </c>
      <c r="AA901" t="inlineStr">
        <is>
          <t>Yes</t>
        </is>
      </c>
      <c r="AB901" t="inlineStr"/>
      <c r="AC901" t="inlineStr"/>
    </row>
    <row r="902">
      <c r="A902" t="inlineStr">
        <is>
          <t>901</t>
        </is>
      </c>
      <c r="B902" t="inlineStr">
        <is>
          <t>Windshield Wiper Motor</t>
        </is>
      </c>
      <c r="C902" t="inlineStr">
        <is>
          <t>43-4336</t>
        </is>
      </c>
      <c r="D902" t="inlineStr">
        <is>
          <t>Windshield Wiper Motor - 43-4336</t>
        </is>
      </c>
      <c r="E902" t="inlineStr">
        <is>
          <t>CARDONE Reman</t>
        </is>
      </c>
      <c r="F902" t="inlineStr">
        <is>
          <t>28710CD000</t>
        </is>
      </c>
      <c r="G902" t="inlineStr">
        <is>
          <t>Nissan 350Z 2003-2009</t>
        </is>
      </c>
      <c r="H902" t="inlineStr">
        <is>
          <t>Nissan 350Z 2003-2009 3.5L V6 3498cc</t>
        </is>
      </c>
      <c r="I902" t="inlineStr">
        <is>
          <t>{"0": {"productDeskExternalKey": "CPCX|43-4336"},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"Nissan 350Z 2009-03"}, "14": {"ItemLevelGTIN": "00082617751452"}, "15": {"_addonCardone": "43-4336::98359:99466:292"}, "16": {"Eligible for R&amp;R Service": "Yes"}}</t>
        </is>
      </c>
      <c r="J902" t="inlineStr">
        <is>
          <t>https://www.cardone.com/product/windshield-wiper-motor-43-4336</t>
        </is>
      </c>
      <c r="K902">
        <f>DISPIMG("ID_7F7E63F871BD43378BEF9B351B13E97E",1)</f>
        <v/>
      </c>
      <c r="L902" t="inlineStr">
        <is>
          <t>CPCX|43-4336</t>
        </is>
      </c>
      <c r="M902" t="inlineStr">
        <is>
          <t>Wiper Motor; Instruction Sheet</t>
        </is>
      </c>
      <c r="N902" t="inlineStr">
        <is>
          <t>Yes</t>
        </is>
      </c>
      <c r="O902" t="inlineStr">
        <is>
          <t>Remanufactured</t>
        </is>
      </c>
      <c r="P902" t="inlineStr">
        <is>
          <t>3</t>
        </is>
      </c>
      <c r="Q902" t="inlineStr">
        <is>
          <t>Blade</t>
        </is>
      </c>
      <c r="R902" t="inlineStr">
        <is>
          <t>Grommet</t>
        </is>
      </c>
      <c r="S902" t="inlineStr">
        <is>
          <t>2.0000</t>
        </is>
      </c>
      <c r="T902" t="inlineStr">
        <is>
          <t>No</t>
        </is>
      </c>
      <c r="U902" t="inlineStr">
        <is>
          <t>1 Year/18,000 Mile</t>
        </is>
      </c>
      <c r="V902" t="inlineStr">
        <is>
          <t>Yes</t>
        </is>
      </c>
      <c r="W902" t="inlineStr">
        <is>
          <t>Available to Order</t>
        </is>
      </c>
      <c r="X902" t="inlineStr">
        <is>
          <t>Nissan 350Z 2009-03</t>
        </is>
      </c>
      <c r="Y902" t="inlineStr">
        <is>
          <t>00082617751452</t>
        </is>
      </c>
      <c r="Z902" t="inlineStr">
        <is>
          <t>43-4336::98359:99466:292</t>
        </is>
      </c>
      <c r="AA902" t="inlineStr">
        <is>
          <t>Yes</t>
        </is>
      </c>
      <c r="AB902" t="inlineStr"/>
      <c r="AC902" t="inlineStr"/>
    </row>
    <row r="903">
      <c r="A903" t="inlineStr">
        <is>
          <t>902</t>
        </is>
      </c>
      <c r="B903" t="inlineStr">
        <is>
          <t>Windshield Wiper Motor</t>
        </is>
      </c>
      <c r="C903" t="inlineStr">
        <is>
          <t>43-4337</t>
        </is>
      </c>
      <c r="D903" t="inlineStr">
        <is>
          <t>Windshield Wiper Motor - 43-4337</t>
        </is>
      </c>
      <c r="E903" t="inlineStr">
        <is>
          <t>CARDONE Reman</t>
        </is>
      </c>
      <c r="F903" t="inlineStr">
        <is>
          <t>28815AM600</t>
        </is>
      </c>
      <c r="G903" t="inlineStr"/>
      <c r="H903" t="inlineStr"/>
      <c r="I903" t="inlineStr">
        <is>
          <t>{"0": {"productDeskExternalKey": "CPCX|43-4337"},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"INFINITI G35 2004-03"}, "14": {"ItemLevelGTIN": "00082617755535"}, "15": {"_addonCardone": "43-4337::98359:99471:292"}, "16": {"Eligible for R&amp;R Service": "Yes"}}</t>
        </is>
      </c>
      <c r="J903" t="inlineStr">
        <is>
          <t>https://www.cardone.com/product/windshield-wiper-motor-43-4337</t>
        </is>
      </c>
      <c r="K903">
        <f>DISPIMG("ID_3218090A781249E08F278CB6EE4A3D49",1)</f>
        <v/>
      </c>
      <c r="L903" t="inlineStr">
        <is>
          <t>CPCX|43-4337</t>
        </is>
      </c>
      <c r="M903" t="inlineStr">
        <is>
          <t>Wiper Motor; Instruction Sheet</t>
        </is>
      </c>
      <c r="N903" t="inlineStr">
        <is>
          <t>Yes</t>
        </is>
      </c>
      <c r="O903" t="inlineStr">
        <is>
          <t>Remanufactured</t>
        </is>
      </c>
      <c r="P903" t="inlineStr">
        <is>
          <t>3</t>
        </is>
      </c>
      <c r="Q903" t="inlineStr">
        <is>
          <t>Blade</t>
        </is>
      </c>
      <c r="R903" t="inlineStr">
        <is>
          <t>Direct Bolt</t>
        </is>
      </c>
      <c r="S903" t="inlineStr">
        <is>
          <t>3.0000</t>
        </is>
      </c>
      <c r="T903" t="inlineStr">
        <is>
          <t>No</t>
        </is>
      </c>
      <c r="U903" t="inlineStr">
        <is>
          <t>1 Year/18,000 Mile</t>
        </is>
      </c>
      <c r="V903" t="inlineStr">
        <is>
          <t>Yes</t>
        </is>
      </c>
      <c r="W903" t="inlineStr">
        <is>
          <t>Available to Order</t>
        </is>
      </c>
      <c r="X903" t="inlineStr">
        <is>
          <t>INFINITI G35 2004-03</t>
        </is>
      </c>
      <c r="Y903" t="inlineStr">
        <is>
          <t>00082617755535</t>
        </is>
      </c>
      <c r="Z903" t="inlineStr">
        <is>
          <t>43-4337::98359:99471:292</t>
        </is>
      </c>
      <c r="AA903" t="inlineStr">
        <is>
          <t>Yes</t>
        </is>
      </c>
      <c r="AB903" t="inlineStr"/>
      <c r="AC903" t="inlineStr"/>
    </row>
    <row r="904">
      <c r="A904" t="inlineStr">
        <is>
          <t>903</t>
        </is>
      </c>
      <c r="B904" t="inlineStr">
        <is>
          <t>Windshield Wiper Motor</t>
        </is>
      </c>
      <c r="C904" t="inlineStr">
        <is>
          <t>43-4338</t>
        </is>
      </c>
      <c r="D904" t="inlineStr">
        <is>
          <t>Windshield Wiper Motor - 43-4338</t>
        </is>
      </c>
      <c r="E904" t="inlineStr">
        <is>
          <t>CARDONE Reman</t>
        </is>
      </c>
      <c r="F904" t="inlineStr">
        <is>
          <t>28815EA000</t>
        </is>
      </c>
      <c r="G904" t="inlineStr">
        <is>
          <t>Nissan Frontier 2005-2008
Nissan Xterra 2005-2008</t>
        </is>
      </c>
      <c r="H904" t="inlineStr">
        <is>
          <t>Nissan Frontier 2005-2008 2.5L L4 152cid
Nissan Frontier 2005-2008 4L V6 3954cc
Nissan Frontier 2006-2008 2.4L L4 2389cc
Nissan Xterra 2005 2.5L L4 152cid
Nissan Xterra 2005-2008 4L V6 3954cc</t>
        </is>
      </c>
      <c r="I904" t="inlineStr">
        <is>
          <t>{"0": {"productDeskExternalKey": "CPCX|43-4338"}, "1": {"Package Contents": "Wiper Motor; Instruction Sheet"}, "2": {"E-Waste": "Yes"}, "3": {"Product Condition": "Remanufactured"}, "4": {"Mounting Hole Quantity": "3"}, "5": {"Terminal Type": "Blade"}, "6": {"Mounting Type": "Direct Bolt; Grommet"}, "7": {"Weight PG": "3.3500"}, "8": {"Washer Pump Included": "No"}, "9": {"Part Type": "Windshield Wiper Motor"}, "10": {"Warranty Info": "1 Year/18,000 Mile"}, "11": {"Sustainable Choice": "Yes"}, "12": {"Lifecycle Status": "Available to Order"}, "13": {"Application Summary": "Nissan Frontier 2008-05, Pathfinder 2008-05, Xterra 2008-05"}, "14": {"ItemLevelGTIN": "00082617755580"}, "15": {"_addonCardone": "43-4338::98359:99477:292"}, "16": {"Eligible for R&amp;R Service": "Yes"}}</t>
        </is>
      </c>
      <c r="J904" t="inlineStr">
        <is>
          <t>https://www.cardone.com/product/windshield-wiper-motor-43-4338</t>
        </is>
      </c>
      <c r="K904">
        <f>DISPIMG("ID_519952DAD90D4FD68457257A8EBAD009",1)</f>
        <v/>
      </c>
      <c r="L904" t="inlineStr">
        <is>
          <t>CPCX|43-4338</t>
        </is>
      </c>
      <c r="M904" t="inlineStr">
        <is>
          <t>Wiper Motor; Instruction Sheet</t>
        </is>
      </c>
      <c r="N904" t="inlineStr">
        <is>
          <t>Yes</t>
        </is>
      </c>
      <c r="O904" t="inlineStr">
        <is>
          <t>Remanufactured</t>
        </is>
      </c>
      <c r="P904" t="inlineStr">
        <is>
          <t>3</t>
        </is>
      </c>
      <c r="Q904" t="inlineStr">
        <is>
          <t>Blade</t>
        </is>
      </c>
      <c r="R904" t="inlineStr">
        <is>
          <t>Direct Bolt; Grommet</t>
        </is>
      </c>
      <c r="S904" t="inlineStr">
        <is>
          <t>3.3500</t>
        </is>
      </c>
      <c r="T904" t="inlineStr">
        <is>
          <t>No</t>
        </is>
      </c>
      <c r="U904" t="inlineStr">
        <is>
          <t>1 Year/18,000 Mile</t>
        </is>
      </c>
      <c r="V904" t="inlineStr">
        <is>
          <t>Yes</t>
        </is>
      </c>
      <c r="W904" t="inlineStr">
        <is>
          <t>Available to Order</t>
        </is>
      </c>
      <c r="X904" t="inlineStr">
        <is>
          <t>Nissan Frontier 2008-05, Pathfinder 2008-05, Xterra 2008-05</t>
        </is>
      </c>
      <c r="Y904" t="inlineStr">
        <is>
          <t>00082617755580</t>
        </is>
      </c>
      <c r="Z904" t="inlineStr">
        <is>
          <t>43-4338::98359:99477:292</t>
        </is>
      </c>
      <c r="AA904" t="inlineStr">
        <is>
          <t>Yes</t>
        </is>
      </c>
      <c r="AB904" t="inlineStr"/>
      <c r="AC904" t="inlineStr"/>
    </row>
    <row r="905">
      <c r="A905" t="inlineStr">
        <is>
          <t>904</t>
        </is>
      </c>
      <c r="B905" t="inlineStr">
        <is>
          <t>Windshield Wiper Motor</t>
        </is>
      </c>
      <c r="C905" t="inlineStr">
        <is>
          <t>43-4339</t>
        </is>
      </c>
      <c r="D905" t="inlineStr">
        <is>
          <t>Windshield Wiper Motor - 43-4339</t>
        </is>
      </c>
      <c r="E905" t="inlineStr">
        <is>
          <t>CARDONE Reman</t>
        </is>
      </c>
      <c r="F905" t="inlineStr">
        <is>
          <t>288101Z200</t>
        </is>
      </c>
      <c r="G905" t="inlineStr"/>
      <c r="H905" t="inlineStr"/>
      <c r="I905" t="inlineStr">
        <is>
          <t>{"0": {"productDeskExternalKey": "CPCX|43-4339"}, "1": {"Package Contents": "Wiper Motor; Instruction Sheet"}, "2": {"E-Waste": "Yes"}, "3": {"Product Condition": "Remanufactured"}, "4": {"Mounting Hole Quantity": "4"}, "5": {"Terminal Type": "Blade"}, "6": {"Mounting Type": "Grommet"}, "7": {"Weight PG": "3.0000"}, "8": {"Washer Pump Included": "No"}, "9": {"Part Type": "Windshield Wiper Motor"}, "10": {"Warranty Info": "1 Year/18,000 Mile"}, "11": {"Sustainable Choice": "Yes"}, "12": {"Lifecycle Status": "Available to Order"}, "13": {"Application Summary": "Nissan Altima 2001"}, "14": {"ItemLevelGTIN": "00082617767002"}, "15": {"_addonCardone": "43-4339::98359:99481:292"}, "16": {"Eligible for R&amp;R Service": "Yes"}}</t>
        </is>
      </c>
      <c r="J905" t="inlineStr">
        <is>
          <t>https://www.cardone.com/product/windshield-wiper-motor-43-4339</t>
        </is>
      </c>
      <c r="K905">
        <f>DISPIMG("ID_8B6DFAC65F7B4A46BBDEB803AE0AF589",1)</f>
        <v/>
      </c>
      <c r="L905" t="inlineStr">
        <is>
          <t>CPCX|43-4339</t>
        </is>
      </c>
      <c r="M905" t="inlineStr">
        <is>
          <t>Wiper Motor; Instruction Sheet</t>
        </is>
      </c>
      <c r="N905" t="inlineStr">
        <is>
          <t>Yes</t>
        </is>
      </c>
      <c r="O905" t="inlineStr">
        <is>
          <t>Remanufactured</t>
        </is>
      </c>
      <c r="P905" t="inlineStr">
        <is>
          <t>4</t>
        </is>
      </c>
      <c r="Q905" t="inlineStr">
        <is>
          <t>Blade</t>
        </is>
      </c>
      <c r="R905" t="inlineStr">
        <is>
          <t>Grommet</t>
        </is>
      </c>
      <c r="S905" t="inlineStr">
        <is>
          <t>3.0000</t>
        </is>
      </c>
      <c r="T905" t="inlineStr">
        <is>
          <t>No</t>
        </is>
      </c>
      <c r="U905" t="inlineStr">
        <is>
          <t>1 Year/18,000 Mile</t>
        </is>
      </c>
      <c r="V905" t="inlineStr">
        <is>
          <t>Yes</t>
        </is>
      </c>
      <c r="W905" t="inlineStr">
        <is>
          <t>Available to Order</t>
        </is>
      </c>
      <c r="X905" t="inlineStr">
        <is>
          <t>Nissan Altima 2001</t>
        </is>
      </c>
      <c r="Y905" t="inlineStr">
        <is>
          <t>00082617767002</t>
        </is>
      </c>
      <c r="Z905" t="inlineStr">
        <is>
          <t>43-4339::98359:99481:292</t>
        </is>
      </c>
      <c r="AA905" t="inlineStr">
        <is>
          <t>Yes</t>
        </is>
      </c>
      <c r="AB905" t="inlineStr"/>
      <c r="AC905" t="inlineStr"/>
    </row>
    <row r="906">
      <c r="A906" t="inlineStr">
        <is>
          <t>905</t>
        </is>
      </c>
      <c r="B906" t="inlineStr">
        <is>
          <t>Windshield Wiper Motor</t>
        </is>
      </c>
      <c r="C906" t="inlineStr">
        <is>
          <t>43-4340</t>
        </is>
      </c>
      <c r="D906" t="inlineStr">
        <is>
          <t>Windshield Wiper Motor - 43-4340</t>
        </is>
      </c>
      <c r="E906" t="inlineStr">
        <is>
          <t>CARDONE Reman</t>
        </is>
      </c>
      <c r="F906" t="inlineStr">
        <is>
          <t>28800CD000</t>
        </is>
      </c>
      <c r="G906" t="inlineStr">
        <is>
          <t>Nissan 350Z 2003-2005</t>
        </is>
      </c>
      <c r="H906" t="inlineStr">
        <is>
          <t>Nissan 350Z 2003-2005 3.5L V6 3498cc</t>
        </is>
      </c>
      <c r="I906" t="inlineStr">
        <is>
          <t>{"0": {"productDeskExternalKey": "CPCX|43-4340"}, "1": {"Package Contents": "Wiper Motor; Instruction Sheet"}, "2": {"E-Waste": "Yes"}, "3": {"Product Condition": "Remanufactured"}, "4": {"Mounting Hole Quantity": "3"}, "5": {"Terminal Type": "Blade"}, "6": {"Mounting Type": "Direct Bolt; Grommet"}, "7": {"Weight PG": "3.3500"}, "8": {"Washer Pump Included": "No"}, "9": {"Part Type": "Windshield Wiper Motor"}, "10": {"Warranty Info": "1 Year/18,000 Mile"}, "11": {"Sustainable Choice": "Yes"}, "12": {"Lifecycle Status": "Available to Order"}, "13": {"Application Summary": "Nissan 350Z 2005-03"}, "14": {"ItemLevelGTIN": "00082617767491"}, "15": {"_addonCardone": "43-4340::98359:99486:292"}, "16": {"Eligible for R&amp;R Service": "Yes"}}</t>
        </is>
      </c>
      <c r="J906" t="inlineStr">
        <is>
          <t>https://www.cardone.com/product/windshield-wiper-motor-43-4340</t>
        </is>
      </c>
      <c r="K906">
        <f>DISPIMG("ID_1513EDB5D5BF49FD97740B881C637DBA",1)</f>
        <v/>
      </c>
      <c r="L906" t="inlineStr">
        <is>
          <t>CPCX|43-4340</t>
        </is>
      </c>
      <c r="M906" t="inlineStr">
        <is>
          <t>Wiper Motor; Instruction Sheet</t>
        </is>
      </c>
      <c r="N906" t="inlineStr">
        <is>
          <t>Yes</t>
        </is>
      </c>
      <c r="O906" t="inlineStr">
        <is>
          <t>Remanufactured</t>
        </is>
      </c>
      <c r="P906" t="inlineStr">
        <is>
          <t>3</t>
        </is>
      </c>
      <c r="Q906" t="inlineStr">
        <is>
          <t>Blade</t>
        </is>
      </c>
      <c r="R906" t="inlineStr">
        <is>
          <t>Direct Bolt; Grommet</t>
        </is>
      </c>
      <c r="S906" t="inlineStr">
        <is>
          <t>3.3500</t>
        </is>
      </c>
      <c r="T906" t="inlineStr">
        <is>
          <t>No</t>
        </is>
      </c>
      <c r="U906" t="inlineStr">
        <is>
          <t>1 Year/18,000 Mile</t>
        </is>
      </c>
      <c r="V906" t="inlineStr">
        <is>
          <t>Yes</t>
        </is>
      </c>
      <c r="W906" t="inlineStr">
        <is>
          <t>Available to Order</t>
        </is>
      </c>
      <c r="X906" t="inlineStr">
        <is>
          <t>Nissan 350Z 2005-03</t>
        </is>
      </c>
      <c r="Y906" t="inlineStr">
        <is>
          <t>00082617767491</t>
        </is>
      </c>
      <c r="Z906" t="inlineStr">
        <is>
          <t>43-4340::98359:99486:292</t>
        </is>
      </c>
      <c r="AA906" t="inlineStr">
        <is>
          <t>Yes</t>
        </is>
      </c>
      <c r="AB906" t="inlineStr"/>
      <c r="AC906" t="inlineStr"/>
    </row>
    <row r="907">
      <c r="A907" t="inlineStr">
        <is>
          <t>906</t>
        </is>
      </c>
      <c r="B907" t="inlineStr">
        <is>
          <t>Windshield Wiper Motor</t>
        </is>
      </c>
      <c r="C907" t="inlineStr">
        <is>
          <t>43-4341</t>
        </is>
      </c>
      <c r="D907" t="inlineStr">
        <is>
          <t>Windshield Wiper Motor - 43-4341</t>
        </is>
      </c>
      <c r="E907" t="inlineStr">
        <is>
          <t>CARDONE Reman</t>
        </is>
      </c>
      <c r="F907" t="inlineStr">
        <is>
          <t>28810CA000</t>
        </is>
      </c>
      <c r="G907" t="inlineStr">
        <is>
          <t>Nissan Murano 2003-2007</t>
        </is>
      </c>
      <c r="H907" t="inlineStr">
        <is>
          <t>Nissan Murano 2003-2007 3.5L V6 3498cc</t>
        </is>
      </c>
      <c r="I907" t="inlineStr">
        <is>
          <t>{"0": {"productDeskExternalKey": "CPCX|43-4341"}, "1": {"Package Contents": "Wiper Motor; Instruction Sheet"}, "2": {"E-Waste": "Yes"}, "3": {"Product Condition": "Remanufactured"}, "4": {"Mounting Hole Quantity": "3"}, "5": {"Terminal Type": "Blade"}, "6": {"Mounting Type": "Direct Bolt; Grommet"}, "7": {"Weight PG": "3.3500"}, "8": {"Washer Pump Included": "No"}, "9": {"Part Type": "Windshield Wiper Motor"}, "10": {"Warranty Info": "1 Year/18,000 Mile"}, "11": {"Sustainable Choice": "Yes"}, "12": {"Lifecycle Status": "Available to Order"}, "13": {"Application Summary": "Nissan Murano 2007-03"}, "14": {"ItemLevelGTIN": "00082617767538"}, "15": {"_addonCardone": "43-4341::98359:99491:292"}, "16": {"Eligible for R&amp;R Service": "Yes"}}</t>
        </is>
      </c>
      <c r="J907" t="inlineStr">
        <is>
          <t>https://www.cardone.com/product/windshield-wiper-motor-43-4341</t>
        </is>
      </c>
      <c r="K907">
        <f>DISPIMG("ID_210620B4A50D47A4A71612BD64278613",1)</f>
        <v/>
      </c>
      <c r="L907" t="inlineStr">
        <is>
          <t>CPCX|43-4341</t>
        </is>
      </c>
      <c r="M907" t="inlineStr">
        <is>
          <t>Wiper Motor; Instruction Sheet</t>
        </is>
      </c>
      <c r="N907" t="inlineStr">
        <is>
          <t>Yes</t>
        </is>
      </c>
      <c r="O907" t="inlineStr">
        <is>
          <t>Remanufactured</t>
        </is>
      </c>
      <c r="P907" t="inlineStr">
        <is>
          <t>3</t>
        </is>
      </c>
      <c r="Q907" t="inlineStr">
        <is>
          <t>Blade</t>
        </is>
      </c>
      <c r="R907" t="inlineStr">
        <is>
          <t>Direct Bolt; Grommet</t>
        </is>
      </c>
      <c r="S907" t="inlineStr">
        <is>
          <t>3.3500</t>
        </is>
      </c>
      <c r="T907" t="inlineStr">
        <is>
          <t>No</t>
        </is>
      </c>
      <c r="U907" t="inlineStr">
        <is>
          <t>1 Year/18,000 Mile</t>
        </is>
      </c>
      <c r="V907" t="inlineStr">
        <is>
          <t>Yes</t>
        </is>
      </c>
      <c r="W907" t="inlineStr">
        <is>
          <t>Available to Order</t>
        </is>
      </c>
      <c r="X907" t="inlineStr">
        <is>
          <t>Nissan Murano 2007-03</t>
        </is>
      </c>
      <c r="Y907" t="inlineStr">
        <is>
          <t>00082617767538</t>
        </is>
      </c>
      <c r="Z907" t="inlineStr">
        <is>
          <t>43-4341::98359:99491:292</t>
        </is>
      </c>
      <c r="AA907" t="inlineStr">
        <is>
          <t>Yes</t>
        </is>
      </c>
      <c r="AB907" t="inlineStr"/>
      <c r="AC907" t="inlineStr"/>
    </row>
    <row r="908">
      <c r="A908" t="inlineStr">
        <is>
          <t>907</t>
        </is>
      </c>
      <c r="B908" t="inlineStr">
        <is>
          <t>Windshield Wiper Motor</t>
        </is>
      </c>
      <c r="C908" t="inlineStr">
        <is>
          <t>43-4342</t>
        </is>
      </c>
      <c r="D908" t="inlineStr">
        <is>
          <t>Windshield Wiper Motor - 43-4342</t>
        </is>
      </c>
      <c r="E908" t="inlineStr">
        <is>
          <t>CARDONE Reman</t>
        </is>
      </c>
      <c r="F908" t="inlineStr">
        <is>
          <t>28710EA000</t>
        </is>
      </c>
      <c r="G908" t="inlineStr">
        <is>
          <t>Nissan Xterra 2005-2015</t>
        </is>
      </c>
      <c r="H908" t="inlineStr">
        <is>
          <t>Nissan Xterra 2005 2.5L L4 152cid
Nissan Xterra 2005-2015 4L V6 3954cc</t>
        </is>
      </c>
      <c r="I908" t="inlineStr">
        <is>
          <t>{"0": {"productDeskExternalKey": "CPCX|43-4342"}, "1": {"Package Contents": "Wiper Motor; Instruction Sheet"}, "2": {"E-Waste": "Yes"}, "3": {"Product Condition": "Remanufactured"}, "4": {"Mounting Hole Quantity": "3"}, "5": {"Terminal Type": "Blade"}, "6": {"Mounting Type": "Grommet"}, "7": {"Weight PG": "2.4500"}, "8": {"Washer Pump Included": "No"}, "9": {"Part Type": "Windshield Wiper Motor"}, "10": {"Warranty Info": "1 Year/18,000 Mile"}, "11": {"Sustainable Choice": "Yes"}, "12": {"Lifecycle Status": "Available to Order"}, "13": {"Application Summary": "Nissan Xterra 2015-05"}, "14": {"ItemLevelGTIN": "00082617784917"}, "15": {"_addonCardone": "43-4342::98359:99495:292"}, "16": {"Eligible for R&amp;R Service": "Yes"}}</t>
        </is>
      </c>
      <c r="J908" t="inlineStr">
        <is>
          <t>https://www.cardone.com/product/windshield-wiper-motor-43-4342</t>
        </is>
      </c>
      <c r="K908">
        <f>DISPIMG("ID_1DFB2787A019453A8ACBC334E023DD06",1)</f>
        <v/>
      </c>
      <c r="L908" t="inlineStr">
        <is>
          <t>CPCX|43-4342</t>
        </is>
      </c>
      <c r="M908" t="inlineStr">
        <is>
          <t>Wiper Motor; Instruction Sheet</t>
        </is>
      </c>
      <c r="N908" t="inlineStr">
        <is>
          <t>Yes</t>
        </is>
      </c>
      <c r="O908" t="inlineStr">
        <is>
          <t>Remanufactured</t>
        </is>
      </c>
      <c r="P908" t="inlineStr">
        <is>
          <t>3</t>
        </is>
      </c>
      <c r="Q908" t="inlineStr">
        <is>
          <t>Blade</t>
        </is>
      </c>
      <c r="R908" t="inlineStr">
        <is>
          <t>Grommet</t>
        </is>
      </c>
      <c r="S908" t="inlineStr">
        <is>
          <t>2.4500</t>
        </is>
      </c>
      <c r="T908" t="inlineStr">
        <is>
          <t>No</t>
        </is>
      </c>
      <c r="U908" t="inlineStr">
        <is>
          <t>1 Year/18,000 Mile</t>
        </is>
      </c>
      <c r="V908" t="inlineStr">
        <is>
          <t>Yes</t>
        </is>
      </c>
      <c r="W908" t="inlineStr">
        <is>
          <t>Available to Order</t>
        </is>
      </c>
      <c r="X908" t="inlineStr">
        <is>
          <t>Nissan Xterra 2015-05</t>
        </is>
      </c>
      <c r="Y908" t="inlineStr">
        <is>
          <t>00082617784917</t>
        </is>
      </c>
      <c r="Z908" t="inlineStr">
        <is>
          <t>43-4342::98359:99495:292</t>
        </is>
      </c>
      <c r="AA908" t="inlineStr">
        <is>
          <t>Yes</t>
        </is>
      </c>
      <c r="AB908" t="inlineStr"/>
      <c r="AC908" t="inlineStr"/>
    </row>
    <row r="909">
      <c r="A909" t="inlineStr">
        <is>
          <t>908</t>
        </is>
      </c>
      <c r="B909" t="inlineStr">
        <is>
          <t>Windshield Wiper Motor</t>
        </is>
      </c>
      <c r="C909" t="inlineStr">
        <is>
          <t>43-4343</t>
        </is>
      </c>
      <c r="D909" t="inlineStr">
        <is>
          <t>Windshield Wiper Motor - 43-4343</t>
        </is>
      </c>
      <c r="E909" t="inlineStr">
        <is>
          <t>CARDONE Reman</t>
        </is>
      </c>
      <c r="F909" t="inlineStr">
        <is>
          <t>287107S000</t>
        </is>
      </c>
      <c r="G909" t="inlineStr"/>
      <c r="H909" t="inlineStr"/>
      <c r="I909" t="inlineStr">
        <is>
          <t>{"0": {"productDeskExternalKey": "CPCX|43-4343"}, "1": {"Package Contents": "Wiper Motor; Instruction Sheet"}, "2": {"E-Waste": "Yes"}, "3": {"Product Condition": "Remanufactured"}, "4": {"Mounting Hole Quantity": "4"}, "5": {"Terminal Type": "Blade"}, "6": {"Mounting Type": "Grommet"}, "7": {"Weight PG": "2.4500"}, "8": {"Washer Pump Included": "No"}, "9": {"Part Type": "Windshield Wiper Motor"}, "10": {"Warranty Info": "1 Year/18,000 Mile"}, "11": {"Sustainable Choice": "Yes"}, "12": {"Lifecycle Status": "Available to Order"}, "13": {"Application Summary": "INFINITI QX56 2011-04; Nissan Armada 2015-05, Pathfinder Armada 2004"}, "14": {"ItemLevelGTIN": "00082617784924"}, "15": {"_addonCardone": "43-4343::98359:99498:292"}, "16": {"Eligible for R&amp;R Service": "Yes"}}</t>
        </is>
      </c>
      <c r="J909" t="inlineStr">
        <is>
          <t>https://www.cardone.com/product/windshield-wiper-motor-43-4343</t>
        </is>
      </c>
      <c r="K909">
        <f>DISPIMG("ID_24C5052BDE27456581559B821F890D91",1)</f>
        <v/>
      </c>
      <c r="L909" t="inlineStr">
        <is>
          <t>CPCX|43-4343</t>
        </is>
      </c>
      <c r="M909" t="inlineStr">
        <is>
          <t>Wiper Motor; Instruction Sheet</t>
        </is>
      </c>
      <c r="N909" t="inlineStr">
        <is>
          <t>Yes</t>
        </is>
      </c>
      <c r="O909" t="inlineStr">
        <is>
          <t>Remanufactured</t>
        </is>
      </c>
      <c r="P909" t="inlineStr">
        <is>
          <t>4</t>
        </is>
      </c>
      <c r="Q909" t="inlineStr">
        <is>
          <t>Blade</t>
        </is>
      </c>
      <c r="R909" t="inlineStr">
        <is>
          <t>Grommet</t>
        </is>
      </c>
      <c r="S909" t="inlineStr">
        <is>
          <t>2.4500</t>
        </is>
      </c>
      <c r="T909" t="inlineStr">
        <is>
          <t>No</t>
        </is>
      </c>
      <c r="U909" t="inlineStr">
        <is>
          <t>1 Year/18,000 Mile</t>
        </is>
      </c>
      <c r="V909" t="inlineStr">
        <is>
          <t>Yes</t>
        </is>
      </c>
      <c r="W909" t="inlineStr">
        <is>
          <t>Available to Order</t>
        </is>
      </c>
      <c r="X909" t="inlineStr">
        <is>
          <t>INFINITI QX56 2011-04; Nissan Armada 2015-05, Pathfinder Armada 2004</t>
        </is>
      </c>
      <c r="Y909" t="inlineStr">
        <is>
          <t>00082617784924</t>
        </is>
      </c>
      <c r="Z909" t="inlineStr">
        <is>
          <t>43-4343::98359:99498:292</t>
        </is>
      </c>
      <c r="AA909" t="inlineStr">
        <is>
          <t>Yes</t>
        </is>
      </c>
      <c r="AB909" t="inlineStr"/>
      <c r="AC909" t="inlineStr"/>
    </row>
    <row r="910">
      <c r="A910" t="inlineStr">
        <is>
          <t>909</t>
        </is>
      </c>
      <c r="B910" t="inlineStr">
        <is>
          <t>Windshield Wiper Motor</t>
        </is>
      </c>
      <c r="C910" t="inlineStr">
        <is>
          <t>43-4344</t>
        </is>
      </c>
      <c r="D910" t="inlineStr">
        <is>
          <t>Windshield Wiper Motor - 43-4344</t>
        </is>
      </c>
      <c r="E910" t="inlineStr">
        <is>
          <t>CARDONE Reman</t>
        </is>
      </c>
      <c r="F910" t="inlineStr">
        <is>
          <t>28700EA500</t>
        </is>
      </c>
      <c r="G910" t="inlineStr">
        <is>
          <t>Nissan Pathfinder 2005-2012</t>
        </is>
      </c>
      <c r="H910" t="inlineStr">
        <is>
          <t>Nissan Pathfinder 2005-2012 4L V6 3954cc
Nissan Pathfinder 2008-2012 5.6L V8 5552cc</t>
        </is>
      </c>
      <c r="I910" t="inlineStr">
        <is>
          <t>{"0": {"productDeskExternalKey": "CPCX|43-4344"}, "1": {"Package Contents": "Wiper Motor; Instruction Sheet"}, "2": {"E-Waste": "Yes"}, "3": {"Product Condition": "Remanufactured"}, "4": {"Mounting Hole Quantity": "3"}, "5": {"Terminal Type": "Blade"}, "6": {"Mounting Type": "Direct Bolt"}, "7": {"Weight PG": "1.9500"}, "8": {"Washer Pump Included": "No"}, "9": {"Part Type": "Windshield Wiper Motor"}, "10": {"Warranty Info": "1 Year/18,000 Mile"}, "11": {"Sustainable Choice": "Yes"}, "12": {"Lifecycle Status": "Available to Order"}, "13": {"Application Summary": "Nissan Pathfinder 2012-05"}, "14": {"ItemLevelGTIN": "00082617784979"}, "15": {"_addonCardone": "43-4344::98359:99504:292"}, "16": {"Eligible for R&amp;R Service": "Yes"}}</t>
        </is>
      </c>
      <c r="J910" t="inlineStr">
        <is>
          <t>https://www.cardone.com/product/windshield-wiper-motor-43-4344</t>
        </is>
      </c>
      <c r="K910">
        <f>DISPIMG("ID_CB1ABD7609A44FCB9DAF097B348A5FF3",1)</f>
        <v/>
      </c>
      <c r="L910" t="inlineStr">
        <is>
          <t>CPCX|43-4344</t>
        </is>
      </c>
      <c r="M910" t="inlineStr">
        <is>
          <t>Wiper Motor; Instruction Sheet</t>
        </is>
      </c>
      <c r="N910" t="inlineStr">
        <is>
          <t>Yes</t>
        </is>
      </c>
      <c r="O910" t="inlineStr">
        <is>
          <t>Remanufactured</t>
        </is>
      </c>
      <c r="P910" t="inlineStr">
        <is>
          <t>3</t>
        </is>
      </c>
      <c r="Q910" t="inlineStr">
        <is>
          <t>Blade</t>
        </is>
      </c>
      <c r="R910" t="inlineStr">
        <is>
          <t>Direct Bolt</t>
        </is>
      </c>
      <c r="S910" t="inlineStr">
        <is>
          <t>1.9500</t>
        </is>
      </c>
      <c r="T910" t="inlineStr">
        <is>
          <t>No</t>
        </is>
      </c>
      <c r="U910" t="inlineStr">
        <is>
          <t>1 Year/18,000 Mile</t>
        </is>
      </c>
      <c r="V910" t="inlineStr">
        <is>
          <t>Yes</t>
        </is>
      </c>
      <c r="W910" t="inlineStr">
        <is>
          <t>Available to Order</t>
        </is>
      </c>
      <c r="X910" t="inlineStr">
        <is>
          <t>Nissan Pathfinder 2012-05</t>
        </is>
      </c>
      <c r="Y910" t="inlineStr">
        <is>
          <t>00082617784979</t>
        </is>
      </c>
      <c r="Z910" t="inlineStr">
        <is>
          <t>43-4344::98359:99504:292</t>
        </is>
      </c>
      <c r="AA910" t="inlineStr">
        <is>
          <t>Yes</t>
        </is>
      </c>
      <c r="AB910" t="inlineStr"/>
      <c r="AC910" t="inlineStr"/>
    </row>
    <row r="911">
      <c r="A911" t="inlineStr">
        <is>
          <t>910</t>
        </is>
      </c>
      <c r="B911" t="inlineStr">
        <is>
          <t>Windshield Wiper Motor</t>
        </is>
      </c>
      <c r="C911" t="inlineStr">
        <is>
          <t>43-4345</t>
        </is>
      </c>
      <c r="D911" t="inlineStr">
        <is>
          <t>Windshield Wiper Motor - 43-4345</t>
        </is>
      </c>
      <c r="E911" t="inlineStr">
        <is>
          <t>CARDONE Reman</t>
        </is>
      </c>
      <c r="F911" t="inlineStr">
        <is>
          <t>287007Z400</t>
        </is>
      </c>
      <c r="G911" t="inlineStr">
        <is>
          <t>Nissan Xterra 2003</t>
        </is>
      </c>
      <c r="H911" t="inlineStr">
        <is>
          <t>Nissan Xterra 2003 2.4L L4 2389cc
Nissan Xterra 2003 3.3L V6 3275cc</t>
        </is>
      </c>
      <c r="I911" t="inlineStr">
        <is>
          <t>{"0": {"productDeskExternalKey": "CPCX|43-4345"}, "1": {"Package Contents": "Wiper Motor; Instruction Sheet"}, "2": {"E-Waste": "Yes"}, "3": {"Product Condition": "Remanufactured"}, "4": {"Mounting Hole Quantity": "3"}, "5": {"Terminal Type": "Blade"}, "6": {"Mounting Type": "Direct Bolt"}, "7": {"Weight PG": "3.2500"}, "8": {"Washer Pump Included": "No"}, "9": {"Part Type": "Windshield Wiper Motor"}, "10": {"Warranty Info": "1 Year/18,000 Mile"}, "11": {"Sustainable Choice": "Yes"}, "12": {"Lifecycle Status": "Available to Order"}, "13": {"Application Summary": "Nissan Xterra 2003"}, "14": {"ItemLevelGTIN": "00082617784986"}, "15": {"_addonCardone": "43-4345::98359:99513:292"}, "16": {"Eligible for R&amp;R Service": "Yes"}}</t>
        </is>
      </c>
      <c r="J911" t="inlineStr">
        <is>
          <t>https://www.cardone.com/product/windshield-wiper-motor-43-4345</t>
        </is>
      </c>
      <c r="K911">
        <f>DISPIMG("ID_303509EDDD0B48B7AD3AB5969D41E258",1)</f>
        <v/>
      </c>
      <c r="L911" t="inlineStr">
        <is>
          <t>CPCX|43-4345</t>
        </is>
      </c>
      <c r="M911" t="inlineStr">
        <is>
          <t>Wiper Motor; Instruction Sheet</t>
        </is>
      </c>
      <c r="N911" t="inlineStr">
        <is>
          <t>Yes</t>
        </is>
      </c>
      <c r="O911" t="inlineStr">
        <is>
          <t>Remanufactured</t>
        </is>
      </c>
      <c r="P911" t="inlineStr">
        <is>
          <t>3</t>
        </is>
      </c>
      <c r="Q911" t="inlineStr">
        <is>
          <t>Blade</t>
        </is>
      </c>
      <c r="R911" t="inlineStr">
        <is>
          <t>Direct Bolt</t>
        </is>
      </c>
      <c r="S911" t="inlineStr">
        <is>
          <t>3.2500</t>
        </is>
      </c>
      <c r="T911" t="inlineStr">
        <is>
          <t>No</t>
        </is>
      </c>
      <c r="U911" t="inlineStr">
        <is>
          <t>1 Year/18,000 Mile</t>
        </is>
      </c>
      <c r="V911" t="inlineStr">
        <is>
          <t>Yes</t>
        </is>
      </c>
      <c r="W911" t="inlineStr">
        <is>
          <t>Available to Order</t>
        </is>
      </c>
      <c r="X911" t="inlineStr">
        <is>
          <t>Nissan Xterra 2003</t>
        </is>
      </c>
      <c r="Y911" t="inlineStr">
        <is>
          <t>00082617784986</t>
        </is>
      </c>
      <c r="Z911" t="inlineStr">
        <is>
          <t>43-4345::98359:99513:292</t>
        </is>
      </c>
      <c r="AA911" t="inlineStr">
        <is>
          <t>Yes</t>
        </is>
      </c>
      <c r="AB911" t="inlineStr"/>
      <c r="AC911" t="inlineStr"/>
    </row>
    <row r="912">
      <c r="A912" t="inlineStr">
        <is>
          <t>911</t>
        </is>
      </c>
      <c r="B912" t="inlineStr">
        <is>
          <t>Windshield Wiper Motor</t>
        </is>
      </c>
      <c r="C912" t="inlineStr">
        <is>
          <t>43-4346</t>
        </is>
      </c>
      <c r="D912" t="inlineStr">
        <is>
          <t>Windshield Wiper Motor - 43-4346</t>
        </is>
      </c>
      <c r="E912" t="inlineStr">
        <is>
          <t>CARDONE Reman</t>
        </is>
      </c>
      <c r="F912" t="inlineStr">
        <is>
          <t>28800ZY80A;288009N00A;28800JA000;28800ZX01A;28800JB100</t>
        </is>
      </c>
      <c r="G912" t="inlineStr">
        <is>
          <t>Nissan Altima 2008-2012</t>
        </is>
      </c>
      <c r="H912" t="inlineStr">
        <is>
          <t>Nissan Altima 2008-2012 2.5L L4 152cid
Nissan Altima 2008-2012 3.5L V6 3498cc</t>
        </is>
      </c>
      <c r="I912" t="inlineStr">
        <is>
          <t>{"0": {"productDeskExternalKey": "CPCX|43-4346"}, "1": {"Package Contents": "Wiper Motor; Instruction Sheet"}, "2": {"E-Waste": "Yes"}, "3": {"Product Condition": "Remanufactured"}, "4": {"Mounting Hole Quantity": "3"}, "5": {"Terminal Type": "Blade"}, "6": {"Mounting Type": "Direct Bolt; Grommet"}, "7": {"Weight PG": "3.1500"}, "8": {"Washer Pump Included": "No"}, "9": {"Part Type": "Windshield Wiper Motor"}, "10": {"Warranty Info": "1 Year/18,000 Mile"}, "11": {"Sustainable Choice": "Yes"}, "12": {"Lifecycle Status": "Available to Order"}, "13": {"Application Summary": "Nissan Altima 2012-07, Maxima 2014-09"}, "14": {"ItemLevelGTIN": "00082617798242"}, "15": {"_addonCardone": "43-4346::98359:99520:292"}, "16": {"Eligible for R&amp;R Service": "Yes"}}</t>
        </is>
      </c>
      <c r="J912" t="inlineStr">
        <is>
          <t>https://www.cardone.com/product/windshield-wiper-motor-43-4346</t>
        </is>
      </c>
      <c r="K912">
        <f>DISPIMG("ID_995574F87BB04FA0BE57432330C2B02E",1)</f>
        <v/>
      </c>
      <c r="L912" t="inlineStr">
        <is>
          <t>CPCX|43-4346</t>
        </is>
      </c>
      <c r="M912" t="inlineStr">
        <is>
          <t>Wiper Motor; Instruction Sheet</t>
        </is>
      </c>
      <c r="N912" t="inlineStr">
        <is>
          <t>Yes</t>
        </is>
      </c>
      <c r="O912" t="inlineStr">
        <is>
          <t>Remanufactured</t>
        </is>
      </c>
      <c r="P912" t="inlineStr">
        <is>
          <t>3</t>
        </is>
      </c>
      <c r="Q912" t="inlineStr">
        <is>
          <t>Blade</t>
        </is>
      </c>
      <c r="R912" t="inlineStr">
        <is>
          <t>Direct Bolt; Grommet</t>
        </is>
      </c>
      <c r="S912" t="inlineStr">
        <is>
          <t>3.1500</t>
        </is>
      </c>
      <c r="T912" t="inlineStr">
        <is>
          <t>No</t>
        </is>
      </c>
      <c r="U912" t="inlineStr">
        <is>
          <t>1 Year/18,000 Mile</t>
        </is>
      </c>
      <c r="V912" t="inlineStr">
        <is>
          <t>Yes</t>
        </is>
      </c>
      <c r="W912" t="inlineStr">
        <is>
          <t>Available to Order</t>
        </is>
      </c>
      <c r="X912" t="inlineStr">
        <is>
          <t>Nissan Altima 2012-07, Maxima 2014-09</t>
        </is>
      </c>
      <c r="Y912" t="inlineStr">
        <is>
          <t>00082617798242</t>
        </is>
      </c>
      <c r="Z912" t="inlineStr">
        <is>
          <t>43-4346::98359:99520:292</t>
        </is>
      </c>
      <c r="AA912" t="inlineStr">
        <is>
          <t>Yes</t>
        </is>
      </c>
      <c r="AB912" t="inlineStr"/>
      <c r="AC912" t="inlineStr"/>
    </row>
    <row r="913">
      <c r="A913" t="inlineStr">
        <is>
          <t>912</t>
        </is>
      </c>
      <c r="B913" t="inlineStr">
        <is>
          <t>Windshield Wiper Motor</t>
        </is>
      </c>
      <c r="C913" t="inlineStr">
        <is>
          <t>43-4347</t>
        </is>
      </c>
      <c r="D913" t="inlineStr">
        <is>
          <t>Windshield Wiper Motor - 43-4347</t>
        </is>
      </c>
      <c r="E913" t="inlineStr">
        <is>
          <t>CARDONE Reman</t>
        </is>
      </c>
      <c r="F913" t="inlineStr">
        <is>
          <t>28815AC800;28815AC700;28815EM30A</t>
        </is>
      </c>
      <c r="G913" t="inlineStr">
        <is>
          <t>Nissan Tiida 2008-2011
Nissan Versa 2007-2012</t>
        </is>
      </c>
      <c r="H913" t="inlineStr">
        <is>
          <t>Nissan Tiida 2008-2011 1.8L L4 1798cc
Nissan Versa 2007-2012 1.8L L4 1798cc
Nissan Versa 2009-2011 1.6L L4 98cid</t>
        </is>
      </c>
      <c r="I913" t="inlineStr">
        <is>
          <t>{"0": {"productDeskExternalKey": "CPCX|43-4347"}, "1": {"Package Contents": "Wiper Motor; Instruction Sheet"}, "2": {"E-Waste": "Yes"}, "3": {"Product Condition": "Remanufactured"}, "4": {"Mounting Hole Quantity": "3"}, "5": {"Terminal Type": "Blade"}, "6": {"Mounting Type": "Direct Bolt"}, "7": {"Weight PG": "2.3000"}, "8": {"Washer Pump Included": "No"}, "9": {"Part Type": "Windshield Wiper Motor"}, "10": {"Warranty Info": "1 Year/18,000 Mile"}, "11": {"Sustainable Choice": "Yes"}, "12": {"Lifecycle Status": "Available to Order"}, "13": {"Application Summary": "INFINITI G35 2007-05; Nissan Tiida 2011-08, Versa 2012-07"}, "14": {"ItemLevelGTIN": "00082617804998"}, "15": {"_addonCardone": "43-4347::98359:99526:292"}, "16": {"Eligible for R&amp;R Service": "Yes"}}</t>
        </is>
      </c>
      <c r="J913" t="inlineStr">
        <is>
          <t>https://www.cardone.com/product/windshield-wiper-motor-43-4347</t>
        </is>
      </c>
      <c r="K913">
        <f>DISPIMG("ID_B08A3C406A3D4C2E82FC0E8D6524511C",1)</f>
        <v/>
      </c>
      <c r="L913" t="inlineStr">
        <is>
          <t>CPCX|43-4347</t>
        </is>
      </c>
      <c r="M913" t="inlineStr">
        <is>
          <t>Wiper Motor; Instruction Sheet</t>
        </is>
      </c>
      <c r="N913" t="inlineStr">
        <is>
          <t>Yes</t>
        </is>
      </c>
      <c r="O913" t="inlineStr">
        <is>
          <t>Remanufactured</t>
        </is>
      </c>
      <c r="P913" t="inlineStr">
        <is>
          <t>3</t>
        </is>
      </c>
      <c r="Q913" t="inlineStr">
        <is>
          <t>Blade</t>
        </is>
      </c>
      <c r="R913" t="inlineStr">
        <is>
          <t>Direct Bolt</t>
        </is>
      </c>
      <c r="S913" t="inlineStr">
        <is>
          <t>2.3000</t>
        </is>
      </c>
      <c r="T913" t="inlineStr">
        <is>
          <t>No</t>
        </is>
      </c>
      <c r="U913" t="inlineStr">
        <is>
          <t>1 Year/18,000 Mile</t>
        </is>
      </c>
      <c r="V913" t="inlineStr">
        <is>
          <t>Yes</t>
        </is>
      </c>
      <c r="W913" t="inlineStr">
        <is>
          <t>Available to Order</t>
        </is>
      </c>
      <c r="X913" t="inlineStr">
        <is>
          <t>INFINITI G35 2007-05; Nissan Tiida 2011-08, Versa 2012-07</t>
        </is>
      </c>
      <c r="Y913" t="inlineStr">
        <is>
          <t>00082617804998</t>
        </is>
      </c>
      <c r="Z913" t="inlineStr">
        <is>
          <t>43-4347::98359:99526:292</t>
        </is>
      </c>
      <c r="AA913" t="inlineStr">
        <is>
          <t>Yes</t>
        </is>
      </c>
      <c r="AB913" t="inlineStr"/>
      <c r="AC913" t="inlineStr"/>
    </row>
    <row r="914">
      <c r="A914" t="inlineStr">
        <is>
          <t>913</t>
        </is>
      </c>
      <c r="B914" t="inlineStr">
        <is>
          <t>Windshield Wiper Motor</t>
        </is>
      </c>
      <c r="C914" t="inlineStr">
        <is>
          <t>43-4348</t>
        </is>
      </c>
      <c r="D914" t="inlineStr">
        <is>
          <t>Windshield Wiper Motor - 43-4348</t>
        </is>
      </c>
      <c r="E914" t="inlineStr">
        <is>
          <t>CARDONE Reman</t>
        </is>
      </c>
      <c r="F914" t="inlineStr">
        <is>
          <t>28710CG000</t>
        </is>
      </c>
      <c r="G914" t="inlineStr"/>
      <c r="H914" t="inlineStr"/>
      <c r="I914" t="inlineStr">
        <is>
          <t>{"0": {"productDeskExternalKey": "CPCX|43-4348"},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"INFINITI FX35 2008-03, FX45 2008-03"}, "14": {"ItemLevelGTIN": "00082617804981"}, "15": {"_addonCardone": "43-4348::98359:99530:292"}, "16": {"Eligible for R&amp;R Service": "Yes"}}</t>
        </is>
      </c>
      <c r="J914" t="inlineStr">
        <is>
          <t>https://www.cardone.com/product/windshield-wiper-motor-43-4348</t>
        </is>
      </c>
      <c r="K914">
        <f>DISPIMG("ID_A67F69A4586C46F9AD29177409E7BE09",1)</f>
        <v/>
      </c>
      <c r="L914" t="inlineStr">
        <is>
          <t>CPCX|43-4348</t>
        </is>
      </c>
      <c r="M914" t="inlineStr">
        <is>
          <t>Wiper Motor; Instruction Sheet</t>
        </is>
      </c>
      <c r="N914" t="inlineStr">
        <is>
          <t>Yes</t>
        </is>
      </c>
      <c r="O914" t="inlineStr">
        <is>
          <t>Remanufactured</t>
        </is>
      </c>
      <c r="P914" t="inlineStr">
        <is>
          <t>3</t>
        </is>
      </c>
      <c r="Q914" t="inlineStr">
        <is>
          <t>Blade</t>
        </is>
      </c>
      <c r="R914" t="inlineStr">
        <is>
          <t>Grommet</t>
        </is>
      </c>
      <c r="S914" t="inlineStr">
        <is>
          <t>2.2000</t>
        </is>
      </c>
      <c r="T914" t="inlineStr">
        <is>
          <t>No</t>
        </is>
      </c>
      <c r="U914" t="inlineStr">
        <is>
          <t>1 Year/18,000 Mile</t>
        </is>
      </c>
      <c r="V914" t="inlineStr">
        <is>
          <t>Yes</t>
        </is>
      </c>
      <c r="W914" t="inlineStr">
        <is>
          <t>Available to Order</t>
        </is>
      </c>
      <c r="X914" t="inlineStr">
        <is>
          <t>INFINITI FX35 2008-03, FX45 2008-03</t>
        </is>
      </c>
      <c r="Y914" t="inlineStr">
        <is>
          <t>00082617804981</t>
        </is>
      </c>
      <c r="Z914" t="inlineStr">
        <is>
          <t>43-4348::98359:99530:292</t>
        </is>
      </c>
      <c r="AA914" t="inlineStr">
        <is>
          <t>Yes</t>
        </is>
      </c>
      <c r="AB914" t="inlineStr"/>
      <c r="AC914" t="inlineStr"/>
    </row>
    <row r="915">
      <c r="A915" t="inlineStr">
        <is>
          <t>914</t>
        </is>
      </c>
      <c r="B915" t="inlineStr">
        <is>
          <t>Windshield Wiper Motor</t>
        </is>
      </c>
      <c r="C915" t="inlineStr">
        <is>
          <t>43-4350</t>
        </is>
      </c>
      <c r="D915" t="inlineStr">
        <is>
          <t>Windshield Wiper Motor - 43-4350</t>
        </is>
      </c>
      <c r="E915" t="inlineStr">
        <is>
          <t>CARDONE Reman</t>
        </is>
      </c>
      <c r="F915" t="inlineStr">
        <is>
          <t>28810CR900</t>
        </is>
      </c>
      <c r="G915" t="inlineStr"/>
      <c r="H915" t="inlineStr"/>
      <c r="I915" t="inlineStr">
        <is>
          <t>{"0": {"productDeskExternalKey": "CPCX|43-4350"}, "1": {"Package Contents": "Wiper Motor; Instruction Sheet"}, "2": {"E-Waste": "Yes"}, "3": {"Product Condition": "Remanufactured"}, "4": {"Mounting Hole Quantity": "3"}, "5": {"Terminal Type": "Blade"}, "6": {"Mounting Type": "Direct Bolt; Grommet"}, "7": {"Weight PG": "2.9500"}, "8": {"Washer Pump Included": "No"}, "9": {"Part Type": "Windshield Wiper Motor"}, "10": {"Warranty Info": "1 Year/18,000 Mile"}, "11": {"Sustainable Choice": "Yes"}, "12": {"Lifecycle Status": "Available to Order"}, "13": {"Application Summary": "INFINITI M45 2004-03"}, "14": {"ItemLevelGTIN": "00082617806534"}, "15": {"_addonCardone": "43-4350::98359:99535:292"}, "16": {"Eligible for R&amp;R Service": "Yes"}}</t>
        </is>
      </c>
      <c r="J915" t="inlineStr">
        <is>
          <t>https://www.cardone.com/product/windshield-wiper-motor-43-4350</t>
        </is>
      </c>
      <c r="K915">
        <f>DISPIMG("ID_BD52C72E223841BCA2DAB7D881D6D1E5",1)</f>
        <v/>
      </c>
      <c r="L915" t="inlineStr">
        <is>
          <t>CPCX|43-4350</t>
        </is>
      </c>
      <c r="M915" t="inlineStr">
        <is>
          <t>Wiper Motor; Instruction Sheet</t>
        </is>
      </c>
      <c r="N915" t="inlineStr">
        <is>
          <t>Yes</t>
        </is>
      </c>
      <c r="O915" t="inlineStr">
        <is>
          <t>Remanufactured</t>
        </is>
      </c>
      <c r="P915" t="inlineStr">
        <is>
          <t>3</t>
        </is>
      </c>
      <c r="Q915" t="inlineStr">
        <is>
          <t>Blade</t>
        </is>
      </c>
      <c r="R915" t="inlineStr">
        <is>
          <t>Direct Bolt; Grommet</t>
        </is>
      </c>
      <c r="S915" t="inlineStr">
        <is>
          <t>2.9500</t>
        </is>
      </c>
      <c r="T915" t="inlineStr">
        <is>
          <t>No</t>
        </is>
      </c>
      <c r="U915" t="inlineStr">
        <is>
          <t>1 Year/18,000 Mile</t>
        </is>
      </c>
      <c r="V915" t="inlineStr">
        <is>
          <t>Yes</t>
        </is>
      </c>
      <c r="W915" t="inlineStr">
        <is>
          <t>Available to Order</t>
        </is>
      </c>
      <c r="X915" t="inlineStr">
        <is>
          <t>INFINITI M45 2004-03</t>
        </is>
      </c>
      <c r="Y915" t="inlineStr">
        <is>
          <t>00082617806534</t>
        </is>
      </c>
      <c r="Z915" t="inlineStr">
        <is>
          <t>43-4350::98359:99535:292</t>
        </is>
      </c>
      <c r="AA915" t="inlineStr">
        <is>
          <t>Yes</t>
        </is>
      </c>
      <c r="AB915" t="inlineStr"/>
      <c r="AC915" t="inlineStr"/>
    </row>
    <row r="916">
      <c r="A916" t="inlineStr">
        <is>
          <t>915</t>
        </is>
      </c>
      <c r="B916" t="inlineStr">
        <is>
          <t>Windshield Wiper Motor</t>
        </is>
      </c>
      <c r="C916" t="inlineStr">
        <is>
          <t>43-4358</t>
        </is>
      </c>
      <c r="D916" t="inlineStr">
        <is>
          <t>Windshield Wiper Motor - 43-4358</t>
        </is>
      </c>
      <c r="E916" t="inlineStr">
        <is>
          <t>CARDONE Reman</t>
        </is>
      </c>
      <c r="F916" t="inlineStr">
        <is>
          <t>288109AA0A;28810ET000</t>
        </is>
      </c>
      <c r="G916" t="inlineStr">
        <is>
          <t>Nissan Sentra 2007-2012</t>
        </is>
      </c>
      <c r="H916" t="inlineStr">
        <is>
          <t>Nissan Sentra 2007-2012 2.5L L4 152cid
Nissan Sentra 2007-2012 2L L4 122cid</t>
        </is>
      </c>
      <c r="I916" t="inlineStr">
        <is>
          <t>{"0": {"productDeskExternalKey": "CPCX|43-4358"}, "1": {"Package Contents": "Wiper Motor; Instruction Sheet"}, "2": {"E-Waste": "Yes"}, "3": {"Product Condition": "Remanufactured"}, "4": {"Mounting Hole Quantity": "3"}, "5": {"Terminal Type": "Blade"}, "6": {"Mounting Type": "Direct Bolt; Grommet"}, "7": {"Weight PG": "3.1500"}, "8": {"Washer Pump Included": "No"}, "9": {"Part Type": "Windshield Wiper Motor"}, "10": {"Warranty Info": "1 Year/18,000 Mile"}, "11": {"Sustainable Choice": "Yes"}, "12": {"Lifecycle Status": "Available to Order"}, "13": {"Application Summary": "Nissan Sentra 2012-07"}, "14": {"ItemLevelGTIN": "00082617812900"}, "15": {"_addonCardone": "43-4358::98359:99540:292"}, "16": {"Eligible for R&amp;R Service": "Yes"}}</t>
        </is>
      </c>
      <c r="J916" t="inlineStr">
        <is>
          <t>https://www.cardone.com/product/windshield-wiper-motor-43-4358</t>
        </is>
      </c>
      <c r="K916">
        <f>DISPIMG("ID_C7E421A5CC7E4812B092D8792E75495D",1)</f>
        <v/>
      </c>
      <c r="L916" t="inlineStr">
        <is>
          <t>CPCX|43-4358</t>
        </is>
      </c>
      <c r="M916" t="inlineStr">
        <is>
          <t>Wiper Motor; Instruction Sheet</t>
        </is>
      </c>
      <c r="N916" t="inlineStr">
        <is>
          <t>Yes</t>
        </is>
      </c>
      <c r="O916" t="inlineStr">
        <is>
          <t>Remanufactured</t>
        </is>
      </c>
      <c r="P916" t="inlineStr">
        <is>
          <t>3</t>
        </is>
      </c>
      <c r="Q916" t="inlineStr">
        <is>
          <t>Blade</t>
        </is>
      </c>
      <c r="R916" t="inlineStr">
        <is>
          <t>Direct Bolt; Grommet</t>
        </is>
      </c>
      <c r="S916" t="inlineStr">
        <is>
          <t>3.1500</t>
        </is>
      </c>
      <c r="T916" t="inlineStr">
        <is>
          <t>No</t>
        </is>
      </c>
      <c r="U916" t="inlineStr">
        <is>
          <t>1 Year/18,000 Mile</t>
        </is>
      </c>
      <c r="V916" t="inlineStr">
        <is>
          <t>Yes</t>
        </is>
      </c>
      <c r="W916" t="inlineStr">
        <is>
          <t>Available to Order</t>
        </is>
      </c>
      <c r="X916" t="inlineStr">
        <is>
          <t>Nissan Sentra 2012-07</t>
        </is>
      </c>
      <c r="Y916" t="inlineStr">
        <is>
          <t>00082617812900</t>
        </is>
      </c>
      <c r="Z916" t="inlineStr">
        <is>
          <t>43-4358::98359:99540:292</t>
        </is>
      </c>
      <c r="AA916" t="inlineStr">
        <is>
          <t>Yes</t>
        </is>
      </c>
      <c r="AB916" t="inlineStr"/>
      <c r="AC916" t="inlineStr"/>
    </row>
    <row r="917">
      <c r="A917" t="inlineStr">
        <is>
          <t>916</t>
        </is>
      </c>
      <c r="B917" t="inlineStr">
        <is>
          <t>Windshield Wiper Motor</t>
        </is>
      </c>
      <c r="C917" t="inlineStr">
        <is>
          <t>43-4362</t>
        </is>
      </c>
      <c r="D917" t="inlineStr">
        <is>
          <t>Windshield Wiper Motor - 43-4362</t>
        </is>
      </c>
      <c r="E917" t="inlineStr">
        <is>
          <t>CARDONE Reman</t>
        </is>
      </c>
      <c r="F917" t="inlineStr">
        <is>
          <t>28800EH10A;28800EH10B;28800EH100</t>
        </is>
      </c>
      <c r="G917" t="inlineStr"/>
      <c r="H917" t="inlineStr"/>
      <c r="I917" t="inlineStr">
        <is>
          <t>{"0": {"productDeskExternalKey": "CPCX|43-4362"},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"INFINITI M35 2010-06, M45 2010-06"}, "14": {"ItemLevelGTIN": "00082617817479"}, "15": {"_addonCardone": "43-4362::98359:99544:292"}, "16": {"Eligible for R&amp;R Service": "Yes"}}</t>
        </is>
      </c>
      <c r="J917" t="inlineStr">
        <is>
          <t>https://www.cardone.com/product/windshield-wiper-motor-43-4362</t>
        </is>
      </c>
      <c r="K917">
        <f>DISPIMG("ID_FD88DB5944CC451F90BDB4D0D8458D04",1)</f>
        <v/>
      </c>
      <c r="L917" t="inlineStr">
        <is>
          <t>CPCX|43-4362</t>
        </is>
      </c>
      <c r="M917" t="inlineStr">
        <is>
          <t>Wiper Motor; Instruction Sheet</t>
        </is>
      </c>
      <c r="N917" t="inlineStr">
        <is>
          <t>Yes</t>
        </is>
      </c>
      <c r="O917" t="inlineStr">
        <is>
          <t>Remanufactured</t>
        </is>
      </c>
      <c r="P917" t="inlineStr">
        <is>
          <t>3</t>
        </is>
      </c>
      <c r="Q917" t="inlineStr">
        <is>
          <t>Blade</t>
        </is>
      </c>
      <c r="R917" t="inlineStr">
        <is>
          <t>Direct Bolt</t>
        </is>
      </c>
      <c r="S917" t="inlineStr">
        <is>
          <t>3.0000</t>
        </is>
      </c>
      <c r="T917" t="inlineStr">
        <is>
          <t>No</t>
        </is>
      </c>
      <c r="U917" t="inlineStr">
        <is>
          <t>1 Year/18,000 Mile</t>
        </is>
      </c>
      <c r="V917" t="inlineStr">
        <is>
          <t>Yes</t>
        </is>
      </c>
      <c r="W917" t="inlineStr">
        <is>
          <t>Available to Order</t>
        </is>
      </c>
      <c r="X917" t="inlineStr">
        <is>
          <t>INFINITI M35 2010-06, M45 2010-06</t>
        </is>
      </c>
      <c r="Y917" t="inlineStr">
        <is>
          <t>00082617817479</t>
        </is>
      </c>
      <c r="Z917" t="inlineStr">
        <is>
          <t>43-4362::98359:99544:292</t>
        </is>
      </c>
      <c r="AA917" t="inlineStr">
        <is>
          <t>Yes</t>
        </is>
      </c>
      <c r="AB917" t="inlineStr"/>
      <c r="AC917" t="inlineStr"/>
    </row>
    <row r="918">
      <c r="A918" t="inlineStr">
        <is>
          <t>917</t>
        </is>
      </c>
      <c r="B918" t="inlineStr">
        <is>
          <t>Windshield Wiper Motor</t>
        </is>
      </c>
      <c r="C918" t="inlineStr">
        <is>
          <t>43-4367</t>
        </is>
      </c>
      <c r="D918" t="inlineStr">
        <is>
          <t>Windshield Wiper Motor - 43-4367</t>
        </is>
      </c>
      <c r="E918" t="inlineStr">
        <is>
          <t>CARDONE Reman</t>
        </is>
      </c>
      <c r="F918" t="inlineStr">
        <is>
          <t>2871061Y00</t>
        </is>
      </c>
      <c r="G918" t="inlineStr"/>
      <c r="H918" t="inlineStr"/>
      <c r="I918" t="inlineStr">
        <is>
          <t>{"0": {"productDeskExternalKey": "CPCX|43-4367"}, "1": {"E-Waste": "Yes"}, "2": {"Product Condition": "Remanufactured"}, "3": {"Weight PG": "2.7500"}, "4": {"Part Type": "Windshield Wiper Motor"}, "5": {"Warranty Info": "1 Year/18,000 Mile"}, "6": {"Sustainable Choice": "Yes"}, "7": {"Lifecycle Status": "Available to Order"}, "8": {"Application Summary": "Nissan NX 1993-91"}, "9": {"ItemLevelGTIN": "00082617832007"}, "10": {"_addonCardone": "43-4367::98359:99547:292"}, "11": {"Eligible for R&amp;R Service": "Yes"}}</t>
        </is>
      </c>
      <c r="J918" t="inlineStr">
        <is>
          <t>https://www.cardone.com/product/windshield-wiper-motor-43-4367</t>
        </is>
      </c>
      <c r="K918">
        <f>DISPIMG("ID_E46623A30C40415E9838B5F9977AA05C",1)</f>
        <v/>
      </c>
      <c r="L918" t="inlineStr">
        <is>
          <t>CPCX|43-4367</t>
        </is>
      </c>
      <c r="M918" t="inlineStr"/>
      <c r="N918" t="inlineStr">
        <is>
          <t>Yes</t>
        </is>
      </c>
      <c r="O918" t="inlineStr">
        <is>
          <t>Remanufactured</t>
        </is>
      </c>
      <c r="P918" t="inlineStr"/>
      <c r="Q918" t="inlineStr"/>
      <c r="R918" t="inlineStr"/>
      <c r="S918" t="inlineStr">
        <is>
          <t>2.7500</t>
        </is>
      </c>
      <c r="T918" t="inlineStr"/>
      <c r="U918" t="inlineStr">
        <is>
          <t>1 Year/18,000 Mile</t>
        </is>
      </c>
      <c r="V918" t="inlineStr">
        <is>
          <t>Yes</t>
        </is>
      </c>
      <c r="W918" t="inlineStr">
        <is>
          <t>Available to Order</t>
        </is>
      </c>
      <c r="X918" t="inlineStr">
        <is>
          <t>Nissan NX 1993-91</t>
        </is>
      </c>
      <c r="Y918" t="inlineStr">
        <is>
          <t>00082617832007</t>
        </is>
      </c>
      <c r="Z918" t="inlineStr">
        <is>
          <t>43-4367::98359:99547:292</t>
        </is>
      </c>
      <c r="AA918" t="inlineStr">
        <is>
          <t>Yes</t>
        </is>
      </c>
      <c r="AB918" t="inlineStr"/>
      <c r="AC918" t="inlineStr"/>
    </row>
    <row r="919">
      <c r="A919" t="inlineStr">
        <is>
          <t>918</t>
        </is>
      </c>
      <c r="B919" t="inlineStr">
        <is>
          <t>Windshield Wiper Motor</t>
        </is>
      </c>
      <c r="C919" t="inlineStr">
        <is>
          <t>43-4369</t>
        </is>
      </c>
      <c r="D919" t="inlineStr">
        <is>
          <t>Windshield Wiper Motor - 43-4369</t>
        </is>
      </c>
      <c r="E919" t="inlineStr">
        <is>
          <t>CARDONE Reman</t>
        </is>
      </c>
      <c r="F919" t="inlineStr">
        <is>
          <t>2881567U60</t>
        </is>
      </c>
      <c r="G919" t="inlineStr"/>
      <c r="H919" t="inlineStr"/>
      <c r="I919" t="inlineStr">
        <is>
          <t>{"0": {"productDeskExternalKey": "CPCX|43-4369"}, "1": {"Package Contents": "Wiper Motor; Instruction Sheet"}, "2": {"E-Waste": "Yes"}, "3": {"Product Condition": "Remanufactured"}, "4": {"Mounting Hole Quantity": "4"}, "5": {"Terminal Type": "Blade"}, "6": {"Mounting Type": "Grommet"}, "7": {"Weight PG": "3.2000"}, "8": {"Washer Pump Included": "No"}, "9": {"Part Type": "Windshield Wiper Motor"}, "10": {"Warranty Info": "1 Year/18,000 Mile"}, "11": {"Sustainable Choice": "Yes"}, "12": {"Lifecycle Status": "Available to Order"}, "13": {"Application Summary": "INFINITI Q45 1996-93"}, "14": {"ItemLevelGTIN": "00082617832021"}, "15": {"_addonCardone": "43-4369::98359:99552:292"}, "16": {"Eligible for R&amp;R Service": "Yes"}}</t>
        </is>
      </c>
      <c r="J919" t="inlineStr">
        <is>
          <t>https://www.cardone.com/product/windshield-wiper-motor-43-4369</t>
        </is>
      </c>
      <c r="K919">
        <f>DISPIMG("ID_F3E66B3852CA49688CC35CE41EE8AA41",1)</f>
        <v/>
      </c>
      <c r="L919" t="inlineStr">
        <is>
          <t>CPCX|43-4369</t>
        </is>
      </c>
      <c r="M919" t="inlineStr">
        <is>
          <t>Wiper Motor; Instruction Sheet</t>
        </is>
      </c>
      <c r="N919" t="inlineStr">
        <is>
          <t>Yes</t>
        </is>
      </c>
      <c r="O919" t="inlineStr">
        <is>
          <t>Remanufactured</t>
        </is>
      </c>
      <c r="P919" t="inlineStr">
        <is>
          <t>4</t>
        </is>
      </c>
      <c r="Q919" t="inlineStr">
        <is>
          <t>Blade</t>
        </is>
      </c>
      <c r="R919" t="inlineStr">
        <is>
          <t>Grommet</t>
        </is>
      </c>
      <c r="S919" t="inlineStr">
        <is>
          <t>3.2000</t>
        </is>
      </c>
      <c r="T919" t="inlineStr">
        <is>
          <t>No</t>
        </is>
      </c>
      <c r="U919" t="inlineStr">
        <is>
          <t>1 Year/18,000 Mile</t>
        </is>
      </c>
      <c r="V919" t="inlineStr">
        <is>
          <t>Yes</t>
        </is>
      </c>
      <c r="W919" t="inlineStr">
        <is>
          <t>Available to Order</t>
        </is>
      </c>
      <c r="X919" t="inlineStr">
        <is>
          <t>INFINITI Q45 1996-93</t>
        </is>
      </c>
      <c r="Y919" t="inlineStr">
        <is>
          <t>00082617832021</t>
        </is>
      </c>
      <c r="Z919" t="inlineStr">
        <is>
          <t>43-4369::98359:99552:292</t>
        </is>
      </c>
      <c r="AA919" t="inlineStr">
        <is>
          <t>Yes</t>
        </is>
      </c>
      <c r="AB919" t="inlineStr"/>
      <c r="AC919" t="inlineStr"/>
    </row>
    <row r="920">
      <c r="A920" t="inlineStr">
        <is>
          <t>919</t>
        </is>
      </c>
      <c r="B920" t="inlineStr">
        <is>
          <t>Windshield Wiper Motor</t>
        </is>
      </c>
      <c r="C920" t="inlineStr">
        <is>
          <t>43-4373</t>
        </is>
      </c>
      <c r="D920" t="inlineStr">
        <is>
          <t>Windshield Wiper Motor - 43-4373</t>
        </is>
      </c>
      <c r="E920" t="inlineStr">
        <is>
          <t>CARDONE Reman</t>
        </is>
      </c>
      <c r="F920" t="inlineStr">
        <is>
          <t>287007B000</t>
        </is>
      </c>
      <c r="G920" t="inlineStr">
        <is>
          <t>Nissan Quest 2001-2002</t>
        </is>
      </c>
      <c r="H920" t="inlineStr">
        <is>
          <t>Nissan Quest 2001-2002 3.3L V6 3275cc</t>
        </is>
      </c>
      <c r="I920" t="inlineStr">
        <is>
          <t>{"0": {"productDeskExternalKey": "CPCX|43-4373"}, "1": {"E-Waste": "Yes"}, "2": {"Product Condition": "Remanufactured"}, "3": {"Weight PG": "3.5000"}, "4": {"Part Type": "Windshield Wiper Motor"}, "5": {"Warranty Info": "1 Year/18,000 Mile"}, "6": {"Sustainable Choice": "Yes"}, "7": {"Lifecycle Status": "Available to Order"}, "8": {"Application Summary": "Nissan Quest 2002-01"}, "9": {"ItemLevelGTIN": "00082617832052"}, "10": {"_addonCardone": "43-4373::98359:99555:292"}, "11": {"Eligible for R&amp;R Service": "Yes"}}</t>
        </is>
      </c>
      <c r="J920" t="inlineStr">
        <is>
          <t>https://www.cardone.com/product/windshield-wiper-motor-43-4373</t>
        </is>
      </c>
      <c r="K920">
        <f>DISPIMG("ID_43A474B2F94740BD8C9926353DDBFF97",1)</f>
        <v/>
      </c>
      <c r="L920" t="inlineStr">
        <is>
          <t>CPCX|43-4373</t>
        </is>
      </c>
      <c r="M920" t="inlineStr"/>
      <c r="N920" t="inlineStr">
        <is>
          <t>Yes</t>
        </is>
      </c>
      <c r="O920" t="inlineStr">
        <is>
          <t>Remanufactured</t>
        </is>
      </c>
      <c r="P920" t="inlineStr"/>
      <c r="Q920" t="inlineStr"/>
      <c r="R920" t="inlineStr"/>
      <c r="S920" t="inlineStr">
        <is>
          <t>3.5000</t>
        </is>
      </c>
      <c r="T920" t="inlineStr"/>
      <c r="U920" t="inlineStr">
        <is>
          <t>1 Year/18,000 Mile</t>
        </is>
      </c>
      <c r="V920" t="inlineStr">
        <is>
          <t>Yes</t>
        </is>
      </c>
      <c r="W920" t="inlineStr">
        <is>
          <t>Available to Order</t>
        </is>
      </c>
      <c r="X920" t="inlineStr">
        <is>
          <t>Nissan Quest 2002-01</t>
        </is>
      </c>
      <c r="Y920" t="inlineStr">
        <is>
          <t>00082617832052</t>
        </is>
      </c>
      <c r="Z920" t="inlineStr">
        <is>
          <t>43-4373::98359:99555:292</t>
        </is>
      </c>
      <c r="AA920" t="inlineStr">
        <is>
          <t>Yes</t>
        </is>
      </c>
      <c r="AB920" t="inlineStr"/>
      <c r="AC920" t="inlineStr"/>
    </row>
    <row r="921">
      <c r="A921" t="inlineStr">
        <is>
          <t>920</t>
        </is>
      </c>
      <c r="B921" t="inlineStr">
        <is>
          <t>Windshield Wiper Motor</t>
        </is>
      </c>
      <c r="C921" t="inlineStr">
        <is>
          <t>43-4377</t>
        </is>
      </c>
      <c r="D921" t="inlineStr">
        <is>
          <t>Windshield Wiper Motor - 43-4377</t>
        </is>
      </c>
      <c r="E921" t="inlineStr">
        <is>
          <t>CARDONE Reman</t>
        </is>
      </c>
      <c r="F921" t="inlineStr">
        <is>
          <t>288107J100</t>
        </is>
      </c>
      <c r="G921" t="inlineStr"/>
      <c r="H921" t="inlineStr"/>
      <c r="I921" t="inlineStr">
        <is>
          <t>{"0": {"productDeskExternalKey": "CPCX|43-4377"}, "1": {"Package Contents": "Wiper Motor; Instruction Sheet"}, "2": {"E-Waste": "Yes"}, "3": {"Product Condition": "Remanufactured"}, "4": {"Mounting Hole Quantity": "4"}, "5": {"Terminal Type": "Blade"}, "6": {"Mounting Type": "Grommet"}, "7": {"Weight PG": "2.9500"}, "8": {"Washer Pump Included": "No"}, "9": {"Part Type": "Windshield Wiper Motor"}, "10": {"Warranty Info": "1 Year/18,000 Mile"}, "11": {"Sustainable Choice": "Yes"}, "12": {"Lifecycle Status": "Available to Order"}, "13": {"Application Summary": "INFINITI G20 2001-99"}, "14": {"ItemLevelGTIN": "00082617834483"}, "15": {"_addonCardone": "43-4377::98359:99558:292"}, "16": {"Eligible for R&amp;R Service": "Yes"}}</t>
        </is>
      </c>
      <c r="J921" t="inlineStr">
        <is>
          <t>https://www.cardone.com/product/windshield-wiper-motor-43-4377</t>
        </is>
      </c>
      <c r="K921">
        <f>DISPIMG("ID_30ABA51DE7214C67A6E81F20D5F83246",1)</f>
        <v/>
      </c>
      <c r="L921" t="inlineStr">
        <is>
          <t>CPCX|43-4377</t>
        </is>
      </c>
      <c r="M921" t="inlineStr">
        <is>
          <t>Wiper Motor; Instruction Sheet</t>
        </is>
      </c>
      <c r="N921" t="inlineStr">
        <is>
          <t>Yes</t>
        </is>
      </c>
      <c r="O921" t="inlineStr">
        <is>
          <t>Remanufactured</t>
        </is>
      </c>
      <c r="P921" t="inlineStr">
        <is>
          <t>4</t>
        </is>
      </c>
      <c r="Q921" t="inlineStr">
        <is>
          <t>Blade</t>
        </is>
      </c>
      <c r="R921" t="inlineStr">
        <is>
          <t>Grommet</t>
        </is>
      </c>
      <c r="S921" t="inlineStr">
        <is>
          <t>2.9500</t>
        </is>
      </c>
      <c r="T921" t="inlineStr">
        <is>
          <t>No</t>
        </is>
      </c>
      <c r="U921" t="inlineStr">
        <is>
          <t>1 Year/18,000 Mile</t>
        </is>
      </c>
      <c r="V921" t="inlineStr">
        <is>
          <t>Yes</t>
        </is>
      </c>
      <c r="W921" t="inlineStr">
        <is>
          <t>Available to Order</t>
        </is>
      </c>
      <c r="X921" t="inlineStr">
        <is>
          <t>INFINITI G20 2001-99</t>
        </is>
      </c>
      <c r="Y921" t="inlineStr">
        <is>
          <t>00082617834483</t>
        </is>
      </c>
      <c r="Z921" t="inlineStr">
        <is>
          <t>43-4377::98359:99558:292</t>
        </is>
      </c>
      <c r="AA921" t="inlineStr">
        <is>
          <t>Yes</t>
        </is>
      </c>
      <c r="AB921" t="inlineStr"/>
      <c r="AC921" t="inlineStr"/>
    </row>
    <row r="922">
      <c r="A922" t="inlineStr">
        <is>
          <t>921</t>
        </is>
      </c>
      <c r="B922" t="inlineStr">
        <is>
          <t>Windshield Wiper Motor</t>
        </is>
      </c>
      <c r="C922" t="inlineStr">
        <is>
          <t>43-4379</t>
        </is>
      </c>
      <c r="D922" t="inlineStr">
        <is>
          <t>Windshield Wiper Motor - 43-4379</t>
        </is>
      </c>
      <c r="E922" t="inlineStr">
        <is>
          <t>CARDONE Reman</t>
        </is>
      </c>
      <c r="F922" t="inlineStr">
        <is>
          <t>28800JK61A</t>
        </is>
      </c>
      <c r="G922" t="inlineStr"/>
      <c r="H922" t="inlineStr"/>
      <c r="I922" t="inlineStr">
        <is>
          <t>{"0": {"productDeskExternalKey": "CPCX|43-4379"}, "1": {"Package Contents": "Wiper Motor; Instruction Sheet"}, "2": {"E-Waste": "Yes"}, "3": {"Product Condition": "Remanufactured"}, "4": {"Terminal Type": "Blade"}, "5": {"Mounting Type": "Direct Bolt; Grommet"}, "6": {"Weight PG": "2.8000"}, "7": {"Washer Pump Included": "No"}, "8": {"Part Type": "Windshield Wiper Motor"}, "9": {"Warranty Info": "1 Year/18,000 Mile"}, "10": {"Sustainable Choice": "Yes"}, "11": {"Lifecycle Status": "Available to Order"}, "12": {"Application Summary": "INFINITI G37 2012-08"}, "13": {"ItemLevelGTIN": "00082617838467"}, "14": {"_addonCardone": "43-4379::98359:99560:292"}, "15": {"Eligible for R&amp;R Service": "Yes"}}</t>
        </is>
      </c>
      <c r="J922" t="inlineStr">
        <is>
          <t>https://www.cardone.com/product/windshield-wiper-motor-43-4379</t>
        </is>
      </c>
      <c r="K922">
        <f>DISPIMG("ID_00AC3D0F88F44EFD9F5F9AE578C105A9",1)</f>
        <v/>
      </c>
      <c r="L922" t="inlineStr">
        <is>
          <t>CPCX|43-4379</t>
        </is>
      </c>
      <c r="M922" t="inlineStr">
        <is>
          <t>Wiper Motor; Instruction Sheet</t>
        </is>
      </c>
      <c r="N922" t="inlineStr">
        <is>
          <t>Yes</t>
        </is>
      </c>
      <c r="O922" t="inlineStr">
        <is>
          <t>Remanufactured</t>
        </is>
      </c>
      <c r="P922" t="inlineStr"/>
      <c r="Q922" t="inlineStr">
        <is>
          <t>Blade</t>
        </is>
      </c>
      <c r="R922" t="inlineStr">
        <is>
          <t>Direct Bolt; Grommet</t>
        </is>
      </c>
      <c r="S922" t="inlineStr">
        <is>
          <t>2.8000</t>
        </is>
      </c>
      <c r="T922" t="inlineStr">
        <is>
          <t>No</t>
        </is>
      </c>
      <c r="U922" t="inlineStr">
        <is>
          <t>1 Year/18,000 Mile</t>
        </is>
      </c>
      <c r="V922" t="inlineStr">
        <is>
          <t>Yes</t>
        </is>
      </c>
      <c r="W922" t="inlineStr">
        <is>
          <t>Available to Order</t>
        </is>
      </c>
      <c r="X922" t="inlineStr">
        <is>
          <t>INFINITI G37 2012-08</t>
        </is>
      </c>
      <c r="Y922" t="inlineStr">
        <is>
          <t>00082617838467</t>
        </is>
      </c>
      <c r="Z922" t="inlineStr">
        <is>
          <t>43-4379::98359:99560:292</t>
        </is>
      </c>
      <c r="AA922" t="inlineStr">
        <is>
          <t>Yes</t>
        </is>
      </c>
      <c r="AB922" t="inlineStr"/>
      <c r="AC922" t="inlineStr"/>
    </row>
    <row r="923">
      <c r="A923" t="inlineStr">
        <is>
          <t>922</t>
        </is>
      </c>
      <c r="B923" t="inlineStr">
        <is>
          <t>Windshield Wiper Motor</t>
        </is>
      </c>
      <c r="C923" t="inlineStr">
        <is>
          <t>43-4380</t>
        </is>
      </c>
      <c r="D923" t="inlineStr">
        <is>
          <t>Windshield Wiper Motor - 43-4380</t>
        </is>
      </c>
      <c r="E923" t="inlineStr">
        <is>
          <t>CARDONE Reman</t>
        </is>
      </c>
      <c r="F923" t="inlineStr">
        <is>
          <t>28815AM800</t>
        </is>
      </c>
      <c r="G923" t="inlineStr"/>
      <c r="H923" t="inlineStr"/>
      <c r="I923" t="inlineStr">
        <is>
          <t>{"0": {"productDeskExternalKey": "CPCX|43-4380"},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"INFINITI G35 2004-03"}, "14": {"ItemLevelGTIN": "00082617838658"}, "15": {"_addonCardone": "43-4380::98359:99562:292"}, "16": {"Eligible for R&amp;R Service": "Yes"}}</t>
        </is>
      </c>
      <c r="J923" t="inlineStr">
        <is>
          <t>https://www.cardone.com/product/windshield-wiper-motor-43-4380</t>
        </is>
      </c>
      <c r="K923">
        <f>DISPIMG("ID_61D6DA0C14574E75AD7B6FF5D3488CCE",1)</f>
        <v/>
      </c>
      <c r="L923" t="inlineStr">
        <is>
          <t>CPCX|43-4380</t>
        </is>
      </c>
      <c r="M923" t="inlineStr">
        <is>
          <t>Wiper Motor; Instruction Sheet</t>
        </is>
      </c>
      <c r="N923" t="inlineStr">
        <is>
          <t>Yes</t>
        </is>
      </c>
      <c r="O923" t="inlineStr">
        <is>
          <t>Remanufactured</t>
        </is>
      </c>
      <c r="P923" t="inlineStr">
        <is>
          <t>3</t>
        </is>
      </c>
      <c r="Q923" t="inlineStr">
        <is>
          <t>Blade</t>
        </is>
      </c>
      <c r="R923" t="inlineStr">
        <is>
          <t>Direct Bolt</t>
        </is>
      </c>
      <c r="S923" t="inlineStr">
        <is>
          <t>2.7000</t>
        </is>
      </c>
      <c r="T923" t="inlineStr">
        <is>
          <t>No</t>
        </is>
      </c>
      <c r="U923" t="inlineStr">
        <is>
          <t>1 Year/18,000 Mile</t>
        </is>
      </c>
      <c r="V923" t="inlineStr">
        <is>
          <t>Yes</t>
        </is>
      </c>
      <c r="W923" t="inlineStr">
        <is>
          <t>Available to Order</t>
        </is>
      </c>
      <c r="X923" t="inlineStr">
        <is>
          <t>INFINITI G35 2004-03</t>
        </is>
      </c>
      <c r="Y923" t="inlineStr">
        <is>
          <t>00082617838658</t>
        </is>
      </c>
      <c r="Z923" t="inlineStr">
        <is>
          <t>43-4380::98359:99562:292</t>
        </is>
      </c>
      <c r="AA923" t="inlineStr">
        <is>
          <t>Yes</t>
        </is>
      </c>
      <c r="AB923" t="inlineStr"/>
      <c r="AC923" t="inlineStr"/>
    </row>
    <row r="924">
      <c r="A924" t="inlineStr">
        <is>
          <t>923</t>
        </is>
      </c>
      <c r="B924" t="inlineStr">
        <is>
          <t>Windshield Wiper Motor</t>
        </is>
      </c>
      <c r="C924" t="inlineStr">
        <is>
          <t>43-4382</t>
        </is>
      </c>
      <c r="D924" t="inlineStr">
        <is>
          <t>Windshield Wiper Motor - 43-4382</t>
        </is>
      </c>
      <c r="E924" t="inlineStr">
        <is>
          <t>CARDONE Reman</t>
        </is>
      </c>
      <c r="F924" t="inlineStr">
        <is>
          <t>287005W500</t>
        </is>
      </c>
      <c r="G924" t="inlineStr"/>
      <c r="H924" t="inlineStr"/>
      <c r="I924" t="inlineStr">
        <is>
          <t>{"0": {"productDeskExternalKey": "CPCX|43-4382"}, "1": {"Package Contents": "Wiper Motor; Instruction Sheet"}, "2": {"E-Waste": "Yes"}, "3": {"Product Condition": "Remanufactured"}, "4": {"Mounting Hole Quantity": "3"}, "5": {"Terminal Type": "Blade"}, "6": {"Mounting Type": "Direct Bolt"}, "7": {"Weight PG": "1.9000"}, "8": {"Washer Pump Included": "No"}, "9": {"Part Type": "Windshield Wiper Motor"}, "10": {"Warranty Info": "1 Year/18,000 Mile"}, "11": {"Sustainable Choice": "Yes"}, "12": {"Lifecycle Status": "Available to Order"}, "13": {"Application Summary": "INFINITI QX4 2003-02; Nissan Pathfinder 2004-02"}, "14": {"ItemLevelGTIN": "00082617838788"}, "15": {"_addonCardone": "43-4382::98359:99563:292"}, "16": {"Eligible for R&amp;R Service": "Yes"}}</t>
        </is>
      </c>
      <c r="J924" t="inlineStr">
        <is>
          <t>https://www.cardone.com/product/windshield-wiper-motor-43-4382</t>
        </is>
      </c>
      <c r="K924">
        <f>DISPIMG("ID_5D92CEFB991F4D92881032B3E7E6498A",1)</f>
        <v/>
      </c>
      <c r="L924" t="inlineStr">
        <is>
          <t>CPCX|43-4382</t>
        </is>
      </c>
      <c r="M924" t="inlineStr">
        <is>
          <t>Wiper Motor; Instruction Sheet</t>
        </is>
      </c>
      <c r="N924" t="inlineStr">
        <is>
          <t>Yes</t>
        </is>
      </c>
      <c r="O924" t="inlineStr">
        <is>
          <t>Remanufactured</t>
        </is>
      </c>
      <c r="P924" t="inlineStr">
        <is>
          <t>3</t>
        </is>
      </c>
      <c r="Q924" t="inlineStr">
        <is>
          <t>Blade</t>
        </is>
      </c>
      <c r="R924" t="inlineStr">
        <is>
          <t>Direct Bolt</t>
        </is>
      </c>
      <c r="S924" t="inlineStr">
        <is>
          <t>1.9000</t>
        </is>
      </c>
      <c r="T924" t="inlineStr">
        <is>
          <t>No</t>
        </is>
      </c>
      <c r="U924" t="inlineStr">
        <is>
          <t>1 Year/18,000 Mile</t>
        </is>
      </c>
      <c r="V924" t="inlineStr">
        <is>
          <t>Yes</t>
        </is>
      </c>
      <c r="W924" t="inlineStr">
        <is>
          <t>Available to Order</t>
        </is>
      </c>
      <c r="X924" t="inlineStr">
        <is>
          <t>INFINITI QX4 2003-02; Nissan Pathfinder 2004-02</t>
        </is>
      </c>
      <c r="Y924" t="inlineStr">
        <is>
          <t>00082617838788</t>
        </is>
      </c>
      <c r="Z924" t="inlineStr">
        <is>
          <t>43-4382::98359:99563:292</t>
        </is>
      </c>
      <c r="AA924" t="inlineStr">
        <is>
          <t>Yes</t>
        </is>
      </c>
      <c r="AB924" t="inlineStr"/>
      <c r="AC924" t="inlineStr"/>
    </row>
    <row r="925">
      <c r="A925" t="inlineStr">
        <is>
          <t>924</t>
        </is>
      </c>
      <c r="B925" t="inlineStr">
        <is>
          <t>Windshield Wiper Motor</t>
        </is>
      </c>
      <c r="C925" t="inlineStr">
        <is>
          <t>43-4383</t>
        </is>
      </c>
      <c r="D925" t="inlineStr">
        <is>
          <t>Windshield Wiper Motor - 43-4383</t>
        </is>
      </c>
      <c r="E925" t="inlineStr">
        <is>
          <t>CARDONE Reman</t>
        </is>
      </c>
      <c r="F925" t="inlineStr">
        <is>
          <t>28810JM00A</t>
        </is>
      </c>
      <c r="G925" t="inlineStr">
        <is>
          <t>Nissan Rogue 2008-2013
Nissan Rogue Select 2014-2015</t>
        </is>
      </c>
      <c r="H925" t="inlineStr">
        <is>
          <t>Nissan Rogue 2008-2013 2.5L L4 152cid
Nissan Rogue Select 2014-2015 2.5L L4 152cid</t>
        </is>
      </c>
      <c r="I925" t="inlineStr">
        <is>
          <t>{"0": {"productDeskExternalKey": "CPCX|43-4383"}, "1": {"Package Contents": "Wiper Motor; Instruction Sheet"}, "2": {"E-Waste": "Yes"}, "3": {"Product Condition": "Remanufactured"}, "4": {"Mounting Hole Quantity": "3"}, "5": {"Terminal Type": "Blade"}, "6": {"Mounting Type": "Direct Bolt; Grommet"}, "7": {"Weight PG": "3.0500"}, "8": {"Washer Pump Included": "No"}, "9": {"Part Type": "Windshield Wiper Motor"}, "10": {"Warranty Info": "1 Year/18,000 Mile"}, "11": {"Sustainable Choice": "Yes"}, "12": {"Lifecycle Status": "Available to Order"}, "13": {"Application Summary": "Nissan Rogue 2013-08, Rogue Select 2015-14"}, "14": {"ItemLevelGTIN": "00082617849173"}, "15": {"_addonCardone": "43-4383::98359:99565:292"}, "16": {"Eligible for R&amp;R Service": "Yes"}}</t>
        </is>
      </c>
      <c r="J925" t="inlineStr">
        <is>
          <t>https://www.cardone.com/product/windshield-wiper-motor-43-4383</t>
        </is>
      </c>
      <c r="K925">
        <f>DISPIMG("ID_EE597C2694264F2C81717F9631F190E8",1)</f>
        <v/>
      </c>
      <c r="L925" t="inlineStr">
        <is>
          <t>CPCX|43-4383</t>
        </is>
      </c>
      <c r="M925" t="inlineStr">
        <is>
          <t>Wiper Motor; Instruction Sheet</t>
        </is>
      </c>
      <c r="N925" t="inlineStr">
        <is>
          <t>Yes</t>
        </is>
      </c>
      <c r="O925" t="inlineStr">
        <is>
          <t>Remanufactured</t>
        </is>
      </c>
      <c r="P925" t="inlineStr">
        <is>
          <t>3</t>
        </is>
      </c>
      <c r="Q925" t="inlineStr">
        <is>
          <t>Blade</t>
        </is>
      </c>
      <c r="R925" t="inlineStr">
        <is>
          <t>Direct Bolt; Grommet</t>
        </is>
      </c>
      <c r="S925" t="inlineStr">
        <is>
          <t>3.0500</t>
        </is>
      </c>
      <c r="T925" t="inlineStr">
        <is>
          <t>No</t>
        </is>
      </c>
      <c r="U925" t="inlineStr">
        <is>
          <t>1 Year/18,000 Mile</t>
        </is>
      </c>
      <c r="V925" t="inlineStr">
        <is>
          <t>Yes</t>
        </is>
      </c>
      <c r="W925" t="inlineStr">
        <is>
          <t>Available to Order</t>
        </is>
      </c>
      <c r="X925" t="inlineStr">
        <is>
          <t>Nissan Rogue 2013-08, Rogue Select 2015-14</t>
        </is>
      </c>
      <c r="Y925" t="inlineStr">
        <is>
          <t>00082617849173</t>
        </is>
      </c>
      <c r="Z925" t="inlineStr">
        <is>
          <t>43-4383::98359:99565:292</t>
        </is>
      </c>
      <c r="AA925" t="inlineStr">
        <is>
          <t>Yes</t>
        </is>
      </c>
      <c r="AB925" t="inlineStr"/>
      <c r="AC925" t="inlineStr"/>
    </row>
    <row r="926">
      <c r="A926" t="inlineStr">
        <is>
          <t>925</t>
        </is>
      </c>
      <c r="B926" t="inlineStr">
        <is>
          <t>Windshield Wiper Motor</t>
        </is>
      </c>
      <c r="C926" t="inlineStr">
        <is>
          <t>43-4384</t>
        </is>
      </c>
      <c r="D926" t="inlineStr">
        <is>
          <t>Windshield Wiper Motor - 43-4384</t>
        </is>
      </c>
      <c r="E926" t="inlineStr">
        <is>
          <t>CARDONE Reman</t>
        </is>
      </c>
      <c r="F926" t="inlineStr">
        <is>
          <t>28810ZH30A</t>
        </is>
      </c>
      <c r="G926" t="inlineStr">
        <is>
          <t>Nissan TITAN 2007-2022
Nissan TITAN XD 2016-2022</t>
        </is>
      </c>
      <c r="H926" t="inlineStr">
        <is>
          <t>Nissan TITAN 2007-2022 5.6L V8 5552cc
Nissan TITAN XD 2016-2019 5L V8 305cid
Nissan TITAN XD 2016-2022 5.6L V8 5552cc</t>
        </is>
      </c>
      <c r="I926" t="inlineStr">
        <is>
          <t>{"0": {"productDeskExternalKey": "CPCX|43-4384"}, "1": {"Package Contents": "Wiper Motor; Instruction Sheet"}, "2": {"E-Waste": "Yes"}, "3": {"Product Condition": "Remanufactured"}, "4": {"Mounting Hole Quantity": "3"}, "5": {"Terminal Type": "Blade"}, "6": {"Mounting Type": "Direct Bolt; Grommet"}, "7": {"Weight PG": "3.1000"}, "8": {"Washer Pump Included": "No"}, "9": {"Part Type": "Windshield Wiper Motor"}, "10": {"Warranty Info": "1 Year/18,000 Mile"}, "11": {"Sustainable Choice": "Yes"}, "12": {"Lifecycle Status": "Available to Order"}, "13": {"Application Summary": "INFINITI QX56 2011-08; Nissan Armada 2015-08, Titan 2022-17 2015-07, Titan XD 2022-16"}, "14": {"ItemLevelGTIN": "00082617849180"}, "15": {"_addonCardone": "43-4384::98359:99567:292"}, "16": {"Eligible for R&amp;R Service": "Yes"}}</t>
        </is>
      </c>
      <c r="J926" t="inlineStr">
        <is>
          <t>https://www.cardone.com/product/windshield-wiper-motor-43-4384</t>
        </is>
      </c>
      <c r="K926">
        <f>DISPIMG("ID_9694CCDE0C80405C80CC85053925F8C2",1)</f>
        <v/>
      </c>
      <c r="L926" t="inlineStr">
        <is>
          <t>CPCX|43-4384</t>
        </is>
      </c>
      <c r="M926" t="inlineStr">
        <is>
          <t>Wiper Motor; Instruction Sheet</t>
        </is>
      </c>
      <c r="N926" t="inlineStr">
        <is>
          <t>Yes</t>
        </is>
      </c>
      <c r="O926" t="inlineStr">
        <is>
          <t>Remanufactured</t>
        </is>
      </c>
      <c r="P926" t="inlineStr">
        <is>
          <t>3</t>
        </is>
      </c>
      <c r="Q926" t="inlineStr">
        <is>
          <t>Blade</t>
        </is>
      </c>
      <c r="R926" t="inlineStr">
        <is>
          <t>Direct Bolt; Grommet</t>
        </is>
      </c>
      <c r="S926" t="inlineStr">
        <is>
          <t>3.1000</t>
        </is>
      </c>
      <c r="T926" t="inlineStr">
        <is>
          <t>No</t>
        </is>
      </c>
      <c r="U926" t="inlineStr">
        <is>
          <t>1 Year/18,000 Mile</t>
        </is>
      </c>
      <c r="V926" t="inlineStr">
        <is>
          <t>Yes</t>
        </is>
      </c>
      <c r="W926" t="inlineStr">
        <is>
          <t>Available to Order</t>
        </is>
      </c>
      <c r="X926" t="inlineStr">
        <is>
          <t>INFINITI QX56 2011-08; Nissan Armada 2015-08, Titan 2022-17 2015-07, Titan XD 2022-16</t>
        </is>
      </c>
      <c r="Y926" t="inlineStr">
        <is>
          <t>00082617849180</t>
        </is>
      </c>
      <c r="Z926" t="inlineStr">
        <is>
          <t>43-4384::98359:99567:292</t>
        </is>
      </c>
      <c r="AA926" t="inlineStr">
        <is>
          <t>Yes</t>
        </is>
      </c>
      <c r="AB926" t="inlineStr"/>
      <c r="AC926" t="inlineStr"/>
    </row>
    <row r="927">
      <c r="A927" t="inlineStr">
        <is>
          <t>926</t>
        </is>
      </c>
      <c r="B927" t="inlineStr">
        <is>
          <t>Windshield Wiper Motor</t>
        </is>
      </c>
      <c r="C927" t="inlineStr">
        <is>
          <t>43-4385</t>
        </is>
      </c>
      <c r="D927" t="inlineStr">
        <is>
          <t>Windshield Wiper Motor - 43-4385</t>
        </is>
      </c>
      <c r="E927" t="inlineStr">
        <is>
          <t>CARDONE Reman</t>
        </is>
      </c>
      <c r="F927" t="inlineStr">
        <is>
          <t>28710EL000;28710ED500</t>
        </is>
      </c>
      <c r="G927" t="inlineStr">
        <is>
          <t>Nissan Rogue 2008-2013
Nissan Rogue Select 2014-2015
Nissan Tiida 2008-2011
Nissan Versa 2007-2012</t>
        </is>
      </c>
      <c r="H927" t="inlineStr">
        <is>
          <t>Nissan Rogue 2008-2013 2.5L L4 152cid
Nissan Rogue Select 2014-2015 2.5L L4 152cid
Nissan Tiida 2008-2011 1.8L L4 1798cc
Nissan Versa 2007-2012 1.8L L4 1798cc</t>
        </is>
      </c>
      <c r="I927" t="inlineStr">
        <is>
          <t>{"0": {"productDeskExternalKey": "CPCX|43-4385"}, "1": {"Package Contents": "Wiper Motor; Instruction Sheet"}, "2": {"E-Waste": "Yes"}, "3": {"Product Condition": "Remanufactured"}, "4": {"Mounting Hole Quantity": "3"}, "5": {"Terminal Type": "Blade"}, "6": {"Mounting Type": "Grommet"}, "7": {"Weight PG": "2.3500"}, "8": {"Washer Pump Included": "No"}, "9": {"Part Type": "Windshield Wiper Motor"}, "10": {"Warranty Info": "1 Year/18,000 Mile"}, "11": {"Sustainable Choice": "Yes"}, "12": {"Lifecycle Status": "Available to Order"}, "13": {"Application Summary": "Nissan Rogue 2013-08, Rogue Select 2015-14, Tiida 2011-10 2008, Versa 2012-07"}, "14": {"ItemLevelGTIN": "00082617850827"}, "15": {"_addonCardone": "43-4385::98359:99570:292"}, "16": {"Eligible for R&amp;R Service": "Yes"}}</t>
        </is>
      </c>
      <c r="J927" t="inlineStr">
        <is>
          <t>https://www.cardone.com/product/windshield-wiper-motor-43-4385</t>
        </is>
      </c>
      <c r="K927">
        <f>DISPIMG("ID_720AF79D5CEE46FFA23FFDD297A7999A",1)</f>
        <v/>
      </c>
      <c r="L927" t="inlineStr">
        <is>
          <t>CPCX|43-4385</t>
        </is>
      </c>
      <c r="M927" t="inlineStr">
        <is>
          <t>Wiper Motor; Instruction Sheet</t>
        </is>
      </c>
      <c r="N927" t="inlineStr">
        <is>
          <t>Yes</t>
        </is>
      </c>
      <c r="O927" t="inlineStr">
        <is>
          <t>Remanufactured</t>
        </is>
      </c>
      <c r="P927" t="inlineStr">
        <is>
          <t>3</t>
        </is>
      </c>
      <c r="Q927" t="inlineStr">
        <is>
          <t>Blade</t>
        </is>
      </c>
      <c r="R927" t="inlineStr">
        <is>
          <t>Grommet</t>
        </is>
      </c>
      <c r="S927" t="inlineStr">
        <is>
          <t>2.3500</t>
        </is>
      </c>
      <c r="T927" t="inlineStr">
        <is>
          <t>No</t>
        </is>
      </c>
      <c r="U927" t="inlineStr">
        <is>
          <t>1 Year/18,000 Mile</t>
        </is>
      </c>
      <c r="V927" t="inlineStr">
        <is>
          <t>Yes</t>
        </is>
      </c>
      <c r="W927" t="inlineStr">
        <is>
          <t>Available to Order</t>
        </is>
      </c>
      <c r="X927" t="inlineStr">
        <is>
          <t>Nissan Rogue 2013-08, Rogue Select 2015-14, Tiida 2011-10 2008, Versa 2012-07</t>
        </is>
      </c>
      <c r="Y927" t="inlineStr">
        <is>
          <t>00082617850827</t>
        </is>
      </c>
      <c r="Z927" t="inlineStr">
        <is>
          <t>43-4385::98359:99570:292</t>
        </is>
      </c>
      <c r="AA927" t="inlineStr">
        <is>
          <t>Yes</t>
        </is>
      </c>
      <c r="AB927" t="inlineStr"/>
      <c r="AC927" t="inlineStr"/>
    </row>
    <row r="928">
      <c r="A928" t="inlineStr">
        <is>
          <t>927</t>
        </is>
      </c>
      <c r="B928" t="inlineStr">
        <is>
          <t>Windshield Wiper Motor</t>
        </is>
      </c>
      <c r="C928" t="inlineStr">
        <is>
          <t>43-4386</t>
        </is>
      </c>
      <c r="D928" t="inlineStr">
        <is>
          <t>Windshield Wiper Motor - 43-4386</t>
        </is>
      </c>
      <c r="E928" t="inlineStr">
        <is>
          <t>CARDONE Reman</t>
        </is>
      </c>
      <c r="F928" t="inlineStr">
        <is>
          <t>28810JK60A</t>
        </is>
      </c>
      <c r="G928" t="inlineStr"/>
      <c r="H928" t="inlineStr"/>
      <c r="I928" t="inlineStr">
        <is>
          <t>{"0": {"productDeskExternalKey": "CPCX|43-4386"}, "1": {"Package Contents": "Wiper Motor; Instruction Sheet"}, "2": {"E-Waste": "Yes"}, "3": {"Product Condition": "Remanufactured"}, "4": {"Mounting Hole Quantity": "3"}, "5": {"Terminal Type": "Blade"}, "6": {"Mounting Type": "Direct Bolt; Grommet"}, "7": {"Weight PG": "3.1000"}, "8": {"Washer Pump Included": "No"}, "9": {"Part Type": "Windshield Wiper Motor"}, "10": {"Warranty Info": "1 Year/18,000 Mile"}, "11": {"Sustainable Choice": "Yes"}, "12": {"Lifecycle Status": "Available to Order"}, "13": {"Application Summary": "INFINITI G25 2012-11, G35 2008, G37 2013"}, "14": {"ItemLevelGTIN": "00082617864701"}, "15": {"_addonCardone": "43-4386::98359:99573:292"}, "16": {"Eligible for R&amp;R Service": "Yes"}}</t>
        </is>
      </c>
      <c r="J928" t="inlineStr">
        <is>
          <t>https://www.cardone.com/product/windshield-wiper-motor-43-4386</t>
        </is>
      </c>
      <c r="K928">
        <f>DISPIMG("ID_707042256027461D827A8FCAD76FAFFD",1)</f>
        <v/>
      </c>
      <c r="L928" t="inlineStr">
        <is>
          <t>CPCX|43-4386</t>
        </is>
      </c>
      <c r="M928" t="inlineStr">
        <is>
          <t>Wiper Motor; Instruction Sheet</t>
        </is>
      </c>
      <c r="N928" t="inlineStr">
        <is>
          <t>Yes</t>
        </is>
      </c>
      <c r="O928" t="inlineStr">
        <is>
          <t>Remanufactured</t>
        </is>
      </c>
      <c r="P928" t="inlineStr">
        <is>
          <t>3</t>
        </is>
      </c>
      <c r="Q928" t="inlineStr">
        <is>
          <t>Blade</t>
        </is>
      </c>
      <c r="R928" t="inlineStr">
        <is>
          <t>Direct Bolt; Grommet</t>
        </is>
      </c>
      <c r="S928" t="inlineStr">
        <is>
          <t>3.1000</t>
        </is>
      </c>
      <c r="T928" t="inlineStr">
        <is>
          <t>No</t>
        </is>
      </c>
      <c r="U928" t="inlineStr">
        <is>
          <t>1 Year/18,000 Mile</t>
        </is>
      </c>
      <c r="V928" t="inlineStr">
        <is>
          <t>Yes</t>
        </is>
      </c>
      <c r="W928" t="inlineStr">
        <is>
          <t>Available to Order</t>
        </is>
      </c>
      <c r="X928" t="inlineStr">
        <is>
          <t>INFINITI G25 2012-11, G35 2008, G37 2013</t>
        </is>
      </c>
      <c r="Y928" t="inlineStr">
        <is>
          <t>00082617864701</t>
        </is>
      </c>
      <c r="Z928" t="inlineStr">
        <is>
          <t>43-4386::98359:99573:292</t>
        </is>
      </c>
      <c r="AA928" t="inlineStr">
        <is>
          <t>Yes</t>
        </is>
      </c>
      <c r="AB928" t="inlineStr"/>
      <c r="AC928" t="inlineStr"/>
    </row>
    <row r="929">
      <c r="A929" t="inlineStr">
        <is>
          <t>928</t>
        </is>
      </c>
      <c r="B929" t="inlineStr">
        <is>
          <t>Windshield Wiper Motor</t>
        </is>
      </c>
      <c r="C929" t="inlineStr">
        <is>
          <t>43-4387</t>
        </is>
      </c>
      <c r="D929" t="inlineStr">
        <is>
          <t>Windshield Wiper Motor - 43-4387</t>
        </is>
      </c>
      <c r="E929" t="inlineStr">
        <is>
          <t>CARDONE Reman</t>
        </is>
      </c>
      <c r="F929" t="inlineStr">
        <is>
          <t>288101BA0A</t>
        </is>
      </c>
      <c r="G929" t="inlineStr"/>
      <c r="H929" t="inlineStr"/>
      <c r="I929" t="inlineStr">
        <is>
          <t>{"0": {"productDeskExternalKey": "CPCX|43-4387"}, "1": {"E-Waste": "Yes"}, "2": {"Product Condition": "Remanufactured"}, "3": {"Weight PG": "3.0000"}, "4": {"Part Type": "Windshield Wiper Motor"}, "5": {"Warranty Info": "1 Year/18,000 Mile"}, "6": {"Sustainable Choice": "Yes"}, "7": {"Lifecycle Status": "Available to Order"}, "8": {"Application Summary": "INFINITI EX35 2012-08, EX37 2013, QX50 2014"}, "9": {"ItemLevelGTIN": "00082617864718"}, "10": {"_addonCardone": "43-4387::98359:99575:292"}, "11": {"Eligible for R&amp;R Service": "Yes"}}</t>
        </is>
      </c>
      <c r="J929" t="inlineStr">
        <is>
          <t>https://www.cardone.com/product/windshield-wiper-motor-43-4387</t>
        </is>
      </c>
      <c r="K929">
        <f>DISPIMG("ID_8990BED947A541D0A4D3395111746EB1",1)</f>
        <v/>
      </c>
      <c r="L929" t="inlineStr">
        <is>
          <t>CPCX|43-4387</t>
        </is>
      </c>
      <c r="M929" t="inlineStr"/>
      <c r="N929" t="inlineStr">
        <is>
          <t>Yes</t>
        </is>
      </c>
      <c r="O929" t="inlineStr">
        <is>
          <t>Remanufactured</t>
        </is>
      </c>
      <c r="P929" t="inlineStr"/>
      <c r="Q929" t="inlineStr"/>
      <c r="R929" t="inlineStr"/>
      <c r="S929" t="inlineStr">
        <is>
          <t>3.0000</t>
        </is>
      </c>
      <c r="T929" t="inlineStr"/>
      <c r="U929" t="inlineStr">
        <is>
          <t>1 Year/18,000 Mile</t>
        </is>
      </c>
      <c r="V929" t="inlineStr">
        <is>
          <t>Yes</t>
        </is>
      </c>
      <c r="W929" t="inlineStr">
        <is>
          <t>Available to Order</t>
        </is>
      </c>
      <c r="X929" t="inlineStr">
        <is>
          <t>INFINITI EX35 2012-08, EX37 2013, QX50 2014</t>
        </is>
      </c>
      <c r="Y929" t="inlineStr">
        <is>
          <t>00082617864718</t>
        </is>
      </c>
      <c r="Z929" t="inlineStr">
        <is>
          <t>43-4387::98359:99575:292</t>
        </is>
      </c>
      <c r="AA929" t="inlineStr">
        <is>
          <t>Yes</t>
        </is>
      </c>
      <c r="AB929" t="inlineStr"/>
      <c r="AC929" t="inlineStr"/>
    </row>
    <row r="930">
      <c r="A930" t="inlineStr">
        <is>
          <t>929</t>
        </is>
      </c>
      <c r="B930" t="inlineStr">
        <is>
          <t>Windshield Wiper Motor</t>
        </is>
      </c>
      <c r="C930" t="inlineStr">
        <is>
          <t>43-4388</t>
        </is>
      </c>
      <c r="D930" t="inlineStr">
        <is>
          <t>Windshield Wiper Motor - 43-4388</t>
        </is>
      </c>
      <c r="E930" t="inlineStr">
        <is>
          <t>CARDONE Reman</t>
        </is>
      </c>
      <c r="F930" t="inlineStr">
        <is>
          <t>287101BA0A</t>
        </is>
      </c>
      <c r="G930" t="inlineStr">
        <is>
          <t>INFINITI QX70 2014-2016</t>
        </is>
      </c>
      <c r="H930" t="inlineStr">
        <is>
          <t>INFINITI QX70 2014-2016 3.7L V6 3696cc
INFINITI QX70 2014-2016 5L V8 5026cc</t>
        </is>
      </c>
      <c r="I930" t="inlineStr">
        <is>
          <t>{"0": {"productDeskExternalKey": "CPCX|43-4388"}, "1": {"Package Contents": "Wiper Motor; Instruction Sheet"}, "2": {"E-Waste": "Yes"}, "3": {"Product Condition": "Remanufactured"}, "4": {"Mounting Hole Quantity": "3"}, "5": {"Terminal Type": "Blade"}, "6": {"Mounting Type": "Eyelet; Grommet"}, "7": {"Weight PG": "1.8200"}, "8": {"Washer Pump Included": "No"}, "9": {"Part Type": "Windshield Wiper Motor"}, "10": {"Warranty Info": "1 Year/18,000 Mile"}, "11": {"Sustainable Choice": "Yes"}, "12": {"Lifecycle Status": "Available to Order"}, "13": {"Application Summary": "INFINITI EX35 2012-08, EX37 2013, FX35 2012-09, FX37 2013, FX50 2013-09, QX50 2016-14, QX70 2016-14"}, "14": {"ItemLevelGTIN": "00082617864725"}, "15": {"_addonCardone": "43-4388::98359:99578:292"}, "16": {"Eligible for R&amp;R Service": "Yes"}}</t>
        </is>
      </c>
      <c r="J930" t="inlineStr">
        <is>
          <t>https://www.cardone.com/product/windshield-wiper-motor-43-4388</t>
        </is>
      </c>
      <c r="K930">
        <f>DISPIMG("ID_0049A3E41839421893AC4B822733A548",1)</f>
        <v/>
      </c>
      <c r="L930" t="inlineStr">
        <is>
          <t>CPCX|43-4388</t>
        </is>
      </c>
      <c r="M930" t="inlineStr">
        <is>
          <t>Wiper Motor; Instruction Sheet</t>
        </is>
      </c>
      <c r="N930" t="inlineStr">
        <is>
          <t>Yes</t>
        </is>
      </c>
      <c r="O930" t="inlineStr">
        <is>
          <t>Remanufactured</t>
        </is>
      </c>
      <c r="P930" t="inlineStr">
        <is>
          <t>3</t>
        </is>
      </c>
      <c r="Q930" t="inlineStr">
        <is>
          <t>Blade</t>
        </is>
      </c>
      <c r="R930" t="inlineStr">
        <is>
          <t>Eyelet; Grommet</t>
        </is>
      </c>
      <c r="S930" t="inlineStr">
        <is>
          <t>1.8200</t>
        </is>
      </c>
      <c r="T930" t="inlineStr">
        <is>
          <t>No</t>
        </is>
      </c>
      <c r="U930" t="inlineStr">
        <is>
          <t>1 Year/18,000 Mile</t>
        </is>
      </c>
      <c r="V930" t="inlineStr">
        <is>
          <t>Yes</t>
        </is>
      </c>
      <c r="W930" t="inlineStr">
        <is>
          <t>Available to Order</t>
        </is>
      </c>
      <c r="X930" t="inlineStr">
        <is>
          <t>INFINITI EX35 2012-08, EX37 2013, FX35 2012-09, FX37 2013, FX50 2013-09, QX50 2016-14, QX70 2016-14</t>
        </is>
      </c>
      <c r="Y930" t="inlineStr">
        <is>
          <t>00082617864725</t>
        </is>
      </c>
      <c r="Z930" t="inlineStr">
        <is>
          <t>43-4388::98359:99578:292</t>
        </is>
      </c>
      <c r="AA930" t="inlineStr">
        <is>
          <t>Yes</t>
        </is>
      </c>
      <c r="AB930" t="inlineStr"/>
      <c r="AC930" t="inlineStr"/>
    </row>
    <row r="931">
      <c r="A931" t="inlineStr">
        <is>
          <t>930</t>
        </is>
      </c>
      <c r="B931" t="inlineStr">
        <is>
          <t>Windshield Wiper Motor</t>
        </is>
      </c>
      <c r="C931" t="inlineStr">
        <is>
          <t>43-4390</t>
        </is>
      </c>
      <c r="D931" t="inlineStr">
        <is>
          <t>Windshield Wiper Motor - 43-4390</t>
        </is>
      </c>
      <c r="E931" t="inlineStr">
        <is>
          <t>CARDONE Reman</t>
        </is>
      </c>
      <c r="F931" t="inlineStr">
        <is>
          <t>288101EA0A</t>
        </is>
      </c>
      <c r="G931" t="inlineStr">
        <is>
          <t>Nissan 370Z 2009-2016</t>
        </is>
      </c>
      <c r="H931" t="inlineStr">
        <is>
          <t>Nissan 370Z 2009-2016 3.7L V6 3696cc</t>
        </is>
      </c>
      <c r="I931" t="inlineStr">
        <is>
          <t>{"0": {"productDeskExternalKey": "CPCX|43-4390"}, "1": {"E-Waste": "Yes"}, "2": {"Product Condition": "Remanufactured"}, "3": {"Weight PG": "3.0000"}, "4": {"Part Type": "Windshield Wiper Motor"}, "5": {"Warranty Info": "1 Year/18,000 Mile"}, "6": {"Sustainable Choice": "Yes"}, "7": {"Lifecycle Status": "Available to Order"}, "8": {"Application Summary": "Nissan 370Z 2016-09"}, "9": {"ItemLevelGTIN": "00082617900638"}, "10": {"_addonCardone": "43-4390::98359:99581:292"}, "11": {"Eligible for R&amp;R Service": "Yes"}}</t>
        </is>
      </c>
      <c r="J931" t="inlineStr">
        <is>
          <t>https://www.cardone.com/product/windshield-wiper-motor-43-4390</t>
        </is>
      </c>
      <c r="K931">
        <f>DISPIMG("ID_257A164A2E9A4C1BA8CF28E529BA7587",1)</f>
        <v/>
      </c>
      <c r="L931" t="inlineStr">
        <is>
          <t>CPCX|43-4390</t>
        </is>
      </c>
      <c r="M931" t="inlineStr"/>
      <c r="N931" t="inlineStr">
        <is>
          <t>Yes</t>
        </is>
      </c>
      <c r="O931" t="inlineStr">
        <is>
          <t>Remanufactured</t>
        </is>
      </c>
      <c r="P931" t="inlineStr"/>
      <c r="Q931" t="inlineStr"/>
      <c r="R931" t="inlineStr"/>
      <c r="S931" t="inlineStr">
        <is>
          <t>3.0000</t>
        </is>
      </c>
      <c r="T931" t="inlineStr"/>
      <c r="U931" t="inlineStr">
        <is>
          <t>1 Year/18,000 Mile</t>
        </is>
      </c>
      <c r="V931" t="inlineStr">
        <is>
          <t>Yes</t>
        </is>
      </c>
      <c r="W931" t="inlineStr">
        <is>
          <t>Available to Order</t>
        </is>
      </c>
      <c r="X931" t="inlineStr">
        <is>
          <t>Nissan 370Z 2016-09</t>
        </is>
      </c>
      <c r="Y931" t="inlineStr">
        <is>
          <t>00082617900638</t>
        </is>
      </c>
      <c r="Z931" t="inlineStr">
        <is>
          <t>43-4390::98359:99581:292</t>
        </is>
      </c>
      <c r="AA931" t="inlineStr">
        <is>
          <t>Yes</t>
        </is>
      </c>
      <c r="AB931" t="inlineStr"/>
      <c r="AC931" t="inlineStr"/>
    </row>
    <row r="932">
      <c r="A932" t="inlineStr">
        <is>
          <t>931</t>
        </is>
      </c>
      <c r="B932" t="inlineStr">
        <is>
          <t>Windshield Wiper Motor</t>
        </is>
      </c>
      <c r="C932" t="inlineStr">
        <is>
          <t>43-4391</t>
        </is>
      </c>
      <c r="D932" t="inlineStr">
        <is>
          <t>Windshield Wiper Motor - 43-4391</t>
        </is>
      </c>
      <c r="E932" t="inlineStr">
        <is>
          <t>CARDONE Reman</t>
        </is>
      </c>
      <c r="F932" t="inlineStr">
        <is>
          <t>288101CA0A</t>
        </is>
      </c>
      <c r="G932" t="inlineStr">
        <is>
          <t>INFINITI QX70 2014-2017</t>
        </is>
      </c>
      <c r="H932" t="inlineStr">
        <is>
          <t>INFINITI QX70 2014-2017 3.7L V6 3696cc
INFINITI QX70 2014-2017 5L V8 5026cc</t>
        </is>
      </c>
      <c r="I932" t="inlineStr">
        <is>
          <t>{"0": {"productDeskExternalKey": "CPCX|43-4391"}, "1": {"E-Waste": "Yes"}, "2": {"Product Condition": "Remanufactured"}, "3": {"Weight PG": "2.8500"}, "4": {"Part Type": "Windshield Wiper Motor"}, "5": {"Warranty Info": "1 Year/18,000 Mile"}, "6": {"Sustainable Choice": "Yes"}, "7": {"Lifecycle Status": "Available to Order"}, "8": {"Application Summary": "INFINITI FX35 2012-09, FX37 2013, FX50 2013-09, QX70 2017-14"}, "9": {"ItemLevelGTIN": "00082617900980"}, "10": {"_addonCardone": "43-4391::98359:99586:292"}, "11": {"Eligible for R&amp;R Service": "Yes"}}</t>
        </is>
      </c>
      <c r="J932" t="inlineStr">
        <is>
          <t>https://www.cardone.com/product/windshield-wiper-motor-43-4391</t>
        </is>
      </c>
      <c r="K932">
        <f>DISPIMG("ID_726A8A7A4BF041A19CCAB2E03CC36D30",1)</f>
        <v/>
      </c>
      <c r="L932" t="inlineStr">
        <is>
          <t>CPCX|43-4391</t>
        </is>
      </c>
      <c r="M932" t="inlineStr"/>
      <c r="N932" t="inlineStr">
        <is>
          <t>Yes</t>
        </is>
      </c>
      <c r="O932" t="inlineStr">
        <is>
          <t>Remanufactured</t>
        </is>
      </c>
      <c r="P932" t="inlineStr"/>
      <c r="Q932" t="inlineStr"/>
      <c r="R932" t="inlineStr"/>
      <c r="S932" t="inlineStr">
        <is>
          <t>2.8500</t>
        </is>
      </c>
      <c r="T932" t="inlineStr"/>
      <c r="U932" t="inlineStr">
        <is>
          <t>1 Year/18,000 Mile</t>
        </is>
      </c>
      <c r="V932" t="inlineStr">
        <is>
          <t>Yes</t>
        </is>
      </c>
      <c r="W932" t="inlineStr">
        <is>
          <t>Available to Order</t>
        </is>
      </c>
      <c r="X932" t="inlineStr">
        <is>
          <t>INFINITI FX35 2012-09, FX37 2013, FX50 2013-09, QX70 2017-14</t>
        </is>
      </c>
      <c r="Y932" t="inlineStr">
        <is>
          <t>00082617900980</t>
        </is>
      </c>
      <c r="Z932" t="inlineStr">
        <is>
          <t>43-4391::98359:99586:292</t>
        </is>
      </c>
      <c r="AA932" t="inlineStr">
        <is>
          <t>Yes</t>
        </is>
      </c>
      <c r="AB932" t="inlineStr"/>
      <c r="AC932" t="inlineStr"/>
    </row>
    <row r="933">
      <c r="A933" t="inlineStr">
        <is>
          <t>932</t>
        </is>
      </c>
      <c r="B933" t="inlineStr">
        <is>
          <t>Windshield Wiper Motor</t>
        </is>
      </c>
      <c r="C933" t="inlineStr">
        <is>
          <t>43-4393</t>
        </is>
      </c>
      <c r="D933" t="inlineStr">
        <is>
          <t>Windshield Wiper Motor - 43-4393</t>
        </is>
      </c>
      <c r="E933" t="inlineStr">
        <is>
          <t>CARDONE Reman</t>
        </is>
      </c>
      <c r="F933" t="inlineStr">
        <is>
          <t>288001AA0A</t>
        </is>
      </c>
      <c r="G933" t="inlineStr"/>
      <c r="H933" t="inlineStr"/>
      <c r="I933" t="inlineStr">
        <is>
          <t>{"0": {"productDeskExternalKey": "CPCX|43-4393"}, "1": {"Package Contents": "Wiper Motor; Instruction Sheet"}, "2": {"E-Waste": "Yes"}, "3": {"Product Condition": "Remanufactured"}, "4": {"Mounting Hole Quantity": "3"}, "5": {"Terminal Type": "Blade"}, "6": {"Mounting Type": "Direct Bolt; Grommet"}, "7": {"Weight PG": "3.3000"}, "8": {"Washer Pump Included": "No"}, "9": {"Part Type": "Windshield Wiper Motor"}, "10": {"Warranty Info": "1 Year/18,000 Mile"}, "11": {"Sustainable Choice": "Yes"}, "12": {"Lifecycle Status": "Available to Order"}, "13": {"Application Summary": "Nissan Murano 2014-09"}, "14": {"ItemLevelGTIN": "00082617900652"}, "15": {"_addonCardone": "43-4393::98359:99591:292"}, "16": {"Eligible for R&amp;R Service": "Yes"}}</t>
        </is>
      </c>
      <c r="J933" t="inlineStr">
        <is>
          <t>https://www.cardone.com/product/windshield-wiper-motor-43-4393</t>
        </is>
      </c>
      <c r="K933">
        <f>DISPIMG("ID_807992766A8E4E41A2228F527402D619",1)</f>
        <v/>
      </c>
      <c r="L933" t="inlineStr">
        <is>
          <t>CPCX|43-4393</t>
        </is>
      </c>
      <c r="M933" t="inlineStr">
        <is>
          <t>Wiper Motor; Instruction Sheet</t>
        </is>
      </c>
      <c r="N933" t="inlineStr">
        <is>
          <t>Yes</t>
        </is>
      </c>
      <c r="O933" t="inlineStr">
        <is>
          <t>Remanufactured</t>
        </is>
      </c>
      <c r="P933" t="inlineStr">
        <is>
          <t>3</t>
        </is>
      </c>
      <c r="Q933" t="inlineStr">
        <is>
          <t>Blade</t>
        </is>
      </c>
      <c r="R933" t="inlineStr">
        <is>
          <t>Direct Bolt; Grommet</t>
        </is>
      </c>
      <c r="S933" t="inlineStr">
        <is>
          <t>3.3000</t>
        </is>
      </c>
      <c r="T933" t="inlineStr">
        <is>
          <t>No</t>
        </is>
      </c>
      <c r="U933" t="inlineStr">
        <is>
          <t>1 Year/18,000 Mile</t>
        </is>
      </c>
      <c r="V933" t="inlineStr">
        <is>
          <t>Yes</t>
        </is>
      </c>
      <c r="W933" t="inlineStr">
        <is>
          <t>Available to Order</t>
        </is>
      </c>
      <c r="X933" t="inlineStr">
        <is>
          <t>Nissan Murano 2014-09</t>
        </is>
      </c>
      <c r="Y933" t="inlineStr">
        <is>
          <t>00082617900652</t>
        </is>
      </c>
      <c r="Z933" t="inlineStr">
        <is>
          <t>43-4393::98359:99591:292</t>
        </is>
      </c>
      <c r="AA933" t="inlineStr">
        <is>
          <t>Yes</t>
        </is>
      </c>
      <c r="AB933" t="inlineStr"/>
      <c r="AC933" t="inlineStr"/>
    </row>
    <row r="934">
      <c r="A934" t="inlineStr">
        <is>
          <t>933</t>
        </is>
      </c>
      <c r="B934" t="inlineStr">
        <is>
          <t>Windshield Wiper Motor</t>
        </is>
      </c>
      <c r="C934" t="inlineStr">
        <is>
          <t>43-4394</t>
        </is>
      </c>
      <c r="D934" t="inlineStr">
        <is>
          <t>Windshield Wiper Motor - 43-4394</t>
        </is>
      </c>
      <c r="E934" t="inlineStr">
        <is>
          <t>CARDONE Reman</t>
        </is>
      </c>
      <c r="F934" t="inlineStr">
        <is>
          <t>287101AA0A</t>
        </is>
      </c>
      <c r="G934" t="inlineStr"/>
      <c r="H934" t="inlineStr"/>
      <c r="I934" t="inlineStr">
        <is>
          <t>{"0": {"productDeskExternalKey": "CPCX|43-4394"}, "1": {"Package Contents": "Wiper Motor; Instruction Sheet"}, "2": {"E-Waste": "Yes"}, "3": {"Product Condition": "Remanufactured"}, "4": {"Mounting Hole Quantity": "2"}, "5": {"Terminal Type": "Blade"}, "6": {"Mounting Type": "Grommet; Through Hole"}, "7": {"Weight PG": "2.0000"}, "8": {"Washer Pump Included": "No"}, "9": {"Part Type": "Windshield Wiper Motor"}, "10": {"Warranty Info": "1 Year/18,000 Mile"}, "11": {"Sustainable Choice": "Yes"}, "12": {"Lifecycle Status": "Available to Order"}, "13": {"Application Summary": "Nissan Murano 2014-09"}, "14": {"ItemLevelGTIN": "00082617900669"}, "15": {"_addonCardone": "43-4394::98359:99592:292"}, "16": {"Eligible for R&amp;R Service": "Yes"}}</t>
        </is>
      </c>
      <c r="J934" t="inlineStr">
        <is>
          <t>https://www.cardone.com/product/windshield-wiper-motor-43-4394</t>
        </is>
      </c>
      <c r="K934">
        <f>DISPIMG("ID_8E1BA3E7408A43CFB5B923A038AB007D",1)</f>
        <v/>
      </c>
      <c r="L934" t="inlineStr">
        <is>
          <t>CPCX|43-4394</t>
        </is>
      </c>
      <c r="M934" t="inlineStr">
        <is>
          <t>Wiper Motor; Instruction Sheet</t>
        </is>
      </c>
      <c r="N934" t="inlineStr">
        <is>
          <t>Yes</t>
        </is>
      </c>
      <c r="O934" t="inlineStr">
        <is>
          <t>Remanufactured</t>
        </is>
      </c>
      <c r="P934" t="inlineStr">
        <is>
          <t>2</t>
        </is>
      </c>
      <c r="Q934" t="inlineStr">
        <is>
          <t>Blade</t>
        </is>
      </c>
      <c r="R934" t="inlineStr">
        <is>
          <t>Grommet; Through Hole</t>
        </is>
      </c>
      <c r="S934" t="inlineStr">
        <is>
          <t>2.0000</t>
        </is>
      </c>
      <c r="T934" t="inlineStr">
        <is>
          <t>No</t>
        </is>
      </c>
      <c r="U934" t="inlineStr">
        <is>
          <t>1 Year/18,000 Mile</t>
        </is>
      </c>
      <c r="V934" t="inlineStr">
        <is>
          <t>Yes</t>
        </is>
      </c>
      <c r="W934" t="inlineStr">
        <is>
          <t>Available to Order</t>
        </is>
      </c>
      <c r="X934" t="inlineStr">
        <is>
          <t>Nissan Murano 2014-09</t>
        </is>
      </c>
      <c r="Y934" t="inlineStr">
        <is>
          <t>00082617900669</t>
        </is>
      </c>
      <c r="Z934" t="inlineStr">
        <is>
          <t>43-4394::98359:99592:292</t>
        </is>
      </c>
      <c r="AA934" t="inlineStr">
        <is>
          <t>Yes</t>
        </is>
      </c>
      <c r="AB934" t="inlineStr"/>
      <c r="AC934" t="inlineStr"/>
    </row>
    <row r="935">
      <c r="A935" t="inlineStr">
        <is>
          <t>934</t>
        </is>
      </c>
      <c r="B935" t="inlineStr">
        <is>
          <t>Windshield Wiper Motor</t>
        </is>
      </c>
      <c r="C935" t="inlineStr">
        <is>
          <t>43-4395</t>
        </is>
      </c>
      <c r="D935" t="inlineStr">
        <is>
          <t>Windshield Wiper Motor - 43-4395</t>
        </is>
      </c>
      <c r="E935" t="inlineStr">
        <is>
          <t>CARDONE Reman</t>
        </is>
      </c>
      <c r="F935" t="inlineStr">
        <is>
          <t>28700ZD300</t>
        </is>
      </c>
      <c r="G935" t="inlineStr">
        <is>
          <t>Nissan Xterra 2004</t>
        </is>
      </c>
      <c r="H935" t="inlineStr">
        <is>
          <t>Nissan Xterra 2004 2.4L L4 2389cc
Nissan Xterra 2004 3.3L V6 3275cc</t>
        </is>
      </c>
      <c r="I935" t="inlineStr">
        <is>
          <t>{"0": {"productDeskExternalKey": "CPCX|43-4395"}, "1": {"Package Contents": "Wiper Motor; Instruction Sheet"}, "2": {"E-Waste": "Yes"}, "3": {"Product Condition": "Remanufactured"}, "4": {"Mounting Hole Quantity": "3"}, "5": {"Terminal Type": "Blade"}, "6": {"Mounting Type": "Grommet"}, "7": {"Weight PG": "2.4500"}, "8": {"Washer Pump Included": "No"}, "9": {"Part Type": "Windshield Wiper Motor"}, "10": {"Warranty Info": "1 Year/18,000 Mile"}, "11": {"Sustainable Choice": "Yes"}, "12": {"Lifecycle Status": "Available to Order"}, "13": {"Application Summary": "Nissan Xterra 2004"}, "14": {"ItemLevelGTIN": "00082617900836"}, "15": {"_addonCardone": "43-4395::98359:99597:292"}, "16": {"Eligible for R&amp;R Service": "Yes"}}</t>
        </is>
      </c>
      <c r="J935" t="inlineStr">
        <is>
          <t>https://www.cardone.com/product/windshield-wiper-motor-43-4395</t>
        </is>
      </c>
      <c r="K935">
        <f>DISPIMG("ID_97BC9B6252DA44319AB30DB4E8E1B692",1)</f>
        <v/>
      </c>
      <c r="L935" t="inlineStr">
        <is>
          <t>CPCX|43-4395</t>
        </is>
      </c>
      <c r="M935" t="inlineStr">
        <is>
          <t>Wiper Motor; Instruction Sheet</t>
        </is>
      </c>
      <c r="N935" t="inlineStr">
        <is>
          <t>Yes</t>
        </is>
      </c>
      <c r="O935" t="inlineStr">
        <is>
          <t>Remanufactured</t>
        </is>
      </c>
      <c r="P935" t="inlineStr">
        <is>
          <t>3</t>
        </is>
      </c>
      <c r="Q935" t="inlineStr">
        <is>
          <t>Blade</t>
        </is>
      </c>
      <c r="R935" t="inlineStr">
        <is>
          <t>Grommet</t>
        </is>
      </c>
      <c r="S935" t="inlineStr">
        <is>
          <t>2.4500</t>
        </is>
      </c>
      <c r="T935" t="inlineStr">
        <is>
          <t>No</t>
        </is>
      </c>
      <c r="U935" t="inlineStr">
        <is>
          <t>1 Year/18,000 Mile</t>
        </is>
      </c>
      <c r="V935" t="inlineStr">
        <is>
          <t>Yes</t>
        </is>
      </c>
      <c r="W935" t="inlineStr">
        <is>
          <t>Available to Order</t>
        </is>
      </c>
      <c r="X935" t="inlineStr">
        <is>
          <t>Nissan Xterra 2004</t>
        </is>
      </c>
      <c r="Y935" t="inlineStr">
        <is>
          <t>00082617900836</t>
        </is>
      </c>
      <c r="Z935" t="inlineStr">
        <is>
          <t>43-4395::98359:99597:292</t>
        </is>
      </c>
      <c r="AA935" t="inlineStr">
        <is>
          <t>Yes</t>
        </is>
      </c>
      <c r="AB935" t="inlineStr"/>
      <c r="AC935" t="inlineStr"/>
    </row>
    <row r="936">
      <c r="A936" t="inlineStr">
        <is>
          <t>935</t>
        </is>
      </c>
      <c r="B936" t="inlineStr">
        <is>
          <t>Windshield Wiper Motor</t>
        </is>
      </c>
      <c r="C936" t="inlineStr">
        <is>
          <t>43-4396</t>
        </is>
      </c>
      <c r="D936" t="inlineStr">
        <is>
          <t>Windshield Wiper Motor - 43-4396</t>
        </is>
      </c>
      <c r="E936" t="inlineStr">
        <is>
          <t>CARDONE Reman</t>
        </is>
      </c>
      <c r="F936" t="inlineStr">
        <is>
          <t>28815ZL90B;28815ZL00A</t>
        </is>
      </c>
      <c r="G936" t="inlineStr">
        <is>
          <t>Nissan Frontier 2013
Nissan Xterra 2009-2015</t>
        </is>
      </c>
      <c r="H936" t="inlineStr">
        <is>
          <t>Nissan Frontier 2013 2.5L L4 152cid
Nissan Frontier 2013 4L V6 3954cc
Nissan Xterra 2009-2015 4L V6 3954cc</t>
        </is>
      </c>
      <c r="I936" t="inlineStr">
        <is>
          <t>{"0": {"productDeskExternalKey": "CPCX|43-4396"}, "1": {"Package Contents": "Wiper Motor; Instruction Sheet"}, "2": {"E-Waste": "Yes"}, "3": {"Product Condition": "Remanufactured"}, "4": {"Mounting Hole Quantity": "3"}, "5": {"Terminal Type": "Blade"}, "6": {"Mounting Type": "Direct Bolt; Grommet"}, "7": {"Weight PG": "3.2000"}, "8": {"Washer Pump Included": "No"}, "9": {"Part Type": "Windshield Wiper Motor"}, "10": {"Warranty Info": "1 Year/18,000 Mile"}, "11": {"Sustainable Choice": "Yes"}, "12": {"Lifecycle Status": "Available to Order"}, "13": {"Application Summary": "Nissan Frontier 2022-09, Pathfinder 2012-09, Xterra 2015-09"}, "14": {"ItemLevelGTIN": "00082617902946"}, "15": {"_addonCardone": "43-4396::98359:99600:292"}, "16": {"Eligible for R&amp;R Service": "Yes"}}</t>
        </is>
      </c>
      <c r="J936" t="inlineStr">
        <is>
          <t>https://www.cardone.com/product/windshield-wiper-motor-43-4396</t>
        </is>
      </c>
      <c r="K936">
        <f>DISPIMG("ID_8E2C53CAB3B5495A98185FA0673AC9D5",1)</f>
        <v/>
      </c>
      <c r="L936" t="inlineStr">
        <is>
          <t>CPCX|43-4396</t>
        </is>
      </c>
      <c r="M936" t="inlineStr">
        <is>
          <t>Wiper Motor; Instruction Sheet</t>
        </is>
      </c>
      <c r="N936" t="inlineStr">
        <is>
          <t>Yes</t>
        </is>
      </c>
      <c r="O936" t="inlineStr">
        <is>
          <t>Remanufactured</t>
        </is>
      </c>
      <c r="P936" t="inlineStr">
        <is>
          <t>3</t>
        </is>
      </c>
      <c r="Q936" t="inlineStr">
        <is>
          <t>Blade</t>
        </is>
      </c>
      <c r="R936" t="inlineStr">
        <is>
          <t>Direct Bolt; Grommet</t>
        </is>
      </c>
      <c r="S936" t="inlineStr">
        <is>
          <t>3.2000</t>
        </is>
      </c>
      <c r="T936" t="inlineStr">
        <is>
          <t>No</t>
        </is>
      </c>
      <c r="U936" t="inlineStr">
        <is>
          <t>1 Year/18,000 Mile</t>
        </is>
      </c>
      <c r="V936" t="inlineStr">
        <is>
          <t>Yes</t>
        </is>
      </c>
      <c r="W936" t="inlineStr">
        <is>
          <t>Available to Order</t>
        </is>
      </c>
      <c r="X936" t="inlineStr">
        <is>
          <t>Nissan Frontier 2022-09, Pathfinder 2012-09, Xterra 2015-09</t>
        </is>
      </c>
      <c r="Y936" t="inlineStr">
        <is>
          <t>00082617902946</t>
        </is>
      </c>
      <c r="Z936" t="inlineStr">
        <is>
          <t>43-4396::98359:99600:292</t>
        </is>
      </c>
      <c r="AA936" t="inlineStr">
        <is>
          <t>Yes</t>
        </is>
      </c>
      <c r="AB936" t="inlineStr"/>
      <c r="AC936" t="inlineStr"/>
    </row>
    <row r="937">
      <c r="A937" t="inlineStr">
        <is>
          <t>936</t>
        </is>
      </c>
      <c r="B937" t="inlineStr">
        <is>
          <t>Windshield Wiper Motor</t>
        </is>
      </c>
      <c r="C937" t="inlineStr">
        <is>
          <t>43-4397</t>
        </is>
      </c>
      <c r="D937" t="inlineStr">
        <is>
          <t>Windshield Wiper Motor - 43-4397</t>
        </is>
      </c>
      <c r="E937" t="inlineStr">
        <is>
          <t>CARDONE Reman</t>
        </is>
      </c>
      <c r="F937" t="inlineStr">
        <is>
          <t>287101FA0A</t>
        </is>
      </c>
      <c r="G937" t="inlineStr"/>
      <c r="H937" t="inlineStr"/>
      <c r="I937" t="inlineStr">
        <is>
          <t>{"0": {"productDeskExternalKey": "CPCX|43-4397"}, "1": {"Package Contents": "Wiper Motor; Instruction Sheet"}, "2": {"E-Waste": "Yes"}, "3": {"Product Condition": "Remanufactured"}, "4": {"Mounting Hole Quantity": "3"}, "5": {"Terminal Type": "Blade"}, "6": {"Mounting Type": "Grommet; Through Hole"}, "7": {"Weight PG": "2.0000"}, "8": {"Washer Pump Included": "No"}, "9": {"Part Type": "Windshield Wiper Motor"}, "10": {"Warranty Info": "1 Year/18,000 Mile"}, "11": {"Sustainable Choice": "Yes"}, "12": {"Lifecycle Status": "Available to Order"}, "13": {"Application Summary": "Nissan Cube 2014-09, LEAF 2013-11"}, "14": {"ItemLevelGTIN": "00082617903103"}, "15": {"_addonCardone": "43-4397::98359:99607:292"}, "16": {"Eligible for R&amp;R Service": "Yes"}}</t>
        </is>
      </c>
      <c r="J937" t="inlineStr">
        <is>
          <t>https://www.cardone.com/product/windshield-wiper-motor-43-4397</t>
        </is>
      </c>
      <c r="K937">
        <f>DISPIMG("ID_6E84817F1F0B46D881BBF4D593C43A26",1)</f>
        <v/>
      </c>
      <c r="L937" t="inlineStr">
        <is>
          <t>CPCX|43-4397</t>
        </is>
      </c>
      <c r="M937" t="inlineStr">
        <is>
          <t>Wiper Motor; Instruction Sheet</t>
        </is>
      </c>
      <c r="N937" t="inlineStr">
        <is>
          <t>Yes</t>
        </is>
      </c>
      <c r="O937" t="inlineStr">
        <is>
          <t>Remanufactured</t>
        </is>
      </c>
      <c r="P937" t="inlineStr">
        <is>
          <t>3</t>
        </is>
      </c>
      <c r="Q937" t="inlineStr">
        <is>
          <t>Blade</t>
        </is>
      </c>
      <c r="R937" t="inlineStr">
        <is>
          <t>Grommet; Through Hole</t>
        </is>
      </c>
      <c r="S937" t="inlineStr">
        <is>
          <t>2.0000</t>
        </is>
      </c>
      <c r="T937" t="inlineStr">
        <is>
          <t>No</t>
        </is>
      </c>
      <c r="U937" t="inlineStr">
        <is>
          <t>1 Year/18,000 Mile</t>
        </is>
      </c>
      <c r="V937" t="inlineStr">
        <is>
          <t>Yes</t>
        </is>
      </c>
      <c r="W937" t="inlineStr">
        <is>
          <t>Available to Order</t>
        </is>
      </c>
      <c r="X937" t="inlineStr">
        <is>
          <t>Nissan Cube 2014-09, LEAF 2013-11</t>
        </is>
      </c>
      <c r="Y937" t="inlineStr">
        <is>
          <t>00082617903103</t>
        </is>
      </c>
      <c r="Z937" t="inlineStr">
        <is>
          <t>43-4397::98359:99607:292</t>
        </is>
      </c>
      <c r="AA937" t="inlineStr">
        <is>
          <t>Yes</t>
        </is>
      </c>
      <c r="AB937" t="inlineStr"/>
      <c r="AC937" t="inlineStr"/>
    </row>
    <row r="938">
      <c r="A938" t="inlineStr">
        <is>
          <t>937</t>
        </is>
      </c>
      <c r="B938" t="inlineStr">
        <is>
          <t>Windshield Wiper Motor</t>
        </is>
      </c>
      <c r="C938" t="inlineStr">
        <is>
          <t>43-4398</t>
        </is>
      </c>
      <c r="D938" t="inlineStr">
        <is>
          <t>Windshield Wiper Motor - 43-4398</t>
        </is>
      </c>
      <c r="E938" t="inlineStr">
        <is>
          <t>CARDONE Reman</t>
        </is>
      </c>
      <c r="F938" t="inlineStr">
        <is>
          <t>288001FC0A</t>
        </is>
      </c>
      <c r="G938" t="inlineStr">
        <is>
          <t>Nissan Cube 2009-2012</t>
        </is>
      </c>
      <c r="H938" t="inlineStr">
        <is>
          <t>Nissan Cube 2009-2012 1.8L L4 1798cc</t>
        </is>
      </c>
      <c r="I938" t="inlineStr">
        <is>
          <t>{"0": {"productDeskExternalKey": "CPCX|43-4398"},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"Nissan Cube 2012-09"}, "14": {"ItemLevelGTIN": "00082617903110"}, "15": {"_addonCardone": "43-4398::98359:99615:292"}, "16": {"Eligible for R&amp;R Service": "Yes"}}</t>
        </is>
      </c>
      <c r="J938" t="inlineStr">
        <is>
          <t>https://www.cardone.com/product/windshield-wiper-motor-43-4398</t>
        </is>
      </c>
      <c r="K938">
        <f>DISPIMG("ID_6009E1A8E17145F69790741AF150880D",1)</f>
        <v/>
      </c>
      <c r="L938" t="inlineStr">
        <is>
          <t>CPCX|43-4398</t>
        </is>
      </c>
      <c r="M938" t="inlineStr">
        <is>
          <t>Wiper Motor; Instruction Sheet</t>
        </is>
      </c>
      <c r="N938" t="inlineStr">
        <is>
          <t>Yes</t>
        </is>
      </c>
      <c r="O938" t="inlineStr">
        <is>
          <t>Remanufactured</t>
        </is>
      </c>
      <c r="P938" t="inlineStr">
        <is>
          <t>3</t>
        </is>
      </c>
      <c r="Q938" t="inlineStr">
        <is>
          <t>Blade</t>
        </is>
      </c>
      <c r="R938" t="inlineStr">
        <is>
          <t>Direct Bolt</t>
        </is>
      </c>
      <c r="S938" t="inlineStr">
        <is>
          <t>2.5000</t>
        </is>
      </c>
      <c r="T938" t="inlineStr">
        <is>
          <t>No</t>
        </is>
      </c>
      <c r="U938" t="inlineStr">
        <is>
          <t>1 Year/18,000 Mile</t>
        </is>
      </c>
      <c r="V938" t="inlineStr">
        <is>
          <t>Yes</t>
        </is>
      </c>
      <c r="W938" t="inlineStr">
        <is>
          <t>Available to Order</t>
        </is>
      </c>
      <c r="X938" t="inlineStr">
        <is>
          <t>Nissan Cube 2012-09</t>
        </is>
      </c>
      <c r="Y938" t="inlineStr">
        <is>
          <t>00082617903110</t>
        </is>
      </c>
      <c r="Z938" t="inlineStr">
        <is>
          <t>43-4398::98359:99615:292</t>
        </is>
      </c>
      <c r="AA938" t="inlineStr">
        <is>
          <t>Yes</t>
        </is>
      </c>
      <c r="AB938" t="inlineStr"/>
      <c r="AC938" t="inlineStr"/>
    </row>
    <row r="939">
      <c r="A939" t="inlineStr">
        <is>
          <t>938</t>
        </is>
      </c>
      <c r="B939" t="inlineStr">
        <is>
          <t>Windshield Wiper Motor</t>
        </is>
      </c>
      <c r="C939" t="inlineStr">
        <is>
          <t>43-4399</t>
        </is>
      </c>
      <c r="D939" t="inlineStr">
        <is>
          <t>Windshield Wiper Motor - 43-4399</t>
        </is>
      </c>
      <c r="E939" t="inlineStr">
        <is>
          <t>CARDONE Reman</t>
        </is>
      </c>
      <c r="F939" t="inlineStr">
        <is>
          <t>28800JK600</t>
        </is>
      </c>
      <c r="G939" t="inlineStr"/>
      <c r="H939" t="inlineStr"/>
      <c r="I939" t="inlineStr">
        <is>
          <t>{"0": {"productDeskExternalKey": "CPCX|43-4399"}, "1": {"E-Waste": "Yes"}, "2": {"Product Condition": "Remanufactured"}, "3": {"Weight PG": "2.7500"}, "4": {"Part Type": "Windshield Wiper Motor"}, "5": {"Warranty Info": "1 Year/18,000 Mile"}, "6": {"Sustainable Choice": "Yes"}, "7": {"Lifecycle Status": "Available to Order"}, "8": {"Application Summary": "INFINITI G37 2012-09"}, "9": {"ItemLevelGTIN": "00082617903127"}, "10": {"_addonCardone": "43-4399::98359:99623:292"}, "11": {"Eligible for R&amp;R Service": "Yes"}}</t>
        </is>
      </c>
      <c r="J939" t="inlineStr">
        <is>
          <t>https://www.cardone.com/product/windshield-wiper-motor-43-4399</t>
        </is>
      </c>
      <c r="K939">
        <f>DISPIMG("ID_C148448FC876466F82F5D6A06681BC42",1)</f>
        <v/>
      </c>
      <c r="L939" t="inlineStr">
        <is>
          <t>CPCX|43-4399</t>
        </is>
      </c>
      <c r="M939" t="inlineStr"/>
      <c r="N939" t="inlineStr">
        <is>
          <t>Yes</t>
        </is>
      </c>
      <c r="O939" t="inlineStr">
        <is>
          <t>Remanufactured</t>
        </is>
      </c>
      <c r="P939" t="inlineStr"/>
      <c r="Q939" t="inlineStr"/>
      <c r="R939" t="inlineStr"/>
      <c r="S939" t="inlineStr">
        <is>
          <t>2.7500</t>
        </is>
      </c>
      <c r="T939" t="inlineStr"/>
      <c r="U939" t="inlineStr">
        <is>
          <t>1 Year/18,000 Mile</t>
        </is>
      </c>
      <c r="V939" t="inlineStr">
        <is>
          <t>Yes</t>
        </is>
      </c>
      <c r="W939" t="inlineStr">
        <is>
          <t>Available to Order</t>
        </is>
      </c>
      <c r="X939" t="inlineStr">
        <is>
          <t>INFINITI G37 2012-09</t>
        </is>
      </c>
      <c r="Y939" t="inlineStr">
        <is>
          <t>00082617903127</t>
        </is>
      </c>
      <c r="Z939" t="inlineStr">
        <is>
          <t>43-4399::98359:99623:292</t>
        </is>
      </c>
      <c r="AA939" t="inlineStr">
        <is>
          <t>Yes</t>
        </is>
      </c>
      <c r="AB939" t="inlineStr"/>
      <c r="AC939" t="inlineStr"/>
    </row>
    <row r="940">
      <c r="A940" t="inlineStr">
        <is>
          <t>939</t>
        </is>
      </c>
      <c r="B940" t="inlineStr">
        <is>
          <t>Windshield Wiper Motor</t>
        </is>
      </c>
      <c r="C940" t="inlineStr">
        <is>
          <t>43-4401</t>
        </is>
      </c>
      <c r="D940" t="inlineStr">
        <is>
          <t>Windshield Wiper Motor - 43-4401</t>
        </is>
      </c>
      <c r="E940" t="inlineStr">
        <is>
          <t>CARDONE Reman</t>
        </is>
      </c>
      <c r="F940" t="inlineStr">
        <is>
          <t>6E7Z17508AA;BC8E67340;BC1M67340;6E7217508AA;BC1N67340</t>
        </is>
      </c>
      <c r="G940" t="inlineStr">
        <is>
          <t>Ford LCF 2008-2009
Mazda Protege 1995-1996</t>
        </is>
      </c>
      <c r="H940" t="inlineStr">
        <is>
          <t>Ford LCF 2008-2009 4.5L V6 275cid
Mazda Protege 1995-1996 1.5L L4 1489cc
Mazda Protege 1995-1996 1.8L L4 1839cc</t>
        </is>
      </c>
      <c r="I940" t="inlineStr">
        <is>
          <t>{"0": {"productDeskExternalKey": "CPCX|43-4401"}, "1": {"Package Contents": "Wiper Motor; Instruction Sheet"}, "2": {"E-Waste": "Yes"}, "3": {"Product Condition": "Remanufactured"}, "4": {"Mounting Hole Quantity": "4"}, "5": {"Terminal Type": "Blade"}, "6": {"Mounting Type": "Grommet"}, "7": {"Weight PG": "2.7000"}, "8": {"Washer Pump Included": "No"}, "9": {"Part Type": "Windshield Wiper Motor"}, "10": {"Warranty Info": "1 Year/18,000 Mile"}, "11": {"Sustainable Choice": "Yes"}, "12": {"Lifecycle Status": "Available to Order"}, "13": {"Application Summary": "Ford LCF 2009-08; Mazda Protege 1996-95"}, "14": {"ItemLevelGTIN": "00082617456050"}, "15": {"_addonCardone": "43-4401::98359:99629:292"}, "16": {"Eligible for R&amp;R Service": "Yes"}}</t>
        </is>
      </c>
      <c r="J940" t="inlineStr">
        <is>
          <t>https://www.cardone.com/product/windshield-wiper-motor-43-4401</t>
        </is>
      </c>
      <c r="K940">
        <f>DISPIMG("ID_7B1F2BCC69DA4D3FA5DD30864AFE4695",1)</f>
        <v/>
      </c>
      <c r="L940" t="inlineStr">
        <is>
          <t>CPCX|43-4401</t>
        </is>
      </c>
      <c r="M940" t="inlineStr">
        <is>
          <t>Wiper Motor; Instruction Sheet</t>
        </is>
      </c>
      <c r="N940" t="inlineStr">
        <is>
          <t>Yes</t>
        </is>
      </c>
      <c r="O940" t="inlineStr">
        <is>
          <t>Remanufactured</t>
        </is>
      </c>
      <c r="P940" t="inlineStr">
        <is>
          <t>4</t>
        </is>
      </c>
      <c r="Q940" t="inlineStr">
        <is>
          <t>Blade</t>
        </is>
      </c>
      <c r="R940" t="inlineStr">
        <is>
          <t>Grommet</t>
        </is>
      </c>
      <c r="S940" t="inlineStr">
        <is>
          <t>2.7000</t>
        </is>
      </c>
      <c r="T940" t="inlineStr">
        <is>
          <t>No</t>
        </is>
      </c>
      <c r="U940" t="inlineStr">
        <is>
          <t>1 Year/18,000 Mile</t>
        </is>
      </c>
      <c r="V940" t="inlineStr">
        <is>
          <t>Yes</t>
        </is>
      </c>
      <c r="W940" t="inlineStr">
        <is>
          <t>Available to Order</t>
        </is>
      </c>
      <c r="X940" t="inlineStr">
        <is>
          <t>Ford LCF 2009-08; Mazda Protege 1996-95</t>
        </is>
      </c>
      <c r="Y940" t="inlineStr">
        <is>
          <t>00082617456050</t>
        </is>
      </c>
      <c r="Z940" t="inlineStr">
        <is>
          <t>43-4401::98359:99629:292</t>
        </is>
      </c>
      <c r="AA940" t="inlineStr">
        <is>
          <t>Yes</t>
        </is>
      </c>
      <c r="AB940" t="inlineStr"/>
      <c r="AC940" t="inlineStr"/>
    </row>
    <row r="941">
      <c r="A941" t="inlineStr">
        <is>
          <t>940</t>
        </is>
      </c>
      <c r="B941" t="inlineStr">
        <is>
          <t>Windshield Wiper Motor</t>
        </is>
      </c>
      <c r="C941" t="inlineStr">
        <is>
          <t>43-4402</t>
        </is>
      </c>
      <c r="D941" t="inlineStr">
        <is>
          <t>Windshield Wiper Motor - 43-4402</t>
        </is>
      </c>
      <c r="E941" t="inlineStr">
        <is>
          <t>CARDONE Reman</t>
        </is>
      </c>
      <c r="F941" t="inlineStr">
        <is>
          <t>LA0567450;LA0567450A</t>
        </is>
      </c>
      <c r="G941" t="inlineStr">
        <is>
          <t>Mazda MPV 1989-1998</t>
        </is>
      </c>
      <c r="H941" t="inlineStr">
        <is>
          <t>Mazda MPV 1989-1994 2.6L L4 2606cc
Mazda MPV 1989-1998 3L V6 180cid</t>
        </is>
      </c>
      <c r="I941" t="inlineStr">
        <is>
          <t>{"0": {"productDeskExternalKey": "CPCX|43-4402"}, "1": {"Package Contents": "Wiper Motor; Instruction Sheet"}, "2": {"E-Waste": "Yes"}, "3": {"Product Condition": "Remanufactured"}, "4": {"Mounting Hole Quantity": "4"}, "5": {"Terminal Type": "Blade"}, "6": {"Mounting Type": "Grommet"}, "7": {"Weight PG": "2.2000"}, "8": {"Washer Pump Included": "No"}, "9": {"Part Type": "Windshield Wiper Motor"}, "10": {"Warranty Info": "1 Year/18,000 Mile"}, "11": {"Sustainable Choice": "Yes"}, "12": {"Lifecycle Status": "Available to Order"}, "13": {"Application Summary": "Mazda MPV 1998-89"}, "14": {"ItemLevelGTIN": "00082617489751"}, "15": {"_addonCardone": "43-4402::98359:99636:292"}, "16": {"Eligible for R&amp;R Service": "Yes"}}</t>
        </is>
      </c>
      <c r="J941" t="inlineStr">
        <is>
          <t>https://www.cardone.com/product/windshield-wiper-motor-43-4402</t>
        </is>
      </c>
      <c r="K941">
        <f>DISPIMG("ID_E8408095338645FDA8F00FD313747D50",1)</f>
        <v/>
      </c>
      <c r="L941" t="inlineStr">
        <is>
          <t>CPCX|43-4402</t>
        </is>
      </c>
      <c r="M941" t="inlineStr">
        <is>
          <t>Wiper Motor; Instruction Sheet</t>
        </is>
      </c>
      <c r="N941" t="inlineStr">
        <is>
          <t>Yes</t>
        </is>
      </c>
      <c r="O941" t="inlineStr">
        <is>
          <t>Remanufactured</t>
        </is>
      </c>
      <c r="P941" t="inlineStr">
        <is>
          <t>4</t>
        </is>
      </c>
      <c r="Q941" t="inlineStr">
        <is>
          <t>Blade</t>
        </is>
      </c>
      <c r="R941" t="inlineStr">
        <is>
          <t>Grommet</t>
        </is>
      </c>
      <c r="S941" t="inlineStr">
        <is>
          <t>2.2000</t>
        </is>
      </c>
      <c r="T941" t="inlineStr">
        <is>
          <t>No</t>
        </is>
      </c>
      <c r="U941" t="inlineStr">
        <is>
          <t>1 Year/18,000 Mile</t>
        </is>
      </c>
      <c r="V941" t="inlineStr">
        <is>
          <t>Yes</t>
        </is>
      </c>
      <c r="W941" t="inlineStr">
        <is>
          <t>Available to Order</t>
        </is>
      </c>
      <c r="X941" t="inlineStr">
        <is>
          <t>Mazda MPV 1998-89</t>
        </is>
      </c>
      <c r="Y941" t="inlineStr">
        <is>
          <t>00082617489751</t>
        </is>
      </c>
      <c r="Z941" t="inlineStr">
        <is>
          <t>43-4402::98359:99636:292</t>
        </is>
      </c>
      <c r="AA941" t="inlineStr">
        <is>
          <t>Yes</t>
        </is>
      </c>
      <c r="AB941" t="inlineStr"/>
      <c r="AC941" t="inlineStr"/>
    </row>
    <row r="942">
      <c r="A942" t="inlineStr">
        <is>
          <t>941</t>
        </is>
      </c>
      <c r="B942" t="inlineStr">
        <is>
          <t>Windshield Wiper Motor</t>
        </is>
      </c>
      <c r="C942" t="inlineStr">
        <is>
          <t>43-4403</t>
        </is>
      </c>
      <c r="D942" t="inlineStr">
        <is>
          <t>Windshield Wiper Motor - 43-4403</t>
        </is>
      </c>
      <c r="E942" t="inlineStr">
        <is>
          <t>CARDONE Reman</t>
        </is>
      </c>
      <c r="F942" t="inlineStr">
        <is>
          <t>9810029000;9810025001;9810022100;9810025000</t>
        </is>
      </c>
      <c r="G942" t="inlineStr">
        <is>
          <t>Dodge Verna 2004-2005</t>
        </is>
      </c>
      <c r="H942" t="inlineStr">
        <is>
          <t>Dodge Verna 2004-2005 1.5L L4 1495cc
Dodge Verna 2004-2005 1.6L L4 98cid</t>
        </is>
      </c>
      <c r="I942" t="inlineStr">
        <is>
          <t>{"0": {"productDeskExternalKey": "CPCX|43-4403"}, "1": {"Package Contents": "Wiper Motor; Instruction Sheet"}, "2": {"E-Waste": "Yes"}, "3": {"Product Condition": "Remanufactured"}, "4": {"Mounting Hole Quantity": "4"}, "5": {"Terminal Type": "Blade"}, "6": {"Mounting Type": "Eyelet; Grommet"}, "7": {"Weight PG": "2.6600"}, "8": {"Washer Pump Included": "No"}, "9": {"Part Type": "Windshield Wiper Motor"}, "10": {"Warranty Info": "1 Year/18,000 Mile"}, "11": {"Sustainable Choice": "Yes"}, "12": {"Lifecycle Status": "Available to Order"}, "13": {"Application Summary": "Dodge Verna 2005-04; Hyundai Accent 2005-97, Elantra 2000-96, Tiburon 2001-97"}, "14": {"ItemLevelGTIN": "00082617496346"}, "15": {"_addonCardone": "43-4403::98359:99643:292"}, "16": {"Eligible for R&amp;R Service": "Yes"}}</t>
        </is>
      </c>
      <c r="J942" t="inlineStr">
        <is>
          <t>https://www.cardone.com/product/windshield-wiper-motor-43-4403</t>
        </is>
      </c>
      <c r="K942">
        <f>DISPIMG("ID_FF99D1B2C820465E85D48EBC58EB35C0",1)</f>
        <v/>
      </c>
      <c r="L942" t="inlineStr">
        <is>
          <t>CPCX|43-4403</t>
        </is>
      </c>
      <c r="M942" t="inlineStr">
        <is>
          <t>Wiper Motor; Instruction Sheet</t>
        </is>
      </c>
      <c r="N942" t="inlineStr">
        <is>
          <t>Yes</t>
        </is>
      </c>
      <c r="O942" t="inlineStr">
        <is>
          <t>Remanufactured</t>
        </is>
      </c>
      <c r="P942" t="inlineStr">
        <is>
          <t>4</t>
        </is>
      </c>
      <c r="Q942" t="inlineStr">
        <is>
          <t>Blade</t>
        </is>
      </c>
      <c r="R942" t="inlineStr">
        <is>
          <t>Eyelet; Grommet</t>
        </is>
      </c>
      <c r="S942" t="inlineStr">
        <is>
          <t>2.6600</t>
        </is>
      </c>
      <c r="T942" t="inlineStr">
        <is>
          <t>No</t>
        </is>
      </c>
      <c r="U942" t="inlineStr">
        <is>
          <t>1 Year/18,000 Mile</t>
        </is>
      </c>
      <c r="V942" t="inlineStr">
        <is>
          <t>Yes</t>
        </is>
      </c>
      <c r="W942" t="inlineStr">
        <is>
          <t>Available to Order</t>
        </is>
      </c>
      <c r="X942" t="inlineStr">
        <is>
          <t>Dodge Verna 2005-04; Hyundai Accent 2005-97, Elantra 2000-96, Tiburon 2001-97</t>
        </is>
      </c>
      <c r="Y942" t="inlineStr">
        <is>
          <t>00082617496346</t>
        </is>
      </c>
      <c r="Z942" t="inlineStr">
        <is>
          <t>43-4403::98359:99643:292</t>
        </is>
      </c>
      <c r="AA942" t="inlineStr">
        <is>
          <t>Yes</t>
        </is>
      </c>
      <c r="AB942" t="inlineStr"/>
      <c r="AC942" t="inlineStr"/>
    </row>
    <row r="943">
      <c r="A943" t="inlineStr">
        <is>
          <t>942</t>
        </is>
      </c>
      <c r="B943" t="inlineStr">
        <is>
          <t>Windshield Wiper Motor</t>
        </is>
      </c>
      <c r="C943" t="inlineStr">
        <is>
          <t>43-4404</t>
        </is>
      </c>
      <c r="D943" t="inlineStr">
        <is>
          <t>Windshield Wiper Motor - 43-4404</t>
        </is>
      </c>
      <c r="E943" t="inlineStr">
        <is>
          <t>CARDONE Reman</t>
        </is>
      </c>
      <c r="F943" t="inlineStr">
        <is>
          <t>9810022000</t>
        </is>
      </c>
      <c r="G943" t="inlineStr"/>
      <c r="H943" t="inlineStr"/>
      <c r="I943" t="inlineStr">
        <is>
          <t>{"0": {"productDeskExternalKey": "CPCX|43-4404"}, "1": {"Package Contents": "Wiper Motor; Instruction Sheet"}, "2": {"E-Waste": "Yes"}, "3": {"Product Condition": "Remanufactured"}, "4": {"Mounting Hole Quantity": "4"}, "5": {"Terminal Type": "Blade"}, "6": {"Mounting Type": "Grommet"}, "7": {"Weight PG": "2.7800"}, "8": {"Washer Pump Included": "No"}, "9": {"Part Type": "Windshield Wiper Motor"}, "10": {"Warranty Info": "1 Year/18,000 Mile"}, "11": {"Sustainable Choice": "Yes"}, "12": {"Lifecycle Status": "Available to Order"}, "13": {"Application Summary": "Hyundai Accent 1996-95"}, "14": {"ItemLevelGTIN": "00082617499729"}, "15": {"_addonCardone": "43-4404::98359:99650:292"}, "16": {"Eligible for R&amp;R Service": "Yes"}}</t>
        </is>
      </c>
      <c r="J943" t="inlineStr">
        <is>
          <t>https://www.cardone.com/product/windshield-wiper-motor-43-4404</t>
        </is>
      </c>
      <c r="K943">
        <f>DISPIMG("ID_751E395181534D11A73C877CD499E65A",1)</f>
        <v/>
      </c>
      <c r="L943" t="inlineStr">
        <is>
          <t>CPCX|43-4404</t>
        </is>
      </c>
      <c r="M943" t="inlineStr">
        <is>
          <t>Wiper Motor; Instruction Sheet</t>
        </is>
      </c>
      <c r="N943" t="inlineStr">
        <is>
          <t>Yes</t>
        </is>
      </c>
      <c r="O943" t="inlineStr">
        <is>
          <t>Remanufactured</t>
        </is>
      </c>
      <c r="P943" t="inlineStr">
        <is>
          <t>4</t>
        </is>
      </c>
      <c r="Q943" t="inlineStr">
        <is>
          <t>Blade</t>
        </is>
      </c>
      <c r="R943" t="inlineStr">
        <is>
          <t>Grommet</t>
        </is>
      </c>
      <c r="S943" t="inlineStr">
        <is>
          <t>2.7800</t>
        </is>
      </c>
      <c r="T943" t="inlineStr">
        <is>
          <t>No</t>
        </is>
      </c>
      <c r="U943" t="inlineStr">
        <is>
          <t>1 Year/18,000 Mile</t>
        </is>
      </c>
      <c r="V943" t="inlineStr">
        <is>
          <t>Yes</t>
        </is>
      </c>
      <c r="W943" t="inlineStr">
        <is>
          <t>Available to Order</t>
        </is>
      </c>
      <c r="X943" t="inlineStr">
        <is>
          <t>Hyundai Accent 1996-95</t>
        </is>
      </c>
      <c r="Y943" t="inlineStr">
        <is>
          <t>00082617499729</t>
        </is>
      </c>
      <c r="Z943" t="inlineStr">
        <is>
          <t>43-4404::98359:99650:292</t>
        </is>
      </c>
      <c r="AA943" t="inlineStr">
        <is>
          <t>Yes</t>
        </is>
      </c>
      <c r="AB943" t="inlineStr"/>
      <c r="AC943" t="inlineStr"/>
    </row>
    <row r="944">
      <c r="A944" t="inlineStr">
        <is>
          <t>943</t>
        </is>
      </c>
      <c r="B944" t="inlineStr">
        <is>
          <t>Windshield Wiper Motor</t>
        </is>
      </c>
      <c r="C944" t="inlineStr">
        <is>
          <t>43-4405</t>
        </is>
      </c>
      <c r="D944" t="inlineStr">
        <is>
          <t>Windshield Wiper Motor - 43-4405</t>
        </is>
      </c>
      <c r="E944" t="inlineStr">
        <is>
          <t>CARDONE Reman</t>
        </is>
      </c>
      <c r="F944" t="inlineStr">
        <is>
          <t>9801024001</t>
        </is>
      </c>
      <c r="G944" t="inlineStr">
        <is>
          <t>Mitsubishi Precis 1994</t>
        </is>
      </c>
      <c r="H944" t="inlineStr">
        <is>
          <t>Mitsubishi Precis 1994 1.5L L4 90cid</t>
        </is>
      </c>
      <c r="I944" t="inlineStr">
        <is>
          <t>{"0": {"productDeskExternalKey": "CPCX|43-4405"}, "1": {"Package Contents": "Wiper Motor; Instruction Sheet"}, "2": {"E-Waste": "Yes"}, "3": {"Product Condition": "Remanufactured"}, "4": {"Mounting Hole Quantity": "4"}, "5": {"Terminal Type": "Blade"}, "6": {"Mounting Type": "Grommet"}, "7": {"Weight PG": "2.4000"}, "8": {"Washer Pump Included": "No"}, "9": {"Part Type": "Windshield Wiper Motor"}, "10": {"Warranty Info": "1 Year/18,000 Mile"}, "11": {"Sustainable Choice": "Yes"}, "12": {"Lifecycle Status": "Available to Order"}, "13": {"Application Summary": "Hyundai Excel 1994; Mitsubishi Precis 1994"}, "14": {"ItemLevelGTIN": "00082617566810"}, "15": {"_addonCardone": "43-4405::98359:99657:292"}, "16": {"Eligible for R&amp;R Service": "Yes"}}</t>
        </is>
      </c>
      <c r="J944" t="inlineStr">
        <is>
          <t>https://www.cardone.com/product/windshield-wiper-motor-43-4405</t>
        </is>
      </c>
      <c r="K944">
        <f>DISPIMG("ID_469F794F26C249F5BD6EC45E48DDC85F",1)</f>
        <v/>
      </c>
      <c r="L944" t="inlineStr">
        <is>
          <t>CPCX|43-4405</t>
        </is>
      </c>
      <c r="M944" t="inlineStr">
        <is>
          <t>Wiper Motor; Instruction Sheet</t>
        </is>
      </c>
      <c r="N944" t="inlineStr">
        <is>
          <t>Yes</t>
        </is>
      </c>
      <c r="O944" t="inlineStr">
        <is>
          <t>Remanufactured</t>
        </is>
      </c>
      <c r="P944" t="inlineStr">
        <is>
          <t>4</t>
        </is>
      </c>
      <c r="Q944" t="inlineStr">
        <is>
          <t>Blade</t>
        </is>
      </c>
      <c r="R944" t="inlineStr">
        <is>
          <t>Grommet</t>
        </is>
      </c>
      <c r="S944" t="inlineStr">
        <is>
          <t>2.4000</t>
        </is>
      </c>
      <c r="T944" t="inlineStr">
        <is>
          <t>No</t>
        </is>
      </c>
      <c r="U944" t="inlineStr">
        <is>
          <t>1 Year/18,000 Mile</t>
        </is>
      </c>
      <c r="V944" t="inlineStr">
        <is>
          <t>Yes</t>
        </is>
      </c>
      <c r="W944" t="inlineStr">
        <is>
          <t>Available to Order</t>
        </is>
      </c>
      <c r="X944" t="inlineStr">
        <is>
          <t>Hyundai Excel 1994; Mitsubishi Precis 1994</t>
        </is>
      </c>
      <c r="Y944" t="inlineStr">
        <is>
          <t>00082617566810</t>
        </is>
      </c>
      <c r="Z944" t="inlineStr">
        <is>
          <t>43-4405::98359:99657:292</t>
        </is>
      </c>
      <c r="AA944" t="inlineStr">
        <is>
          <t>Yes</t>
        </is>
      </c>
      <c r="AB944" t="inlineStr"/>
      <c r="AC944" t="inlineStr"/>
    </row>
    <row r="945">
      <c r="A945" t="inlineStr">
        <is>
          <t>944</t>
        </is>
      </c>
      <c r="B945" t="inlineStr">
        <is>
          <t>Windshield Wiper Motor</t>
        </is>
      </c>
      <c r="C945" t="inlineStr">
        <is>
          <t>43-4406</t>
        </is>
      </c>
      <c r="D945" t="inlineStr">
        <is>
          <t>Windshield Wiper Motor - 43-4406</t>
        </is>
      </c>
      <c r="E945" t="inlineStr">
        <is>
          <t>CARDONE Reman</t>
        </is>
      </c>
      <c r="F945" t="inlineStr">
        <is>
          <t>BJ0E67340;BJOE67340D;BJ0E67340D;BJ0E67340C;BJ0E67340B;BJ0E67340E</t>
        </is>
      </c>
      <c r="G945" t="inlineStr">
        <is>
          <t>Mazda Protege 1999-2003
Mazda Protege5 2002-2003</t>
        </is>
      </c>
      <c r="H945" t="inlineStr">
        <is>
          <t>Mazda Protege 1999-2000 1.8L L4 1839cc
Mazda Protege 1999-2003 1.6L L4 1589cc
Mazda Protege 2001-2003 2L L4 2000cc
Mazda Protege 2003 2L L4 122cid
Mazda Protege5 2002-2003 2L L4 2000cc</t>
        </is>
      </c>
      <c r="I945" t="inlineStr">
        <is>
          <t>{"0": {"productDeskExternalKey": "CPCX|43-4406"}, "1": {"Package Contents": "Wiper Motor; Instruction Sheet"}, "2": {"E-Waste": "Yes"}, "3": {"Product Condition": "Remanufactured"}, "4": {"Mounting Hole Quantity": "4"}, "5": {"Terminal Type": "Blade"}, "6": {"Mounting Type": "Grommet"}, "7": {"Weight PG": "2.5000"}, "8": {"Washer Pump Included": "No"}, "9": {"Part Type": "Windshield Wiper Motor"}, "10": {"Warranty Info": "1 Year/18,000 Mile"}, "11": {"Sustainable Choice": "Yes"}, "12": {"Lifecycle Status": "Available to Order"}, "13": {"Application Summary": "Mazda Protege 2003-99, Protege5 2003-02"}, "14": {"ItemLevelGTIN": "00082617566827"}, "15": {"_addonCardone": "43-4406::98359:99664:292"}, "16": {"Eligible for R&amp;R Service": "Yes"}}</t>
        </is>
      </c>
      <c r="J945" t="inlineStr">
        <is>
          <t>https://www.cardone.com/product/windshield-wiper-motor-43-4406</t>
        </is>
      </c>
      <c r="K945">
        <f>DISPIMG("ID_AAD4E01961AC4D2D911DB9E40A960C0F",1)</f>
        <v/>
      </c>
      <c r="L945" t="inlineStr">
        <is>
          <t>CPCX|43-4406</t>
        </is>
      </c>
      <c r="M945" t="inlineStr">
        <is>
          <t>Wiper Motor; Instruction Sheet</t>
        </is>
      </c>
      <c r="N945" t="inlineStr">
        <is>
          <t>Yes</t>
        </is>
      </c>
      <c r="O945" t="inlineStr">
        <is>
          <t>Remanufactured</t>
        </is>
      </c>
      <c r="P945" t="inlineStr">
        <is>
          <t>4</t>
        </is>
      </c>
      <c r="Q945" t="inlineStr">
        <is>
          <t>Blade</t>
        </is>
      </c>
      <c r="R945" t="inlineStr">
        <is>
          <t>Grommet</t>
        </is>
      </c>
      <c r="S945" t="inlineStr">
        <is>
          <t>2.5000</t>
        </is>
      </c>
      <c r="T945" t="inlineStr">
        <is>
          <t>No</t>
        </is>
      </c>
      <c r="U945" t="inlineStr">
        <is>
          <t>1 Year/18,000 Mile</t>
        </is>
      </c>
      <c r="V945" t="inlineStr">
        <is>
          <t>Yes</t>
        </is>
      </c>
      <c r="W945" t="inlineStr">
        <is>
          <t>Available to Order</t>
        </is>
      </c>
      <c r="X945" t="inlineStr">
        <is>
          <t>Mazda Protege 2003-99, Protege5 2003-02</t>
        </is>
      </c>
      <c r="Y945" t="inlineStr">
        <is>
          <t>00082617566827</t>
        </is>
      </c>
      <c r="Z945" t="inlineStr">
        <is>
          <t>43-4406::98359:99664:292</t>
        </is>
      </c>
      <c r="AA945" t="inlineStr">
        <is>
          <t>Yes</t>
        </is>
      </c>
      <c r="AB945" t="inlineStr"/>
      <c r="AC945" t="inlineStr"/>
    </row>
    <row r="946">
      <c r="A946" t="inlineStr">
        <is>
          <t>945</t>
        </is>
      </c>
      <c r="B946" t="inlineStr">
        <is>
          <t>Windshield Wiper Motor</t>
        </is>
      </c>
      <c r="C946" t="inlineStr">
        <is>
          <t>43-4407</t>
        </is>
      </c>
      <c r="D946" t="inlineStr">
        <is>
          <t>Windshield Wiper Motor - 43-4407</t>
        </is>
      </c>
      <c r="E946" t="inlineStr">
        <is>
          <t>CARDONE Reman</t>
        </is>
      </c>
      <c r="F946" t="inlineStr">
        <is>
          <t>GD7A67340A;GD7A67340</t>
        </is>
      </c>
      <c r="G946" t="inlineStr"/>
      <c r="H946" t="inlineStr"/>
      <c r="I946" t="inlineStr">
        <is>
          <t>{"0": {"productDeskExternalKey": "CPCX|43-4407"}, "1": {"Package Contents": "Wiper Motor; Instruction Sheet"}, "2": {"E-Waste": "Yes"}, "3": {"Product Condition": "Remanufactured"}, "4": {"Mounting Hole Quantity": "4"}, "5": {"Terminal Type": "Blade"}, "6": {"Mounting Type": "Grommet"}, "7": {"Weight PG": "2.8500"}, "8": {"Washer Pump Included": "No"}, "9": {"Part Type": "Windshield Wiper Motor"}, "10": {"Warranty Info": "1 Year/18,000 Mile"}, "11": {"Sustainable Choice": "Yes"}, "12": {"Lifecycle Status": "Available to Order"}, "13": {"Application Summary": "Mazda 626 2002-98"}, "14": {"ItemLevelGTIN": "00082617566841"}, "15": {"_addonCardone": "43-4407::98359:99670:292"}, "16": {"Eligible for R&amp;R Service": "Yes"}}</t>
        </is>
      </c>
      <c r="J946" t="inlineStr">
        <is>
          <t>https://www.cardone.com/product/windshield-wiper-motor-43-4407</t>
        </is>
      </c>
      <c r="K946">
        <f>DISPIMG("ID_5A4F5A4F221046FAB1A75FB9C8BE62BB",1)</f>
        <v/>
      </c>
      <c r="L946" t="inlineStr">
        <is>
          <t>CPCX|43-4407</t>
        </is>
      </c>
      <c r="M946" t="inlineStr">
        <is>
          <t>Wiper Motor; Instruction Sheet</t>
        </is>
      </c>
      <c r="N946" t="inlineStr">
        <is>
          <t>Yes</t>
        </is>
      </c>
      <c r="O946" t="inlineStr">
        <is>
          <t>Remanufactured</t>
        </is>
      </c>
      <c r="P946" t="inlineStr">
        <is>
          <t>4</t>
        </is>
      </c>
      <c r="Q946" t="inlineStr">
        <is>
          <t>Blade</t>
        </is>
      </c>
      <c r="R946" t="inlineStr">
        <is>
          <t>Grommet</t>
        </is>
      </c>
      <c r="S946" t="inlineStr">
        <is>
          <t>2.8500</t>
        </is>
      </c>
      <c r="T946" t="inlineStr">
        <is>
          <t>No</t>
        </is>
      </c>
      <c r="U946" t="inlineStr">
        <is>
          <t>1 Year/18,000 Mile</t>
        </is>
      </c>
      <c r="V946" t="inlineStr">
        <is>
          <t>Yes</t>
        </is>
      </c>
      <c r="W946" t="inlineStr">
        <is>
          <t>Available to Order</t>
        </is>
      </c>
      <c r="X946" t="inlineStr">
        <is>
          <t>Mazda 626 2002-98</t>
        </is>
      </c>
      <c r="Y946" t="inlineStr">
        <is>
          <t>00082617566841</t>
        </is>
      </c>
      <c r="Z946" t="inlineStr">
        <is>
          <t>43-4407::98359:99670:292</t>
        </is>
      </c>
      <c r="AA946" t="inlineStr">
        <is>
          <t>Yes</t>
        </is>
      </c>
      <c r="AB946" t="inlineStr"/>
      <c r="AC946" t="inlineStr"/>
    </row>
    <row r="947">
      <c r="A947" t="inlineStr">
        <is>
          <t>946</t>
        </is>
      </c>
      <c r="B947" t="inlineStr">
        <is>
          <t>Windshield Wiper Motor</t>
        </is>
      </c>
      <c r="C947" t="inlineStr">
        <is>
          <t>43-4408</t>
        </is>
      </c>
      <c r="D947" t="inlineStr">
        <is>
          <t>Windshield Wiper Motor - 43-4408</t>
        </is>
      </c>
      <c r="E947" t="inlineStr">
        <is>
          <t>CARDONE Reman</t>
        </is>
      </c>
      <c r="F947" t="inlineStr">
        <is>
          <t>BG1N67340A</t>
        </is>
      </c>
      <c r="G947" t="inlineStr">
        <is>
          <t>Mazda Protege 1997-1998</t>
        </is>
      </c>
      <c r="H947" t="inlineStr">
        <is>
          <t>Mazda Protege 1997-1998 1.5L L4 1489cc
Mazda Protege 1997-1998 1.8L L4 1839cc</t>
        </is>
      </c>
      <c r="I947" t="inlineStr">
        <is>
          <t>{"0": {"productDeskExternalKey": "CPCX|43-4408"}, "1": {"Package Contents": "Wiper Motor; Instruction Sheet"}, "2": {"E-Waste": "Yes"}, "3": {"Product Condition": "Remanufactured"}, "4": {"Mounting Hole Quantity": "4"}, "5": {"Terminal Type": "Blade"}, "6": {"Mounting Type": "Grommet"}, "7": {"Weight PG": "2.5000"}, "8": {"Washer Pump Included": "No"}, "9": {"Part Type": "Windshield Wiper Motor"}, "10": {"Warranty Info": "1 Year/18,000 Mile"}, "11": {"Sustainable Choice": "Yes"}, "12": {"Lifecycle Status": "Available to Order"}, "13": {"Application Summary": "Mazda Protege 1998-97"}, "14": {"ItemLevelGTIN": "00082617588027"}, "15": {"_addonCardone": "43-4408::98359:99676:292"}, "16": {"Eligible for R&amp;R Service": "Yes"}}</t>
        </is>
      </c>
      <c r="J947" t="inlineStr">
        <is>
          <t>https://www.cardone.com/product/windshield-wiper-motor-43-4408</t>
        </is>
      </c>
      <c r="K947">
        <f>DISPIMG("ID_8BF620B7A1224F5E9B2839F864102A78",1)</f>
        <v/>
      </c>
      <c r="L947" t="inlineStr">
        <is>
          <t>CPCX|43-4408</t>
        </is>
      </c>
      <c r="M947" t="inlineStr">
        <is>
          <t>Wiper Motor; Instruction Sheet</t>
        </is>
      </c>
      <c r="N947" t="inlineStr">
        <is>
          <t>Yes</t>
        </is>
      </c>
      <c r="O947" t="inlineStr">
        <is>
          <t>Remanufactured</t>
        </is>
      </c>
      <c r="P947" t="inlineStr">
        <is>
          <t>4</t>
        </is>
      </c>
      <c r="Q947" t="inlineStr">
        <is>
          <t>Blade</t>
        </is>
      </c>
      <c r="R947" t="inlineStr">
        <is>
          <t>Grommet</t>
        </is>
      </c>
      <c r="S947" t="inlineStr">
        <is>
          <t>2.5000</t>
        </is>
      </c>
      <c r="T947" t="inlineStr">
        <is>
          <t>No</t>
        </is>
      </c>
      <c r="U947" t="inlineStr">
        <is>
          <t>1 Year/18,000 Mile</t>
        </is>
      </c>
      <c r="V947" t="inlineStr">
        <is>
          <t>Yes</t>
        </is>
      </c>
      <c r="W947" t="inlineStr">
        <is>
          <t>Available to Order</t>
        </is>
      </c>
      <c r="X947" t="inlineStr">
        <is>
          <t>Mazda Protege 1998-97</t>
        </is>
      </c>
      <c r="Y947" t="inlineStr">
        <is>
          <t>00082617588027</t>
        </is>
      </c>
      <c r="Z947" t="inlineStr">
        <is>
          <t>43-4408::98359:99676:292</t>
        </is>
      </c>
      <c r="AA947" t="inlineStr">
        <is>
          <t>Yes</t>
        </is>
      </c>
      <c r="AB947" t="inlineStr"/>
      <c r="AC947" t="inlineStr"/>
    </row>
    <row r="948">
      <c r="A948" t="inlineStr">
        <is>
          <t>947</t>
        </is>
      </c>
      <c r="B948" t="inlineStr">
        <is>
          <t>Windshield Wiper Motor</t>
        </is>
      </c>
      <c r="C948" t="inlineStr">
        <is>
          <t>43-4409</t>
        </is>
      </c>
      <c r="D948" t="inlineStr">
        <is>
          <t>Windshield Wiper Motor - 43-4409</t>
        </is>
      </c>
      <c r="E948" t="inlineStr">
        <is>
          <t>CARDONE Reman</t>
        </is>
      </c>
      <c r="F948" t="inlineStr">
        <is>
          <t>981102D200</t>
        </is>
      </c>
      <c r="G948" t="inlineStr"/>
      <c r="H948" t="inlineStr"/>
      <c r="I948" t="inlineStr">
        <is>
          <t>{"0": {"productDeskExternalKey": "CPCX|43-4409"}, "1": {"Package Contents": "Wiper Motor; Instruction Sheet"}, "2": {"E-Waste": "Yes"}, "3": {"Product Condition": "Remanufactured"}, "4": {"Mounting Hole Quantity": "3"}, "5": {"Terminal Type": "Blade"}, "6": {"Mounting Type": "Direct Bolt"}, "7": {"Weight PG": "2.6000"}, "8": {"Washer Pump Included": "No"}, "9": {"Part Type": "Windshield Wiper Motor"}, "10": {"Warranty Info": "1 Year/18,000 Mile"}, "11": {"Sustainable Choice": "Yes"}, "12": {"Lifecycle Status": "Available to Order"}, "13": {"Application Summary": "Hyundai Elantra 2006-01"}, "14": {"ItemLevelGTIN": "00082617595025"}, "15": {"_addonCardone": "43-4409::98359:99680:292"}, "16": {"Eligible for R&amp;R Service": "Yes"}}</t>
        </is>
      </c>
      <c r="J948" t="inlineStr">
        <is>
          <t>https://www.cardone.com/product/windshield-wiper-motor-43-4409</t>
        </is>
      </c>
      <c r="K948">
        <f>DISPIMG("ID_CD750F4AAE35458AAC70F63FC27E7215",1)</f>
        <v/>
      </c>
      <c r="L948" t="inlineStr">
        <is>
          <t>CPCX|43-4409</t>
        </is>
      </c>
      <c r="M948" t="inlineStr">
        <is>
          <t>Wiper Motor; Instruction Sheet</t>
        </is>
      </c>
      <c r="N948" t="inlineStr">
        <is>
          <t>Yes</t>
        </is>
      </c>
      <c r="O948" t="inlineStr">
        <is>
          <t>Remanufactured</t>
        </is>
      </c>
      <c r="P948" t="inlineStr">
        <is>
          <t>3</t>
        </is>
      </c>
      <c r="Q948" t="inlineStr">
        <is>
          <t>Blade</t>
        </is>
      </c>
      <c r="R948" t="inlineStr">
        <is>
          <t>Direct Bolt</t>
        </is>
      </c>
      <c r="S948" t="inlineStr">
        <is>
          <t>2.6000</t>
        </is>
      </c>
      <c r="T948" t="inlineStr">
        <is>
          <t>No</t>
        </is>
      </c>
      <c r="U948" t="inlineStr">
        <is>
          <t>1 Year/18,000 Mile</t>
        </is>
      </c>
      <c r="V948" t="inlineStr">
        <is>
          <t>Yes</t>
        </is>
      </c>
      <c r="W948" t="inlineStr">
        <is>
          <t>Available to Order</t>
        </is>
      </c>
      <c r="X948" t="inlineStr">
        <is>
          <t>Hyundai Elantra 2006-01</t>
        </is>
      </c>
      <c r="Y948" t="inlineStr">
        <is>
          <t>00082617595025</t>
        </is>
      </c>
      <c r="Z948" t="inlineStr">
        <is>
          <t>43-4409::98359:99680:292</t>
        </is>
      </c>
      <c r="AA948" t="inlineStr">
        <is>
          <t>Yes</t>
        </is>
      </c>
      <c r="AB948" t="inlineStr"/>
      <c r="AC948" t="inlineStr"/>
    </row>
    <row r="949">
      <c r="A949" t="inlineStr">
        <is>
          <t>948</t>
        </is>
      </c>
      <c r="B949" t="inlineStr">
        <is>
          <t>Windshield Wiper Motor</t>
        </is>
      </c>
      <c r="C949" t="inlineStr">
        <is>
          <t>43-4410</t>
        </is>
      </c>
      <c r="D949" t="inlineStr">
        <is>
          <t>Windshield Wiper Motor - 43-4410</t>
        </is>
      </c>
      <c r="E949" t="inlineStr">
        <is>
          <t>CARDONE Reman</t>
        </is>
      </c>
      <c r="F949" t="inlineStr">
        <is>
          <t>9870024000</t>
        </is>
      </c>
      <c r="G949" t="inlineStr">
        <is>
          <t>Mitsubishi Precis 1990</t>
        </is>
      </c>
      <c r="H949" t="inlineStr">
        <is>
          <t>Mitsubishi Precis 1990 1.5L L4 90cid</t>
        </is>
      </c>
      <c r="I949" t="inlineStr">
        <is>
          <t>{"0": {"productDeskExternalKey": "CPCX|43-4410"}, "1": {"Package Contents": "Wiper Motor; Instruction Sheet"}, "2": {"E-Waste": "Yes"}, "3": {"Product Condition": "Remanufactured"}, "4": {"Mounting Hole Quantity": "3"}, "5": {"Terminal Type": "Blade"}, "6": {"Mounting Type": "Grommet"}, "7": {"Weight PG": "1.9000"}, "8": {"Washer Pump Included": "No"}, "9": {"Part Type": "Windshield Wiper Motor"}, "10": {"Warranty Info": "1 Year/18,000 Mile"}, "11": {"Sustainable Choice": "Yes"}, "12": {"Lifecycle Status": "Available to Order"}, "13": {"Application Summary": "Hyundai Excel 1994-90; Mitsubishi Precis 1990"}, "14": {"ItemLevelGTIN": "00082617595032"}, "15": {"_addonCardone": "43-4410::98359:99685:292"}, "16": {"Eligible for R&amp;R Service": "Yes"}}</t>
        </is>
      </c>
      <c r="J949" t="inlineStr">
        <is>
          <t>https://www.cardone.com/product/windshield-wiper-motor-43-4410</t>
        </is>
      </c>
      <c r="K949">
        <f>DISPIMG("ID_AD621CCF87624B88B115B090B22FD047",1)</f>
        <v/>
      </c>
      <c r="L949" t="inlineStr">
        <is>
          <t>CPCX|43-4410</t>
        </is>
      </c>
      <c r="M949" t="inlineStr">
        <is>
          <t>Wiper Motor; Instruction Sheet</t>
        </is>
      </c>
      <c r="N949" t="inlineStr">
        <is>
          <t>Yes</t>
        </is>
      </c>
      <c r="O949" t="inlineStr">
        <is>
          <t>Remanufactured</t>
        </is>
      </c>
      <c r="P949" t="inlineStr">
        <is>
          <t>3</t>
        </is>
      </c>
      <c r="Q949" t="inlineStr">
        <is>
          <t>Blade</t>
        </is>
      </c>
      <c r="R949" t="inlineStr">
        <is>
          <t>Grommet</t>
        </is>
      </c>
      <c r="S949" t="inlineStr">
        <is>
          <t>1.9000</t>
        </is>
      </c>
      <c r="T949" t="inlineStr">
        <is>
          <t>No</t>
        </is>
      </c>
      <c r="U949" t="inlineStr">
        <is>
          <t>1 Year/18,000 Mile</t>
        </is>
      </c>
      <c r="V949" t="inlineStr">
        <is>
          <t>Yes</t>
        </is>
      </c>
      <c r="W949" t="inlineStr">
        <is>
          <t>Available to Order</t>
        </is>
      </c>
      <c r="X949" t="inlineStr">
        <is>
          <t>Hyundai Excel 1994-90; Mitsubishi Precis 1990</t>
        </is>
      </c>
      <c r="Y949" t="inlineStr">
        <is>
          <t>00082617595032</t>
        </is>
      </c>
      <c r="Z949" t="inlineStr">
        <is>
          <t>43-4410::98359:99685:292</t>
        </is>
      </c>
      <c r="AA949" t="inlineStr">
        <is>
          <t>Yes</t>
        </is>
      </c>
      <c r="AB949" t="inlineStr"/>
      <c r="AC949" t="inlineStr"/>
    </row>
    <row r="950">
      <c r="A950" t="inlineStr">
        <is>
          <t>949</t>
        </is>
      </c>
      <c r="B950" t="inlineStr">
        <is>
          <t>Windshield Wiper Motor</t>
        </is>
      </c>
      <c r="C950" t="inlineStr">
        <is>
          <t>43-4411</t>
        </is>
      </c>
      <c r="D950" t="inlineStr">
        <is>
          <t>Windshield Wiper Motor - 43-4411</t>
        </is>
      </c>
      <c r="E950" t="inlineStr">
        <is>
          <t>CARDONE Reman</t>
        </is>
      </c>
      <c r="F950" t="inlineStr">
        <is>
          <t>FB0267450A</t>
        </is>
      </c>
      <c r="G950" t="inlineStr">
        <is>
          <t>Mazda RX-7 1986-1991</t>
        </is>
      </c>
      <c r="H950" t="inlineStr">
        <is>
          <t>Mazda RX-7 1986-1991 1.3L R2 1308cc</t>
        </is>
      </c>
      <c r="I950" t="inlineStr">
        <is>
          <t>{"0": {"productDeskExternalKey": "CPCX|43-4411"}, "1": {"Package Contents": "Wiper Motor; Instruction Sheet"}, "2": {"E-Waste": "Yes"}, "3": {"Product Condition": "Remanufactured"}, "4": {"Mounting Hole Quantity": "2"}, "5": {"Terminal Type": "Blade"}, "6": {"Mounting Type": "Eyelet"}, "7": {"Weight PG": "2.5000"}, "8": {"Washer Pump Included": "No"}, "9": {"Part Type": "Windshield Wiper Motor"}, "10": {"Warranty Info": "1 Year/18,000 Mile"}, "11": {"Sustainable Choice": "Yes"}, "12": {"Lifecycle Status": "Available to Order"}, "13": {"Application Summary": "Mazda RX-7 1991-86"}, "14": {"ItemLevelGTIN": "00082617597074"}, "15": {"_addonCardone": "43-4411::98359:99689:292"}, "16": {"Eligible for R&amp;R Service": "Yes"}}</t>
        </is>
      </c>
      <c r="J950" t="inlineStr">
        <is>
          <t>https://www.cardone.com/product/windshield-wiper-motor-43-4411</t>
        </is>
      </c>
      <c r="K950">
        <f>DISPIMG("ID_7DD1C9DE06894118820F3DC85D009759",1)</f>
        <v/>
      </c>
      <c r="L950" t="inlineStr">
        <is>
          <t>CPCX|43-4411</t>
        </is>
      </c>
      <c r="M950" t="inlineStr">
        <is>
          <t>Wiper Motor; Instruction Sheet</t>
        </is>
      </c>
      <c r="N950" t="inlineStr">
        <is>
          <t>Yes</t>
        </is>
      </c>
      <c r="O950" t="inlineStr">
        <is>
          <t>Remanufactured</t>
        </is>
      </c>
      <c r="P950" t="inlineStr">
        <is>
          <t>2</t>
        </is>
      </c>
      <c r="Q950" t="inlineStr">
        <is>
          <t>Blade</t>
        </is>
      </c>
      <c r="R950" t="inlineStr">
        <is>
          <t>Eyelet</t>
        </is>
      </c>
      <c r="S950" t="inlineStr">
        <is>
          <t>2.5000</t>
        </is>
      </c>
      <c r="T950" t="inlineStr">
        <is>
          <t>No</t>
        </is>
      </c>
      <c r="U950" t="inlineStr">
        <is>
          <t>1 Year/18,000 Mile</t>
        </is>
      </c>
      <c r="V950" t="inlineStr">
        <is>
          <t>Yes</t>
        </is>
      </c>
      <c r="W950" t="inlineStr">
        <is>
          <t>Available to Order</t>
        </is>
      </c>
      <c r="X950" t="inlineStr">
        <is>
          <t>Mazda RX-7 1991-86</t>
        </is>
      </c>
      <c r="Y950" t="inlineStr">
        <is>
          <t>00082617597074</t>
        </is>
      </c>
      <c r="Z950" t="inlineStr">
        <is>
          <t>43-4411::98359:99689:292</t>
        </is>
      </c>
      <c r="AA950" t="inlineStr">
        <is>
          <t>Yes</t>
        </is>
      </c>
      <c r="AB950" t="inlineStr"/>
      <c r="AC950" t="inlineStr"/>
    </row>
    <row r="951">
      <c r="A951" t="inlineStr">
        <is>
          <t>950</t>
        </is>
      </c>
      <c r="B951" t="inlineStr">
        <is>
          <t>Windshield Wiper Motor</t>
        </is>
      </c>
      <c r="C951" t="inlineStr">
        <is>
          <t>43-4412</t>
        </is>
      </c>
      <c r="D951" t="inlineStr">
        <is>
          <t>Windshield Wiper Motor - 43-4412</t>
        </is>
      </c>
      <c r="E951" t="inlineStr">
        <is>
          <t>CARDONE Reman</t>
        </is>
      </c>
      <c r="F951" t="inlineStr">
        <is>
          <t>G22667450A</t>
        </is>
      </c>
      <c r="G951" t="inlineStr"/>
      <c r="H951" t="inlineStr"/>
      <c r="I951" t="inlineStr">
        <is>
          <t>{"0": {"productDeskExternalKey": "CPCX|43-4412"}, "1": {"Package Contents": "Wiper Motor; Instruction Sheet"}, "2": {"E-Waste": "Yes"}, "3": {"Product Condition": "Remanufactured"}, "4": {"Mounting Hole Quantity": "4"}, "5": {"Terminal Type": "Blade"}, "6": {"Mounting Type": "Grommet"}, "7": {"Weight PG": "2.0000"}, "8": {"Washer Pump Included": "No"}, "9": {"Part Type": "Windshield Wiper Motor"}, "10": {"Warranty Info": "1 Year/18,000 Mile"}, "11": {"Sustainable Choice": "Yes"}, "12": {"Lifecycle Status": "Available to Order"}, "13": {"Application Summary": "Mazda 626 1992-88"}, "14": {"ItemLevelGTIN": "00082617597081"}, "15": {"_addonCardone": "43-4412::98359:99691:292"}, "16": {"Eligible for R&amp;R Service": "Yes"}}</t>
        </is>
      </c>
      <c r="J951" t="inlineStr">
        <is>
          <t>https://www.cardone.com/product/windshield-wiper-motor-43-4412</t>
        </is>
      </c>
      <c r="K951">
        <f>DISPIMG("ID_230D285177BF462FB7E48E0CD608B04A",1)</f>
        <v/>
      </c>
      <c r="L951" t="inlineStr">
        <is>
          <t>CPCX|43-4412</t>
        </is>
      </c>
      <c r="M951" t="inlineStr">
        <is>
          <t>Wiper Motor; Instruction Sheet</t>
        </is>
      </c>
      <c r="N951" t="inlineStr">
        <is>
          <t>Yes</t>
        </is>
      </c>
      <c r="O951" t="inlineStr">
        <is>
          <t>Remanufactured</t>
        </is>
      </c>
      <c r="P951" t="inlineStr">
        <is>
          <t>4</t>
        </is>
      </c>
      <c r="Q951" t="inlineStr">
        <is>
          <t>Blade</t>
        </is>
      </c>
      <c r="R951" t="inlineStr">
        <is>
          <t>Grommet</t>
        </is>
      </c>
      <c r="S951" t="inlineStr">
        <is>
          <t>2.0000</t>
        </is>
      </c>
      <c r="T951" t="inlineStr">
        <is>
          <t>No</t>
        </is>
      </c>
      <c r="U951" t="inlineStr">
        <is>
          <t>1 Year/18,000 Mile</t>
        </is>
      </c>
      <c r="V951" t="inlineStr">
        <is>
          <t>Yes</t>
        </is>
      </c>
      <c r="W951" t="inlineStr">
        <is>
          <t>Available to Order</t>
        </is>
      </c>
      <c r="X951" t="inlineStr">
        <is>
          <t>Mazda 626 1992-88</t>
        </is>
      </c>
      <c r="Y951" t="inlineStr">
        <is>
          <t>00082617597081</t>
        </is>
      </c>
      <c r="Z951" t="inlineStr">
        <is>
          <t>43-4412::98359:99691:292</t>
        </is>
      </c>
      <c r="AA951" t="inlineStr">
        <is>
          <t>Yes</t>
        </is>
      </c>
      <c r="AB951" t="inlineStr"/>
      <c r="AC951" t="inlineStr"/>
    </row>
    <row r="952">
      <c r="A952" t="inlineStr">
        <is>
          <t>951</t>
        </is>
      </c>
      <c r="B952" t="inlineStr">
        <is>
          <t>Windshield Wiper Motor</t>
        </is>
      </c>
      <c r="C952" t="inlineStr">
        <is>
          <t>43-4413</t>
        </is>
      </c>
      <c r="D952" t="inlineStr">
        <is>
          <t>Windshield Wiper Motor - 43-4413</t>
        </is>
      </c>
      <c r="E952" t="inlineStr">
        <is>
          <t>CARDONE Reman</t>
        </is>
      </c>
      <c r="F952" t="inlineStr">
        <is>
          <t>LC6267450A</t>
        </is>
      </c>
      <c r="G952" t="inlineStr">
        <is>
          <t>Mazda MPV 2000-2006</t>
        </is>
      </c>
      <c r="H952" t="inlineStr">
        <is>
          <t>Mazda MPV 2000-2001 2.5L V6 155cid
Mazda MPV 2002-2006 3L V6 181cid</t>
        </is>
      </c>
      <c r="I952" t="inlineStr">
        <is>
          <t>{"0": {"productDeskExternalKey": "CPCX|43-4413"},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"Mazda MPV 2006-00"}, "14": {"ItemLevelGTIN": "00082617597098"}, "15": {"_addonCardone": "43-4413::98359:99696:292"}, "16": {"Eligible for R&amp;R Service": "Yes"}}</t>
        </is>
      </c>
      <c r="J952" t="inlineStr">
        <is>
          <t>https://www.cardone.com/product/windshield-wiper-motor-43-4413</t>
        </is>
      </c>
      <c r="K952">
        <f>DISPIMG("ID_CDA52CB422DB49E4BE3E2067EB4F8A5C",1)</f>
        <v/>
      </c>
      <c r="L952" t="inlineStr">
        <is>
          <t>CPCX|43-4413</t>
        </is>
      </c>
      <c r="M952" t="inlineStr">
        <is>
          <t>Wiper Motor; Instruction Sheet</t>
        </is>
      </c>
      <c r="N952" t="inlineStr">
        <is>
          <t>Yes</t>
        </is>
      </c>
      <c r="O952" t="inlineStr">
        <is>
          <t>Remanufactured</t>
        </is>
      </c>
      <c r="P952" t="inlineStr">
        <is>
          <t>3</t>
        </is>
      </c>
      <c r="Q952" t="inlineStr">
        <is>
          <t>Blade</t>
        </is>
      </c>
      <c r="R952" t="inlineStr">
        <is>
          <t>Grommet</t>
        </is>
      </c>
      <c r="S952" t="inlineStr">
        <is>
          <t>2.0000</t>
        </is>
      </c>
      <c r="T952" t="inlineStr">
        <is>
          <t>No</t>
        </is>
      </c>
      <c r="U952" t="inlineStr">
        <is>
          <t>1 Year/18,000 Mile</t>
        </is>
      </c>
      <c r="V952" t="inlineStr">
        <is>
          <t>Yes</t>
        </is>
      </c>
      <c r="W952" t="inlineStr">
        <is>
          <t>Available to Order</t>
        </is>
      </c>
      <c r="X952" t="inlineStr">
        <is>
          <t>Mazda MPV 2006-00</t>
        </is>
      </c>
      <c r="Y952" t="inlineStr">
        <is>
          <t>00082617597098</t>
        </is>
      </c>
      <c r="Z952" t="inlineStr">
        <is>
          <t>43-4413::98359:99696:292</t>
        </is>
      </c>
      <c r="AA952" t="inlineStr">
        <is>
          <t>Yes</t>
        </is>
      </c>
      <c r="AB952" t="inlineStr"/>
      <c r="AC952" t="inlineStr"/>
    </row>
    <row r="953">
      <c r="A953" t="inlineStr">
        <is>
          <t>952</t>
        </is>
      </c>
      <c r="B953" t="inlineStr">
        <is>
          <t>Windshield Wiper Motor</t>
        </is>
      </c>
      <c r="C953" t="inlineStr">
        <is>
          <t>43-4414</t>
        </is>
      </c>
      <c r="D953" t="inlineStr">
        <is>
          <t>Windshield Wiper Motor - 43-4414</t>
        </is>
      </c>
      <c r="E953" t="inlineStr">
        <is>
          <t>CARDONE Reman</t>
        </is>
      </c>
      <c r="F953" t="inlineStr">
        <is>
          <t>B2567450B;B25H67450B;B25H67450A;B2567450A</t>
        </is>
      </c>
      <c r="G953" t="inlineStr">
        <is>
          <t>Mazda Protege5 2002-2003</t>
        </is>
      </c>
      <c r="H953" t="inlineStr">
        <is>
          <t>Mazda Protege5 2002-2003 2L L4 2000cc</t>
        </is>
      </c>
      <c r="I953" t="inlineStr">
        <is>
          <t>{"0": {"productDeskExternalKey": "CPCX|43-4414"}, "1": {"Package Contents": "Wiper Motor; Instruction Sheet"}, "2": {"E-Waste": "Yes"}, "3": {"Product Condition": "Remanufactured"}, "4": {"Mounting Hole Quantity": "2"}, "5": {"Terminal Type": "Blade"}, "6": {"Mounting Type": "Grommet"}, "7": {"Weight PG": "2.4000"}, "8": {"Washer Pump Included": "No"}, "9": {"Part Type": "Windshield Wiper Motor"}, "10": {"Warranty Info": "1 Year/18,000 Mile"}, "11": {"Sustainable Choice": "Yes"}, "12": {"Lifecycle Status": "Available to Order"}, "13": {"Application Summary": "Mazda Protege5 2003-02"}, "14": {"ItemLevelGTIN": "00082617620925"}, "15": {"_addonCardone": "43-4414::98359:99700:292"}, "16": {"Eligible for R&amp;R Service": "Yes"}}</t>
        </is>
      </c>
      <c r="J953" t="inlineStr">
        <is>
          <t>https://www.cardone.com/product/windshield-wiper-motor-43-4414</t>
        </is>
      </c>
      <c r="K953">
        <f>DISPIMG("ID_BCA29D673EF6421F9A051DA92C20AD36",1)</f>
        <v/>
      </c>
      <c r="L953" t="inlineStr">
        <is>
          <t>CPCX|43-4414</t>
        </is>
      </c>
      <c r="M953" t="inlineStr">
        <is>
          <t>Wiper Motor; Instruction Sheet</t>
        </is>
      </c>
      <c r="N953" t="inlineStr">
        <is>
          <t>Yes</t>
        </is>
      </c>
      <c r="O953" t="inlineStr">
        <is>
          <t>Remanufactured</t>
        </is>
      </c>
      <c r="P953" t="inlineStr">
        <is>
          <t>2</t>
        </is>
      </c>
      <c r="Q953" t="inlineStr">
        <is>
          <t>Blade</t>
        </is>
      </c>
      <c r="R953" t="inlineStr">
        <is>
          <t>Grommet</t>
        </is>
      </c>
      <c r="S953" t="inlineStr">
        <is>
          <t>2.4000</t>
        </is>
      </c>
      <c r="T953" t="inlineStr">
        <is>
          <t>No</t>
        </is>
      </c>
      <c r="U953" t="inlineStr">
        <is>
          <t>1 Year/18,000 Mile</t>
        </is>
      </c>
      <c r="V953" t="inlineStr">
        <is>
          <t>Yes</t>
        </is>
      </c>
      <c r="W953" t="inlineStr">
        <is>
          <t>Available to Order</t>
        </is>
      </c>
      <c r="X953" t="inlineStr">
        <is>
          <t>Mazda Protege5 2003-02</t>
        </is>
      </c>
      <c r="Y953" t="inlineStr">
        <is>
          <t>00082617620925</t>
        </is>
      </c>
      <c r="Z953" t="inlineStr">
        <is>
          <t>43-4414::98359:99700:292</t>
        </is>
      </c>
      <c r="AA953" t="inlineStr">
        <is>
          <t>Yes</t>
        </is>
      </c>
      <c r="AB953" t="inlineStr"/>
      <c r="AC953" t="inlineStr"/>
    </row>
    <row r="954">
      <c r="A954" t="inlineStr">
        <is>
          <t>953</t>
        </is>
      </c>
      <c r="B954" t="inlineStr">
        <is>
          <t>Windshield Wiper Motor</t>
        </is>
      </c>
      <c r="C954" t="inlineStr">
        <is>
          <t>43-4416</t>
        </is>
      </c>
      <c r="D954" t="inlineStr">
        <is>
          <t>Windshield Wiper Motor - 43-4416</t>
        </is>
      </c>
      <c r="E954" t="inlineStr">
        <is>
          <t>CARDONE Reman</t>
        </is>
      </c>
      <c r="F954" t="inlineStr">
        <is>
          <t>LC6367340A;L08167340A;L08167340;LC6267340A</t>
        </is>
      </c>
      <c r="G954" t="inlineStr">
        <is>
          <t>Mazda MPV 2000-2005</t>
        </is>
      </c>
      <c r="H954" t="inlineStr">
        <is>
          <t>Mazda MPV 2000-2001 2.5L V6 155cid
Mazda MPV 2002-2005 3L V6 181cid</t>
        </is>
      </c>
      <c r="I954" t="inlineStr">
        <is>
          <t>{"0": {"productDeskExternalKey": "CPCX|43-4416"},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"Mazda MPV 2005-00"}, "14": {"ItemLevelGTIN": "00082617620970"}, "15": {"_addonCardone": "43-4416::98359:99704:292"}, "16": {"Eligible for R&amp;R Service": "Yes"}}</t>
        </is>
      </c>
      <c r="J954" t="inlineStr">
        <is>
          <t>https://www.cardone.com/product/windshield-wiper-motor-43-4416</t>
        </is>
      </c>
      <c r="K954">
        <f>DISPIMG("ID_58A4549A637E43FAB8359ACBBFB865BE",1)</f>
        <v/>
      </c>
      <c r="L954" t="inlineStr">
        <is>
          <t>CPCX|43-4416</t>
        </is>
      </c>
      <c r="M954" t="inlineStr">
        <is>
          <t>Wiper Motor; Instruction Sheet</t>
        </is>
      </c>
      <c r="N954" t="inlineStr">
        <is>
          <t>Yes</t>
        </is>
      </c>
      <c r="O954" t="inlineStr">
        <is>
          <t>Remanufactured</t>
        </is>
      </c>
      <c r="P954" t="inlineStr">
        <is>
          <t>3</t>
        </is>
      </c>
      <c r="Q954" t="inlineStr">
        <is>
          <t>Blade</t>
        </is>
      </c>
      <c r="R954" t="inlineStr">
        <is>
          <t>Direct Bolt</t>
        </is>
      </c>
      <c r="S954" t="inlineStr">
        <is>
          <t>3.0000</t>
        </is>
      </c>
      <c r="T954" t="inlineStr">
        <is>
          <t>No</t>
        </is>
      </c>
      <c r="U954" t="inlineStr">
        <is>
          <t>1 Year/18,000 Mile</t>
        </is>
      </c>
      <c r="V954" t="inlineStr">
        <is>
          <t>Yes</t>
        </is>
      </c>
      <c r="W954" t="inlineStr">
        <is>
          <t>Available to Order</t>
        </is>
      </c>
      <c r="X954" t="inlineStr">
        <is>
          <t>Mazda MPV 2005-00</t>
        </is>
      </c>
      <c r="Y954" t="inlineStr">
        <is>
          <t>00082617620970</t>
        </is>
      </c>
      <c r="Z954" t="inlineStr">
        <is>
          <t>43-4416::98359:99704:292</t>
        </is>
      </c>
      <c r="AA954" t="inlineStr">
        <is>
          <t>Yes</t>
        </is>
      </c>
      <c r="AB954" t="inlineStr"/>
      <c r="AC954" t="inlineStr"/>
    </row>
    <row r="955">
      <c r="A955" t="inlineStr">
        <is>
          <t>954</t>
        </is>
      </c>
      <c r="B955" t="inlineStr">
        <is>
          <t>Windshield Wiper Motor</t>
        </is>
      </c>
      <c r="C955" t="inlineStr">
        <is>
          <t>43-4417</t>
        </is>
      </c>
      <c r="D955" t="inlineStr">
        <is>
          <t>Windshield Wiper Motor - 43-4417</t>
        </is>
      </c>
      <c r="E955" t="inlineStr">
        <is>
          <t>CARDONE Reman</t>
        </is>
      </c>
      <c r="F955" t="inlineStr">
        <is>
          <t>6E5Z17508AA;GK2C67340</t>
        </is>
      </c>
      <c r="G955" t="inlineStr">
        <is>
          <t>Ford Fusion 2006-2012
Lincoln Zephyr 2006
Mercury Milan 2006-2011</t>
        </is>
      </c>
      <c r="H955" t="inlineStr">
        <is>
          <t>Ford Fusion 2006-2010 2.3L L4 140cid
Ford Fusion 2006-2012 3L V6 181cid
Ford Fusion 2010-2012 2.5L L4 152cid
Ford Fusion 2010-2012 3.5L V6 213cid
Lincoln Zephyr 2006 3L V6 181cid
Mercury Milan 2006-2009 2.3L L4 140cid
Mercury Milan 2006-2011 3L V6 181cid
Mercury Milan 2010-2011 2.5L L4 152cid</t>
        </is>
      </c>
      <c r="I955" t="inlineStr">
        <is>
          <t>{"0": {"productDeskExternalKey": "CPCX|43-4417"}, "1": {"Package Contents": "Wiper Motor; Instruction Sheet"}, "2": {"E-Waste": "Yes"}, "3": {"Product Condition": "Remanufactured"}, "4": {"Mounting Hole Quantity": "2"}, "5": {"Terminal Type": "Blade"}, "6": {"Mounting Type": "Direct Bolt"}, "7": {"Weight PG": "3.5000"}, "8": {"Washer Pump Included": "No"}, "9": {"Part Type": "Windshield Wiper Motor"}, "10": {"Warranty Info": "1 Year/18,000 Mile"}, "11": {"Sustainable Choice": "Yes"}, "12": {"Lifecycle Status": "Available to Order"}, "13": {"Application Summary": "Ford Fusion 2012-06; Lincoln MKZ 2012-07, Zephyr 2006; Mazda 6 2005-03; Mercury Milan 2011-06"}, "14": {"ItemLevelGTIN": "00082617751469"}, "15": {"_addonCardone": "43-4417::98359:99707:292"}, "16": {"Eligible for R&amp;R Service": "Yes"}}</t>
        </is>
      </c>
      <c r="J955" t="inlineStr">
        <is>
          <t>https://www.cardone.com/product/windshield-wiper-motor-43-4417</t>
        </is>
      </c>
      <c r="K955">
        <f>DISPIMG("ID_7EAD769A81C14CB6A18DC2B5CF5105A4",1)</f>
        <v/>
      </c>
      <c r="L955" t="inlineStr">
        <is>
          <t>CPCX|43-4417</t>
        </is>
      </c>
      <c r="M955" t="inlineStr">
        <is>
          <t>Wiper Motor; Instruction Sheet</t>
        </is>
      </c>
      <c r="N955" t="inlineStr">
        <is>
          <t>Yes</t>
        </is>
      </c>
      <c r="O955" t="inlineStr">
        <is>
          <t>Remanufactured</t>
        </is>
      </c>
      <c r="P955" t="inlineStr">
        <is>
          <t>2</t>
        </is>
      </c>
      <c r="Q955" t="inlineStr">
        <is>
          <t>Blade</t>
        </is>
      </c>
      <c r="R955" t="inlineStr">
        <is>
          <t>Direct Bolt</t>
        </is>
      </c>
      <c r="S955" t="inlineStr">
        <is>
          <t>3.5000</t>
        </is>
      </c>
      <c r="T955" t="inlineStr">
        <is>
          <t>No</t>
        </is>
      </c>
      <c r="U955" t="inlineStr">
        <is>
          <t>1 Year/18,000 Mile</t>
        </is>
      </c>
      <c r="V955" t="inlineStr">
        <is>
          <t>Yes</t>
        </is>
      </c>
      <c r="W955" t="inlineStr">
        <is>
          <t>Available to Order</t>
        </is>
      </c>
      <c r="X955" t="inlineStr">
        <is>
          <t>Ford Fusion 2012-06; Lincoln MKZ 2012-07, Zephyr 2006; Mazda 6 2005-03; Mercury Milan 2011-06</t>
        </is>
      </c>
      <c r="Y955" t="inlineStr">
        <is>
          <t>00082617751469</t>
        </is>
      </c>
      <c r="Z955" t="inlineStr">
        <is>
          <t>43-4417::98359:99707:292</t>
        </is>
      </c>
      <c r="AA955" t="inlineStr">
        <is>
          <t>Yes</t>
        </is>
      </c>
      <c r="AB955" t="inlineStr"/>
      <c r="AC955" t="inlineStr"/>
    </row>
    <row r="956">
      <c r="A956" t="inlineStr">
        <is>
          <t>955</t>
        </is>
      </c>
      <c r="B956" t="inlineStr">
        <is>
          <t>Windshield Wiper Motor</t>
        </is>
      </c>
      <c r="C956" t="inlineStr">
        <is>
          <t>43-4418</t>
        </is>
      </c>
      <c r="D956" t="inlineStr">
        <is>
          <t>Windshield Wiper Motor - 43-4418</t>
        </is>
      </c>
      <c r="E956" t="inlineStr">
        <is>
          <t>CARDONE Reman</t>
        </is>
      </c>
      <c r="F956" t="inlineStr">
        <is>
          <t>561955119A;561955023B;BP4K67340;BE8Z17508A</t>
        </is>
      </c>
      <c r="G956" t="inlineStr">
        <is>
          <t>Chevrolet Astra 2008
Ford Fiesta 2011-2019
Saturn Astra 2008-2009
Volkswagen Beetle 2012-2019
Volkswagen Passat 2012-2015</t>
        </is>
      </c>
      <c r="H956" t="inlineStr">
        <is>
          <t>Chevrolet Astra 2008 1.8L L4 110cid
Chevrolet Astra 2008 2L L4 122cid
Ford Fiesta 2011-2013 1.6L L4 98cid
Ford Fiesta 2011-2019 1.6L L4 97cid
Ford Fiesta 2015-2017 1L L3 61cid
Saturn Astra 2008-2009 1.8L L4 110cid
Volkswagen Beetle 2012-2019 2.5L L5 151cid
Volkswagen Beetle 2012-2019 2L L4 121cid
Volkswagen Beetle 2013-2015 2L L4 120cid
Volkswagen Beetle 2014-2017 1.8L L4 110cid
Volkswagen Passat 2012-2015 2.5L L5 151cid
Volkswagen Passat 2012-2015 2L L4 120cid
Volkswagen Passat 2012-2015 3.6L V6 219cid
Volkswagen Passat 2014-2015 1.8L L4 110cid</t>
        </is>
      </c>
      <c r="I956" t="inlineStr">
        <is>
          <t>{"0": {"productDeskExternalKey": "CPCX|43-4418"},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"Chevrolet Astra 2008; Ford Fiesta 2019-15 2013-11; Mazda 3 2006-04; Saturn Astra 2009-08; Volkswagen Beetle 2019-12, Passat 2015-12"}, "14": {"ItemLevelGTIN": "00082617755627"}, "15": {"_addonCardone": "43-4418::98359:99711:292"}, "16": {"Eligible for R&amp;R Service": "Yes"}}</t>
        </is>
      </c>
      <c r="J956" t="inlineStr">
        <is>
          <t>https://www.cardone.com/product/windshield-wiper-motor-43-4418</t>
        </is>
      </c>
      <c r="K956">
        <f>DISPIMG("ID_ADC3DF0BA76F467B9A072931FAF0EE14",1)</f>
        <v/>
      </c>
      <c r="L956" t="inlineStr">
        <is>
          <t>CPCX|43-4418</t>
        </is>
      </c>
      <c r="M956" t="inlineStr">
        <is>
          <t>Wiper Motor; Instruction Sheet</t>
        </is>
      </c>
      <c r="N956" t="inlineStr">
        <is>
          <t>Yes</t>
        </is>
      </c>
      <c r="O956" t="inlineStr">
        <is>
          <t>Remanufactured</t>
        </is>
      </c>
      <c r="P956" t="inlineStr">
        <is>
          <t>3</t>
        </is>
      </c>
      <c r="Q956" t="inlineStr">
        <is>
          <t>Blade</t>
        </is>
      </c>
      <c r="R956" t="inlineStr">
        <is>
          <t>Direct Bolt</t>
        </is>
      </c>
      <c r="S956" t="inlineStr">
        <is>
          <t>2.5000</t>
        </is>
      </c>
      <c r="T956" t="inlineStr">
        <is>
          <t>No</t>
        </is>
      </c>
      <c r="U956" t="inlineStr">
        <is>
          <t>1 Year/18,000 Mile</t>
        </is>
      </c>
      <c r="V956" t="inlineStr">
        <is>
          <t>Yes</t>
        </is>
      </c>
      <c r="W956" t="inlineStr">
        <is>
          <t>Available to Order</t>
        </is>
      </c>
      <c r="X956" t="inlineStr">
        <is>
          <t>Chevrolet Astra 2008; Ford Fiesta 2019-15 2013-11; Mazda 3 2006-04; Saturn Astra 2009-08; Volkswagen Beetle 2019-12, Passat 2015-12</t>
        </is>
      </c>
      <c r="Y956" t="inlineStr">
        <is>
          <t>00082617755627</t>
        </is>
      </c>
      <c r="Z956" t="inlineStr">
        <is>
          <t>43-4418::98359:99711:292</t>
        </is>
      </c>
      <c r="AA956" t="inlineStr">
        <is>
          <t>Yes</t>
        </is>
      </c>
      <c r="AB956" t="inlineStr"/>
      <c r="AC956" t="inlineStr"/>
    </row>
    <row r="957">
      <c r="A957" t="inlineStr">
        <is>
          <t>956</t>
        </is>
      </c>
      <c r="B957" t="inlineStr">
        <is>
          <t>Windshield Wiper Motor</t>
        </is>
      </c>
      <c r="C957" t="inlineStr">
        <is>
          <t>43-4419</t>
        </is>
      </c>
      <c r="D957" t="inlineStr">
        <is>
          <t>Windshield Wiper Motor - 43-4419</t>
        </is>
      </c>
      <c r="E957" t="inlineStr">
        <is>
          <t>CARDONE Reman</t>
        </is>
      </c>
      <c r="F957" t="inlineStr">
        <is>
          <t>BN8V67340;BN8V67340A</t>
        </is>
      </c>
      <c r="G957" t="inlineStr">
        <is>
          <t>Mazda 3 Sport 2009</t>
        </is>
      </c>
      <c r="H957" t="inlineStr">
        <is>
          <t>Mazda 3 Sport 2009 2L L4 122cid</t>
        </is>
      </c>
      <c r="I957" t="inlineStr">
        <is>
          <t>{"0": {"productDeskExternalKey": "CPCX|43-4419"}, "1": {"Package Contents": "Wiper Motor; Instruction Sheet"}, "2": {"E-Waste": "Yes"}, "3": {"Product Condition": "Remanufactured"}, "4": {"Mounting Hole Quantity": "3"}, "5": {"Terminal Type": "Blade"}, "6": {"Mounting Type": "Direct Bolt"}, "7": {"Weight PG": "2.8000"}, "8": {"Washer Pump Included": "No"}, "9": {"Part Type": "Windshield Wiper Motor"}, "10": {"Warranty Info": "1 Year/18,000 Mile"}, "11": {"Sustainable Choice": "Yes"}, "12": {"Lifecycle Status": "Available to Order"}, "13": {"Application Summary": "Mazda 3 2009-06, 3 Sport 2009"}, "14": {"ItemLevelGTIN": "00082617755788"}, "15": {"_addonCardone": "43-4419::98359:99714:292"}, "16": {"Eligible for R&amp;R Service": "Yes"}}</t>
        </is>
      </c>
      <c r="J957" t="inlineStr">
        <is>
          <t>https://www.cardone.com/product/windshield-wiper-motor-43-4419</t>
        </is>
      </c>
      <c r="K957">
        <f>DISPIMG("ID_BD0CD78152834007B6351C398D09ADD2",1)</f>
        <v/>
      </c>
      <c r="L957" t="inlineStr">
        <is>
          <t>CPCX|43-4419</t>
        </is>
      </c>
      <c r="M957" t="inlineStr">
        <is>
          <t>Wiper Motor; Instruction Sheet</t>
        </is>
      </c>
      <c r="N957" t="inlineStr">
        <is>
          <t>Yes</t>
        </is>
      </c>
      <c r="O957" t="inlineStr">
        <is>
          <t>Remanufactured</t>
        </is>
      </c>
      <c r="P957" t="inlineStr">
        <is>
          <t>3</t>
        </is>
      </c>
      <c r="Q957" t="inlineStr">
        <is>
          <t>Blade</t>
        </is>
      </c>
      <c r="R957" t="inlineStr">
        <is>
          <t>Direct Bolt</t>
        </is>
      </c>
      <c r="S957" t="inlineStr">
        <is>
          <t>2.8000</t>
        </is>
      </c>
      <c r="T957" t="inlineStr">
        <is>
          <t>No</t>
        </is>
      </c>
      <c r="U957" t="inlineStr">
        <is>
          <t>1 Year/18,000 Mile</t>
        </is>
      </c>
      <c r="V957" t="inlineStr">
        <is>
          <t>Yes</t>
        </is>
      </c>
      <c r="W957" t="inlineStr">
        <is>
          <t>Available to Order</t>
        </is>
      </c>
      <c r="X957" t="inlineStr">
        <is>
          <t>Mazda 3 2009-06, 3 Sport 2009</t>
        </is>
      </c>
      <c r="Y957" t="inlineStr">
        <is>
          <t>00082617755788</t>
        </is>
      </c>
      <c r="Z957" t="inlineStr">
        <is>
          <t>43-4419::98359:99714:292</t>
        </is>
      </c>
      <c r="AA957" t="inlineStr">
        <is>
          <t>Yes</t>
        </is>
      </c>
      <c r="AB957" t="inlineStr"/>
      <c r="AC957" t="inlineStr"/>
    </row>
    <row r="958">
      <c r="A958" t="inlineStr">
        <is>
          <t>957</t>
        </is>
      </c>
      <c r="B958" t="inlineStr">
        <is>
          <t>Windshield Wiper Motor</t>
        </is>
      </c>
      <c r="C958" t="inlineStr">
        <is>
          <t>43-4420</t>
        </is>
      </c>
      <c r="D958" t="inlineStr">
        <is>
          <t>Windshield Wiper Motor - 43-4420</t>
        </is>
      </c>
      <c r="E958" t="inlineStr">
        <is>
          <t>CARDONE Reman</t>
        </is>
      </c>
      <c r="F958" t="inlineStr">
        <is>
          <t>FE0167340</t>
        </is>
      </c>
      <c r="G958" t="inlineStr">
        <is>
          <t>Mazda RX-8 2004-2011</t>
        </is>
      </c>
      <c r="H958" t="inlineStr">
        <is>
          <t>Mazda RX-8 2004-2011 1.3L R2 1308cc</t>
        </is>
      </c>
      <c r="I958" t="inlineStr">
        <is>
          <t>{"0": {"productDeskExternalKey": "CPCX|43-4420"}, "1": {"Package Contents": "Wiper Motor; Instruction Sheet"}, "2": {"E-Waste": "Yes"}, "3": {"Product Condition": "Remanufactured"}, "4": {"Mounting Hole Quantity": "2"}, "5": {"Terminal Type": "Blade"}, "6": {"Mounting Type": "Direct Bolt"}, "7": {"Weight PG": "2.5000"}, "8": {"Washer Pump Included": "No"}, "9": {"Part Type": "Windshield Wiper Motor"}, "10": {"Warranty Info": "1 Year/18,000 Mile"}, "11": {"Sustainable Choice": "Yes"}, "12": {"Lifecycle Status": "Available to Order"}, "13": {"Application Summary": "Mazda RX-8 2011-04"}, "14": {"ItemLevelGTIN": "00082617757850"}, "15": {"_addonCardone": "43-4420::98359:99720:292"}, "16": {"Eligible for R&amp;R Service": "Yes"}}</t>
        </is>
      </c>
      <c r="J958" t="inlineStr">
        <is>
          <t>https://www.cardone.com/product/windshield-wiper-motor-43-4420</t>
        </is>
      </c>
      <c r="K958">
        <f>DISPIMG("ID_37FE6D4D4ACD4B8098B4FEC617A15CEC",1)</f>
        <v/>
      </c>
      <c r="L958" t="inlineStr">
        <is>
          <t>CPCX|43-4420</t>
        </is>
      </c>
      <c r="M958" t="inlineStr">
        <is>
          <t>Wiper Motor; Instruction Sheet</t>
        </is>
      </c>
      <c r="N958" t="inlineStr">
        <is>
          <t>Yes</t>
        </is>
      </c>
      <c r="O958" t="inlineStr">
        <is>
          <t>Remanufactured</t>
        </is>
      </c>
      <c r="P958" t="inlineStr">
        <is>
          <t>2</t>
        </is>
      </c>
      <c r="Q958" t="inlineStr">
        <is>
          <t>Blade</t>
        </is>
      </c>
      <c r="R958" t="inlineStr">
        <is>
          <t>Direct Bolt</t>
        </is>
      </c>
      <c r="S958" t="inlineStr">
        <is>
          <t>2.5000</t>
        </is>
      </c>
      <c r="T958" t="inlineStr">
        <is>
          <t>No</t>
        </is>
      </c>
      <c r="U958" t="inlineStr">
        <is>
          <t>1 Year/18,000 Mile</t>
        </is>
      </c>
      <c r="V958" t="inlineStr">
        <is>
          <t>Yes</t>
        </is>
      </c>
      <c r="W958" t="inlineStr">
        <is>
          <t>Available to Order</t>
        </is>
      </c>
      <c r="X958" t="inlineStr">
        <is>
          <t>Mazda RX-8 2011-04</t>
        </is>
      </c>
      <c r="Y958" t="inlineStr">
        <is>
          <t>00082617757850</t>
        </is>
      </c>
      <c r="Z958" t="inlineStr">
        <is>
          <t>43-4420::98359:99720:292</t>
        </is>
      </c>
      <c r="AA958" t="inlineStr">
        <is>
          <t>Yes</t>
        </is>
      </c>
      <c r="AB958" t="inlineStr"/>
      <c r="AC958" t="inlineStr"/>
    </row>
    <row r="959">
      <c r="A959" t="inlineStr">
        <is>
          <t>958</t>
        </is>
      </c>
      <c r="B959" t="inlineStr">
        <is>
          <t>Windshield Wiper Motor</t>
        </is>
      </c>
      <c r="C959" t="inlineStr">
        <is>
          <t>43-4421</t>
        </is>
      </c>
      <c r="D959" t="inlineStr">
        <is>
          <t>Windshield Wiper Motor - 43-4421</t>
        </is>
      </c>
      <c r="E959" t="inlineStr">
        <is>
          <t>CARDONE Reman</t>
        </is>
      </c>
      <c r="F959" t="inlineStr">
        <is>
          <t>BP4K67450;BP4K67450A</t>
        </is>
      </c>
      <c r="G959" t="inlineStr"/>
      <c r="H959" t="inlineStr"/>
      <c r="I959" t="inlineStr">
        <is>
          <t>{"0": {"productDeskExternalKey": "CPCX|43-4421"},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"Mazda 3 2009-04, 3 Sport 2009"}, "14": {"ItemLevelGTIN": "00082617760478"}, "15": {"_addonCardone": "43-4421::98359:99724:292"}, "16": {"Eligible for R&amp;R Service": "Yes"}}</t>
        </is>
      </c>
      <c r="J959" t="inlineStr">
        <is>
          <t>https://www.cardone.com/product/windshield-wiper-motor-43-4421</t>
        </is>
      </c>
      <c r="K959">
        <f>DISPIMG("ID_8C5F576064464668AD49E9FF90DB817D",1)</f>
        <v/>
      </c>
      <c r="L959" t="inlineStr">
        <is>
          <t>CPCX|43-4421</t>
        </is>
      </c>
      <c r="M959" t="inlineStr">
        <is>
          <t>Wiper Motor; Instruction Sheet</t>
        </is>
      </c>
      <c r="N959" t="inlineStr">
        <is>
          <t>Yes</t>
        </is>
      </c>
      <c r="O959" t="inlineStr">
        <is>
          <t>Remanufactured</t>
        </is>
      </c>
      <c r="P959" t="inlineStr">
        <is>
          <t>3</t>
        </is>
      </c>
      <c r="Q959" t="inlineStr">
        <is>
          <t>Blade</t>
        </is>
      </c>
      <c r="R959" t="inlineStr">
        <is>
          <t>Grommet</t>
        </is>
      </c>
      <c r="S959" t="inlineStr">
        <is>
          <t>2.2000</t>
        </is>
      </c>
      <c r="T959" t="inlineStr">
        <is>
          <t>No</t>
        </is>
      </c>
      <c r="U959" t="inlineStr">
        <is>
          <t>1 Year/18,000 Mile</t>
        </is>
      </c>
      <c r="V959" t="inlineStr">
        <is>
          <t>Yes</t>
        </is>
      </c>
      <c r="W959" t="inlineStr">
        <is>
          <t>Available to Order</t>
        </is>
      </c>
      <c r="X959" t="inlineStr">
        <is>
          <t>Mazda 3 2009-04, 3 Sport 2009</t>
        </is>
      </c>
      <c r="Y959" t="inlineStr">
        <is>
          <t>00082617760478</t>
        </is>
      </c>
      <c r="Z959" t="inlineStr">
        <is>
          <t>43-4421::98359:99724:292</t>
        </is>
      </c>
      <c r="AA959" t="inlineStr">
        <is>
          <t>Yes</t>
        </is>
      </c>
      <c r="AB959" t="inlineStr"/>
      <c r="AC959" t="inlineStr"/>
    </row>
    <row r="960">
      <c r="A960" t="inlineStr">
        <is>
          <t>959</t>
        </is>
      </c>
      <c r="B960" t="inlineStr">
        <is>
          <t>Windshield Wiper Motor</t>
        </is>
      </c>
      <c r="C960" t="inlineStr">
        <is>
          <t>43-4422</t>
        </is>
      </c>
      <c r="D960" t="inlineStr">
        <is>
          <t>Windshield Wiper Motor - 43-4422</t>
        </is>
      </c>
      <c r="E960" t="inlineStr">
        <is>
          <t>CARDONE Reman</t>
        </is>
      </c>
      <c r="F960" t="inlineStr">
        <is>
          <t>EA0167450B;EA0167450A</t>
        </is>
      </c>
      <c r="G960" t="inlineStr">
        <is>
          <t>Mazda MX-3 1992-1995</t>
        </is>
      </c>
      <c r="H960" t="inlineStr">
        <is>
          <t>Mazda MX-3 1992-1995 1.6L L4 1597cc
Mazda MX-3 1992-1995 1.8L V6 1845cc
Mazda MX-3 1995 1.6L L4 97cid</t>
        </is>
      </c>
      <c r="I960" t="inlineStr">
        <is>
          <t>{"0": {"productDeskExternalKey": "CPCX|43-4422"}, "1": {"Package Contents": "Wiper Motor; Instruction Sheet"}, "2": {"E-Waste": "Yes"}, "3": {"Product Condition": "Remanufactured"}, "4": {"Mounting Hole Quantity": "2"}, "5": {"Terminal Type": "Blade"}, "6": {"Mounting Type": "Grommet"}, "7": {"Weight PG": "2.5000"}, "8": {"Washer Pump Included": "No"}, "9": {"Part Type": "Windshield Wiper Motor"}, "10": {"Warranty Info": "1 Year/18,000 Mile"}, "11": {"Sustainable Choice": "Yes"}, "12": {"Lifecycle Status": "Available to Order"}, "13": {"Application Summary": "Mazda MX-3 1995-92"}, "14": {"ItemLevelGTIN": "00082617805032"}, "15": {"_addonCardone": "43-4422::98359:99726:292"}, "16": {"Eligible for R&amp;R Service": "Yes"}}</t>
        </is>
      </c>
      <c r="J960" t="inlineStr">
        <is>
          <t>https://www.cardone.com/product/windshield-wiper-motor-43-4422</t>
        </is>
      </c>
      <c r="K960">
        <f>DISPIMG("ID_87D14F661909419196CB46587C5EB038",1)</f>
        <v/>
      </c>
      <c r="L960" t="inlineStr">
        <is>
          <t>CPCX|43-4422</t>
        </is>
      </c>
      <c r="M960" t="inlineStr">
        <is>
          <t>Wiper Motor; Instruction Sheet</t>
        </is>
      </c>
      <c r="N960" t="inlineStr">
        <is>
          <t>Yes</t>
        </is>
      </c>
      <c r="O960" t="inlineStr">
        <is>
          <t>Remanufactured</t>
        </is>
      </c>
      <c r="P960" t="inlineStr">
        <is>
          <t>2</t>
        </is>
      </c>
      <c r="Q960" t="inlineStr">
        <is>
          <t>Blade</t>
        </is>
      </c>
      <c r="R960" t="inlineStr">
        <is>
          <t>Grommet</t>
        </is>
      </c>
      <c r="S960" t="inlineStr">
        <is>
          <t>2.5000</t>
        </is>
      </c>
      <c r="T960" t="inlineStr">
        <is>
          <t>No</t>
        </is>
      </c>
      <c r="U960" t="inlineStr">
        <is>
          <t>1 Year/18,000 Mile</t>
        </is>
      </c>
      <c r="V960" t="inlineStr">
        <is>
          <t>Yes</t>
        </is>
      </c>
      <c r="W960" t="inlineStr">
        <is>
          <t>Available to Order</t>
        </is>
      </c>
      <c r="X960" t="inlineStr">
        <is>
          <t>Mazda MX-3 1995-92</t>
        </is>
      </c>
      <c r="Y960" t="inlineStr">
        <is>
          <t>00082617805032</t>
        </is>
      </c>
      <c r="Z960" t="inlineStr">
        <is>
          <t>43-4422::98359:99726:292</t>
        </is>
      </c>
      <c r="AA960" t="inlineStr">
        <is>
          <t>Yes</t>
        </is>
      </c>
      <c r="AB960" t="inlineStr"/>
      <c r="AC960" t="inlineStr"/>
    </row>
    <row r="961">
      <c r="A961" t="inlineStr">
        <is>
          <t>960</t>
        </is>
      </c>
      <c r="B961" t="inlineStr">
        <is>
          <t>Windshield Wiper Motor</t>
        </is>
      </c>
      <c r="C961" t="inlineStr">
        <is>
          <t>43-4430</t>
        </is>
      </c>
      <c r="D961" t="inlineStr">
        <is>
          <t>Windshield Wiper Motor - 43-4430</t>
        </is>
      </c>
      <c r="E961" t="inlineStr">
        <is>
          <t>CARDONE Reman</t>
        </is>
      </c>
      <c r="F961" t="inlineStr">
        <is>
          <t>EC0167340R0A;EC0167340A;ZZCO67340R00</t>
        </is>
      </c>
      <c r="G961" t="inlineStr">
        <is>
          <t>Mazda Tribute 2006</t>
        </is>
      </c>
      <c r="H961" t="inlineStr">
        <is>
          <t>Mazda Tribute 2006 2.3L L4 140cid
Mazda Tribute 2006 3L V6 181cid</t>
        </is>
      </c>
      <c r="I961" t="inlineStr">
        <is>
          <t>{"0": {"productDeskExternalKey": "CPCX|43-4430"}, "1": {"E-Waste": "Yes"}, "2": {"Product Condition": "Remanufactured"}, "3": {"Weight PG": "2.7500"}, "4": {"Part Type": "Windshield Wiper Motor"}, "5": {"Warranty Info": "1 Year/18,000 Mile"}, "6": {"Sustainable Choice": "Yes"}, "7": {"Lifecycle Status": "Available to Order"}, "8": {"Application Summary": "Mazda Tribute 2006"}, "9": {"ItemLevelGTIN": "00082617817523"}, "10": {"_addonCardone": "43-4430::98359:99730:292"}, "11": {"Eligible for R&amp;R Service": "Yes"}}</t>
        </is>
      </c>
      <c r="J961" t="inlineStr">
        <is>
          <t>https://www.cardone.com/product/windshield-wiper-motor-43-4430</t>
        </is>
      </c>
      <c r="K961">
        <f>DISPIMG("ID_43FF37E1207847A5B390F19BF4C5A1BD",1)</f>
        <v/>
      </c>
      <c r="L961" t="inlineStr">
        <is>
          <t>CPCX|43-4430</t>
        </is>
      </c>
      <c r="M961" t="inlineStr"/>
      <c r="N961" t="inlineStr">
        <is>
          <t>Yes</t>
        </is>
      </c>
      <c r="O961" t="inlineStr">
        <is>
          <t>Remanufactured</t>
        </is>
      </c>
      <c r="P961" t="inlineStr"/>
      <c r="Q961" t="inlineStr"/>
      <c r="R961" t="inlineStr"/>
      <c r="S961" t="inlineStr">
        <is>
          <t>2.7500</t>
        </is>
      </c>
      <c r="T961" t="inlineStr"/>
      <c r="U961" t="inlineStr">
        <is>
          <t>1 Year/18,000 Mile</t>
        </is>
      </c>
      <c r="V961" t="inlineStr">
        <is>
          <t>Yes</t>
        </is>
      </c>
      <c r="W961" t="inlineStr">
        <is>
          <t>Available to Order</t>
        </is>
      </c>
      <c r="X961" t="inlineStr">
        <is>
          <t>Mazda Tribute 2006</t>
        </is>
      </c>
      <c r="Y961" t="inlineStr">
        <is>
          <t>00082617817523</t>
        </is>
      </c>
      <c r="Z961" t="inlineStr">
        <is>
          <t>43-4430::98359:99730:292</t>
        </is>
      </c>
      <c r="AA961" t="inlineStr">
        <is>
          <t>Yes</t>
        </is>
      </c>
      <c r="AB961" t="inlineStr"/>
      <c r="AC961" t="inlineStr"/>
    </row>
    <row r="962">
      <c r="A962" t="inlineStr">
        <is>
          <t>961</t>
        </is>
      </c>
      <c r="B962" t="inlineStr">
        <is>
          <t>Windshield Wiper Motor</t>
        </is>
      </c>
      <c r="C962" t="inlineStr">
        <is>
          <t>43-4433</t>
        </is>
      </c>
      <c r="D962" t="inlineStr">
        <is>
          <t>Windshield Wiper Motor - 43-4433</t>
        </is>
      </c>
      <c r="E962" t="inlineStr">
        <is>
          <t>CARDONE Reman</t>
        </is>
      </c>
      <c r="F962" t="inlineStr">
        <is>
          <t>NE5167340A;NE5167340B</t>
        </is>
      </c>
      <c r="G962" t="inlineStr">
        <is>
          <t>Mazda MX-5 2006-2010
Mazda MX-5 Miata 2006-2010</t>
        </is>
      </c>
      <c r="H962" t="inlineStr">
        <is>
          <t>Mazda MX-5 2006-2010 2L L4 122cid
Mazda MX-5 Miata 2006-2010 2L L4 122cid</t>
        </is>
      </c>
      <c r="I962" t="inlineStr">
        <is>
          <t>{"0": {"productDeskExternalKey": "CPCX|43-4433"}, "1": {"Package Contents": "Wiper Motor; Instruction Sheet"}, "2": {"E-Waste": "Yes"}, "3": {"Product Condition": "Remanufactured"}, "4": {"Mounting Hole Quantity": "3"}, "5": {"Terminal Type": "Blade"}, "6": {"Mounting Type": "Grommet; Through Hole"}, "7": {"Weight PG": "2.7000"}, "8": {"Washer Pump Included": "No"}, "9": {"Part Type": "Windshield Wiper Motor"}, "10": {"Warranty Info": "1 Year/18,000 Mile"}, "11": {"Sustainable Choice": "Yes"}, "12": {"Lifecycle Status": "Available to Order"}, "13": {"Application Summary": "Mazda MX-5 2010-06, MX-5 Miata 2010-06"}, "14": {"ItemLevelGTIN": "00082617817554"}, "15": {"_addonCardone": "43-4433::98359:99735:292"}, "16": {"Eligible for R&amp;R Service": "Yes"}}</t>
        </is>
      </c>
      <c r="J962" t="inlineStr">
        <is>
          <t>https://www.cardone.com/product/windshield-wiper-motor-43-4433</t>
        </is>
      </c>
      <c r="K962">
        <f>DISPIMG("ID_F077C1F11B0245D4ADB873FE3C231A63",1)</f>
        <v/>
      </c>
      <c r="L962" t="inlineStr">
        <is>
          <t>CPCX|43-4433</t>
        </is>
      </c>
      <c r="M962" t="inlineStr">
        <is>
          <t>Wiper Motor; Instruction Sheet</t>
        </is>
      </c>
      <c r="N962" t="inlineStr">
        <is>
          <t>Yes</t>
        </is>
      </c>
      <c r="O962" t="inlineStr">
        <is>
          <t>Remanufactured</t>
        </is>
      </c>
      <c r="P962" t="inlineStr">
        <is>
          <t>3</t>
        </is>
      </c>
      <c r="Q962" t="inlineStr">
        <is>
          <t>Blade</t>
        </is>
      </c>
      <c r="R962" t="inlineStr">
        <is>
          <t>Grommet; Through Hole</t>
        </is>
      </c>
      <c r="S962" t="inlineStr">
        <is>
          <t>2.7000</t>
        </is>
      </c>
      <c r="T962" t="inlineStr">
        <is>
          <t>No</t>
        </is>
      </c>
      <c r="U962" t="inlineStr">
        <is>
          <t>1 Year/18,000 Mile</t>
        </is>
      </c>
      <c r="V962" t="inlineStr">
        <is>
          <t>Yes</t>
        </is>
      </c>
      <c r="W962" t="inlineStr">
        <is>
          <t>Available to Order</t>
        </is>
      </c>
      <c r="X962" t="inlineStr">
        <is>
          <t>Mazda MX-5 2010-06, MX-5 Miata 2010-06</t>
        </is>
      </c>
      <c r="Y962" t="inlineStr">
        <is>
          <t>00082617817554</t>
        </is>
      </c>
      <c r="Z962" t="inlineStr">
        <is>
          <t>43-4433::98359:99735:292</t>
        </is>
      </c>
      <c r="AA962" t="inlineStr">
        <is>
          <t>Yes</t>
        </is>
      </c>
      <c r="AB962" t="inlineStr"/>
      <c r="AC962" t="inlineStr"/>
    </row>
    <row r="963">
      <c r="A963" t="inlineStr">
        <is>
          <t>962</t>
        </is>
      </c>
      <c r="B963" t="inlineStr">
        <is>
          <t>Windshield Wiper Motor</t>
        </is>
      </c>
      <c r="C963" t="inlineStr">
        <is>
          <t>43-4437</t>
        </is>
      </c>
      <c r="D963" t="inlineStr">
        <is>
          <t>Windshield Wiper Motor - 43-4437</t>
        </is>
      </c>
      <c r="E963" t="inlineStr">
        <is>
          <t>CARDONE Reman</t>
        </is>
      </c>
      <c r="F963" t="inlineStr">
        <is>
          <t>TD1167450A</t>
        </is>
      </c>
      <c r="G963" t="inlineStr">
        <is>
          <t>Mazda CX-9 2007-2015</t>
        </is>
      </c>
      <c r="H963" t="inlineStr">
        <is>
          <t>Mazda CX-9 2007 3.5L V6 213cid
Mazda CX-9 2008-2015 3.7L V6 227cid</t>
        </is>
      </c>
      <c r="I963" t="inlineStr">
        <is>
          <t>{"0": {"productDeskExternalKey": "CPCX|43-4437"},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"Mazda CX-9 2015-07"}, "14": {"ItemLevelGTIN": "00082617824910"}, "15": {"_addonCardone": "43-4437::98359:99739:292"}, "16": {"Eligible for R&amp;R Service": "Yes"}}</t>
        </is>
      </c>
      <c r="J963" t="inlineStr">
        <is>
          <t>https://www.cardone.com/product/windshield-wiper-motor-43-4437</t>
        </is>
      </c>
      <c r="K963">
        <f>DISPIMG("ID_E0B214A19764492DABCBCDB49A8F60E9",1)</f>
        <v/>
      </c>
      <c r="L963" t="inlineStr">
        <is>
          <t>CPCX|43-4437</t>
        </is>
      </c>
      <c r="M963" t="inlineStr">
        <is>
          <t>Wiper Motor; Instruction Sheet</t>
        </is>
      </c>
      <c r="N963" t="inlineStr">
        <is>
          <t>Yes</t>
        </is>
      </c>
      <c r="O963" t="inlineStr">
        <is>
          <t>Remanufactured</t>
        </is>
      </c>
      <c r="P963" t="inlineStr">
        <is>
          <t>3</t>
        </is>
      </c>
      <c r="Q963" t="inlineStr">
        <is>
          <t>Blade</t>
        </is>
      </c>
      <c r="R963" t="inlineStr">
        <is>
          <t>Grommet</t>
        </is>
      </c>
      <c r="S963" t="inlineStr">
        <is>
          <t>2.2000</t>
        </is>
      </c>
      <c r="T963" t="inlineStr">
        <is>
          <t>No</t>
        </is>
      </c>
      <c r="U963" t="inlineStr">
        <is>
          <t>1 Year/18,000 Mile</t>
        </is>
      </c>
      <c r="V963" t="inlineStr">
        <is>
          <t>Yes</t>
        </is>
      </c>
      <c r="W963" t="inlineStr">
        <is>
          <t>Available to Order</t>
        </is>
      </c>
      <c r="X963" t="inlineStr">
        <is>
          <t>Mazda CX-9 2015-07</t>
        </is>
      </c>
      <c r="Y963" t="inlineStr">
        <is>
          <t>00082617824910</t>
        </is>
      </c>
      <c r="Z963" t="inlineStr">
        <is>
          <t>43-4437::98359:99739:292</t>
        </is>
      </c>
      <c r="AA963" t="inlineStr">
        <is>
          <t>Yes</t>
        </is>
      </c>
      <c r="AB963" t="inlineStr"/>
      <c r="AC963" t="inlineStr"/>
    </row>
    <row r="964">
      <c r="A964" t="inlineStr">
        <is>
          <t>963</t>
        </is>
      </c>
      <c r="B964" t="inlineStr">
        <is>
          <t>Windshield Wiper Motor</t>
        </is>
      </c>
      <c r="C964" t="inlineStr">
        <is>
          <t>43-4439</t>
        </is>
      </c>
      <c r="D964" t="inlineStr">
        <is>
          <t>Windshield Wiper Motor - 43-4439</t>
        </is>
      </c>
      <c r="E964" t="inlineStr">
        <is>
          <t>CARDONE Reman</t>
        </is>
      </c>
      <c r="F964" t="inlineStr">
        <is>
          <t>FE0267340</t>
        </is>
      </c>
      <c r="G964" t="inlineStr">
        <is>
          <t>Mazda RX-8 2004-2011</t>
        </is>
      </c>
      <c r="H964" t="inlineStr">
        <is>
          <t>Mazda RX-8 2004-2011 1.3L R2 1308cc</t>
        </is>
      </c>
      <c r="I964" t="inlineStr">
        <is>
          <t>{"0": {"productDeskExternalKey": "CPCX|43-4439"}, "1": {"E-Waste": "Yes"}, "2": {"Product Condition": "Remanufactured"}, "3": {"Weight PG": "2.7500"}, "4": {"Part Type": "Windshield Wiper Motor"}, "5": {"Warranty Info": "1 Year/18,000 Mile"}, "6": {"Sustainable Choice": "Yes"}, "7": {"Lifecycle Status": "Available to Order"}, "8": {"Application Summary": "Mazda RX-8 2011-04"}, "9": {"ItemLevelGTIN": "00082617824989"}, "10": {"_addonCardone": "43-4439::98359:99742:292"}, "11": {"Eligible for R&amp;R Service": "Yes"}}</t>
        </is>
      </c>
      <c r="J964" t="inlineStr">
        <is>
          <t>https://www.cardone.com/product/windshield-wiper-motor-43-4439</t>
        </is>
      </c>
      <c r="K964">
        <f>DISPIMG("ID_39C369A0B70243FF92F050FAB0A6A6C6",1)</f>
        <v/>
      </c>
      <c r="L964" t="inlineStr">
        <is>
          <t>CPCX|43-4439</t>
        </is>
      </c>
      <c r="M964" t="inlineStr"/>
      <c r="N964" t="inlineStr">
        <is>
          <t>Yes</t>
        </is>
      </c>
      <c r="O964" t="inlineStr">
        <is>
          <t>Remanufactured</t>
        </is>
      </c>
      <c r="P964" t="inlineStr"/>
      <c r="Q964" t="inlineStr"/>
      <c r="R964" t="inlineStr"/>
      <c r="S964" t="inlineStr">
        <is>
          <t>2.7500</t>
        </is>
      </c>
      <c r="T964" t="inlineStr"/>
      <c r="U964" t="inlineStr">
        <is>
          <t>1 Year/18,000 Mile</t>
        </is>
      </c>
      <c r="V964" t="inlineStr">
        <is>
          <t>Yes</t>
        </is>
      </c>
      <c r="W964" t="inlineStr">
        <is>
          <t>Available to Order</t>
        </is>
      </c>
      <c r="X964" t="inlineStr">
        <is>
          <t>Mazda RX-8 2011-04</t>
        </is>
      </c>
      <c r="Y964" t="inlineStr">
        <is>
          <t>00082617824989</t>
        </is>
      </c>
      <c r="Z964" t="inlineStr">
        <is>
          <t>43-4439::98359:99742:292</t>
        </is>
      </c>
      <c r="AA964" t="inlineStr">
        <is>
          <t>Yes</t>
        </is>
      </c>
      <c r="AB964" t="inlineStr"/>
      <c r="AC964" t="inlineStr"/>
    </row>
    <row r="965">
      <c r="A965" t="inlineStr">
        <is>
          <t>964</t>
        </is>
      </c>
      <c r="B965" t="inlineStr">
        <is>
          <t>Windshield Wiper Motor</t>
        </is>
      </c>
      <c r="C965" t="inlineStr">
        <is>
          <t>43-4450</t>
        </is>
      </c>
      <c r="D965" t="inlineStr">
        <is>
          <t>Windshield Wiper Motor - 43-4450</t>
        </is>
      </c>
      <c r="E965" t="inlineStr">
        <is>
          <t>CARDONE Reman</t>
        </is>
      </c>
      <c r="F965" t="inlineStr">
        <is>
          <t>0K2AA67340</t>
        </is>
      </c>
      <c r="G965" t="inlineStr">
        <is>
          <t>Kia Sephia 1998-1999</t>
        </is>
      </c>
      <c r="H965" t="inlineStr">
        <is>
          <t>Kia Sephia 1998-1999 1.8L L4 1793cc</t>
        </is>
      </c>
      <c r="I965" t="inlineStr">
        <is>
          <t>{"0": {"productDeskExternalKey": "CPCX|43-4450"}, "1": {"Package Contents": "Wiper Motor; Instruction Sheet"}, "2": {"E-Waste": "Yes"}, "3": {"Product Condition": "Remanufactured"}, "4": {"Mounting Hole Quantity": "4"}, "5": {"Terminal Type": "Blade"}, "6": {"Mounting Type": "Grommet"}, "7": {"Weight PG": "2.7000"}, "8": {"Washer Pump Included": "No"}, "9": {"Part Type": "Windshield Wiper Motor"}, "10": {"Warranty Info": "1 Year/18,000 Mile"}, "11": {"Sustainable Choice": "Yes"}, "12": {"Lifecycle Status": "Available to Order"}, "13": {"Application Summary": "Kia Sephia 1999-98"}, "14": {"ItemLevelGTIN": "00082617587945"}, "15": {"_addonCardone": "43-4450::98359:99748:292"}, "16": {"Eligible for R&amp;R Service": "Yes"}}</t>
        </is>
      </c>
      <c r="J965" t="inlineStr">
        <is>
          <t>https://www.cardone.com/product/windshield-wiper-motor-43-4450</t>
        </is>
      </c>
      <c r="K965">
        <f>DISPIMG("ID_F8994F1812B74687AC323EEA7D89968A",1)</f>
        <v/>
      </c>
      <c r="L965" t="inlineStr">
        <is>
          <t>CPCX|43-4450</t>
        </is>
      </c>
      <c r="M965" t="inlineStr">
        <is>
          <t>Wiper Motor; Instruction Sheet</t>
        </is>
      </c>
      <c r="N965" t="inlineStr">
        <is>
          <t>Yes</t>
        </is>
      </c>
      <c r="O965" t="inlineStr">
        <is>
          <t>Remanufactured</t>
        </is>
      </c>
      <c r="P965" t="inlineStr">
        <is>
          <t>4</t>
        </is>
      </c>
      <c r="Q965" t="inlineStr">
        <is>
          <t>Blade</t>
        </is>
      </c>
      <c r="R965" t="inlineStr">
        <is>
          <t>Grommet</t>
        </is>
      </c>
      <c r="S965" t="inlineStr">
        <is>
          <t>2.7000</t>
        </is>
      </c>
      <c r="T965" t="inlineStr">
        <is>
          <t>No</t>
        </is>
      </c>
      <c r="U965" t="inlineStr">
        <is>
          <t>1 Year/18,000 Mile</t>
        </is>
      </c>
      <c r="V965" t="inlineStr">
        <is>
          <t>Yes</t>
        </is>
      </c>
      <c r="W965" t="inlineStr">
        <is>
          <t>Available to Order</t>
        </is>
      </c>
      <c r="X965" t="inlineStr">
        <is>
          <t>Kia Sephia 1999-98</t>
        </is>
      </c>
      <c r="Y965" t="inlineStr">
        <is>
          <t>00082617587945</t>
        </is>
      </c>
      <c r="Z965" t="inlineStr">
        <is>
          <t>43-4450::98359:99748:292</t>
        </is>
      </c>
      <c r="AA965" t="inlineStr">
        <is>
          <t>Yes</t>
        </is>
      </c>
      <c r="AB965" t="inlineStr"/>
      <c r="AC965" t="inlineStr"/>
    </row>
    <row r="966">
      <c r="A966" t="inlineStr">
        <is>
          <t>965</t>
        </is>
      </c>
      <c r="B966" t="inlineStr">
        <is>
          <t>Windshield Wiper Motor</t>
        </is>
      </c>
      <c r="C966" t="inlineStr">
        <is>
          <t>43-4451</t>
        </is>
      </c>
      <c r="D966" t="inlineStr">
        <is>
          <t>Windshield Wiper Motor - 43-4451</t>
        </is>
      </c>
      <c r="E966" t="inlineStr">
        <is>
          <t>CARDONE Reman</t>
        </is>
      </c>
      <c r="F966" t="inlineStr">
        <is>
          <t>0K01467345E;0K01467345B;0K01467345A;0K01467345C;0K01467340C</t>
        </is>
      </c>
      <c r="G966" t="inlineStr">
        <is>
          <t>Kia Sportage 2000-2002</t>
        </is>
      </c>
      <c r="H966" t="inlineStr">
        <is>
          <t>Kia Sportage 2000-2002 2L L4 122cid</t>
        </is>
      </c>
      <c r="I966" t="inlineStr">
        <is>
          <t>{"0": {"productDeskExternalKey": "CPCX|43-4451"},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"Kia Sportage 2002-00"}, "14": {"ItemLevelGTIN": "00082617587952"}, "15": {"_addonCardone": "43-4451::98359:99756:292"}, "16": {"Eligible for R&amp;R Service": "Yes"}}</t>
        </is>
      </c>
      <c r="J966" t="inlineStr">
        <is>
          <t>https://www.cardone.com/product/windshield-wiper-motor-43-4451</t>
        </is>
      </c>
      <c r="K966">
        <f>DISPIMG("ID_E1FCF859A79944BFAC6D739D72BBEFE7",1)</f>
        <v/>
      </c>
      <c r="L966" t="inlineStr">
        <is>
          <t>CPCX|43-4451</t>
        </is>
      </c>
      <c r="M966" t="inlineStr">
        <is>
          <t>Wiper Motor; Instruction Sheet</t>
        </is>
      </c>
      <c r="N966" t="inlineStr">
        <is>
          <t>Yes</t>
        </is>
      </c>
      <c r="O966" t="inlineStr">
        <is>
          <t>Remanufactured</t>
        </is>
      </c>
      <c r="P966" t="inlineStr">
        <is>
          <t>3</t>
        </is>
      </c>
      <c r="Q966" t="inlineStr">
        <is>
          <t>Blade</t>
        </is>
      </c>
      <c r="R966" t="inlineStr">
        <is>
          <t>Direct Bolt</t>
        </is>
      </c>
      <c r="S966" t="inlineStr">
        <is>
          <t>2.7000</t>
        </is>
      </c>
      <c r="T966" t="inlineStr">
        <is>
          <t>No</t>
        </is>
      </c>
      <c r="U966" t="inlineStr">
        <is>
          <t>1 Year/18,000 Mile</t>
        </is>
      </c>
      <c r="V966" t="inlineStr">
        <is>
          <t>Yes</t>
        </is>
      </c>
      <c r="W966" t="inlineStr">
        <is>
          <t>Available to Order</t>
        </is>
      </c>
      <c r="X966" t="inlineStr">
        <is>
          <t>Kia Sportage 2002-00</t>
        </is>
      </c>
      <c r="Y966" t="inlineStr">
        <is>
          <t>00082617587952</t>
        </is>
      </c>
      <c r="Z966" t="inlineStr">
        <is>
          <t>43-4451::98359:99756:292</t>
        </is>
      </c>
      <c r="AA966" t="inlineStr">
        <is>
          <t>Yes</t>
        </is>
      </c>
      <c r="AB966" t="inlineStr"/>
      <c r="AC966" t="inlineStr"/>
    </row>
    <row r="967">
      <c r="A967" t="inlineStr">
        <is>
          <t>966</t>
        </is>
      </c>
      <c r="B967" t="inlineStr">
        <is>
          <t>Windshield Wiper Motor</t>
        </is>
      </c>
      <c r="C967" t="inlineStr">
        <is>
          <t>43-4452</t>
        </is>
      </c>
      <c r="D967" t="inlineStr">
        <is>
          <t>Windshield Wiper Motor - 43-4452</t>
        </is>
      </c>
      <c r="E967" t="inlineStr">
        <is>
          <t>CARDONE Reman</t>
        </is>
      </c>
      <c r="F967" t="inlineStr">
        <is>
          <t>0K2AA67350B;0K30B67350;0K2AA67350A;0K2AA67350D</t>
        </is>
      </c>
      <c r="G967" t="inlineStr">
        <is>
          <t>Kia Rio 2001-2005
Kia Sephia 2000-2001
Kia Spectra 2000-2004</t>
        </is>
      </c>
      <c r="H967" t="inlineStr">
        <is>
          <t>Kia Rio 2001-2002 1.5L L4 1493cc
Kia Rio 2003-2005 1.6L L4 1594cc
Kia Sephia 2000-2001 1.8L L4 1793cc
Kia Spectra 2000-2004 1.8L L4 1793cc
Kia Spectra 2004 2L L4 1975cc</t>
        </is>
      </c>
      <c r="I967" t="inlineStr">
        <is>
          <t>{"0": {"productDeskExternalKey": "CPCX|43-4452"}, "1": {"Package Contents": "Wiper Motor; Instruction Sheet"}, "2": {"E-Waste": "Yes"}, "3": {"Product Condition": "Remanufactured"}, "4": {"Mounting Hole Quantity": "4"}, "5": {"Terminal Type": "Blade"}, "6": {"Mounting Type": "Grommet"}, "7": {"Weight PG": "2.7000"}, "8": {"Washer Pump Included": "No"}, "9": {"Part Type": "Windshield Wiper Motor"}, "10": {"Warranty Info": "1 Year/18,000 Mile"}, "11": {"Sustainable Choice": "Yes"}, "12": {"Lifecycle Status": "Available to Order"}, "13": {"Application Summary": "Kia Rio 2005-01, Sephia 2001-00, Spectra 2004-00"}, "14": {"ItemLevelGTIN": "00082617587969"}, "15": {"_addonCardone": "43-4452::98359:99766:292"}, "16": {"Eligible for R&amp;R Service": "Yes"}}</t>
        </is>
      </c>
      <c r="J967" t="inlineStr">
        <is>
          <t>https://www.cardone.com/product/windshield-wiper-motor-43-4452</t>
        </is>
      </c>
      <c r="K967">
        <f>DISPIMG("ID_09C59F709D094C32B5D6D473868C6A3E",1)</f>
        <v/>
      </c>
      <c r="L967" t="inlineStr">
        <is>
          <t>CPCX|43-4452</t>
        </is>
      </c>
      <c r="M967" t="inlineStr">
        <is>
          <t>Wiper Motor; Instruction Sheet</t>
        </is>
      </c>
      <c r="N967" t="inlineStr">
        <is>
          <t>Yes</t>
        </is>
      </c>
      <c r="O967" t="inlineStr">
        <is>
          <t>Remanufactured</t>
        </is>
      </c>
      <c r="P967" t="inlineStr">
        <is>
          <t>4</t>
        </is>
      </c>
      <c r="Q967" t="inlineStr">
        <is>
          <t>Blade</t>
        </is>
      </c>
      <c r="R967" t="inlineStr">
        <is>
          <t>Grommet</t>
        </is>
      </c>
      <c r="S967" t="inlineStr">
        <is>
          <t>2.7000</t>
        </is>
      </c>
      <c r="T967" t="inlineStr">
        <is>
          <t>No</t>
        </is>
      </c>
      <c r="U967" t="inlineStr">
        <is>
          <t>1 Year/18,000 Mile</t>
        </is>
      </c>
      <c r="V967" t="inlineStr">
        <is>
          <t>Yes</t>
        </is>
      </c>
      <c r="W967" t="inlineStr">
        <is>
          <t>Available to Order</t>
        </is>
      </c>
      <c r="X967" t="inlineStr">
        <is>
          <t>Kia Rio 2005-01, Sephia 2001-00, Spectra 2004-00</t>
        </is>
      </c>
      <c r="Y967" t="inlineStr">
        <is>
          <t>00082617587969</t>
        </is>
      </c>
      <c r="Z967" t="inlineStr">
        <is>
          <t>43-4452::98359:99766:292</t>
        </is>
      </c>
      <c r="AA967" t="inlineStr">
        <is>
          <t>Yes</t>
        </is>
      </c>
      <c r="AB967" t="inlineStr"/>
      <c r="AC967" t="inlineStr"/>
    </row>
    <row r="968">
      <c r="A968" t="inlineStr">
        <is>
          <t>967</t>
        </is>
      </c>
      <c r="B968" t="inlineStr">
        <is>
          <t>Windshield Wiper Motor</t>
        </is>
      </c>
      <c r="C968" t="inlineStr">
        <is>
          <t>43-4453</t>
        </is>
      </c>
      <c r="D968" t="inlineStr">
        <is>
          <t>Windshield Wiper Motor - 43-4453</t>
        </is>
      </c>
      <c r="E968" t="inlineStr">
        <is>
          <t>CARDONE Reman</t>
        </is>
      </c>
      <c r="F968" t="inlineStr">
        <is>
          <t>0K01467345;0K1467345;0K1367345F</t>
        </is>
      </c>
      <c r="G968" t="inlineStr">
        <is>
          <t>Kia Sportage 1995-1999</t>
        </is>
      </c>
      <c r="H968" t="inlineStr">
        <is>
          <t>Kia Sportage 1995-1999 2L L4 122cid</t>
        </is>
      </c>
      <c r="I968" t="inlineStr">
        <is>
          <t>{"0": {"productDeskExternalKey": "CPCX|43-4453"},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"Kia Sportage 1999-95"}, "14": {"ItemLevelGTIN": "00082617587976"}, "15": {"_addonCardone": "43-4453::98359:99773:292"}, "16": {"Eligible for R&amp;R Service": "Yes"}}</t>
        </is>
      </c>
      <c r="J968" t="inlineStr">
        <is>
          <t>https://www.cardone.com/product/windshield-wiper-motor-43-4453</t>
        </is>
      </c>
      <c r="K968">
        <f>DISPIMG("ID_AD6D9AB910BA4B0791C6C7C2A82981E2",1)</f>
        <v/>
      </c>
      <c r="L968" t="inlineStr">
        <is>
          <t>CPCX|43-4453</t>
        </is>
      </c>
      <c r="M968" t="inlineStr">
        <is>
          <t>Wiper Motor; Instruction Sheet</t>
        </is>
      </c>
      <c r="N968" t="inlineStr">
        <is>
          <t>Yes</t>
        </is>
      </c>
      <c r="O968" t="inlineStr">
        <is>
          <t>Remanufactured</t>
        </is>
      </c>
      <c r="P968" t="inlineStr">
        <is>
          <t>3</t>
        </is>
      </c>
      <c r="Q968" t="inlineStr">
        <is>
          <t>Blade</t>
        </is>
      </c>
      <c r="R968" t="inlineStr">
        <is>
          <t>Direct Bolt</t>
        </is>
      </c>
      <c r="S968" t="inlineStr">
        <is>
          <t>2.7000</t>
        </is>
      </c>
      <c r="T968" t="inlineStr">
        <is>
          <t>No</t>
        </is>
      </c>
      <c r="U968" t="inlineStr">
        <is>
          <t>1 Year/18,000 Mile</t>
        </is>
      </c>
      <c r="V968" t="inlineStr">
        <is>
          <t>Yes</t>
        </is>
      </c>
      <c r="W968" t="inlineStr">
        <is>
          <t>Available to Order</t>
        </is>
      </c>
      <c r="X968" t="inlineStr">
        <is>
          <t>Kia Sportage 1999-95</t>
        </is>
      </c>
      <c r="Y968" t="inlineStr">
        <is>
          <t>00082617587976</t>
        </is>
      </c>
      <c r="Z968" t="inlineStr">
        <is>
          <t>43-4453::98359:99773:292</t>
        </is>
      </c>
      <c r="AA968" t="inlineStr">
        <is>
          <t>Yes</t>
        </is>
      </c>
      <c r="AB968" t="inlineStr"/>
      <c r="AC968" t="inlineStr"/>
    </row>
    <row r="969">
      <c r="A969" t="inlineStr">
        <is>
          <t>968</t>
        </is>
      </c>
      <c r="B969" t="inlineStr">
        <is>
          <t>Windshield Wiper Motor</t>
        </is>
      </c>
      <c r="C969" t="inlineStr">
        <is>
          <t>43-4454</t>
        </is>
      </c>
      <c r="D969" t="inlineStr">
        <is>
          <t>Windshield Wiper Motor - 43-4454</t>
        </is>
      </c>
      <c r="E969" t="inlineStr">
        <is>
          <t>CARDONE Reman</t>
        </is>
      </c>
      <c r="F969" t="inlineStr">
        <is>
          <t>0K20167350A</t>
        </is>
      </c>
      <c r="G969" t="inlineStr">
        <is>
          <t>Kia Sephia 1994-1997</t>
        </is>
      </c>
      <c r="H969" t="inlineStr">
        <is>
          <t>Kia Sephia 1994-1997 1.6L L4 1597cc
Kia Sephia 1995-1997 1.8L L4 1839cc</t>
        </is>
      </c>
      <c r="I969" t="inlineStr">
        <is>
          <t>{"0": {"productDeskExternalKey": "CPCX|43-4454"}, "1": {"Package Contents": "Wiper Motor; Instruction Sheet"}, "2": {"E-Waste": "Yes"}, "3": {"Product Condition": "Remanufactured"}, "4": {"Mounting Hole Quantity": "4"}, "5": {"Terminal Type": "Blade"}, "6": {"Mounting Type": "Grommet"}, "7": {"Weight PG": "2.2200"}, "8": {"Washer Pump Included": "No"}, "9": {"Part Type": "Windshield Wiper Motor"}, "10": {"Warranty Info": "1 Year/18,000 Mile"}, "11": {"Sustainable Choice": "Yes"}, "12": {"Lifecycle Status": "Available to Order"}, "13": {"Application Summary": "Kia Sephia 1997-94"}, "14": {"ItemLevelGTIN": "00082617588874"}, "15": {"_addonCardone": "43-4454::98359:99781:292"}, "16": {"Eligible for R&amp;R Service": "Yes"}}</t>
        </is>
      </c>
      <c r="J969" t="inlineStr">
        <is>
          <t>https://www.cardone.com/product/windshield-wiper-motor-43-4454</t>
        </is>
      </c>
      <c r="K969">
        <f>DISPIMG("ID_B44E0BF5861C4DC1868F90265FE2CAA6",1)</f>
        <v/>
      </c>
      <c r="L969" t="inlineStr">
        <is>
          <t>CPCX|43-4454</t>
        </is>
      </c>
      <c r="M969" t="inlineStr">
        <is>
          <t>Wiper Motor; Instruction Sheet</t>
        </is>
      </c>
      <c r="N969" t="inlineStr">
        <is>
          <t>Yes</t>
        </is>
      </c>
      <c r="O969" t="inlineStr">
        <is>
          <t>Remanufactured</t>
        </is>
      </c>
      <c r="P969" t="inlineStr">
        <is>
          <t>4</t>
        </is>
      </c>
      <c r="Q969" t="inlineStr">
        <is>
          <t>Blade</t>
        </is>
      </c>
      <c r="R969" t="inlineStr">
        <is>
          <t>Grommet</t>
        </is>
      </c>
      <c r="S969" t="inlineStr">
        <is>
          <t>2.2200</t>
        </is>
      </c>
      <c r="T969" t="inlineStr">
        <is>
          <t>No</t>
        </is>
      </c>
      <c r="U969" t="inlineStr">
        <is>
          <t>1 Year/18,000 Mile</t>
        </is>
      </c>
      <c r="V969" t="inlineStr">
        <is>
          <t>Yes</t>
        </is>
      </c>
      <c r="W969" t="inlineStr">
        <is>
          <t>Available to Order</t>
        </is>
      </c>
      <c r="X969" t="inlineStr">
        <is>
          <t>Kia Sephia 1997-94</t>
        </is>
      </c>
      <c r="Y969" t="inlineStr">
        <is>
          <t>00082617588874</t>
        </is>
      </c>
      <c r="Z969" t="inlineStr">
        <is>
          <t>43-4454::98359:99781:292</t>
        </is>
      </c>
      <c r="AA969" t="inlineStr">
        <is>
          <t>Yes</t>
        </is>
      </c>
      <c r="AB969" t="inlineStr"/>
      <c r="AC969" t="inlineStr"/>
    </row>
    <row r="970">
      <c r="A970" t="inlineStr">
        <is>
          <t>969</t>
        </is>
      </c>
      <c r="B970" t="inlineStr">
        <is>
          <t>Windshield Wiper Motor</t>
        </is>
      </c>
      <c r="C970" t="inlineStr">
        <is>
          <t>43-4455</t>
        </is>
      </c>
      <c r="D970" t="inlineStr">
        <is>
          <t>Windshield Wiper Motor - 43-4455</t>
        </is>
      </c>
      <c r="E970" t="inlineStr">
        <is>
          <t>CARDONE Reman</t>
        </is>
      </c>
      <c r="F970" t="inlineStr">
        <is>
          <t>0K01967445E;0K08267445</t>
        </is>
      </c>
      <c r="G970" t="inlineStr">
        <is>
          <t>Kia Sportage 1995-1999</t>
        </is>
      </c>
      <c r="H970" t="inlineStr">
        <is>
          <t>Kia Sportage 1995-1999 2L L4 122cid</t>
        </is>
      </c>
      <c r="I970" t="inlineStr">
        <is>
          <t>{"0": {"productDeskExternalKey": "CPCX|43-4455"}, "1": {"Package Contents": "Wiper Motor; Instruction Sheet"}, "2": {"E-Waste": "Yes"}, "3": {"Product Condition": "Remanufactured"}, "4": {"Mounting Hole Quantity": "2"}, "5": {"Terminal Type": "Blade"}, "6": {"Mounting Type": "Eyelet"}, "7": {"Weight PG": "2.5000"}, "8": {"Washer Pump Included": "No"}, "9": {"Part Type": "Windshield Wiper Motor"}, "10": {"Warranty Info": "1 Year/18,000 Mile"}, "11": {"Sustainable Choice": "Yes"}, "12": {"Lifecycle Status": "Available to Order"}, "13": {"Application Summary": "Kia Sportage 1999-95"}, "14": {"ItemLevelGTIN": "00082617595131"}, "15": {"_addonCardone": "43-4455::98359:99787:292"}, "16": {"Eligible for R&amp;R Service": "Yes"}}</t>
        </is>
      </c>
      <c r="J970" t="inlineStr">
        <is>
          <t>https://www.cardone.com/product/windshield-wiper-motor-43-4455</t>
        </is>
      </c>
      <c r="K970">
        <f>DISPIMG("ID_A3A5C130E22547FBA56BA98822798225",1)</f>
        <v/>
      </c>
      <c r="L970" t="inlineStr">
        <is>
          <t>CPCX|43-4455</t>
        </is>
      </c>
      <c r="M970" t="inlineStr">
        <is>
          <t>Wiper Motor; Instruction Sheet</t>
        </is>
      </c>
      <c r="N970" t="inlineStr">
        <is>
          <t>Yes</t>
        </is>
      </c>
      <c r="O970" t="inlineStr">
        <is>
          <t>Remanufactured</t>
        </is>
      </c>
      <c r="P970" t="inlineStr">
        <is>
          <t>2</t>
        </is>
      </c>
      <c r="Q970" t="inlineStr">
        <is>
          <t>Blade</t>
        </is>
      </c>
      <c r="R970" t="inlineStr">
        <is>
          <t>Eyelet</t>
        </is>
      </c>
      <c r="S970" t="inlineStr">
        <is>
          <t>2.5000</t>
        </is>
      </c>
      <c r="T970" t="inlineStr">
        <is>
          <t>No</t>
        </is>
      </c>
      <c r="U970" t="inlineStr">
        <is>
          <t>1 Year/18,000 Mile</t>
        </is>
      </c>
      <c r="V970" t="inlineStr">
        <is>
          <t>Yes</t>
        </is>
      </c>
      <c r="W970" t="inlineStr">
        <is>
          <t>Available to Order</t>
        </is>
      </c>
      <c r="X970" t="inlineStr">
        <is>
          <t>Kia Sportage 1999-95</t>
        </is>
      </c>
      <c r="Y970" t="inlineStr">
        <is>
          <t>00082617595131</t>
        </is>
      </c>
      <c r="Z970" t="inlineStr">
        <is>
          <t>43-4455::98359:99787:292</t>
        </is>
      </c>
      <c r="AA970" t="inlineStr">
        <is>
          <t>Yes</t>
        </is>
      </c>
      <c r="AB970" t="inlineStr"/>
      <c r="AC970" t="inlineStr"/>
    </row>
    <row r="971">
      <c r="A971" t="inlineStr">
        <is>
          <t>970</t>
        </is>
      </c>
      <c r="B971" t="inlineStr">
        <is>
          <t>Windshield Wiper Motor</t>
        </is>
      </c>
      <c r="C971" t="inlineStr">
        <is>
          <t>43-4456</t>
        </is>
      </c>
      <c r="D971" t="inlineStr">
        <is>
          <t>Windshield Wiper Motor - 43-4456</t>
        </is>
      </c>
      <c r="E971" t="inlineStr">
        <is>
          <t>CARDONE Reman</t>
        </is>
      </c>
      <c r="F971" t="inlineStr">
        <is>
          <t>0K34A67450E;0K34A67450D</t>
        </is>
      </c>
      <c r="G971" t="inlineStr">
        <is>
          <t>Kia Rio 2001-2005</t>
        </is>
      </c>
      <c r="H971" t="inlineStr">
        <is>
          <t>Kia Rio 2001-2002 1.5L L4 1493cc
Kia Rio 2003-2005 1.6L L4 1594cc</t>
        </is>
      </c>
      <c r="I971" t="inlineStr">
        <is>
          <t>{"0": {"productDeskExternalKey": "CPCX|43-4456"}, "1": {"Package Contents": "Wiper Motor; Instruction Sheet"}, "2": {"E-Waste": "Yes"}, "3": {"Product Condition": "Remanufactured"}, "4": {"Mounting Hole Quantity": "2"}, "5": {"Terminal Type": "Blade"}, "6": {"Mounting Type": "Grommet"}, "7": {"Weight PG": "2.0000"}, "8": {"Washer Pump Included": "No"}, "9": {"Part Type": "Windshield Wiper Motor"}, "10": {"Warranty Info": "1 Year/18,000 Mile"}, "11": {"Sustainable Choice": "Yes"}, "12": {"Lifecycle Status": "Available to Order"}, "13": {"Application Summary": "Kia Rio 2005-01"}, "14": {"ItemLevelGTIN": "00082617619134"}, "15": {"_addonCardone": "43-4456::98359:99792:292"}, "16": {"Eligible for R&amp;R Service": "Yes"}}</t>
        </is>
      </c>
      <c r="J971" t="inlineStr">
        <is>
          <t>https://www.cardone.com/product/windshield-wiper-motor-43-4456</t>
        </is>
      </c>
      <c r="K971">
        <f>DISPIMG("ID_104DC84207954E58AF7DD62C121A1A30",1)</f>
        <v/>
      </c>
      <c r="L971" t="inlineStr">
        <is>
          <t>CPCX|43-4456</t>
        </is>
      </c>
      <c r="M971" t="inlineStr">
        <is>
          <t>Wiper Motor; Instruction Sheet</t>
        </is>
      </c>
      <c r="N971" t="inlineStr">
        <is>
          <t>Yes</t>
        </is>
      </c>
      <c r="O971" t="inlineStr">
        <is>
          <t>Remanufactured</t>
        </is>
      </c>
      <c r="P971" t="inlineStr">
        <is>
          <t>2</t>
        </is>
      </c>
      <c r="Q971" t="inlineStr">
        <is>
          <t>Blade</t>
        </is>
      </c>
      <c r="R971" t="inlineStr">
        <is>
          <t>Grommet</t>
        </is>
      </c>
      <c r="S971" t="inlineStr">
        <is>
          <t>2.0000</t>
        </is>
      </c>
      <c r="T971" t="inlineStr">
        <is>
          <t>No</t>
        </is>
      </c>
      <c r="U971" t="inlineStr">
        <is>
          <t>1 Year/18,000 Mile</t>
        </is>
      </c>
      <c r="V971" t="inlineStr">
        <is>
          <t>Yes</t>
        </is>
      </c>
      <c r="W971" t="inlineStr">
        <is>
          <t>Available to Order</t>
        </is>
      </c>
      <c r="X971" t="inlineStr">
        <is>
          <t>Kia Rio 2005-01</t>
        </is>
      </c>
      <c r="Y971" t="inlineStr">
        <is>
          <t>00082617619134</t>
        </is>
      </c>
      <c r="Z971" t="inlineStr">
        <is>
          <t>43-4456::98359:99792:292</t>
        </is>
      </c>
      <c r="AA971" t="inlineStr">
        <is>
          <t>Yes</t>
        </is>
      </c>
      <c r="AB971" t="inlineStr"/>
      <c r="AC971" t="inlineStr"/>
    </row>
    <row r="972">
      <c r="A972" t="inlineStr">
        <is>
          <t>971</t>
        </is>
      </c>
      <c r="B972" t="inlineStr">
        <is>
          <t>Windshield Wiper Motor</t>
        </is>
      </c>
      <c r="C972" t="inlineStr">
        <is>
          <t>43-4457</t>
        </is>
      </c>
      <c r="D972" t="inlineStr">
        <is>
          <t>Windshield Wiper Motor - 43-4457</t>
        </is>
      </c>
      <c r="E972" t="inlineStr">
        <is>
          <t>CARDONE Reman</t>
        </is>
      </c>
      <c r="F972" t="inlineStr">
        <is>
          <t>981103C200</t>
        </is>
      </c>
      <c r="G972" t="inlineStr">
        <is>
          <t>Kia Magentis 2001-2006
Kia Optima 2001-2006</t>
        </is>
      </c>
      <c r="H972" t="inlineStr">
        <is>
          <t>Kia Magentis 2001 2.5L V6 2500cc
Kia Magentis 2001-2006 2.4L L4 2351cc
Kia Magentis 2002-2004 2.7L V6 2700cc
Kia Magentis 2005-2006 2.7L V6 2656cc
Kia Optima 2001 2.5L V6 2500cc
Kia Optima 2001-2006 2.4L L4 2351cc
Kia Optima 2002-2006 2.7L V6 2656cc
Kia Optima 2006 2.4L L4 2359cc</t>
        </is>
      </c>
      <c r="I972" t="inlineStr">
        <is>
          <t>{"0": {"productDeskExternalKey": "CPCX|43-4457"}, "1": {"Package Contents": "Wiper Motor; Instruction Sheet"}, "2": {"E-Waste": "Yes"}, "3": {"Product Condition": "Remanufactured"}, "4": {"Mounting Hole Quantity": "3"}, "5": {"Terminal Type": "Blade"}, "6": {"Mounting Type": "Direct Bolt"}, "7": {"Weight PG": "2.9000"}, "8": {"Washer Pump Included": "No"}, "9": {"Part Type": "Windshield Wiper Motor"}, "10": {"Warranty Info": "1 Year/18,000 Mile"}, "11": {"Sustainable Choice": "Yes"}, "12": {"Lifecycle Status": "Available to Order"}, "13": {"Application Summary": "Kia Magentis 2006-01, Optima 2006-01"}, "14": {"ItemLevelGTIN": "00082617644006"}, "15": {"_addonCardone": "43-4457::98359:99798:292"}, "16": {"Eligible for R&amp;R Service": "Yes"}}</t>
        </is>
      </c>
      <c r="J972" t="inlineStr">
        <is>
          <t>https://www.cardone.com/product/windshield-wiper-motor-43-4457</t>
        </is>
      </c>
      <c r="K972">
        <f>DISPIMG("ID_EEBEBCF9EF134ECB8A9ECA2B06B134AF",1)</f>
        <v/>
      </c>
      <c r="L972" t="inlineStr">
        <is>
          <t>CPCX|43-4457</t>
        </is>
      </c>
      <c r="M972" t="inlineStr">
        <is>
          <t>Wiper Motor; Instruction Sheet</t>
        </is>
      </c>
      <c r="N972" t="inlineStr">
        <is>
          <t>Yes</t>
        </is>
      </c>
      <c r="O972" t="inlineStr">
        <is>
          <t>Remanufactured</t>
        </is>
      </c>
      <c r="P972" t="inlineStr">
        <is>
          <t>3</t>
        </is>
      </c>
      <c r="Q972" t="inlineStr">
        <is>
          <t>Blade</t>
        </is>
      </c>
      <c r="R972" t="inlineStr">
        <is>
          <t>Direct Bolt</t>
        </is>
      </c>
      <c r="S972" t="inlineStr">
        <is>
          <t>2.9000</t>
        </is>
      </c>
      <c r="T972" t="inlineStr">
        <is>
          <t>No</t>
        </is>
      </c>
      <c r="U972" t="inlineStr">
        <is>
          <t>1 Year/18,000 Mile</t>
        </is>
      </c>
      <c r="V972" t="inlineStr">
        <is>
          <t>Yes</t>
        </is>
      </c>
      <c r="W972" t="inlineStr">
        <is>
          <t>Available to Order</t>
        </is>
      </c>
      <c r="X972" t="inlineStr">
        <is>
          <t>Kia Magentis 2006-01, Optima 2006-01</t>
        </is>
      </c>
      <c r="Y972" t="inlineStr">
        <is>
          <t>00082617644006</t>
        </is>
      </c>
      <c r="Z972" t="inlineStr">
        <is>
          <t>43-4457::98359:99798:292</t>
        </is>
      </c>
      <c r="AA972" t="inlineStr">
        <is>
          <t>Yes</t>
        </is>
      </c>
      <c r="AB972" t="inlineStr"/>
      <c r="AC972" t="inlineStr"/>
    </row>
    <row r="973">
      <c r="A973" t="inlineStr">
        <is>
          <t>972</t>
        </is>
      </c>
      <c r="B973" t="inlineStr">
        <is>
          <t>Windshield Wiper Motor</t>
        </is>
      </c>
      <c r="C973" t="inlineStr">
        <is>
          <t>43-4458</t>
        </is>
      </c>
      <c r="D973" t="inlineStr">
        <is>
          <t>Windshield Wiper Motor - 43-4458</t>
        </is>
      </c>
      <c r="E973" t="inlineStr">
        <is>
          <t>CARDONE Reman</t>
        </is>
      </c>
      <c r="F973" t="inlineStr">
        <is>
          <t>9810034210</t>
        </is>
      </c>
      <c r="G973" t="inlineStr"/>
      <c r="H973" t="inlineStr"/>
      <c r="I973" t="inlineStr">
        <is>
          <t>{"0": {"productDeskExternalKey": "CPCX|43-4458"}, "1": {"Package Contents": "Wiper Motor; Instruction Sheet"}, "2": {"E-Waste": "Yes"}, "3": {"Product Condition": "Remanufactured"}, "4": {"Mounting Hole Quantity": "4"}, "5": {"Terminal Type": "Blade"}, "6": {"Mounting Type": "Grommet"}, "7": {"Weight PG": "2.5000"}, "8": {"Washer Pump Included": "No"}, "9": {"Part Type": "Windshield Wiper Motor"}, "10": {"Warranty Info": "1 Year/18,000 Mile"}, "11": {"Sustainable Choice": "Yes"}, "12": {"Lifecycle Status": "Available to Order"}, "13": {"Application Summary": "Hyundai Sonata 1998-96"}, "14": {"ItemLevelGTIN": "00082617675383"}, "15": {"_addonCardone": "43-4458::98359:99804:292"}, "16": {"Eligible for R&amp;R Service": "Yes"}}</t>
        </is>
      </c>
      <c r="J973" t="inlineStr">
        <is>
          <t>https://www.cardone.com/product/windshield-wiper-motor-43-4458</t>
        </is>
      </c>
      <c r="K973">
        <f>DISPIMG("ID_FBE4C9511F844E468B6840CB601D2976",1)</f>
        <v/>
      </c>
      <c r="L973" t="inlineStr">
        <is>
          <t>CPCX|43-4458</t>
        </is>
      </c>
      <c r="M973" t="inlineStr">
        <is>
          <t>Wiper Motor; Instruction Sheet</t>
        </is>
      </c>
      <c r="N973" t="inlineStr">
        <is>
          <t>Yes</t>
        </is>
      </c>
      <c r="O973" t="inlineStr">
        <is>
          <t>Remanufactured</t>
        </is>
      </c>
      <c r="P973" t="inlineStr">
        <is>
          <t>4</t>
        </is>
      </c>
      <c r="Q973" t="inlineStr">
        <is>
          <t>Blade</t>
        </is>
      </c>
      <c r="R973" t="inlineStr">
        <is>
          <t>Grommet</t>
        </is>
      </c>
      <c r="S973" t="inlineStr">
        <is>
          <t>2.5000</t>
        </is>
      </c>
      <c r="T973" t="inlineStr">
        <is>
          <t>No</t>
        </is>
      </c>
      <c r="U973" t="inlineStr">
        <is>
          <t>1 Year/18,000 Mile</t>
        </is>
      </c>
      <c r="V973" t="inlineStr">
        <is>
          <t>Yes</t>
        </is>
      </c>
      <c r="W973" t="inlineStr">
        <is>
          <t>Available to Order</t>
        </is>
      </c>
      <c r="X973" t="inlineStr">
        <is>
          <t>Hyundai Sonata 1998-96</t>
        </is>
      </c>
      <c r="Y973" t="inlineStr">
        <is>
          <t>00082617675383</t>
        </is>
      </c>
      <c r="Z973" t="inlineStr">
        <is>
          <t>43-4458::98359:99804:292</t>
        </is>
      </c>
      <c r="AA973" t="inlineStr">
        <is>
          <t>Yes</t>
        </is>
      </c>
      <c r="AB973" t="inlineStr"/>
      <c r="AC973" t="inlineStr"/>
    </row>
    <row r="974">
      <c r="A974" t="inlineStr">
        <is>
          <t>973</t>
        </is>
      </c>
      <c r="B974" t="inlineStr">
        <is>
          <t>Windshield Wiper Motor</t>
        </is>
      </c>
      <c r="C974" t="inlineStr">
        <is>
          <t>43-4459</t>
        </is>
      </c>
      <c r="D974" t="inlineStr">
        <is>
          <t>Windshield Wiper Motor - 43-4459</t>
        </is>
      </c>
      <c r="E974" t="inlineStr">
        <is>
          <t>CARDONE Reman</t>
        </is>
      </c>
      <c r="F974" t="inlineStr">
        <is>
          <t>96303118</t>
        </is>
      </c>
      <c r="G974" t="inlineStr">
        <is>
          <t>Daewoo Lanos 1999-2002</t>
        </is>
      </c>
      <c r="H974" t="inlineStr">
        <is>
          <t>Daewoo Lanos 1999-2002 1.5L L4 1498cc
Daewoo Lanos 1999-2002 1.6L L4 98cid</t>
        </is>
      </c>
      <c r="I974" t="inlineStr">
        <is>
          <t>{"0": {"productDeskExternalKey": "CPCX|43-4459"}, "1": {"Package Contents": "Wiper Motor; Instruction Sheet"}, "2": {"E-Waste": "Yes"}, "3": {"Product Condition": "Remanufactured"}, "4": {"Mounting Hole Quantity": "4"}, "5": {"Terminal Type": "Blade"}, "6": {"Mounting Type": "Grommet"}, "7": {"Weight PG": "2.5000"}, "8": {"Washer Pump Included": "No"}, "9": {"Part Type": "Windshield Wiper Motor"}, "10": {"Warranty Info": "1 Year/18,000 Mile"}, "11": {"Sustainable Choice": "Yes"}, "12": {"Lifecycle Status": "Available to Order"}, "13": {"Application Summary": "Daewoo Lanos 2002-99"}, "14": {"ItemLevelGTIN": "00082617705707"}, "15": {"_addonCardone": "43-4459::98359:99810:292"}, "16": {"Eligible for R&amp;R Service": "Yes"}}</t>
        </is>
      </c>
      <c r="J974" t="inlineStr">
        <is>
          <t>https://www.cardone.com/product/windshield-wiper-motor-43-4459</t>
        </is>
      </c>
      <c r="K974">
        <f>DISPIMG("ID_3A1969656FD347A7978079D8066C0578",1)</f>
        <v/>
      </c>
      <c r="L974" t="inlineStr">
        <is>
          <t>CPCX|43-4459</t>
        </is>
      </c>
      <c r="M974" t="inlineStr">
        <is>
          <t>Wiper Motor; Instruction Sheet</t>
        </is>
      </c>
      <c r="N974" t="inlineStr">
        <is>
          <t>Yes</t>
        </is>
      </c>
      <c r="O974" t="inlineStr">
        <is>
          <t>Remanufactured</t>
        </is>
      </c>
      <c r="P974" t="inlineStr">
        <is>
          <t>4</t>
        </is>
      </c>
      <c r="Q974" t="inlineStr">
        <is>
          <t>Blade</t>
        </is>
      </c>
      <c r="R974" t="inlineStr">
        <is>
          <t>Grommet</t>
        </is>
      </c>
      <c r="S974" t="inlineStr">
        <is>
          <t>2.5000</t>
        </is>
      </c>
      <c r="T974" t="inlineStr">
        <is>
          <t>No</t>
        </is>
      </c>
      <c r="U974" t="inlineStr">
        <is>
          <t>1 Year/18,000 Mile</t>
        </is>
      </c>
      <c r="V974" t="inlineStr">
        <is>
          <t>Yes</t>
        </is>
      </c>
      <c r="W974" t="inlineStr">
        <is>
          <t>Available to Order</t>
        </is>
      </c>
      <c r="X974" t="inlineStr">
        <is>
          <t>Daewoo Lanos 2002-99</t>
        </is>
      </c>
      <c r="Y974" t="inlineStr">
        <is>
          <t>00082617705707</t>
        </is>
      </c>
      <c r="Z974" t="inlineStr">
        <is>
          <t>43-4459::98359:99810:292</t>
        </is>
      </c>
      <c r="AA974" t="inlineStr">
        <is>
          <t>Yes</t>
        </is>
      </c>
      <c r="AB974" t="inlineStr"/>
      <c r="AC974" t="inlineStr"/>
    </row>
    <row r="975">
      <c r="A975" t="inlineStr">
        <is>
          <t>974</t>
        </is>
      </c>
      <c r="B975" t="inlineStr">
        <is>
          <t>Windshield Wiper Motor</t>
        </is>
      </c>
      <c r="C975" t="inlineStr">
        <is>
          <t>43-4461</t>
        </is>
      </c>
      <c r="D975" t="inlineStr">
        <is>
          <t>Windshield Wiper Motor - 43-4461</t>
        </is>
      </c>
      <c r="E975" t="inlineStr">
        <is>
          <t>CARDONE Reman</t>
        </is>
      </c>
      <c r="F975" t="inlineStr">
        <is>
          <t>0K53Z67450A</t>
        </is>
      </c>
      <c r="G975" t="inlineStr">
        <is>
          <t>Kia Sedona 2003-2005</t>
        </is>
      </c>
      <c r="H975" t="inlineStr">
        <is>
          <t>Kia Sedona 2003-2005 3.5L V6 3497cc</t>
        </is>
      </c>
      <c r="I975" t="inlineStr">
        <is>
          <t>{"0": {"productDeskExternalKey": "CPCX|43-4461"}, "1": {"Package Contents": "Wiper Motor; Instruction Sheet"}, "2": {"E-Waste": "Yes"}, "3": {"Product Condition": "Remanufactured"}, "4": {"Mounting Hole Quantity": "3"}, "5": {"Terminal Type": "Blade"}, "6": {"Mounting Type": "Eyelet; Grommet"}, "7": {"Weight PG": "3.0000"}, "8": {"Washer Pump Included": "No"}, "9": {"Part Type": "Windshield Wiper Motor"}, "10": {"Warranty Info": "1 Year/18,000 Mile"}, "11": {"Sustainable Choice": "Yes"}, "12": {"Lifecycle Status": "Available to Order"}, "13": {"Application Summary": "Kia Sedona 2005-03"}, "14": {"ItemLevelGTIN": "00082617751476"}, "15": {"_addonCardone": "43-4461::98359:99815:292"}, "16": {"Eligible for R&amp;R Service": "Yes"}}</t>
        </is>
      </c>
      <c r="J975" t="inlineStr">
        <is>
          <t>https://www.cardone.com/product/windshield-wiper-motor-43-4461</t>
        </is>
      </c>
      <c r="K975">
        <f>DISPIMG("ID_E709E4D04ED4483EBEED734E5CAD273D",1)</f>
        <v/>
      </c>
      <c r="L975" t="inlineStr">
        <is>
          <t>CPCX|43-4461</t>
        </is>
      </c>
      <c r="M975" t="inlineStr">
        <is>
          <t>Wiper Motor; Instruction Sheet</t>
        </is>
      </c>
      <c r="N975" t="inlineStr">
        <is>
          <t>Yes</t>
        </is>
      </c>
      <c r="O975" t="inlineStr">
        <is>
          <t>Remanufactured</t>
        </is>
      </c>
      <c r="P975" t="inlineStr">
        <is>
          <t>3</t>
        </is>
      </c>
      <c r="Q975" t="inlineStr">
        <is>
          <t>Blade</t>
        </is>
      </c>
      <c r="R975" t="inlineStr">
        <is>
          <t>Eyelet; Grommet</t>
        </is>
      </c>
      <c r="S975" t="inlineStr">
        <is>
          <t>3.0000</t>
        </is>
      </c>
      <c r="T975" t="inlineStr">
        <is>
          <t>No</t>
        </is>
      </c>
      <c r="U975" t="inlineStr">
        <is>
          <t>1 Year/18,000 Mile</t>
        </is>
      </c>
      <c r="V975" t="inlineStr">
        <is>
          <t>Yes</t>
        </is>
      </c>
      <c r="W975" t="inlineStr">
        <is>
          <t>Available to Order</t>
        </is>
      </c>
      <c r="X975" t="inlineStr">
        <is>
          <t>Kia Sedona 2005-03</t>
        </is>
      </c>
      <c r="Y975" t="inlineStr">
        <is>
          <t>00082617751476</t>
        </is>
      </c>
      <c r="Z975" t="inlineStr">
        <is>
          <t>43-4461::98359:99815:292</t>
        </is>
      </c>
      <c r="AA975" t="inlineStr">
        <is>
          <t>Yes</t>
        </is>
      </c>
      <c r="AB975" t="inlineStr"/>
      <c r="AC975" t="inlineStr"/>
    </row>
    <row r="976">
      <c r="A976" t="inlineStr">
        <is>
          <t>975</t>
        </is>
      </c>
      <c r="B976" t="inlineStr">
        <is>
          <t>Windshield Wiper Motor</t>
        </is>
      </c>
      <c r="C976" t="inlineStr">
        <is>
          <t>43-4462</t>
        </is>
      </c>
      <c r="D976" t="inlineStr">
        <is>
          <t>Windshield Wiper Motor - 43-4462</t>
        </is>
      </c>
      <c r="E976" t="inlineStr">
        <is>
          <t>CARDONE Reman</t>
        </is>
      </c>
      <c r="F976" t="inlineStr">
        <is>
          <t>981102F000;981103K000</t>
        </is>
      </c>
      <c r="G976" t="inlineStr">
        <is>
          <t>Kia Spectra 2005-2009
Kia Spectra5 2005-2009</t>
        </is>
      </c>
      <c r="H976" t="inlineStr">
        <is>
          <t>Kia Spectra 2005-2009 2L L4 1975cc
Kia Spectra5 2005-2009 2L L4 1975cc</t>
        </is>
      </c>
      <c r="I976" t="inlineStr">
        <is>
          <t>{"0": {"productDeskExternalKey": "CPCX|43-4462"}, "1": {"Package Contents": "Wiper Motor; Instruction Sheet"}, "2": {"E-Waste": "Yes"}, "3": {"Product Condition": "Remanufactured"}, "4": {"Mounting Hole Quantity": "2"}, "5": {"Terminal Type": "Blade"}, "6": {"Mounting Type": "Direct Bolt"}, "7": {"Weight PG": "2.7000"}, "8": {"Washer Pump Included": "No"}, "9": {"Part Type": "Windshield Wiper Motor"}, "10": {"Warranty Info": "1 Year/18,000 Mile"}, "11": {"Sustainable Choice": "Yes"}, "12": {"Lifecycle Status": "Available to Order"}, "13": {"Application Summary": "Hyundai Sonata 2010-06; Kia Spectra 2009-05, Spectra5 2009-05"}, "14": {"ItemLevelGTIN": "00082617751483"}, "15": {"_addonCardone": "43-4462::98353:89298:225"}, "16": {"Eligible for R&amp;R Service": "Yes"}}</t>
        </is>
      </c>
      <c r="J976" t="inlineStr">
        <is>
          <t>https://www.cardone.com/product/windshield-wiper-motor-43-4462</t>
        </is>
      </c>
      <c r="K976">
        <f>DISPIMG("ID_D5002DA3C0C94749B5CD295236263D83",1)</f>
        <v/>
      </c>
      <c r="L976" t="inlineStr">
        <is>
          <t>CPCX|43-4462</t>
        </is>
      </c>
      <c r="M976" t="inlineStr">
        <is>
          <t>Wiper Motor; Instruction Sheet</t>
        </is>
      </c>
      <c r="N976" t="inlineStr">
        <is>
          <t>Yes</t>
        </is>
      </c>
      <c r="O976" t="inlineStr">
        <is>
          <t>Remanufactured</t>
        </is>
      </c>
      <c r="P976" t="inlineStr">
        <is>
          <t>2</t>
        </is>
      </c>
      <c r="Q976" t="inlineStr">
        <is>
          <t>Blade</t>
        </is>
      </c>
      <c r="R976" t="inlineStr">
        <is>
          <t>Direct Bolt</t>
        </is>
      </c>
      <c r="S976" t="inlineStr">
        <is>
          <t>2.7000</t>
        </is>
      </c>
      <c r="T976" t="inlineStr">
        <is>
          <t>No</t>
        </is>
      </c>
      <c r="U976" t="inlineStr">
        <is>
          <t>1 Year/18,000 Mile</t>
        </is>
      </c>
      <c r="V976" t="inlineStr">
        <is>
          <t>Yes</t>
        </is>
      </c>
      <c r="W976" t="inlineStr">
        <is>
          <t>Available to Order</t>
        </is>
      </c>
      <c r="X976" t="inlineStr">
        <is>
          <t>Hyundai Sonata 2010-06; Kia Spectra 2009-05, Spectra5 2009-05</t>
        </is>
      </c>
      <c r="Y976" t="inlineStr">
        <is>
          <t>00082617751483</t>
        </is>
      </c>
      <c r="Z976" t="inlineStr">
        <is>
          <t>43-4462::98353:89298:225</t>
        </is>
      </c>
      <c r="AA976" t="inlineStr">
        <is>
          <t>Yes</t>
        </is>
      </c>
      <c r="AB976" t="inlineStr"/>
      <c r="AC976" t="inlineStr"/>
    </row>
    <row r="977">
      <c r="A977" t="inlineStr">
        <is>
          <t>976</t>
        </is>
      </c>
      <c r="B977" t="inlineStr">
        <is>
          <t>Windshield Wiper Motor</t>
        </is>
      </c>
      <c r="C977" t="inlineStr">
        <is>
          <t>43-4463</t>
        </is>
      </c>
      <c r="D977" t="inlineStr">
        <is>
          <t>Windshield Wiper Motor - 43-4463</t>
        </is>
      </c>
      <c r="E977" t="inlineStr">
        <is>
          <t>CARDONE Reman</t>
        </is>
      </c>
      <c r="F977" t="inlineStr">
        <is>
          <t>0K43A6734Y;0K53A6734Y;0K53A673Y</t>
        </is>
      </c>
      <c r="G977" t="inlineStr">
        <is>
          <t>Kia Sedona 2002-2005</t>
        </is>
      </c>
      <c r="H977" t="inlineStr">
        <is>
          <t>Kia Sedona 2002-2005 3.5L V6 3497cc</t>
        </is>
      </c>
      <c r="I977" t="inlineStr">
        <is>
          <t>{"0": {"productDeskExternalKey": "CPCX|43-4463"},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"Kia Sedona 2005-02"}, "14": {"ItemLevelGTIN": "00082617755603"}, "15": {"_addonCardone": "43-4463::98353:89300:225"}, "16": {"Eligible for R&amp;R Service": "Yes"}}</t>
        </is>
      </c>
      <c r="J977" t="inlineStr">
        <is>
          <t>https://www.cardone.com/product/windshield-wiper-motor-43-4463</t>
        </is>
      </c>
      <c r="K977">
        <f>DISPIMG("ID_2C2B0E2EEC644766BCFA3EFB0CE1DA0B",1)</f>
        <v/>
      </c>
      <c r="L977" t="inlineStr">
        <is>
          <t>CPCX|43-4463</t>
        </is>
      </c>
      <c r="M977" t="inlineStr">
        <is>
          <t>Wiper Motor; Instruction Sheet</t>
        </is>
      </c>
      <c r="N977" t="inlineStr">
        <is>
          <t>Yes</t>
        </is>
      </c>
      <c r="O977" t="inlineStr">
        <is>
          <t>Remanufactured</t>
        </is>
      </c>
      <c r="P977" t="inlineStr">
        <is>
          <t>3</t>
        </is>
      </c>
      <c r="Q977" t="inlineStr">
        <is>
          <t>Blade</t>
        </is>
      </c>
      <c r="R977" t="inlineStr">
        <is>
          <t>Direct Bolt</t>
        </is>
      </c>
      <c r="S977" t="inlineStr">
        <is>
          <t>3.0000</t>
        </is>
      </c>
      <c r="T977" t="inlineStr">
        <is>
          <t>No</t>
        </is>
      </c>
      <c r="U977" t="inlineStr">
        <is>
          <t>1 Year/18,000 Mile</t>
        </is>
      </c>
      <c r="V977" t="inlineStr">
        <is>
          <t>Yes</t>
        </is>
      </c>
      <c r="W977" t="inlineStr">
        <is>
          <t>Available to Order</t>
        </is>
      </c>
      <c r="X977" t="inlineStr">
        <is>
          <t>Kia Sedona 2005-02</t>
        </is>
      </c>
      <c r="Y977" t="inlineStr">
        <is>
          <t>00082617755603</t>
        </is>
      </c>
      <c r="Z977" t="inlineStr">
        <is>
          <t>43-4463::98353:89300:225</t>
        </is>
      </c>
      <c r="AA977" t="inlineStr">
        <is>
          <t>Yes</t>
        </is>
      </c>
      <c r="AB977" t="inlineStr"/>
      <c r="AC977" t="inlineStr"/>
    </row>
    <row r="978">
      <c r="A978" t="inlineStr">
        <is>
          <t>977</t>
        </is>
      </c>
      <c r="B978" t="inlineStr">
        <is>
          <t>Windshield Wiper Motor</t>
        </is>
      </c>
      <c r="C978" t="inlineStr">
        <is>
          <t>43-4464</t>
        </is>
      </c>
      <c r="D978" t="inlineStr">
        <is>
          <t>Windshield Wiper Motor - 43-4464</t>
        </is>
      </c>
      <c r="E978" t="inlineStr">
        <is>
          <t>CARDONE Reman</t>
        </is>
      </c>
      <c r="F978" t="inlineStr">
        <is>
          <t>981103E000</t>
        </is>
      </c>
      <c r="G978" t="inlineStr"/>
      <c r="H978" t="inlineStr"/>
      <c r="I978" t="inlineStr">
        <is>
          <t>{"0": {"productDeskExternalKey": "CPCX|43-4464"},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"Kia Sorento 2009-03"}, "14": {"ItemLevelGTIN": "00082617760447"}, "15": {"_addonCardone": "43-4464::98353:89302:225"}, "16": {"Eligible for R&amp;R Service": "Yes"}}</t>
        </is>
      </c>
      <c r="J978" t="inlineStr">
        <is>
          <t>https://www.cardone.com/product/windshield-wiper-motor-43-4464</t>
        </is>
      </c>
      <c r="K978">
        <f>DISPIMG("ID_658E6682FF31451A915BF3EBB040B569",1)</f>
        <v/>
      </c>
      <c r="L978" t="inlineStr">
        <is>
          <t>CPCX|43-4464</t>
        </is>
      </c>
      <c r="M978" t="inlineStr">
        <is>
          <t>Wiper Motor; Instruction Sheet</t>
        </is>
      </c>
      <c r="N978" t="inlineStr">
        <is>
          <t>Yes</t>
        </is>
      </c>
      <c r="O978" t="inlineStr">
        <is>
          <t>Remanufactured</t>
        </is>
      </c>
      <c r="P978" t="inlineStr">
        <is>
          <t>3</t>
        </is>
      </c>
      <c r="Q978" t="inlineStr">
        <is>
          <t>Blade</t>
        </is>
      </c>
      <c r="R978" t="inlineStr">
        <is>
          <t>Direct Bolt</t>
        </is>
      </c>
      <c r="S978" t="inlineStr">
        <is>
          <t>3.0000</t>
        </is>
      </c>
      <c r="T978" t="inlineStr">
        <is>
          <t>No</t>
        </is>
      </c>
      <c r="U978" t="inlineStr">
        <is>
          <t>1 Year/18,000 Mile</t>
        </is>
      </c>
      <c r="V978" t="inlineStr">
        <is>
          <t>Yes</t>
        </is>
      </c>
      <c r="W978" t="inlineStr">
        <is>
          <t>Available to Order</t>
        </is>
      </c>
      <c r="X978" t="inlineStr">
        <is>
          <t>Kia Sorento 2009-03</t>
        </is>
      </c>
      <c r="Y978" t="inlineStr">
        <is>
          <t>00082617760447</t>
        </is>
      </c>
      <c r="Z978" t="inlineStr">
        <is>
          <t>43-4464::98353:89302:225</t>
        </is>
      </c>
      <c r="AA978" t="inlineStr">
        <is>
          <t>Yes</t>
        </is>
      </c>
      <c r="AB978" t="inlineStr"/>
      <c r="AC978" t="inlineStr"/>
    </row>
    <row r="979">
      <c r="A979" t="inlineStr">
        <is>
          <t>978</t>
        </is>
      </c>
      <c r="B979" t="inlineStr">
        <is>
          <t>Windshield Wiper Motor</t>
        </is>
      </c>
      <c r="C979" t="inlineStr">
        <is>
          <t>43-4465</t>
        </is>
      </c>
      <c r="D979" t="inlineStr">
        <is>
          <t>Windshield Wiper Motor - 43-4465</t>
        </is>
      </c>
      <c r="E979" t="inlineStr">
        <is>
          <t>CARDONE Reman</t>
        </is>
      </c>
      <c r="F979" t="inlineStr">
        <is>
          <t>981102M000;981102G000;981101G000;981102B000</t>
        </is>
      </c>
      <c r="G979" t="inlineStr">
        <is>
          <t>Dodge Attitude 2006-2011
Kia Magentis 2007-2010
Kia Optima 2007-2010
Kia Rio 2006-2011
Kia Rio5 2006-2011</t>
        </is>
      </c>
      <c r="H979" t="inlineStr">
        <is>
          <t>Dodge Attitude 2006-2011 1.4L L4 85cid
Dodge Attitude 2006-2011 1.6L L4 98cid
Dodge Attitude 2011 1.6L L4 97cid
Kia Magentis 2007-2010 2.4L L4 2359cc
Kia Magentis 2007-2010 2.7L V6 2656cc
Kia Optima 2007-2010 2.4L L4 2359cc
Kia Optima 2007-2010 2.7L V6 2656cc
Kia Rio 2006-2011 1.6L L4 1599cc
Kia Rio5 2006-2011 1.6L L4 1599cc</t>
        </is>
      </c>
      <c r="I979" t="inlineStr">
        <is>
          <t>{"0": {"productDeskExternalKey": "CPCX|43-4465"},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"Dodge Attitude 2011-06; Hyundai Accent 2011-06, Genesis Coupe 2016-11, Santa Fe 2009-07; Kia Magentis 2010-07, Optima 2010-07, Rio 2011-06, Rio5 2011-06"}, "14": {"ItemLevelGTIN": "00082617779692"}, "15": {"_addonCardone": "43-4465::98353:89304:225"}, "16": {"Eligible for R&amp;R Service": "Yes"}}</t>
        </is>
      </c>
      <c r="J979" t="inlineStr">
        <is>
          <t>https://www.cardone.com/product/windshield-wiper-motor-43-4465</t>
        </is>
      </c>
      <c r="K979">
        <f>DISPIMG("ID_EE8A87878C1646CDA5D105D32B4FD392",1)</f>
        <v/>
      </c>
      <c r="L979" t="inlineStr">
        <is>
          <t>CPCX|43-4465</t>
        </is>
      </c>
      <c r="M979" t="inlineStr">
        <is>
          <t>Wiper Motor; Instruction Sheet</t>
        </is>
      </c>
      <c r="N979" t="inlineStr">
        <is>
          <t>Yes</t>
        </is>
      </c>
      <c r="O979" t="inlineStr">
        <is>
          <t>Remanufactured</t>
        </is>
      </c>
      <c r="P979" t="inlineStr">
        <is>
          <t>3</t>
        </is>
      </c>
      <c r="Q979" t="inlineStr">
        <is>
          <t>Blade</t>
        </is>
      </c>
      <c r="R979" t="inlineStr">
        <is>
          <t>Direct Bolt</t>
        </is>
      </c>
      <c r="S979" t="inlineStr">
        <is>
          <t>3.0000</t>
        </is>
      </c>
      <c r="T979" t="inlineStr">
        <is>
          <t>No</t>
        </is>
      </c>
      <c r="U979" t="inlineStr">
        <is>
          <t>1 Year/18,000 Mile</t>
        </is>
      </c>
      <c r="V979" t="inlineStr">
        <is>
          <t>Yes</t>
        </is>
      </c>
      <c r="W979" t="inlineStr">
        <is>
          <t>Available to Order</t>
        </is>
      </c>
      <c r="X979" t="inlineStr">
        <is>
          <t>Dodge Attitude 2011-06; Hyundai Accent 2011-06, Genesis Coupe 2016-11, Santa Fe 2009-07; Kia Magentis 2010-07, Optima 2010-07, Rio 2011-06, Rio5 2011-06</t>
        </is>
      </c>
      <c r="Y979" t="inlineStr">
        <is>
          <t>00082617779692</t>
        </is>
      </c>
      <c r="Z979" t="inlineStr">
        <is>
          <t>43-4465::98353:89304:225</t>
        </is>
      </c>
      <c r="AA979" t="inlineStr">
        <is>
          <t>Yes</t>
        </is>
      </c>
      <c r="AB979" t="inlineStr"/>
      <c r="AC979" t="inlineStr"/>
    </row>
    <row r="980">
      <c r="A980" t="inlineStr">
        <is>
          <t>979</t>
        </is>
      </c>
      <c r="B980" t="inlineStr">
        <is>
          <t>Windshield Wiper Motor</t>
        </is>
      </c>
      <c r="C980" t="inlineStr">
        <is>
          <t>43-4469</t>
        </is>
      </c>
      <c r="D980" t="inlineStr">
        <is>
          <t>Windshield Wiper Motor - 43-4469</t>
        </is>
      </c>
      <c r="E980" t="inlineStr">
        <is>
          <t>CARDONE Reman</t>
        </is>
      </c>
      <c r="F980" t="inlineStr">
        <is>
          <t>L08267340;LO8267340A;L08267340A;LO8267340</t>
        </is>
      </c>
      <c r="G980" t="inlineStr">
        <is>
          <t>Mazda MPV 2002-2005</t>
        </is>
      </c>
      <c r="H980" t="inlineStr">
        <is>
          <t>Mazda MPV 2002-2005 3L V6 181cid</t>
        </is>
      </c>
      <c r="I980" t="inlineStr">
        <is>
          <t>{"0": {"productDeskExternalKey": "CPCX|43-4469"}, "1": {"E-Waste": "Yes"}, "2": {"Product Condition": "Remanufactured"}, "3": {"Weight PG": "2.7500"}, "4": {"Part Type": "Windshield Wiper Motor"}, "5": {"Warranty Info": "1 Year/18,000 Mile"}, "6": {"Sustainable Choice": "Yes"}, "7": {"Lifecycle Status": "Available to Order"}, "8": {"Application Summary": "Mazda MPV 2005-02"}, "9": {"ItemLevelGTIN": "00082617831864"}, "10": {"_addonCardone": "43-4469::98353:89306:225"}, "11": {"Eligible for R&amp;R Service": "Yes"}}</t>
        </is>
      </c>
      <c r="J980" t="inlineStr">
        <is>
          <t>https://www.cardone.com/product/windshield-wiper-motor-43-4469</t>
        </is>
      </c>
      <c r="K980">
        <f>DISPIMG("ID_8AC01CC1449E4B2197A81847F781A5D4",1)</f>
        <v/>
      </c>
      <c r="L980" t="inlineStr">
        <is>
          <t>CPCX|43-4469</t>
        </is>
      </c>
      <c r="M980" t="inlineStr"/>
      <c r="N980" t="inlineStr">
        <is>
          <t>Yes</t>
        </is>
      </c>
      <c r="O980" t="inlineStr">
        <is>
          <t>Remanufactured</t>
        </is>
      </c>
      <c r="P980" t="inlineStr"/>
      <c r="Q980" t="inlineStr"/>
      <c r="R980" t="inlineStr"/>
      <c r="S980" t="inlineStr">
        <is>
          <t>2.7500</t>
        </is>
      </c>
      <c r="T980" t="inlineStr"/>
      <c r="U980" t="inlineStr">
        <is>
          <t>1 Year/18,000 Mile</t>
        </is>
      </c>
      <c r="V980" t="inlineStr">
        <is>
          <t>Yes</t>
        </is>
      </c>
      <c r="W980" t="inlineStr">
        <is>
          <t>Available to Order</t>
        </is>
      </c>
      <c r="X980" t="inlineStr">
        <is>
          <t>Mazda MPV 2005-02</t>
        </is>
      </c>
      <c r="Y980" t="inlineStr">
        <is>
          <t>00082617831864</t>
        </is>
      </c>
      <c r="Z980" t="inlineStr">
        <is>
          <t>43-4469::98353:89306:225</t>
        </is>
      </c>
      <c r="AA980" t="inlineStr">
        <is>
          <t>Yes</t>
        </is>
      </c>
      <c r="AB980" t="inlineStr"/>
      <c r="AC980" t="inlineStr"/>
    </row>
    <row r="981">
      <c r="A981" t="inlineStr">
        <is>
          <t>980</t>
        </is>
      </c>
      <c r="B981" t="inlineStr">
        <is>
          <t>Windshield Wiper Motor</t>
        </is>
      </c>
      <c r="C981" t="inlineStr">
        <is>
          <t>43-4471</t>
        </is>
      </c>
      <c r="D981" t="inlineStr">
        <is>
          <t>Windshield Wiper Motor - 43-4471</t>
        </is>
      </c>
      <c r="E981" t="inlineStr">
        <is>
          <t>CARDONE Reman</t>
        </is>
      </c>
      <c r="F981" t="inlineStr">
        <is>
          <t>EG2167450C</t>
        </is>
      </c>
      <c r="G981" t="inlineStr">
        <is>
          <t>Mazda CX-7 2007-2012</t>
        </is>
      </c>
      <c r="H981" t="inlineStr">
        <is>
          <t>Mazda CX-7 2007-2012 2.3L L4 2260cc
Mazda CX-7 2010-2012 2.5L L4 152cid</t>
        </is>
      </c>
      <c r="I981" t="inlineStr">
        <is>
          <t>{"0": {"productDeskExternalKey": "CPCX|43-4471"},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"Mazda CX-7 2012-07"}, "14": {"ItemLevelGTIN": "00082617838153"}, "15": {"_addonCardone": "43-4471::98353:89308:225"}, "16": {"Eligible for R&amp;R Service": "Yes"}}</t>
        </is>
      </c>
      <c r="J981" t="inlineStr">
        <is>
          <t>https://www.cardone.com/product/windshield-wiper-motor-43-4471</t>
        </is>
      </c>
      <c r="K981">
        <f>DISPIMG("ID_07DB978C3B3F4EF6AAFCCB36075DB6EB",1)</f>
        <v/>
      </c>
      <c r="L981" t="inlineStr">
        <is>
          <t>CPCX|43-4471</t>
        </is>
      </c>
      <c r="M981" t="inlineStr">
        <is>
          <t>Wiper Motor; Instruction Sheet</t>
        </is>
      </c>
      <c r="N981" t="inlineStr">
        <is>
          <t>Yes</t>
        </is>
      </c>
      <c r="O981" t="inlineStr">
        <is>
          <t>Remanufactured</t>
        </is>
      </c>
      <c r="P981" t="inlineStr">
        <is>
          <t>3</t>
        </is>
      </c>
      <c r="Q981" t="inlineStr">
        <is>
          <t>Blade</t>
        </is>
      </c>
      <c r="R981" t="inlineStr">
        <is>
          <t>Grommet</t>
        </is>
      </c>
      <c r="S981" t="inlineStr">
        <is>
          <t>2.2000</t>
        </is>
      </c>
      <c r="T981" t="inlineStr">
        <is>
          <t>No</t>
        </is>
      </c>
      <c r="U981" t="inlineStr">
        <is>
          <t>1 Year/18,000 Mile</t>
        </is>
      </c>
      <c r="V981" t="inlineStr">
        <is>
          <t>Yes</t>
        </is>
      </c>
      <c r="W981" t="inlineStr">
        <is>
          <t>Available to Order</t>
        </is>
      </c>
      <c r="X981" t="inlineStr">
        <is>
          <t>Mazda CX-7 2012-07</t>
        </is>
      </c>
      <c r="Y981" t="inlineStr">
        <is>
          <t>00082617838153</t>
        </is>
      </c>
      <c r="Z981" t="inlineStr">
        <is>
          <t>43-4471::98353:89308:225</t>
        </is>
      </c>
      <c r="AA981" t="inlineStr">
        <is>
          <t>Yes</t>
        </is>
      </c>
      <c r="AB981" t="inlineStr"/>
      <c r="AC981" t="inlineStr"/>
    </row>
    <row r="982">
      <c r="A982" t="inlineStr">
        <is>
          <t>981</t>
        </is>
      </c>
      <c r="B982" t="inlineStr">
        <is>
          <t>Windshield Wiper Motor</t>
        </is>
      </c>
      <c r="C982" t="inlineStr">
        <is>
          <t>43-4473</t>
        </is>
      </c>
      <c r="D982" t="inlineStr">
        <is>
          <t>Windshield Wiper Motor - 43-4473</t>
        </is>
      </c>
      <c r="E982" t="inlineStr">
        <is>
          <t>CARDONE Reman</t>
        </is>
      </c>
      <c r="F982" t="inlineStr">
        <is>
          <t>GM9A67450B</t>
        </is>
      </c>
      <c r="G982" t="inlineStr"/>
      <c r="H982" t="inlineStr"/>
      <c r="I982" t="inlineStr">
        <is>
          <t>{"0": {"productDeskExternalKey": "CPCX|43-4473"}, "1": {"Package Contents": "Wiper Motor; Instruction Sheet"}, "2": {"E-Waste": "Yes"}, "3": {"Product Condition": "Remanufactured"}, "4": {"Mounting Hole Quantity": "3"}, "5": {"Terminal Type": "Blade"}, "6": {"Mounting Type": "Grommet"}, "7": {"Weight PG": "1.8000"}, "8": {"Washer Pump Included": "No"}, "9": {"Part Type": "Windshield Wiper Motor"}, "10": {"Warranty Info": "1 Year/18,000 Mile"}, "11": {"Sustainable Choice": "Yes"}, "12": {"Lifecycle Status": "Available to Order"}, "13": {"Application Summary": "Mazda 6 2008-04"}, "14": {"ItemLevelGTIN": "00082617838399"}, "15": {"_addonCardone": "43-4473::98353:89310:225"}, "16": {"Eligible for R&amp;R Service": "Yes"}}</t>
        </is>
      </c>
      <c r="J982" t="inlineStr">
        <is>
          <t>https://www.cardone.com/product/windshield-wiper-motor-43-4473</t>
        </is>
      </c>
      <c r="K982">
        <f>DISPIMG("ID_5C0A4B22C1C74095907CE03D88CFBC8E",1)</f>
        <v/>
      </c>
      <c r="L982" t="inlineStr">
        <is>
          <t>CPCX|43-4473</t>
        </is>
      </c>
      <c r="M982" t="inlineStr">
        <is>
          <t>Wiper Motor; Instruction Sheet</t>
        </is>
      </c>
      <c r="N982" t="inlineStr">
        <is>
          <t>Yes</t>
        </is>
      </c>
      <c r="O982" t="inlineStr">
        <is>
          <t>Remanufactured</t>
        </is>
      </c>
      <c r="P982" t="inlineStr">
        <is>
          <t>3</t>
        </is>
      </c>
      <c r="Q982" t="inlineStr">
        <is>
          <t>Blade</t>
        </is>
      </c>
      <c r="R982" t="inlineStr">
        <is>
          <t>Grommet</t>
        </is>
      </c>
      <c r="S982" t="inlineStr">
        <is>
          <t>1.8000</t>
        </is>
      </c>
      <c r="T982" t="inlineStr">
        <is>
          <t>No</t>
        </is>
      </c>
      <c r="U982" t="inlineStr">
        <is>
          <t>1 Year/18,000 Mile</t>
        </is>
      </c>
      <c r="V982" t="inlineStr">
        <is>
          <t>Yes</t>
        </is>
      </c>
      <c r="W982" t="inlineStr">
        <is>
          <t>Available to Order</t>
        </is>
      </c>
      <c r="X982" t="inlineStr">
        <is>
          <t>Mazda 6 2008-04</t>
        </is>
      </c>
      <c r="Y982" t="inlineStr">
        <is>
          <t>00082617838399</t>
        </is>
      </c>
      <c r="Z982" t="inlineStr">
        <is>
          <t>43-4473::98353:89310:225</t>
        </is>
      </c>
      <c r="AA982" t="inlineStr">
        <is>
          <t>Yes</t>
        </is>
      </c>
      <c r="AB982" t="inlineStr"/>
      <c r="AC982" t="inlineStr"/>
    </row>
    <row r="983">
      <c r="A983" t="inlineStr">
        <is>
          <t>982</t>
        </is>
      </c>
      <c r="B983" t="inlineStr">
        <is>
          <t>Windshield Wiper Motor</t>
        </is>
      </c>
      <c r="C983" t="inlineStr">
        <is>
          <t>43-4475</t>
        </is>
      </c>
      <c r="D983" t="inlineStr">
        <is>
          <t>Windshield Wiper Motor - 43-4475</t>
        </is>
      </c>
      <c r="E983" t="inlineStr">
        <is>
          <t>CARDONE Reman</t>
        </is>
      </c>
      <c r="F983" t="inlineStr">
        <is>
          <t>C23567450</t>
        </is>
      </c>
      <c r="G983" t="inlineStr"/>
      <c r="H983" t="inlineStr"/>
      <c r="I983" t="inlineStr">
        <is>
          <t>{"0": {"productDeskExternalKey": "CPCX|43-4475"}, "1": {"Package Contents": "Wiper Motor; Instruction Sheet"}, "2": {"E-Waste": "Yes"}, "3": {"Product Condition": "Remanufactured"}, "4": {"Mounting Hole Quantity": "2"}, "5": {"Terminal Type": "Blade"}, "6": {"Mounting Type": "Eyelet"}, "7": {"Weight PG": "1.8500"}, "8": {"Washer Pump Included": "No"}, "9": {"Part Type": "Windshield Wiper Motor"}, "10": {"Warranty Info": "1 Year/18,000 Mile"}, "11": {"Sustainable Choice": "Yes"}, "12": {"Lifecycle Status": "Available to Order"}, "13": {"Application Summary": "Mazda 5 2010-06"}, "14": {"ItemLevelGTIN": "00082617838733"}, "15": {"_addonCardone": "43-4475::98353:89312:225"}, "16": {"Eligible for R&amp;R Service": "Yes"}}</t>
        </is>
      </c>
      <c r="J983" t="inlineStr">
        <is>
          <t>https://www.cardone.com/product/windshield-wiper-motor-43-4475</t>
        </is>
      </c>
      <c r="K983">
        <f>DISPIMG("ID_11BE095D9C1F41039819C7F00EEA7E86",1)</f>
        <v/>
      </c>
      <c r="L983" t="inlineStr">
        <is>
          <t>CPCX|43-4475</t>
        </is>
      </c>
      <c r="M983" t="inlineStr">
        <is>
          <t>Wiper Motor; Instruction Sheet</t>
        </is>
      </c>
      <c r="N983" t="inlineStr">
        <is>
          <t>Yes</t>
        </is>
      </c>
      <c r="O983" t="inlineStr">
        <is>
          <t>Remanufactured</t>
        </is>
      </c>
      <c r="P983" t="inlineStr">
        <is>
          <t>2</t>
        </is>
      </c>
      <c r="Q983" t="inlineStr">
        <is>
          <t>Blade</t>
        </is>
      </c>
      <c r="R983" t="inlineStr">
        <is>
          <t>Eyelet</t>
        </is>
      </c>
      <c r="S983" t="inlineStr">
        <is>
          <t>1.8500</t>
        </is>
      </c>
      <c r="T983" t="inlineStr">
        <is>
          <t>No</t>
        </is>
      </c>
      <c r="U983" t="inlineStr">
        <is>
          <t>1 Year/18,000 Mile</t>
        </is>
      </c>
      <c r="V983" t="inlineStr">
        <is>
          <t>Yes</t>
        </is>
      </c>
      <c r="W983" t="inlineStr">
        <is>
          <t>Available to Order</t>
        </is>
      </c>
      <c r="X983" t="inlineStr">
        <is>
          <t>Mazda 5 2010-06</t>
        </is>
      </c>
      <c r="Y983" t="inlineStr">
        <is>
          <t>00082617838733</t>
        </is>
      </c>
      <c r="Z983" t="inlineStr">
        <is>
          <t>43-4475::98353:89312:225</t>
        </is>
      </c>
      <c r="AA983" t="inlineStr">
        <is>
          <t>Yes</t>
        </is>
      </c>
      <c r="AB983" t="inlineStr"/>
      <c r="AC983" t="inlineStr"/>
    </row>
    <row r="984">
      <c r="A984" t="inlineStr">
        <is>
          <t>983</t>
        </is>
      </c>
      <c r="B984" t="inlineStr">
        <is>
          <t>Windshield Wiper Motor</t>
        </is>
      </c>
      <c r="C984" t="inlineStr">
        <is>
          <t>43-4476</t>
        </is>
      </c>
      <c r="D984" t="inlineStr">
        <is>
          <t>Windshield Wiper Motor - 43-4476</t>
        </is>
      </c>
      <c r="E984" t="inlineStr">
        <is>
          <t>CARDONE Reman</t>
        </is>
      </c>
      <c r="F984" t="inlineStr">
        <is>
          <t>GM9E67450</t>
        </is>
      </c>
      <c r="G984" t="inlineStr"/>
      <c r="H984" t="inlineStr"/>
      <c r="I984" t="inlineStr">
        <is>
          <t>{"0": {"productDeskExternalKey": "CPCX|43-4476"},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"Mazda 6 2007-04"}, "14": {"ItemLevelGTIN": "00082617860857"}, "15": {"_addonCardone": "43-4476::98353:89314:225"}, "16": {"Eligible for R&amp;R Service": "Yes"}}</t>
        </is>
      </c>
      <c r="J984" t="inlineStr">
        <is>
          <t>https://www.cardone.com/product/windshield-wiper-motor-43-4476</t>
        </is>
      </c>
      <c r="K984">
        <f>DISPIMG("ID_90027E9F431443398490B419BF803D99",1)</f>
        <v/>
      </c>
      <c r="L984" t="inlineStr">
        <is>
          <t>CPCX|43-4476</t>
        </is>
      </c>
      <c r="M984" t="inlineStr">
        <is>
          <t>Wiper Motor; Instruction Sheet</t>
        </is>
      </c>
      <c r="N984" t="inlineStr">
        <is>
          <t>Yes</t>
        </is>
      </c>
      <c r="O984" t="inlineStr">
        <is>
          <t>Remanufactured</t>
        </is>
      </c>
      <c r="P984" t="inlineStr">
        <is>
          <t>3</t>
        </is>
      </c>
      <c r="Q984" t="inlineStr">
        <is>
          <t>Blade</t>
        </is>
      </c>
      <c r="R984" t="inlineStr">
        <is>
          <t>Grommet</t>
        </is>
      </c>
      <c r="S984" t="inlineStr">
        <is>
          <t>2.5000</t>
        </is>
      </c>
      <c r="T984" t="inlineStr">
        <is>
          <t>No</t>
        </is>
      </c>
      <c r="U984" t="inlineStr">
        <is>
          <t>1 Year/18,000 Mile</t>
        </is>
      </c>
      <c r="V984" t="inlineStr">
        <is>
          <t>Yes</t>
        </is>
      </c>
      <c r="W984" t="inlineStr">
        <is>
          <t>Available to Order</t>
        </is>
      </c>
      <c r="X984" t="inlineStr">
        <is>
          <t>Mazda 6 2007-04</t>
        </is>
      </c>
      <c r="Y984" t="inlineStr">
        <is>
          <t>00082617860857</t>
        </is>
      </c>
      <c r="Z984" t="inlineStr">
        <is>
          <t>43-4476::98353:89314:225</t>
        </is>
      </c>
      <c r="AA984" t="inlineStr">
        <is>
          <t>Yes</t>
        </is>
      </c>
      <c r="AB984" t="inlineStr"/>
      <c r="AC984" t="inlineStr"/>
    </row>
    <row r="985">
      <c r="A985" t="inlineStr">
        <is>
          <t>984</t>
        </is>
      </c>
      <c r="B985" t="inlineStr">
        <is>
          <t>Windshield Wiper Motor</t>
        </is>
      </c>
      <c r="C985" t="inlineStr">
        <is>
          <t>43-4481</t>
        </is>
      </c>
      <c r="D985" t="inlineStr">
        <is>
          <t>Windshield Wiper Motor - 43-4481</t>
        </is>
      </c>
      <c r="E985" t="inlineStr">
        <is>
          <t>CARDONE Reman</t>
        </is>
      </c>
      <c r="F985" t="inlineStr">
        <is>
          <t>GP7A67340A;851100T010;981101U000;8511006120;GP7A67340</t>
        </is>
      </c>
      <c r="G985" t="inlineStr">
        <is>
          <t>Hyundai Sonata 2013-2015
Toyota Avalon 2013-2014
Toyota Camry 2012-2016
Toyota Venza 2009-2015</t>
        </is>
      </c>
      <c r="H985" t="inlineStr">
        <is>
          <t>Hyundai Sonata 2013-2014 2.4L L4 2359cc
Hyundai Sonata 2013-2014 2L L4 122cid
Hyundai Sonata 2015 1.6L L4 97cid
Toyota Avalon 2013-2014 2.5L L4 152cid
Toyota Avalon 2013-2014 3.5L V6 3456cc
Toyota Camry 2012-2016 2.5L L4 152cid
Toyota Camry 2012-2016 3.5L V6 3456cc
Toyota Venza 2009-2015 2.7L L4 163cid
Toyota Venza 2009-2015 3.5L V6 3456cc</t>
        </is>
      </c>
      <c r="I985" t="inlineStr">
        <is>
          <t>{"0": {"productDeskExternalKey": "CPCX|43-4481"}, "1": {"Package Contents": "Wiper Motor; Instruction Sheet"}, "2": {"E-Waste": "Yes"}, "3": {"Product Condition": "Remanufactured"}, "4": {"Mounting Hole Quantity": "2"}, "5": {"Terminal Type": "Blade"}, "6": {"Mounting Type": "Direct Bolt"}, "7": {"Weight PG": "2.7000"}, "8": {"Washer Pump Included": "No"}, "9": {"Part Type": "Windshield Wiper Motor"}, "10": {"Warranty Info": "1 Year/18,000 Mile"}, "11": {"Sustainable Choice": "Yes"}, "12": {"Lifecycle Status": "Available to Order"}, "13": {"Application Summary": "Hyundai Sonata 2015-11; Kia Sorento 2015-11; Mazda 6 2008-06; Toyota Avalon 2014-13, Camry 2016-12, Venza 2015-09"}, "14": {"ItemLevelGTIN": "00082617867467"}, "15": {"_addonCardone": "43-4481::98353:89316:225"}, "16": {"Eligible for R&amp;R Service": "Yes"}}</t>
        </is>
      </c>
      <c r="J985" t="inlineStr">
        <is>
          <t>https://www.cardone.com/product/windshield-wiper-motor-43-4481</t>
        </is>
      </c>
      <c r="K985">
        <f>DISPIMG("ID_BE0F69A8DC7E43CBB97A8382F77C9034",1)</f>
        <v/>
      </c>
      <c r="L985" t="inlineStr">
        <is>
          <t>CPCX|43-4481</t>
        </is>
      </c>
      <c r="M985" t="inlineStr">
        <is>
          <t>Wiper Motor; Instruction Sheet</t>
        </is>
      </c>
      <c r="N985" t="inlineStr">
        <is>
          <t>Yes</t>
        </is>
      </c>
      <c r="O985" t="inlineStr">
        <is>
          <t>Remanufactured</t>
        </is>
      </c>
      <c r="P985" t="inlineStr">
        <is>
          <t>2</t>
        </is>
      </c>
      <c r="Q985" t="inlineStr">
        <is>
          <t>Blade</t>
        </is>
      </c>
      <c r="R985" t="inlineStr">
        <is>
          <t>Direct Bolt</t>
        </is>
      </c>
      <c r="S985" t="inlineStr">
        <is>
          <t>2.7000</t>
        </is>
      </c>
      <c r="T985" t="inlineStr">
        <is>
          <t>No</t>
        </is>
      </c>
      <c r="U985" t="inlineStr">
        <is>
          <t>1 Year/18,000 Mile</t>
        </is>
      </c>
      <c r="V985" t="inlineStr">
        <is>
          <t>Yes</t>
        </is>
      </c>
      <c r="W985" t="inlineStr">
        <is>
          <t>Available to Order</t>
        </is>
      </c>
      <c r="X985" t="inlineStr">
        <is>
          <t>Hyundai Sonata 2015-11; Kia Sorento 2015-11; Mazda 6 2008-06; Toyota Avalon 2014-13, Camry 2016-12, Venza 2015-09</t>
        </is>
      </c>
      <c r="Y985" t="inlineStr">
        <is>
          <t>00082617867467</t>
        </is>
      </c>
      <c r="Z985" t="inlineStr">
        <is>
          <t>43-4481::98353:89316:225</t>
        </is>
      </c>
      <c r="AA985" t="inlineStr">
        <is>
          <t>Yes</t>
        </is>
      </c>
      <c r="AB985" t="inlineStr"/>
      <c r="AC985" t="inlineStr"/>
    </row>
    <row r="986">
      <c r="A986" t="inlineStr">
        <is>
          <t>985</t>
        </is>
      </c>
      <c r="B986" t="inlineStr">
        <is>
          <t>Windshield Wiper Motor</t>
        </is>
      </c>
      <c r="C986" t="inlineStr">
        <is>
          <t>43-4484</t>
        </is>
      </c>
      <c r="D986" t="inlineStr">
        <is>
          <t>Windshield Wiper Motor - 43-4484</t>
        </is>
      </c>
      <c r="E986" t="inlineStr">
        <is>
          <t>CARDONE Reman</t>
        </is>
      </c>
      <c r="F986" t="inlineStr">
        <is>
          <t>DF9567340B</t>
        </is>
      </c>
      <c r="G986" t="inlineStr">
        <is>
          <t>Mazda 2 2011-2014</t>
        </is>
      </c>
      <c r="H986" t="inlineStr">
        <is>
          <t>Mazda 2 2011-2014 1.5L L4 91cid</t>
        </is>
      </c>
      <c r="I986" t="inlineStr">
        <is>
          <t>{"0": {"productDeskExternalKey": "CPCX|43-4484"}, "1": {"E-Waste": "Yes"}, "2": {"Product Condition": "Remanufactured"}, "3": {"Weight PG": "3.0000"}, "4": {"Part Type": "Windshield Wiper Motor"}, "5": {"Warranty Info": "1 Year/18,000 Mile"}, "6": {"Sustainable Choice": "Yes"}, "7": {"Lifecycle Status": "Available to Order"}, "8": {"Application Summary": "Mazda 2 2014-11"}, "9": {"ItemLevelGTIN": "00884548028678"}, "10": {"_addonCardone": "43-4484::98353:89318:225"}, "11": {"Eligible for R&amp;R Service": "Yes"}}</t>
        </is>
      </c>
      <c r="J986" t="inlineStr">
        <is>
          <t>https://www.cardone.com/product/windshield-wiper-motor-43-4484</t>
        </is>
      </c>
      <c r="K986">
        <f>DISPIMG("ID_42C68641995445C6AB24BB18D690BE02",1)</f>
        <v/>
      </c>
      <c r="L986" t="inlineStr">
        <is>
          <t>CPCX|43-4484</t>
        </is>
      </c>
      <c r="M986" t="inlineStr"/>
      <c r="N986" t="inlineStr">
        <is>
          <t>Yes</t>
        </is>
      </c>
      <c r="O986" t="inlineStr">
        <is>
          <t>Remanufactured</t>
        </is>
      </c>
      <c r="P986" t="inlineStr"/>
      <c r="Q986" t="inlineStr"/>
      <c r="R986" t="inlineStr"/>
      <c r="S986" t="inlineStr">
        <is>
          <t>3.0000</t>
        </is>
      </c>
      <c r="T986" t="inlineStr"/>
      <c r="U986" t="inlineStr">
        <is>
          <t>1 Year/18,000 Mile</t>
        </is>
      </c>
      <c r="V986" t="inlineStr">
        <is>
          <t>Yes</t>
        </is>
      </c>
      <c r="W986" t="inlineStr">
        <is>
          <t>Available to Order</t>
        </is>
      </c>
      <c r="X986" t="inlineStr">
        <is>
          <t>Mazda 2 2014-11</t>
        </is>
      </c>
      <c r="Y986" t="inlineStr">
        <is>
          <t>00884548028678</t>
        </is>
      </c>
      <c r="Z986" t="inlineStr">
        <is>
          <t>43-4484::98353:89318:225</t>
        </is>
      </c>
      <c r="AA986" t="inlineStr">
        <is>
          <t>Yes</t>
        </is>
      </c>
      <c r="AB986" t="inlineStr"/>
      <c r="AC986" t="inlineStr"/>
    </row>
    <row r="987">
      <c r="A987" t="inlineStr">
        <is>
          <t>986</t>
        </is>
      </c>
      <c r="B987" t="inlineStr">
        <is>
          <t>Windshield Wiper Motor</t>
        </is>
      </c>
      <c r="C987" t="inlineStr">
        <is>
          <t>43-4485</t>
        </is>
      </c>
      <c r="D987" t="inlineStr">
        <is>
          <t>Windshield Wiper Motor - 43-4485</t>
        </is>
      </c>
      <c r="E987" t="inlineStr">
        <is>
          <t>CARDONE Reman</t>
        </is>
      </c>
      <c r="F987" t="inlineStr">
        <is>
          <t>D65167450</t>
        </is>
      </c>
      <c r="G987" t="inlineStr">
        <is>
          <t>Mazda 2 2011-2012</t>
        </is>
      </c>
      <c r="H987" t="inlineStr">
        <is>
          <t>Mazda 2 2011-2012 1.5L L4 91cid</t>
        </is>
      </c>
      <c r="I987" t="inlineStr">
        <is>
          <t>{"0": {"productDeskExternalKey": "CPCX|43-4485"}, "1": {"E-Waste": "Yes"}, "2": {"Product Condition": "Remanufactured"}, "3": {"Weight PG": "3.0000"}, "4": {"Part Type": "Windshield Wiper Motor"}, "5": {"Warranty Info": "1 Year/18,000 Mile"}, "6": {"Sustainable Choice": "Yes"}, "7": {"Lifecycle Status": "Available to Order"}, "8": {"Application Summary": "Mazda 2 2012-11"}, "9": {"ItemLevelGTIN": "00884548028685"}, "10": {"_addonCardone": "43-4485::98353:89320:225"}, "11": {"Eligible for R&amp;R Service": "Yes"}}</t>
        </is>
      </c>
      <c r="J987" t="inlineStr">
        <is>
          <t>https://www.cardone.com/product/windshield-wiper-motor-43-4485</t>
        </is>
      </c>
      <c r="K987">
        <f>DISPIMG("ID_D6D96201FB9B4313B8DEC0AA64872A63",1)</f>
        <v/>
      </c>
      <c r="L987" t="inlineStr">
        <is>
          <t>CPCX|43-4485</t>
        </is>
      </c>
      <c r="M987" t="inlineStr"/>
      <c r="N987" t="inlineStr">
        <is>
          <t>Yes</t>
        </is>
      </c>
      <c r="O987" t="inlineStr">
        <is>
          <t>Remanufactured</t>
        </is>
      </c>
      <c r="P987" t="inlineStr"/>
      <c r="Q987" t="inlineStr"/>
      <c r="R987" t="inlineStr"/>
      <c r="S987" t="inlineStr">
        <is>
          <t>3.0000</t>
        </is>
      </c>
      <c r="T987" t="inlineStr"/>
      <c r="U987" t="inlineStr">
        <is>
          <t>1 Year/18,000 Mile</t>
        </is>
      </c>
      <c r="V987" t="inlineStr">
        <is>
          <t>Yes</t>
        </is>
      </c>
      <c r="W987" t="inlineStr">
        <is>
          <t>Available to Order</t>
        </is>
      </c>
      <c r="X987" t="inlineStr">
        <is>
          <t>Mazda 2 2012-11</t>
        </is>
      </c>
      <c r="Y987" t="inlineStr">
        <is>
          <t>00884548028685</t>
        </is>
      </c>
      <c r="Z987" t="inlineStr">
        <is>
          <t>43-4485::98353:89320:225</t>
        </is>
      </c>
      <c r="AA987" t="inlineStr">
        <is>
          <t>Yes</t>
        </is>
      </c>
      <c r="AB987" t="inlineStr"/>
      <c r="AC987" t="inlineStr"/>
    </row>
    <row r="988">
      <c r="A988" t="inlineStr">
        <is>
          <t>987</t>
        </is>
      </c>
      <c r="B988" t="inlineStr">
        <is>
          <t>Windshield Wiper Motor</t>
        </is>
      </c>
      <c r="C988" t="inlineStr">
        <is>
          <t>43-4488</t>
        </is>
      </c>
      <c r="D988" t="inlineStr">
        <is>
          <t>Windshield Wiper Motor - 43-4488</t>
        </is>
      </c>
      <c r="E988" t="inlineStr">
        <is>
          <t>CARDONE Reman</t>
        </is>
      </c>
      <c r="F988" t="inlineStr">
        <is>
          <t>BBM467340</t>
        </is>
      </c>
      <c r="G988" t="inlineStr"/>
      <c r="H988" t="inlineStr"/>
      <c r="I988" t="inlineStr">
        <is>
          <t>{"0": {"productDeskExternalKey": "CPCX|43-4488"},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"Mazda 3 2013-10, 3 Sport 2013-10"}, "14": {"ItemLevelGTIN": "00884548068063"}, "15": {"_addonCardone": "43-4488::98353:89322:225"}, "16": {"Eligible for R&amp;R Service": "Yes"}}</t>
        </is>
      </c>
      <c r="J988" t="inlineStr">
        <is>
          <t>https://www.cardone.com/product/windshield-wiper-motor-43-4488</t>
        </is>
      </c>
      <c r="K988">
        <f>DISPIMG("ID_55A637012E314EC3B186FB750603DC9D",1)</f>
        <v/>
      </c>
      <c r="L988" t="inlineStr">
        <is>
          <t>CPCX|43-4488</t>
        </is>
      </c>
      <c r="M988" t="inlineStr">
        <is>
          <t>Wiper Motor; Instruction Sheet</t>
        </is>
      </c>
      <c r="N988" t="inlineStr">
        <is>
          <t>Yes</t>
        </is>
      </c>
      <c r="O988" t="inlineStr">
        <is>
          <t>Remanufactured</t>
        </is>
      </c>
      <c r="P988" t="inlineStr">
        <is>
          <t>3</t>
        </is>
      </c>
      <c r="Q988" t="inlineStr">
        <is>
          <t>Blade</t>
        </is>
      </c>
      <c r="R988" t="inlineStr">
        <is>
          <t>Direct Bolt</t>
        </is>
      </c>
      <c r="S988" t="inlineStr">
        <is>
          <t>3.0000</t>
        </is>
      </c>
      <c r="T988" t="inlineStr">
        <is>
          <t>No</t>
        </is>
      </c>
      <c r="U988" t="inlineStr">
        <is>
          <t>1 Year/18,000 Mile</t>
        </is>
      </c>
      <c r="V988" t="inlineStr">
        <is>
          <t>Yes</t>
        </is>
      </c>
      <c r="W988" t="inlineStr">
        <is>
          <t>Available to Order</t>
        </is>
      </c>
      <c r="X988" t="inlineStr">
        <is>
          <t>Mazda 3 2013-10, 3 Sport 2013-10</t>
        </is>
      </c>
      <c r="Y988" t="inlineStr">
        <is>
          <t>00884548068063</t>
        </is>
      </c>
      <c r="Z988" t="inlineStr">
        <is>
          <t>43-4488::98353:89322:225</t>
        </is>
      </c>
      <c r="AA988" t="inlineStr">
        <is>
          <t>Yes</t>
        </is>
      </c>
      <c r="AB988" t="inlineStr"/>
      <c r="AC988" t="inlineStr"/>
    </row>
    <row r="989">
      <c r="A989" t="inlineStr">
        <is>
          <t>988</t>
        </is>
      </c>
      <c r="B989" t="inlineStr">
        <is>
          <t>Windshield Wiper Motor</t>
        </is>
      </c>
      <c r="C989" t="inlineStr">
        <is>
          <t>43-4489</t>
        </is>
      </c>
      <c r="D989" t="inlineStr">
        <is>
          <t>Windshield Wiper Motor - 43-4489</t>
        </is>
      </c>
      <c r="E989" t="inlineStr">
        <is>
          <t>CARDONE Reman</t>
        </is>
      </c>
      <c r="F989" t="inlineStr">
        <is>
          <t>BBN967450</t>
        </is>
      </c>
      <c r="G989" t="inlineStr"/>
      <c r="H989" t="inlineStr"/>
      <c r="I989" t="inlineStr">
        <is>
          <t>{"0": {"productDeskExternalKey": "CPCX|43-4489"}, "1": {"Package Contents": "Wiper Motor; Instruction Sheet"}, "2": {"E-Waste": "Yes"}, "3": {"Product Condition": "Remanufactured"}, "4": {"Mounting Hole Quantity": "3"}, "5": {"Terminal Type": "Blade"}, "6": {"Mounting Type": "Grommet"}, "7": {"Weight PG": "1.7000"}, "8": {"Washer Pump Included": "No"}, "9": {"Part Type": "Windshield Wiper Motor"}, "10": {"Warranty Info": "1 Year/18,000 Mile"}, "11": {"Sustainable Choice": "Yes"}, "12": {"Lifecycle Status": "Available to Order"}, "13": {"Application Summary": "Mazda 3 2013-10, 3 Sport 2013-10"}, "14": {"ItemLevelGTIN": "00884548068070"}, "15": {"_addonCardone": "43-4489::98353:89324:225"}, "16": {"Eligible for R&amp;R Service": "Yes"}}</t>
        </is>
      </c>
      <c r="J989" t="inlineStr">
        <is>
          <t>https://www.cardone.com/product/windshield-wiper-motor-43-4489</t>
        </is>
      </c>
      <c r="K989">
        <f>DISPIMG("ID_754D398D7CA04A39AD84F173190A3609",1)</f>
        <v/>
      </c>
      <c r="L989" t="inlineStr">
        <is>
          <t>CPCX|43-4489</t>
        </is>
      </c>
      <c r="M989" t="inlineStr">
        <is>
          <t>Wiper Motor; Instruction Sheet</t>
        </is>
      </c>
      <c r="N989" t="inlineStr">
        <is>
          <t>Yes</t>
        </is>
      </c>
      <c r="O989" t="inlineStr">
        <is>
          <t>Remanufactured</t>
        </is>
      </c>
      <c r="P989" t="inlineStr">
        <is>
          <t>3</t>
        </is>
      </c>
      <c r="Q989" t="inlineStr">
        <is>
          <t>Blade</t>
        </is>
      </c>
      <c r="R989" t="inlineStr">
        <is>
          <t>Grommet</t>
        </is>
      </c>
      <c r="S989" t="inlineStr">
        <is>
          <t>1.7000</t>
        </is>
      </c>
      <c r="T989" t="inlineStr">
        <is>
          <t>No</t>
        </is>
      </c>
      <c r="U989" t="inlineStr">
        <is>
          <t>1 Year/18,000 Mile</t>
        </is>
      </c>
      <c r="V989" t="inlineStr">
        <is>
          <t>Yes</t>
        </is>
      </c>
      <c r="W989" t="inlineStr">
        <is>
          <t>Available to Order</t>
        </is>
      </c>
      <c r="X989" t="inlineStr">
        <is>
          <t>Mazda 3 2013-10, 3 Sport 2013-10</t>
        </is>
      </c>
      <c r="Y989" t="inlineStr">
        <is>
          <t>00884548068070</t>
        </is>
      </c>
      <c r="Z989" t="inlineStr">
        <is>
          <t>43-4489::98353:89324:225</t>
        </is>
      </c>
      <c r="AA989" t="inlineStr">
        <is>
          <t>Yes</t>
        </is>
      </c>
      <c r="AB989" t="inlineStr"/>
      <c r="AC989" t="inlineStr"/>
    </row>
    <row r="990">
      <c r="A990" t="inlineStr">
        <is>
          <t>989</t>
        </is>
      </c>
      <c r="B990" t="inlineStr">
        <is>
          <t>Windshield Wiper Motor</t>
        </is>
      </c>
      <c r="C990" t="inlineStr">
        <is>
          <t>43-4490</t>
        </is>
      </c>
      <c r="D990" t="inlineStr">
        <is>
          <t>Windshield Wiper Motor - 43-4490</t>
        </is>
      </c>
      <c r="E990" t="inlineStr">
        <is>
          <t>CARDONE Reman</t>
        </is>
      </c>
      <c r="F990" t="inlineStr">
        <is>
          <t>BHS267340A;BJS767340</t>
        </is>
      </c>
      <c r="G990" t="inlineStr"/>
      <c r="H990" t="inlineStr"/>
      <c r="I990" t="inlineStr">
        <is>
          <t>{"0": {"productDeskExternalKey": "CPCX|43-4490"}, "1": {"Package Contents": "Wiper Motor; Instruction Sheet"}, "2": {"E-Waste": "Yes"}, "3": {"Product Condition": "Remanufactured"}, "4": {"Mounting Hole Quantity": "3"}, "5": {"Terminal Type": "Blade"}, "6": {"Mounting Type": "Grommet; Through Hole"}, "7": {"Weight PG": "2.5000"}, "8": {"Washer Pump Included": "No"}, "9": {"Part Type": "Windshield Wiper Motor"}, "10": {"Warranty Info": "1 Year/18,000 Mile"}, "11": {"Sustainable Choice": "Yes"}, "12": {"Lifecycle Status": "Available to Order"}, "13": {"Application Summary": "Mazda 3 2018-14, 3 Sport 2018-14"}, "14": {"ItemLevelGTIN": "00884548197756"}, "15": {"_addonCardone": "43-4490::98353:89326:225"}, "16": {"Eligible for R&amp;R Service": "Yes"}}</t>
        </is>
      </c>
      <c r="J990" t="inlineStr">
        <is>
          <t>https://www.cardone.com/product/windshield-wiper-motor-43-4490</t>
        </is>
      </c>
      <c r="K990">
        <f>DISPIMG("ID_2E0533323D614393B7A2D58BD603ED73",1)</f>
        <v/>
      </c>
      <c r="L990" t="inlineStr">
        <is>
          <t>CPCX|43-4490</t>
        </is>
      </c>
      <c r="M990" t="inlineStr">
        <is>
          <t>Wiper Motor; Instruction Sheet</t>
        </is>
      </c>
      <c r="N990" t="inlineStr">
        <is>
          <t>Yes</t>
        </is>
      </c>
      <c r="O990" t="inlineStr">
        <is>
          <t>Remanufactured</t>
        </is>
      </c>
      <c r="P990" t="inlineStr">
        <is>
          <t>3</t>
        </is>
      </c>
      <c r="Q990" t="inlineStr">
        <is>
          <t>Blade</t>
        </is>
      </c>
      <c r="R990" t="inlineStr">
        <is>
          <t>Grommet; Through Hole</t>
        </is>
      </c>
      <c r="S990" t="inlineStr">
        <is>
          <t>2.5000</t>
        </is>
      </c>
      <c r="T990" t="inlineStr">
        <is>
          <t>No</t>
        </is>
      </c>
      <c r="U990" t="inlineStr">
        <is>
          <t>1 Year/18,000 Mile</t>
        </is>
      </c>
      <c r="V990" t="inlineStr">
        <is>
          <t>Yes</t>
        </is>
      </c>
      <c r="W990" t="inlineStr">
        <is>
          <t>Available to Order</t>
        </is>
      </c>
      <c r="X990" t="inlineStr">
        <is>
          <t>Mazda 3 2018-14, 3 Sport 2018-14</t>
        </is>
      </c>
      <c r="Y990" t="inlineStr">
        <is>
          <t>00884548197756</t>
        </is>
      </c>
      <c r="Z990" t="inlineStr">
        <is>
          <t>43-4490::98353:89326:225</t>
        </is>
      </c>
      <c r="AA990" t="inlineStr">
        <is>
          <t>Yes</t>
        </is>
      </c>
      <c r="AB990" t="inlineStr"/>
      <c r="AC990" t="inlineStr"/>
    </row>
    <row r="991">
      <c r="A991" t="inlineStr">
        <is>
          <t>990</t>
        </is>
      </c>
      <c r="B991" t="inlineStr">
        <is>
          <t>Windshield Wiper Motor</t>
        </is>
      </c>
      <c r="C991" t="inlineStr">
        <is>
          <t>43-4500</t>
        </is>
      </c>
      <c r="D991" t="inlineStr">
        <is>
          <t>Windshield Wiper Motor - 43-4500</t>
        </is>
      </c>
      <c r="E991" t="inlineStr">
        <is>
          <t>CARDONE Reman</t>
        </is>
      </c>
      <c r="F991" t="inlineStr">
        <is>
          <t>86511AC080;86511AC081;86511AC010</t>
        </is>
      </c>
      <c r="G991" t="inlineStr">
        <is>
          <t>Subaru Legacy 1995-1999</t>
        </is>
      </c>
      <c r="H991" t="inlineStr">
        <is>
          <t>Subaru Legacy 1995-1999 2.2L H4 2212cc
Subaru Legacy 1996-1999 2.5L H4 2458cc</t>
        </is>
      </c>
      <c r="I991" t="inlineStr">
        <is>
          <t>{"0": {"productDeskExternalKey": "CPCX|43-4500"}, "1": {"Package Contents": "Wiper Motor; Instruction Sheet"}, "2": {"E-Waste": "Yes"}, "3": {"Product Condition": "Remanufactured"}, "4": {"Mounting Hole Quantity": "3"}, "5": {"Terminal Type": "Blade"}, "6": {"Mounting Type": "Grommet"}, "7": {"Weight PG": "2.8000"}, "8": {"Washer Pump Included": "No"}, "9": {"Part Type": "Windshield Wiper Motor"}, "10": {"Warranty Info": "1 Year/18,000 Mile"}, "11": {"Sustainable Choice": "Yes"}, "12": {"Lifecycle Status": "Available to Order"}, "13": {"Application Summary": "Subaru Legacy 1999-95"}, "14": {"ItemLevelGTIN": "00082617456272"}, "15": {"_addonCardone": "43-4500::98353:89328:225"}, "16": {"Eligible for R&amp;R Service": "Yes"}}</t>
        </is>
      </c>
      <c r="J991" t="inlineStr">
        <is>
          <t>https://www.cardone.com/product/windshield-wiper-motor-43-4500</t>
        </is>
      </c>
      <c r="K991">
        <f>DISPIMG("ID_F314E2866FDE4E4089FADB98D4798E4A",1)</f>
        <v/>
      </c>
      <c r="L991" t="inlineStr">
        <is>
          <t>CPCX|43-4500</t>
        </is>
      </c>
      <c r="M991" t="inlineStr">
        <is>
          <t>Wiper Motor; Instruction Sheet</t>
        </is>
      </c>
      <c r="N991" t="inlineStr">
        <is>
          <t>Yes</t>
        </is>
      </c>
      <c r="O991" t="inlineStr">
        <is>
          <t>Remanufactured</t>
        </is>
      </c>
      <c r="P991" t="inlineStr">
        <is>
          <t>3</t>
        </is>
      </c>
      <c r="Q991" t="inlineStr">
        <is>
          <t>Blade</t>
        </is>
      </c>
      <c r="R991" t="inlineStr">
        <is>
          <t>Grommet</t>
        </is>
      </c>
      <c r="S991" t="inlineStr">
        <is>
          <t>2.8000</t>
        </is>
      </c>
      <c r="T991" t="inlineStr">
        <is>
          <t>No</t>
        </is>
      </c>
      <c r="U991" t="inlineStr">
        <is>
          <t>1 Year/18,000 Mile</t>
        </is>
      </c>
      <c r="V991" t="inlineStr">
        <is>
          <t>Yes</t>
        </is>
      </c>
      <c r="W991" t="inlineStr">
        <is>
          <t>Available to Order</t>
        </is>
      </c>
      <c r="X991" t="inlineStr">
        <is>
          <t>Subaru Legacy 1999-95</t>
        </is>
      </c>
      <c r="Y991" t="inlineStr">
        <is>
          <t>00082617456272</t>
        </is>
      </c>
      <c r="Z991" t="inlineStr">
        <is>
          <t>43-4500::98353:89328:225</t>
        </is>
      </c>
      <c r="AA991" t="inlineStr">
        <is>
          <t>Yes</t>
        </is>
      </c>
      <c r="AB991" t="inlineStr"/>
      <c r="AC991" t="inlineStr"/>
    </row>
    <row r="992">
      <c r="A992" t="inlineStr">
        <is>
          <t>991</t>
        </is>
      </c>
      <c r="B992" t="inlineStr">
        <is>
          <t>Windshield Wiper Motor</t>
        </is>
      </c>
      <c r="C992" t="inlineStr">
        <is>
          <t>43-45004</t>
        </is>
      </c>
      <c r="D992" t="inlineStr">
        <is>
          <t>Windshield Wiper Motor - 43-45004</t>
        </is>
      </c>
      <c r="E992" t="inlineStr">
        <is>
          <t>CARDONE Reman</t>
        </is>
      </c>
      <c r="F992" t="inlineStr">
        <is>
          <t>981003M000;981103M000</t>
        </is>
      </c>
      <c r="G992" t="inlineStr"/>
      <c r="H992" t="inlineStr"/>
      <c r="I992" t="inlineStr">
        <is>
          <t>{"0": {"productDeskExternalKey": "CPCX|43-45004"}, "1": {"E-Waste": "Yes"}, "2": {"Product Condition": "Remanufactured"}, "3": {"Weight PG": "3.5000"}, "4": {"Part Type": "Windshield Wiper Motor"}, "5": {"Warranty Info": "1 Year/18,000 Mile"}, "6": {"Sustainable Choice": "Yes"}, "7": {"Lifecycle Status": "Available to Order"}, "8": {"Application Summary": "Hyundai Equus 2016-11, Genesis 2014-09, Genesis Coupe 2010"}, "9": {"ItemLevelGTIN": "00082617900928"}, "10": {"_addonCardone": "43-45004::98353:89346:225"}, "11": {"Eligible for R&amp;R Service": "Yes"}}</t>
        </is>
      </c>
      <c r="J992" t="inlineStr">
        <is>
          <t>https://www.cardone.com/product/windshield-wiper-motor-43-45004</t>
        </is>
      </c>
      <c r="K992">
        <f>DISPIMG("ID_4A85C021C3E34E7B8C560D3324E533C8",1)</f>
        <v/>
      </c>
      <c r="L992" t="inlineStr">
        <is>
          <t>CPCX|43-45004</t>
        </is>
      </c>
      <c r="M992" t="inlineStr"/>
      <c r="N992" t="inlineStr">
        <is>
          <t>Yes</t>
        </is>
      </c>
      <c r="O992" t="inlineStr">
        <is>
          <t>Remanufactured</t>
        </is>
      </c>
      <c r="P992" t="inlineStr"/>
      <c r="Q992" t="inlineStr"/>
      <c r="R992" t="inlineStr"/>
      <c r="S992" t="inlineStr">
        <is>
          <t>3.5000</t>
        </is>
      </c>
      <c r="T992" t="inlineStr"/>
      <c r="U992" t="inlineStr">
        <is>
          <t>1 Year/18,000 Mile</t>
        </is>
      </c>
      <c r="V992" t="inlineStr">
        <is>
          <t>Yes</t>
        </is>
      </c>
      <c r="W992" t="inlineStr">
        <is>
          <t>Available to Order</t>
        </is>
      </c>
      <c r="X992" t="inlineStr">
        <is>
          <t>Hyundai Equus 2016-11, Genesis 2014-09, Genesis Coupe 2010</t>
        </is>
      </c>
      <c r="Y992" t="inlineStr">
        <is>
          <t>00082617900928</t>
        </is>
      </c>
      <c r="Z992" t="inlineStr">
        <is>
          <t>43-45004::98353:89346:225</t>
        </is>
      </c>
      <c r="AA992" t="inlineStr">
        <is>
          <t>Yes</t>
        </is>
      </c>
      <c r="AB992" t="inlineStr"/>
      <c r="AC992" t="inlineStr"/>
    </row>
    <row r="993">
      <c r="A993" t="inlineStr">
        <is>
          <t>992</t>
        </is>
      </c>
      <c r="B993" t="inlineStr">
        <is>
          <t>Windshield Wiper Motor</t>
        </is>
      </c>
      <c r="C993" t="inlineStr">
        <is>
          <t>43-45006</t>
        </is>
      </c>
      <c r="D993" t="inlineStr">
        <is>
          <t>Windshield Wiper Motor - 43-45006</t>
        </is>
      </c>
      <c r="E993" t="inlineStr">
        <is>
          <t>CARDONE Reman</t>
        </is>
      </c>
      <c r="F993" t="inlineStr">
        <is>
          <t>86510SC080</t>
        </is>
      </c>
      <c r="G993" t="inlineStr">
        <is>
          <t>Subaru Forester 2008-2009</t>
        </is>
      </c>
      <c r="H993" t="inlineStr">
        <is>
          <t>Subaru Forester 2008-2009 2.5L H4 2458cc</t>
        </is>
      </c>
      <c r="I993" t="inlineStr">
        <is>
          <t>{"0": {"productDeskExternalKey": "CPCX|43-45006"},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"Subaru Forester 2009-08"}, "14": {"ItemLevelGTIN": "00082617900942"}, "15": {"_addonCardone": "43-45006::98353:89350:225"}, "16": {"Eligible for R&amp;R Service": "Yes"}}</t>
        </is>
      </c>
      <c r="J993" t="inlineStr">
        <is>
          <t>https://www.cardone.com/product/windshield-wiper-motor-43-45006</t>
        </is>
      </c>
      <c r="K993">
        <f>DISPIMG("ID_830D13B9C8974A8DB1B8393A95B0BEA4",1)</f>
        <v/>
      </c>
      <c r="L993" t="inlineStr">
        <is>
          <t>CPCX|43-45006</t>
        </is>
      </c>
      <c r="M993" t="inlineStr">
        <is>
          <t>Wiper Motor; Instruction Sheet</t>
        </is>
      </c>
      <c r="N993" t="inlineStr">
        <is>
          <t>Yes</t>
        </is>
      </c>
      <c r="O993" t="inlineStr">
        <is>
          <t>Remanufactured</t>
        </is>
      </c>
      <c r="P993" t="inlineStr">
        <is>
          <t>3</t>
        </is>
      </c>
      <c r="Q993" t="inlineStr">
        <is>
          <t>Blade</t>
        </is>
      </c>
      <c r="R993" t="inlineStr">
        <is>
          <t>Grommet</t>
        </is>
      </c>
      <c r="S993" t="inlineStr">
        <is>
          <t>2.2000</t>
        </is>
      </c>
      <c r="T993" t="inlineStr">
        <is>
          <t>No</t>
        </is>
      </c>
      <c r="U993" t="inlineStr">
        <is>
          <t>1 Year/18,000 Mile</t>
        </is>
      </c>
      <c r="V993" t="inlineStr">
        <is>
          <t>Yes</t>
        </is>
      </c>
      <c r="W993" t="inlineStr">
        <is>
          <t>Available to Order</t>
        </is>
      </c>
      <c r="X993" t="inlineStr">
        <is>
          <t>Subaru Forester 2009-08</t>
        </is>
      </c>
      <c r="Y993" t="inlineStr">
        <is>
          <t>00082617900942</t>
        </is>
      </c>
      <c r="Z993" t="inlineStr">
        <is>
          <t>43-45006::98353:89350:225</t>
        </is>
      </c>
      <c r="AA993" t="inlineStr">
        <is>
          <t>Yes</t>
        </is>
      </c>
      <c r="AB993" t="inlineStr"/>
      <c r="AC993" t="inlineStr"/>
    </row>
    <row r="994">
      <c r="A994" t="inlineStr">
        <is>
          <t>993</t>
        </is>
      </c>
      <c r="B994" t="inlineStr">
        <is>
          <t>Windshield Wiper Motor</t>
        </is>
      </c>
      <c r="C994" t="inlineStr">
        <is>
          <t>43-45007</t>
        </is>
      </c>
      <c r="D994" t="inlineStr">
        <is>
          <t>Windshield Wiper Motor - 43-45007</t>
        </is>
      </c>
      <c r="E994" t="inlineStr">
        <is>
          <t>CARDONE Reman</t>
        </is>
      </c>
      <c r="F994" t="inlineStr">
        <is>
          <t>987102L100</t>
        </is>
      </c>
      <c r="G994" t="inlineStr"/>
      <c r="H994" t="inlineStr"/>
      <c r="I994" t="inlineStr">
        <is>
          <t>{"0": {"productDeskExternalKey": "CPCX|43-45007"}, "1": {"Package Contents": "Wiper Motor; Instruction Sheet"}, "2": {"E-Waste": "Yes"}, "3": {"Product Condition": "Remanufactured"}, "4": {"Mounting Hole Quantity": "2"}, "5": {"Terminal Type": "Blade"}, "6": {"Mounting Type": "Grommet"}, "7": {"Weight PG": "2.0000"}, "8": {"Washer Pump Included": "No"}, "9": {"Part Type": "Windshield Wiper Motor"}, "10": {"Warranty Info": "1 Year/18,000 Mile"}, "11": {"Sustainable Choice": "Yes"}, "12": {"Lifecycle Status": "Available to Order"}, "13": {"Application Summary": "Hyundai Elantra 2012-09, Elantra GT 2013"}, "14": {"ItemLevelGTIN": "00082617967150"}, "15": {"_addonCardone": "43-45007::98353:89354:225"}, "16": {"Eligible for R&amp;R Service": "Yes"}}</t>
        </is>
      </c>
      <c r="J994" t="inlineStr">
        <is>
          <t>https://www.cardone.com/product/windshield-wiper-motor-43-45007</t>
        </is>
      </c>
      <c r="K994">
        <f>DISPIMG("ID_5BFCF6B87BC04BB9AC51B62514D4236C",1)</f>
        <v/>
      </c>
      <c r="L994" t="inlineStr">
        <is>
          <t>CPCX|43-45007</t>
        </is>
      </c>
      <c r="M994" t="inlineStr">
        <is>
          <t>Wiper Motor; Instruction Sheet</t>
        </is>
      </c>
      <c r="N994" t="inlineStr">
        <is>
          <t>Yes</t>
        </is>
      </c>
      <c r="O994" t="inlineStr">
        <is>
          <t>Remanufactured</t>
        </is>
      </c>
      <c r="P994" t="inlineStr">
        <is>
          <t>2</t>
        </is>
      </c>
      <c r="Q994" t="inlineStr">
        <is>
          <t>Blade</t>
        </is>
      </c>
      <c r="R994" t="inlineStr">
        <is>
          <t>Grommet</t>
        </is>
      </c>
      <c r="S994" t="inlineStr">
        <is>
          <t>2.0000</t>
        </is>
      </c>
      <c r="T994" t="inlineStr">
        <is>
          <t>No</t>
        </is>
      </c>
      <c r="U994" t="inlineStr">
        <is>
          <t>1 Year/18,000 Mile</t>
        </is>
      </c>
      <c r="V994" t="inlineStr">
        <is>
          <t>Yes</t>
        </is>
      </c>
      <c r="W994" t="inlineStr">
        <is>
          <t>Available to Order</t>
        </is>
      </c>
      <c r="X994" t="inlineStr">
        <is>
          <t>Hyundai Elantra 2012-09, Elantra GT 2013</t>
        </is>
      </c>
      <c r="Y994" t="inlineStr">
        <is>
          <t>00082617967150</t>
        </is>
      </c>
      <c r="Z994" t="inlineStr">
        <is>
          <t>43-45007::98353:89354:225</t>
        </is>
      </c>
      <c r="AA994" t="inlineStr">
        <is>
          <t>Yes</t>
        </is>
      </c>
      <c r="AB994" t="inlineStr"/>
      <c r="AC994" t="inlineStr"/>
    </row>
    <row r="995">
      <c r="A995" t="inlineStr">
        <is>
          <t>994</t>
        </is>
      </c>
      <c r="B995" t="inlineStr">
        <is>
          <t>Windshield Wiper Motor</t>
        </is>
      </c>
      <c r="C995" t="inlineStr">
        <is>
          <t>43-45008</t>
        </is>
      </c>
      <c r="D995" t="inlineStr">
        <is>
          <t>Windshield Wiper Motor - 43-45008</t>
        </is>
      </c>
      <c r="E995" t="inlineStr">
        <is>
          <t>CARDONE Reman</t>
        </is>
      </c>
      <c r="F995" t="inlineStr">
        <is>
          <t>981102H001;98110B2000;981101M000;981001M000;981103S000</t>
        </is>
      </c>
      <c r="G995" t="inlineStr">
        <is>
          <t>Kia Forte 2010-2013
Kia Forte Koup 2010-2013
Kia Forte5 2012-2013
Kia Soul 2014-2022
Kia Soul EV 2015-2022</t>
        </is>
      </c>
      <c r="H995" t="inlineStr">
        <is>
          <t>Kia Forte 2010-2013 2.4L L4 2359cc
Kia Forte 2010-2013 2L L4 122cid
Kia Forte Koup 2010-2013 2.4L L4 2359cc
Kia Forte Koup 2010-2013 2L L4 122cid
Kia Forte5 2012-2013 2.4L L4 2359cc
Kia Forte5 2012-2013 2L L4 122cid
Kia Soul 2014-2022 1.6L L4 97cid
Kia Soul 2014-2022 2L L4 122cid
Kia Soul EV 2015-2022</t>
        </is>
      </c>
      <c r="I995" t="inlineStr">
        <is>
          <t>{"0": {"productDeskExternalKey": "CPCX|43-45008"}, "1": {"Package Contents": "Wiper Motor; Instruction Sheet"}, "2": {"E-Waste": "Yes"}, "3": {"Product Condition": "Remanufactured"}, "4": {"Mounting Hole Quantity": "2"}, "5": {"Terminal Type": "Blade"}, "6": {"Mounting Type": "Direct Bolt"}, "7": {"Weight PG": "2.7000"}, "8": {"Washer Pump Included": "No"}, "9": {"Part Type": "Windshield Wiper Motor"}, "10": {"Warranty Info": "1 Year/18,000 Mile"}, "11": {"Sustainable Choice": "Yes"}, "12": {"Lifecycle Status": "Available to Order"}, "13": {"Application Summary": "Hyundai Azera 2017-12, Elantra 2008, Sonata 2015-13; Kia Forte 2013-10, Forte Koup 2013-10, Forte5 2013-12, Soul 2022-14, Soul EV 2022-15"}, "14": {"ItemLevelGTIN": "00082617967167"}, "15": {"_addonCardone": "43-45008::98353:89356:225"}, "16": {"Eligible for R&amp;R Service": "Yes"}}</t>
        </is>
      </c>
      <c r="J995" t="inlineStr">
        <is>
          <t>https://www.cardone.com/product/windshield-wiper-motor-43-45008</t>
        </is>
      </c>
      <c r="K995">
        <f>DISPIMG("ID_E1217B96EDEB4CB9815888868D7B287F",1)</f>
        <v/>
      </c>
      <c r="L995" t="inlineStr">
        <is>
          <t>CPCX|43-45008</t>
        </is>
      </c>
      <c r="M995" t="inlineStr">
        <is>
          <t>Wiper Motor; Instruction Sheet</t>
        </is>
      </c>
      <c r="N995" t="inlineStr">
        <is>
          <t>Yes</t>
        </is>
      </c>
      <c r="O995" t="inlineStr">
        <is>
          <t>Remanufactured</t>
        </is>
      </c>
      <c r="P995" t="inlineStr">
        <is>
          <t>2</t>
        </is>
      </c>
      <c r="Q995" t="inlineStr">
        <is>
          <t>Blade</t>
        </is>
      </c>
      <c r="R995" t="inlineStr">
        <is>
          <t>Direct Bolt</t>
        </is>
      </c>
      <c r="S995" t="inlineStr">
        <is>
          <t>2.7000</t>
        </is>
      </c>
      <c r="T995" t="inlineStr">
        <is>
          <t>No</t>
        </is>
      </c>
      <c r="U995" t="inlineStr">
        <is>
          <t>1 Year/18,000 Mile</t>
        </is>
      </c>
      <c r="V995" t="inlineStr">
        <is>
          <t>Yes</t>
        </is>
      </c>
      <c r="W995" t="inlineStr">
        <is>
          <t>Available to Order</t>
        </is>
      </c>
      <c r="X995" t="inlineStr">
        <is>
          <t>Hyundai Azera 2017-12, Elantra 2008, Sonata 2015-13; Kia Forte 2013-10, Forte Koup 2013-10, Forte5 2013-12, Soul 2022-14, Soul EV 2022-15</t>
        </is>
      </c>
      <c r="Y995" t="inlineStr">
        <is>
          <t>00082617967167</t>
        </is>
      </c>
      <c r="Z995" t="inlineStr">
        <is>
          <t>43-45008::98353:89356:225</t>
        </is>
      </c>
      <c r="AA995" t="inlineStr">
        <is>
          <t>Yes</t>
        </is>
      </c>
      <c r="AB995" t="inlineStr"/>
      <c r="AC995" t="inlineStr"/>
    </row>
    <row r="996">
      <c r="A996" t="inlineStr">
        <is>
          <t>995</t>
        </is>
      </c>
      <c r="B996" t="inlineStr">
        <is>
          <t>Windshield Wiper Motor</t>
        </is>
      </c>
      <c r="C996" t="inlineStr">
        <is>
          <t>43-45009</t>
        </is>
      </c>
      <c r="D996" t="inlineStr">
        <is>
          <t>Windshield Wiper Motor - 43-45009</t>
        </is>
      </c>
      <c r="E996" t="inlineStr">
        <is>
          <t>CARDONE Reman</t>
        </is>
      </c>
      <c r="F996" t="inlineStr">
        <is>
          <t>981102K000</t>
        </is>
      </c>
      <c r="G996" t="inlineStr">
        <is>
          <t>Kia Soul 2010-2013</t>
        </is>
      </c>
      <c r="H996" t="inlineStr">
        <is>
          <t>Kia Soul 2010-2011 2L L4 1975cc
Kia Soul 2010-2013 1.6L L4 97cid
Kia Soul 2012-2013 2L L4 122cid</t>
        </is>
      </c>
      <c r="I996" t="inlineStr">
        <is>
          <t>{"0": {"productDeskExternalKey": "CPCX|43-45009"}, "1": {"Package Contents": "Wiper Motor; Instruction Sheet"}, "2": {"E-Waste": "Yes"}, "3": {"Product Condition": "Remanufactured"}, "4": {"Mounting Hole Quantity": "2"}, "5": {"Terminal Type": "Blade"}, "6": {"Mounting Type": "Direct Bolt"}, "7": {"Weight PG": "2.7000"}, "8": {"Washer Pump Included": "No"}, "9": {"Part Type": "Windshield Wiper Motor"}, "10": {"Warranty Info": "1 Year/18,000 Mile"}, "11": {"Sustainable Choice": "Yes"}, "12": {"Lifecycle Status": "Available to Order"}, "13": {"Application Summary": "Kia Soul 2013-10"}, "14": {"ItemLevelGTIN": "00082617967228"}, "15": {"_addonCardone": "43-45009::98353:89358:225"}, "16": {"Eligible for R&amp;R Service": "Yes"}}</t>
        </is>
      </c>
      <c r="J996" t="inlineStr">
        <is>
          <t>https://www.cardone.com/product/windshield-wiper-motor-43-45009</t>
        </is>
      </c>
      <c r="K996">
        <f>DISPIMG("ID_26C88A9BD64B4642ADA0E3F03C7CF34E",1)</f>
        <v/>
      </c>
      <c r="L996" t="inlineStr">
        <is>
          <t>CPCX|43-45009</t>
        </is>
      </c>
      <c r="M996" t="inlineStr">
        <is>
          <t>Wiper Motor; Instruction Sheet</t>
        </is>
      </c>
      <c r="N996" t="inlineStr">
        <is>
          <t>Yes</t>
        </is>
      </c>
      <c r="O996" t="inlineStr">
        <is>
          <t>Remanufactured</t>
        </is>
      </c>
      <c r="P996" t="inlineStr">
        <is>
          <t>2</t>
        </is>
      </c>
      <c r="Q996" t="inlineStr">
        <is>
          <t>Blade</t>
        </is>
      </c>
      <c r="R996" t="inlineStr">
        <is>
          <t>Direct Bolt</t>
        </is>
      </c>
      <c r="S996" t="inlineStr">
        <is>
          <t>2.7000</t>
        </is>
      </c>
      <c r="T996" t="inlineStr">
        <is>
          <t>No</t>
        </is>
      </c>
      <c r="U996" t="inlineStr">
        <is>
          <t>1 Year/18,000 Mile</t>
        </is>
      </c>
      <c r="V996" t="inlineStr">
        <is>
          <t>Yes</t>
        </is>
      </c>
      <c r="W996" t="inlineStr">
        <is>
          <t>Available to Order</t>
        </is>
      </c>
      <c r="X996" t="inlineStr">
        <is>
          <t>Kia Soul 2013-10</t>
        </is>
      </c>
      <c r="Y996" t="inlineStr">
        <is>
          <t>00082617967228</t>
        </is>
      </c>
      <c r="Z996" t="inlineStr">
        <is>
          <t>43-45009::98353:89358:225</t>
        </is>
      </c>
      <c r="AA996" t="inlineStr">
        <is>
          <t>Yes</t>
        </is>
      </c>
      <c r="AB996" t="inlineStr"/>
      <c r="AC996" t="inlineStr"/>
    </row>
    <row r="997">
      <c r="A997" t="inlineStr">
        <is>
          <t>996</t>
        </is>
      </c>
      <c r="B997" t="inlineStr">
        <is>
          <t>Windshield Wiper Motor</t>
        </is>
      </c>
      <c r="C997" t="inlineStr">
        <is>
          <t>43-4501</t>
        </is>
      </c>
      <c r="D997" t="inlineStr">
        <is>
          <t>Windshield Wiper Motor - 43-4501</t>
        </is>
      </c>
      <c r="E997" t="inlineStr">
        <is>
          <t>CARDONE Reman</t>
        </is>
      </c>
      <c r="F997" t="inlineStr">
        <is>
          <t>86511AC000</t>
        </is>
      </c>
      <c r="G997" t="inlineStr">
        <is>
          <t>Subaru Legacy 1995</t>
        </is>
      </c>
      <c r="H997" t="inlineStr">
        <is>
          <t>Subaru Legacy 1995 2.2L H4 2212cc</t>
        </is>
      </c>
      <c r="I997" t="inlineStr">
        <is>
          <t>{"0": {"productDeskExternalKey": "CPCX|43-4501"},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"Subaru Legacy 1995"}, "14": {"ItemLevelGTIN": "00082617456265"}, "15": {"_addonCardone": "43-4501::98353:89360:225"}, "16": {"Eligible for R&amp;R Service": "Yes"}}</t>
        </is>
      </c>
      <c r="J997" t="inlineStr">
        <is>
          <t>https://www.cardone.com/product/windshield-wiper-motor-43-4501</t>
        </is>
      </c>
      <c r="K997">
        <f>DISPIMG("ID_C472734B48534C4DB0B8FCF2D4B9BC89",1)</f>
        <v/>
      </c>
      <c r="L997" t="inlineStr">
        <is>
          <t>CPCX|43-4501</t>
        </is>
      </c>
      <c r="M997" t="inlineStr">
        <is>
          <t>Wiper Motor; Instruction Sheet</t>
        </is>
      </c>
      <c r="N997" t="inlineStr">
        <is>
          <t>Yes</t>
        </is>
      </c>
      <c r="O997" t="inlineStr">
        <is>
          <t>Remanufactured</t>
        </is>
      </c>
      <c r="P997" t="inlineStr">
        <is>
          <t>3</t>
        </is>
      </c>
      <c r="Q997" t="inlineStr">
        <is>
          <t>Blade</t>
        </is>
      </c>
      <c r="R997" t="inlineStr">
        <is>
          <t>Grommet</t>
        </is>
      </c>
      <c r="S997" t="inlineStr">
        <is>
          <t>2.5000</t>
        </is>
      </c>
      <c r="T997" t="inlineStr">
        <is>
          <t>No</t>
        </is>
      </c>
      <c r="U997" t="inlineStr">
        <is>
          <t>1 Year/18,000 Mile</t>
        </is>
      </c>
      <c r="V997" t="inlineStr">
        <is>
          <t>Yes</t>
        </is>
      </c>
      <c r="W997" t="inlineStr">
        <is>
          <t>Available to Order</t>
        </is>
      </c>
      <c r="X997" t="inlineStr">
        <is>
          <t>Subaru Legacy 1995</t>
        </is>
      </c>
      <c r="Y997" t="inlineStr">
        <is>
          <t>00082617456265</t>
        </is>
      </c>
      <c r="Z997" t="inlineStr">
        <is>
          <t>43-4501::98353:89360:225</t>
        </is>
      </c>
      <c r="AA997" t="inlineStr">
        <is>
          <t>Yes</t>
        </is>
      </c>
      <c r="AB997" t="inlineStr"/>
      <c r="AC997" t="inlineStr"/>
    </row>
    <row r="998">
      <c r="A998" t="inlineStr">
        <is>
          <t>997</t>
        </is>
      </c>
      <c r="B998" t="inlineStr">
        <is>
          <t>Windshield Wiper Motor</t>
        </is>
      </c>
      <c r="C998" t="inlineStr">
        <is>
          <t>43-45010</t>
        </is>
      </c>
      <c r="D998" t="inlineStr">
        <is>
          <t>Windshield Wiper Motor - 43-45010</t>
        </is>
      </c>
      <c r="E998" t="inlineStr">
        <is>
          <t>CARDONE Reman</t>
        </is>
      </c>
      <c r="F998" t="inlineStr">
        <is>
          <t>86510FG090</t>
        </is>
      </c>
      <c r="G998" t="inlineStr">
        <is>
          <t>Subaru Impreza 2010-2015
Subaru WRX 2012-2014
Subaru WRX STI 2013-2014</t>
        </is>
      </c>
      <c r="H998" t="inlineStr">
        <is>
          <t>Subaru Impreza 2010-2014 2.5L H4 2458cc
Subaru Impreza 2010-2015 2L H4 122cid
Subaru Impreza 2013-2015 2L H4 1995cc
Subaru WRX 2012-2014 2.5L H4 2458cc
Subaru WRX STI 2013-2014 2.5L H4 2458cc</t>
        </is>
      </c>
      <c r="I998" t="inlineStr">
        <is>
          <t>{"0": {"productDeskExternalKey": "CPCX|43-45010"}, "1": {"Package Contents": "Wiper Motor; Instruction Sheet"}, "2": {"E-Waste": "Yes"}, "3": {"Product Condition": "Remanufactured"}, "4": {"Mounting Hole Quantity": "3"}, "5": {"Terminal Type": "Blade"}, "6": {"Mounting Type": "Grommet; Through Hole"}, "7": {"Weight PG": "2.1500"}, "8": {"Washer Pump Included": "No"}, "9": {"Part Type": "Windshield Wiper Motor"}, "10": {"Warranty Info": "1 Year/18,000 Mile"}, "11": {"Sustainable Choice": "Yes"}, "12": {"Lifecycle Status": "Available to Order"}, "13": {"Application Summary": "Subaru Impreza 2015-10, WRX 2014-12, WRX STI 2014-13"}, "14": {"ItemLevelGTIN": "00082617967235"}, "15": {"_addonCardone": "43-45010::98353:89362:225"}, "16": {"Eligible for R&amp;R Service": "Yes"}}</t>
        </is>
      </c>
      <c r="J998" t="inlineStr">
        <is>
          <t>https://www.cardone.com/product/windshield-wiper-motor-43-45010</t>
        </is>
      </c>
      <c r="K998">
        <f>DISPIMG("ID_FE7C2D0977CF4FECB6A04E9339335F87",1)</f>
        <v/>
      </c>
      <c r="L998" t="inlineStr">
        <is>
          <t>CPCX|43-45010</t>
        </is>
      </c>
      <c r="M998" t="inlineStr">
        <is>
          <t>Wiper Motor; Instruction Sheet</t>
        </is>
      </c>
      <c r="N998" t="inlineStr">
        <is>
          <t>Yes</t>
        </is>
      </c>
      <c r="O998" t="inlineStr">
        <is>
          <t>Remanufactured</t>
        </is>
      </c>
      <c r="P998" t="inlineStr">
        <is>
          <t>3</t>
        </is>
      </c>
      <c r="Q998" t="inlineStr">
        <is>
          <t>Blade</t>
        </is>
      </c>
      <c r="R998" t="inlineStr">
        <is>
          <t>Grommet; Through Hole</t>
        </is>
      </c>
      <c r="S998" t="inlineStr">
        <is>
          <t>2.1500</t>
        </is>
      </c>
      <c r="T998" t="inlineStr">
        <is>
          <t>No</t>
        </is>
      </c>
      <c r="U998" t="inlineStr">
        <is>
          <t>1 Year/18,000 Mile</t>
        </is>
      </c>
      <c r="V998" t="inlineStr">
        <is>
          <t>Yes</t>
        </is>
      </c>
      <c r="W998" t="inlineStr">
        <is>
          <t>Available to Order</t>
        </is>
      </c>
      <c r="X998" t="inlineStr">
        <is>
          <t>Subaru Impreza 2015-10, WRX 2014-12, WRX STI 2014-13</t>
        </is>
      </c>
      <c r="Y998" t="inlineStr">
        <is>
          <t>00082617967235</t>
        </is>
      </c>
      <c r="Z998" t="inlineStr">
        <is>
          <t>43-45010::98353:89362:225</t>
        </is>
      </c>
      <c r="AA998" t="inlineStr">
        <is>
          <t>Yes</t>
        </is>
      </c>
      <c r="AB998" t="inlineStr"/>
      <c r="AC998" t="inlineStr"/>
    </row>
    <row r="999">
      <c r="A999" t="inlineStr">
        <is>
          <t>998</t>
        </is>
      </c>
      <c r="B999" t="inlineStr">
        <is>
          <t>Windshield Wiper Motor</t>
        </is>
      </c>
      <c r="C999" t="inlineStr">
        <is>
          <t>43-45011</t>
        </is>
      </c>
      <c r="D999" t="inlineStr">
        <is>
          <t>Windshield Wiper Motor - 43-45011</t>
        </is>
      </c>
      <c r="E999" t="inlineStr">
        <is>
          <t>CARDONE Reman</t>
        </is>
      </c>
      <c r="F999" t="inlineStr">
        <is>
          <t>987102K000</t>
        </is>
      </c>
      <c r="G999" t="inlineStr">
        <is>
          <t>Kia Soul 2010-2013</t>
        </is>
      </c>
      <c r="H999" t="inlineStr">
        <is>
          <t>Kia Soul 2010-2011 2L L4 1975cc
Kia Soul 2010-2013 1.6L L4 97cid
Kia Soul 2012-2013 2L L4 122cid</t>
        </is>
      </c>
      <c r="I999" t="inlineStr">
        <is>
          <t>{"0": {"productDeskExternalKey": "CPCX|43-45011"}, "1": {"Package Contents": "Wiper Motor; Instruction Sheet"}, "2": {"E-Waste": "Yes"}, "3": {"Product Condition": "Remanufactured"}, "4": {"Mounting Hole Quantity": "3"}, "5": {"Terminal Type": "Blade"}, "6": {"Mounting Type": "Grommet"}, "7": {"Weight PG": "2.7500"}, "8": {"Washer Pump Included": "No"}, "9": {"Part Type": "Windshield Wiper Motor"}, "10": {"Warranty Info": "1 Year/18,000 Mile"}, "11": {"Sustainable Choice": "Yes"}, "12": {"Lifecycle Status": "Available to Order"}, "13": {"Application Summary": "Kia Soul 2013-10"}, "14": {"ItemLevelGTIN": "00082617967242"}, "15": {"_addonCardone": "43-45011::98353:89364:225"}, "16": {"Eligible for R&amp;R Service": "Yes"}}</t>
        </is>
      </c>
      <c r="J999" t="inlineStr">
        <is>
          <t>https://www.cardone.com/product/windshield-wiper-motor-43-45011</t>
        </is>
      </c>
      <c r="K999">
        <f>DISPIMG("ID_0D3A1BEBB8484C9F98B125553169F909",1)</f>
        <v/>
      </c>
      <c r="L999" t="inlineStr">
        <is>
          <t>CPCX|43-45011</t>
        </is>
      </c>
      <c r="M999" t="inlineStr">
        <is>
          <t>Wiper Motor; Instruction Sheet</t>
        </is>
      </c>
      <c r="N999" t="inlineStr">
        <is>
          <t>Yes</t>
        </is>
      </c>
      <c r="O999" t="inlineStr">
        <is>
          <t>Remanufactured</t>
        </is>
      </c>
      <c r="P999" t="inlineStr">
        <is>
          <t>3</t>
        </is>
      </c>
      <c r="Q999" t="inlineStr">
        <is>
          <t>Blade</t>
        </is>
      </c>
      <c r="R999" t="inlineStr">
        <is>
          <t>Grommet</t>
        </is>
      </c>
      <c r="S999" t="inlineStr">
        <is>
          <t>2.7500</t>
        </is>
      </c>
      <c r="T999" t="inlineStr">
        <is>
          <t>No</t>
        </is>
      </c>
      <c r="U999" t="inlineStr">
        <is>
          <t>1 Year/18,000 Mile</t>
        </is>
      </c>
      <c r="V999" t="inlineStr">
        <is>
          <t>Yes</t>
        </is>
      </c>
      <c r="W999" t="inlineStr">
        <is>
          <t>Available to Order</t>
        </is>
      </c>
      <c r="X999" t="inlineStr">
        <is>
          <t>Kia Soul 2013-10</t>
        </is>
      </c>
      <c r="Y999" t="inlineStr">
        <is>
          <t>00082617967242</t>
        </is>
      </c>
      <c r="Z999" t="inlineStr">
        <is>
          <t>43-45011::98353:89364:225</t>
        </is>
      </c>
      <c r="AA999" t="inlineStr">
        <is>
          <t>Yes</t>
        </is>
      </c>
      <c r="AB999" t="inlineStr"/>
      <c r="AC999" t="inlineStr"/>
    </row>
    <row r="1000">
      <c r="A1000" t="inlineStr">
        <is>
          <t>999</t>
        </is>
      </c>
      <c r="B1000" t="inlineStr">
        <is>
          <t>Windshield Wiper Motor</t>
        </is>
      </c>
      <c r="C1000" t="inlineStr">
        <is>
          <t>43-45012</t>
        </is>
      </c>
      <c r="D1000" t="inlineStr">
        <is>
          <t>Windshield Wiper Motor - 43-45012</t>
        </is>
      </c>
      <c r="E1000" t="inlineStr">
        <is>
          <t>CARDONE Reman</t>
        </is>
      </c>
      <c r="F1000" t="inlineStr">
        <is>
          <t>86510AJ090;86510AJ131;86510AJ091</t>
        </is>
      </c>
      <c r="G1000" t="inlineStr">
        <is>
          <t>Subaru Outback 2010-2014</t>
        </is>
      </c>
      <c r="H1000" t="inlineStr">
        <is>
          <t>Subaru Outback 2010-2014 2.5L H4 2458cc
Subaru Outback 2010-2014 3.6L H6 3630cc
Subaru Outback 2013-2014 2.5L H4 152cid</t>
        </is>
      </c>
      <c r="I1000" t="inlineStr">
        <is>
          <t>{"0": {"productDeskExternalKey": "CPCX|43-45012"}, "1": {"Package Contents": "Wiper Motor; Instruction Sheet"}, "2": {"E-Waste": "Yes"}, "3": {"Product Condition": "Remanufactured"}, "4": {"Mounting Hole Quantity": "3"}, "5": {"Terminal Type": "Blade"}, "6": {"Mounting Type": "Grommet"}, "7": {"Weight PG": "2.1000"}, "8": {"Washer Pump Included": "No"}, "9": {"Part Type": "Windshield Wiper Motor"}, "10": {"Warranty Info": "1 Year/18,000 Mile"}, "11": {"Sustainable Choice": "Yes"}, "12": {"Lifecycle Status": "Available to Order"}, "13": {"Application Summary": "Subaru Outback 2014-10"}, "14": {"ItemLevelGTIN": "00082617967259"}, "15": {"_addonCardone": "43-45012::98353:89366:225"}, "16": {"Eligible for R&amp;R Service": "Yes"}}</t>
        </is>
      </c>
      <c r="J1000" t="inlineStr">
        <is>
          <t>https://www.cardone.com/product/windshield-wiper-motor-43-45012</t>
        </is>
      </c>
      <c r="K1000">
        <f>DISPIMG("ID_2D7A00FF3FC64A888E71B18193DD2939",1)</f>
        <v/>
      </c>
      <c r="L1000" t="inlineStr">
        <is>
          <t>CPCX|43-45012</t>
        </is>
      </c>
      <c r="M1000" t="inlineStr">
        <is>
          <t>Wiper Motor; Instruction Sheet</t>
        </is>
      </c>
      <c r="N1000" t="inlineStr">
        <is>
          <t>Yes</t>
        </is>
      </c>
      <c r="O1000" t="inlineStr">
        <is>
          <t>Remanufactured</t>
        </is>
      </c>
      <c r="P1000" t="inlineStr">
        <is>
          <t>3</t>
        </is>
      </c>
      <c r="Q1000" t="inlineStr">
        <is>
          <t>Blade</t>
        </is>
      </c>
      <c r="R1000" t="inlineStr">
        <is>
          <t>Grommet</t>
        </is>
      </c>
      <c r="S1000" t="inlineStr">
        <is>
          <t>2.1000</t>
        </is>
      </c>
      <c r="T1000" t="inlineStr">
        <is>
          <t>No</t>
        </is>
      </c>
      <c r="U1000" t="inlineStr">
        <is>
          <t>1 Year/18,000 Mile</t>
        </is>
      </c>
      <c r="V1000" t="inlineStr">
        <is>
          <t>Yes</t>
        </is>
      </c>
      <c r="W1000" t="inlineStr">
        <is>
          <t>Available to Order</t>
        </is>
      </c>
      <c r="X1000" t="inlineStr">
        <is>
          <t>Subaru Outback 2014-10</t>
        </is>
      </c>
      <c r="Y1000" t="inlineStr">
        <is>
          <t>00082617967259</t>
        </is>
      </c>
      <c r="Z1000" t="inlineStr">
        <is>
          <t>43-45012::98353:89366:225</t>
        </is>
      </c>
      <c r="AA1000" t="inlineStr">
        <is>
          <t>Yes</t>
        </is>
      </c>
      <c r="AB1000" t="inlineStr"/>
      <c r="AC1000" t="inlineStr"/>
    </row>
    <row r="1001">
      <c r="A1001" t="inlineStr">
        <is>
          <t>1000</t>
        </is>
      </c>
      <c r="B1001" t="inlineStr">
        <is>
          <t>Windshield Wiper Motor</t>
        </is>
      </c>
      <c r="C1001" t="inlineStr">
        <is>
          <t>43-45013</t>
        </is>
      </c>
      <c r="D1001" t="inlineStr">
        <is>
          <t>Windshield Wiper Motor - 43-45013</t>
        </is>
      </c>
      <c r="E1001" t="inlineStr">
        <is>
          <t>CARDONE Reman</t>
        </is>
      </c>
      <c r="F1001" t="inlineStr">
        <is>
          <t>981102S000</t>
        </is>
      </c>
      <c r="G1001" t="inlineStr"/>
      <c r="H1001" t="inlineStr"/>
      <c r="I1001" t="inlineStr">
        <is>
          <t>{"0": {"productDeskExternalKey": "CPCX|43-45013"}, "1": {"Package Contents": "Wiper Motor; Instruction Sheet"}, "2": {"E-Waste": "Yes"}, "3": {"Product Condition": "Remanufactured"}, "4": {"Mounting Hole Quantity": "3"}, "5": {"Terminal Type": "Blade"}, "6": {"Mounting Type": "Direct Bolt"}, "7": {"Weight PG": "3.1000"}, "8": {"Washer Pump Included": "No"}, "9": {"Part Type": "Windshield Wiper Motor"}, "10": {"Warranty Info": "1 Year/18,000 Mile"}, "11": {"Sustainable Choice": "Yes"}, "12": {"Lifecycle Status": "Available to Order"}, "13": {"Application Summary": "Hyundai ix35 2015, Tucson 2017-10"}, "14": {"ItemLevelGTIN": "00082617967310"}, "15": {"_addonCardone": "43-45013::98353:89369:225"}, "16": {"Eligible for R&amp;R Service": "Yes"}}</t>
        </is>
      </c>
      <c r="J1001" t="inlineStr">
        <is>
          <t>https://www.cardone.com/product/windshield-wiper-motor-43-45013</t>
        </is>
      </c>
      <c r="K1001">
        <f>DISPIMG("ID_64742D9C0A6D4DCF9342729D7A348D97",1)</f>
        <v/>
      </c>
      <c r="L1001" t="inlineStr">
        <is>
          <t>CPCX|43-45013</t>
        </is>
      </c>
      <c r="M1001" t="inlineStr">
        <is>
          <t>Wiper Motor; Instruction Sheet</t>
        </is>
      </c>
      <c r="N1001" t="inlineStr">
        <is>
          <t>Yes</t>
        </is>
      </c>
      <c r="O1001" t="inlineStr">
        <is>
          <t>Remanufactured</t>
        </is>
      </c>
      <c r="P1001" t="inlineStr">
        <is>
          <t>3</t>
        </is>
      </c>
      <c r="Q1001" t="inlineStr">
        <is>
          <t>Blade</t>
        </is>
      </c>
      <c r="R1001" t="inlineStr">
        <is>
          <t>Direct Bolt</t>
        </is>
      </c>
      <c r="S1001" t="inlineStr">
        <is>
          <t>3.1000</t>
        </is>
      </c>
      <c r="T1001" t="inlineStr">
        <is>
          <t>No</t>
        </is>
      </c>
      <c r="U1001" t="inlineStr">
        <is>
          <t>1 Year/18,000 Mile</t>
        </is>
      </c>
      <c r="V1001" t="inlineStr">
        <is>
          <t>Yes</t>
        </is>
      </c>
      <c r="W1001" t="inlineStr">
        <is>
          <t>Available to Order</t>
        </is>
      </c>
      <c r="X1001" t="inlineStr">
        <is>
          <t>Hyundai ix35 2015, Tucson 2017-10</t>
        </is>
      </c>
      <c r="Y1001" t="inlineStr">
        <is>
          <t>00082617967310</t>
        </is>
      </c>
      <c r="Z1001" t="inlineStr">
        <is>
          <t>43-45013::98353:89369:225</t>
        </is>
      </c>
      <c r="AA1001" t="inlineStr">
        <is>
          <t>Yes</t>
        </is>
      </c>
      <c r="AB1001" t="inlineStr"/>
      <c r="AC1001" t="inlineStr"/>
    </row>
    <row r="1002">
      <c r="A1002" t="inlineStr">
        <is>
          <t>1001</t>
        </is>
      </c>
      <c r="B1002" t="inlineStr">
        <is>
          <t>Windshield Wiper Motor</t>
        </is>
      </c>
      <c r="C1002" t="inlineStr">
        <is>
          <t>43-45014</t>
        </is>
      </c>
      <c r="D1002" t="inlineStr">
        <is>
          <t>Windshield Wiper Motor - 43-45014</t>
        </is>
      </c>
      <c r="E1002" t="inlineStr">
        <is>
          <t>CARDONE Reman</t>
        </is>
      </c>
      <c r="F1002" t="inlineStr">
        <is>
          <t>987001H300</t>
        </is>
      </c>
      <c r="G1002" t="inlineStr"/>
      <c r="H1002" t="inlineStr"/>
      <c r="I1002" t="inlineStr">
        <is>
          <t>{"0": {"productDeskExternalKey": "CPCX|43-45014"}, "1": {"Package Contents": "Wiper Motor; Instruction Sheet"}, "2": {"E-Waste": "Yes"}, "3": {"Product Condition": "Remanufactured"}, "4": {"Mounting Hole Quantity": "2"}, "5": {"Terminal Type": "Blade"}, "6": {"Mounting Type": "Direct Bolt; Grommet"}, "7": {"Weight PG": "2.4000"}, "8": {"Washer Pump Included": "No"}, "9": {"Part Type": "Windshield Wiper Motor"}, "10": {"Warranty Info": "1 Year/18,000 Mile"}, "11": {"Sustainable Choice": "Yes"}, "12": {"Lifecycle Status": "Available to Order"}, "13": {"Application Summary": "Hyundai ix35 2015, Tucson 2017-10"}, "14": {"ItemLevelGTIN": "00082617967327"}, "15": {"_addonCardone": "43-45014::98353:89372:225"}, "16": {"Eligible for R&amp;R Service": "Yes"}}</t>
        </is>
      </c>
      <c r="J1002" t="inlineStr">
        <is>
          <t>https://www.cardone.com/product/windshield-wiper-motor-43-45014</t>
        </is>
      </c>
      <c r="K1002">
        <f>DISPIMG("ID_BAFDA74C553F4375AE53CAE63187B1D8",1)</f>
        <v/>
      </c>
      <c r="L1002" t="inlineStr">
        <is>
          <t>CPCX|43-45014</t>
        </is>
      </c>
      <c r="M1002" t="inlineStr">
        <is>
          <t>Wiper Motor; Instruction Sheet</t>
        </is>
      </c>
      <c r="N1002" t="inlineStr">
        <is>
          <t>Yes</t>
        </is>
      </c>
      <c r="O1002" t="inlineStr">
        <is>
          <t>Remanufactured</t>
        </is>
      </c>
      <c r="P1002" t="inlineStr">
        <is>
          <t>2</t>
        </is>
      </c>
      <c r="Q1002" t="inlineStr">
        <is>
          <t>Blade</t>
        </is>
      </c>
      <c r="R1002" t="inlineStr">
        <is>
          <t>Direct Bolt; Grommet</t>
        </is>
      </c>
      <c r="S1002" t="inlineStr">
        <is>
          <t>2.4000</t>
        </is>
      </c>
      <c r="T1002" t="inlineStr">
        <is>
          <t>No</t>
        </is>
      </c>
      <c r="U1002" t="inlineStr">
        <is>
          <t>1 Year/18,000 Mile</t>
        </is>
      </c>
      <c r="V1002" t="inlineStr">
        <is>
          <t>Yes</t>
        </is>
      </c>
      <c r="W1002" t="inlineStr">
        <is>
          <t>Available to Order</t>
        </is>
      </c>
      <c r="X1002" t="inlineStr">
        <is>
          <t>Hyundai ix35 2015, Tucson 2017-10</t>
        </is>
      </c>
      <c r="Y1002" t="inlineStr">
        <is>
          <t>00082617967327</t>
        </is>
      </c>
      <c r="Z1002" t="inlineStr">
        <is>
          <t>43-45014::98353:89372:225</t>
        </is>
      </c>
      <c r="AA1002" t="inlineStr">
        <is>
          <t>Yes</t>
        </is>
      </c>
      <c r="AB1002" t="inlineStr"/>
      <c r="AC1002" t="inlineStr"/>
    </row>
    <row r="1003">
      <c r="A1003" t="inlineStr">
        <is>
          <t>1002</t>
        </is>
      </c>
      <c r="B1003" t="inlineStr">
        <is>
          <t>Windshield Wiper Motor</t>
        </is>
      </c>
      <c r="C1003" t="inlineStr">
        <is>
          <t>43-45017</t>
        </is>
      </c>
      <c r="D1003" t="inlineStr">
        <is>
          <t>Windshield Wiper Motor - 43-45017</t>
        </is>
      </c>
      <c r="E1003" t="inlineStr">
        <is>
          <t>CARDONE Reman</t>
        </is>
      </c>
      <c r="F1003" t="inlineStr">
        <is>
          <t>LR020112</t>
        </is>
      </c>
      <c r="G1003" t="inlineStr">
        <is>
          <t>Land Rover LR4 2010-2016
Land Rover Range Rover Sport 2010-2013</t>
        </is>
      </c>
      <c r="H1003" t="inlineStr">
        <is>
          <t>Land Rover LR4 2010-2013 5L V8 5000cc
Land Rover LR4 2014-2016 3L V6 183cid
Land Rover Range Rover Sport 2010-2013 5L V8 5000cc
Land Rover Range Rover Sport 2011-2013 5L V8 305cid</t>
        </is>
      </c>
      <c r="I1003" t="inlineStr">
        <is>
          <t>{"0": {"productDeskExternalKey": "CPCX|43-45017"}, "1": {"E-Waste": "Yes"}, "2": {"Product Condition": "Remanufactured"}, "3": {"Weight PG": "2.5000"}, "4": {"Part Type": "Windshield Wiper Motor"}, "5": {"Warranty Info": "1 Year/18,000 Mile"}, "6": {"Sustainable Choice": "Yes"}, "7": {"Lifecycle Status": "Available to Order"}, "8": {"Application Summary": "Land Rover LR4 2016-10, Range Rover Sport 2013-10"}, "9": {"ItemLevelGTIN": "00082617967433"}, "10": {"_addonCardone": "43-45017::98353:89376:225"}, "11": {"Eligible for R&amp;R Service": "Yes"}}</t>
        </is>
      </c>
      <c r="J1003" t="inlineStr">
        <is>
          <t>https://www.cardone.com/product/windshield-wiper-motor-43-45017</t>
        </is>
      </c>
      <c r="K1003">
        <f>DISPIMG("ID_A6B8D9ACC23247C2AD248711B27E508D",1)</f>
        <v/>
      </c>
      <c r="L1003" t="inlineStr">
        <is>
          <t>CPCX|43-45017</t>
        </is>
      </c>
      <c r="M1003" t="inlineStr"/>
      <c r="N1003" t="inlineStr">
        <is>
          <t>Yes</t>
        </is>
      </c>
      <c r="O1003" t="inlineStr">
        <is>
          <t>Remanufactured</t>
        </is>
      </c>
      <c r="P1003" t="inlineStr"/>
      <c r="Q1003" t="inlineStr"/>
      <c r="R1003" t="inlineStr"/>
      <c r="S1003" t="inlineStr">
        <is>
          <t>2.5000</t>
        </is>
      </c>
      <c r="T1003" t="inlineStr"/>
      <c r="U1003" t="inlineStr">
        <is>
          <t>1 Year/18,000 Mile</t>
        </is>
      </c>
      <c r="V1003" t="inlineStr">
        <is>
          <t>Yes</t>
        </is>
      </c>
      <c r="W1003" t="inlineStr">
        <is>
          <t>Available to Order</t>
        </is>
      </c>
      <c r="X1003" t="inlineStr">
        <is>
          <t>Land Rover LR4 2016-10, Range Rover Sport 2013-10</t>
        </is>
      </c>
      <c r="Y1003" t="inlineStr">
        <is>
          <t>00082617967433</t>
        </is>
      </c>
      <c r="Z1003" t="inlineStr">
        <is>
          <t>43-45017::98353:89376:225</t>
        </is>
      </c>
      <c r="AA1003" t="inlineStr">
        <is>
          <t>Yes</t>
        </is>
      </c>
      <c r="AB1003" t="inlineStr"/>
      <c r="AC1003" t="inlineStr"/>
    </row>
    <row r="1004">
      <c r="A1004" t="inlineStr">
        <is>
          <t>1003</t>
        </is>
      </c>
      <c r="B1004" t="inlineStr">
        <is>
          <t>Windshield Wiper Motor</t>
        </is>
      </c>
      <c r="C1004" t="inlineStr">
        <is>
          <t>43-4502</t>
        </is>
      </c>
      <c r="D1004" t="inlineStr">
        <is>
          <t>Windshield Wiper Motor - 43-4502</t>
        </is>
      </c>
      <c r="E1004" t="inlineStr">
        <is>
          <t>CARDONE Reman</t>
        </is>
      </c>
      <c r="F1004" t="inlineStr">
        <is>
          <t>786511031</t>
        </is>
      </c>
      <c r="G1004" t="inlineStr">
        <is>
          <t>Subaru DL 1985-1989
Subaru GL 1981-1984
Subaru GLF 1982</t>
        </is>
      </c>
      <c r="H1004" t="inlineStr">
        <is>
          <t>Subaru DL 1985-1989 1.8L H4 1781cc
Subaru GL 1981-1984 1.8L H4 1781cc
Subaru GLF 1982 1.8L H4 1781cc</t>
        </is>
      </c>
      <c r="I1004" t="inlineStr">
        <is>
          <t>{"0": {"productDeskExternalKey": "CPCX|43-4502"}, "1": {"Package Contents": "Wiper Motor; Instruction Sheet"}, "2": {"E-Waste": "Yes"}, "3": {"Product Condition": "Remanufactured"}, "4": {"Mounting Hole Quantity": "2"}, "5": {"Terminal Type": "Blade"}, "6": {"Mounting Type": "Grommet"}, "7": {"Weight PG": "1.8000"}, "8": {"Washer Pump Included": "No"}, "9": {"Part Type": "Windshield Wiper Motor"}, "10": {"Warranty Info": "1 Year/18,000 Mile"}, "11": {"Sustainable Choice": "Yes"}, "12": {"Lifecycle Status": "Available to Order"}, "13": {"Application Summary": "Subaru DL 1989-85, GL 1984-81, GLF 1982"}, "14": {"ItemLevelGTIN": "00082617496261"}, "15": {"_addonCardone": "43-4502::98353:89379:225"}, "16": {"Eligible for R&amp;R Service": "Yes"}}</t>
        </is>
      </c>
      <c r="J1004" t="inlineStr">
        <is>
          <t>https://www.cardone.com/product/windshield-wiper-motor-43-4502</t>
        </is>
      </c>
      <c r="K1004">
        <f>DISPIMG("ID_61B8A16223734847B6E60E6102A28D5A",1)</f>
        <v/>
      </c>
      <c r="L1004" t="inlineStr">
        <is>
          <t>CPCX|43-4502</t>
        </is>
      </c>
      <c r="M1004" t="inlineStr">
        <is>
          <t>Wiper Motor; Instruction Sheet</t>
        </is>
      </c>
      <c r="N1004" t="inlineStr">
        <is>
          <t>Yes</t>
        </is>
      </c>
      <c r="O1004" t="inlineStr">
        <is>
          <t>Remanufactured</t>
        </is>
      </c>
      <c r="P1004" t="inlineStr">
        <is>
          <t>2</t>
        </is>
      </c>
      <c r="Q1004" t="inlineStr">
        <is>
          <t>Blade</t>
        </is>
      </c>
      <c r="R1004" t="inlineStr">
        <is>
          <t>Grommet</t>
        </is>
      </c>
      <c r="S1004" t="inlineStr">
        <is>
          <t>1.8000</t>
        </is>
      </c>
      <c r="T1004" t="inlineStr">
        <is>
          <t>No</t>
        </is>
      </c>
      <c r="U1004" t="inlineStr">
        <is>
          <t>1 Year/18,000 Mile</t>
        </is>
      </c>
      <c r="V1004" t="inlineStr">
        <is>
          <t>Yes</t>
        </is>
      </c>
      <c r="W1004" t="inlineStr">
        <is>
          <t>Available to Order</t>
        </is>
      </c>
      <c r="X1004" t="inlineStr">
        <is>
          <t>Subaru DL 1989-85, GL 1984-81, GLF 1982</t>
        </is>
      </c>
      <c r="Y1004" t="inlineStr">
        <is>
          <t>00082617496261</t>
        </is>
      </c>
      <c r="Z1004" t="inlineStr">
        <is>
          <t>43-4502::98353:89379:225</t>
        </is>
      </c>
      <c r="AA1004" t="inlineStr">
        <is>
          <t>Yes</t>
        </is>
      </c>
      <c r="AB1004" t="inlineStr"/>
      <c r="AC1004" t="inlineStr"/>
    </row>
    <row r="1005">
      <c r="A1005" t="inlineStr">
        <is>
          <t>1004</t>
        </is>
      </c>
      <c r="B1005" t="inlineStr">
        <is>
          <t>Windshield Wiper Motor</t>
        </is>
      </c>
      <c r="C1005" t="inlineStr">
        <is>
          <t>43-45020</t>
        </is>
      </c>
      <c r="D1005" t="inlineStr">
        <is>
          <t>Windshield Wiper Motor - 43-45020</t>
        </is>
      </c>
      <c r="E1005" t="inlineStr">
        <is>
          <t>CARDONE Reman</t>
        </is>
      </c>
      <c r="F1005" t="inlineStr">
        <is>
          <t>987101M000</t>
        </is>
      </c>
      <c r="G1005" t="inlineStr">
        <is>
          <t>Kia Forte 2011-2013
Kia Forte5 2012-2013</t>
        </is>
      </c>
      <c r="H1005" t="inlineStr">
        <is>
          <t>Kia Forte 2011-2013 2.4L L4 2359cc
Kia Forte 2011-2013 2L L4 122cid
Kia Forte5 2012-2013 2.4L L4 2359cc
Kia Forte5 2012-2013 2L L4 122cid</t>
        </is>
      </c>
      <c r="I1005" t="inlineStr">
        <is>
          <t>{"0": {"productDeskExternalKey": "CPCX|43-45020"}, "1": {"E-Waste": "Yes"}, "2": {"Product Condition": "Remanufactured"}, "3": {"Weight PG": "2.7000"}, "4": {"Part Type": "Windshield Wiper Motor"}, "5": {"Warranty Info": "1 Year/18,000 Mile"}, "6": {"Sustainable Choice": "Yes"}, "7": {"Lifecycle Status": "Available to Order"}, "8": {"Application Summary": "Kia Forte 2013-11, Forte5 2013-12"}, "9": {"ItemLevelGTIN": "00884548028814"}, "10": {"_addonCardone": "43-45020::98353:89382:225"}, "11": {"Eligible for R&amp;R Service": "Yes"}}</t>
        </is>
      </c>
      <c r="J1005" t="inlineStr">
        <is>
          <t>https://www.cardone.com/product/windshield-wiper-motor-43-45020</t>
        </is>
      </c>
      <c r="K1005">
        <f>DISPIMG("ID_5A91DCAC744E4AB4A93EC73A13519013",1)</f>
        <v/>
      </c>
      <c r="L1005" t="inlineStr">
        <is>
          <t>CPCX|43-45020</t>
        </is>
      </c>
      <c r="M1005" t="inlineStr"/>
      <c r="N1005" t="inlineStr">
        <is>
          <t>Yes</t>
        </is>
      </c>
      <c r="O1005" t="inlineStr">
        <is>
          <t>Remanufactured</t>
        </is>
      </c>
      <c r="P1005" t="inlineStr"/>
      <c r="Q1005" t="inlineStr"/>
      <c r="R1005" t="inlineStr"/>
      <c r="S1005" t="inlineStr">
        <is>
          <t>2.7000</t>
        </is>
      </c>
      <c r="T1005" t="inlineStr"/>
      <c r="U1005" t="inlineStr">
        <is>
          <t>1 Year/18,000 Mile</t>
        </is>
      </c>
      <c r="V1005" t="inlineStr">
        <is>
          <t>Yes</t>
        </is>
      </c>
      <c r="W1005" t="inlineStr">
        <is>
          <t>Available to Order</t>
        </is>
      </c>
      <c r="X1005" t="inlineStr">
        <is>
          <t>Kia Forte 2013-11, Forte5 2013-12</t>
        </is>
      </c>
      <c r="Y1005" t="inlineStr">
        <is>
          <t>00884548028814</t>
        </is>
      </c>
      <c r="Z1005" t="inlineStr">
        <is>
          <t>43-45020::98353:89382:225</t>
        </is>
      </c>
      <c r="AA1005" t="inlineStr">
        <is>
          <t>Yes</t>
        </is>
      </c>
      <c r="AB1005" t="inlineStr"/>
      <c r="AC1005" t="inlineStr"/>
    </row>
    <row r="1006">
      <c r="A1006" t="inlineStr">
        <is>
          <t>1005</t>
        </is>
      </c>
      <c r="B1006" t="inlineStr">
        <is>
          <t>Windshield Wiper Motor</t>
        </is>
      </c>
      <c r="C1006" t="inlineStr">
        <is>
          <t>43-45022</t>
        </is>
      </c>
      <c r="D1006" t="inlineStr">
        <is>
          <t>Windshield Wiper Motor - 43-45022</t>
        </is>
      </c>
      <c r="E1006" t="inlineStr">
        <is>
          <t>CARDONE Reman</t>
        </is>
      </c>
      <c r="F1006" t="inlineStr">
        <is>
          <t>987002P500;987002P000</t>
        </is>
      </c>
      <c r="G1006" t="inlineStr"/>
      <c r="H1006" t="inlineStr"/>
      <c r="I1006" t="inlineStr">
        <is>
          <t>{"0": {"productDeskExternalKey": "CPCX|43-45022"}, "1": {"Package Contents": "Wiper Motor; Instruction Sheet"}, "2": {"E-Waste": "Yes"}, "3": {"Product Condition": "Remanufactured"}, "4": {"Mounting Hole Quantity": "2"}, "5": {"Terminal Type": "Blade"}, "6": {"Mounting Type": "Grommet"}, "7": {"Weight PG": "2.6000"}, "8": {"Washer Pump Included": "No"}, "9": {"Part Type": "Windshield Wiper Motor"}, "10": {"Warranty Info": "1 Year/18,000 Mile"}, "11": {"Sustainable Choice": "Yes"}, "12": {"Lifecycle Status": "Available to Order"}, "13": {"Application Summary": "Kia Sorento 2015-11"}, "14": {"ItemLevelGTIN": "00884548028821"}, "15": {"_addonCardone": "43-45022::98353:89385:225"}, "16": {"Eligible for R&amp;R Service": "Yes"}}</t>
        </is>
      </c>
      <c r="J1006" t="inlineStr">
        <is>
          <t>https://www.cardone.com/product/windshield-wiper-motor-43-45022</t>
        </is>
      </c>
      <c r="K1006">
        <f>DISPIMG("ID_DF7427B0B64E47EE8B168E032AB28D9F",1)</f>
        <v/>
      </c>
      <c r="L1006" t="inlineStr">
        <is>
          <t>CPCX|43-45022</t>
        </is>
      </c>
      <c r="M1006" t="inlineStr">
        <is>
          <t>Wiper Motor; Instruction Sheet</t>
        </is>
      </c>
      <c r="N1006" t="inlineStr">
        <is>
          <t>Yes</t>
        </is>
      </c>
      <c r="O1006" t="inlineStr">
        <is>
          <t>Remanufactured</t>
        </is>
      </c>
      <c r="P1006" t="inlineStr">
        <is>
          <t>2</t>
        </is>
      </c>
      <c r="Q1006" t="inlineStr">
        <is>
          <t>Blade</t>
        </is>
      </c>
      <c r="R1006" t="inlineStr">
        <is>
          <t>Grommet</t>
        </is>
      </c>
      <c r="S1006" t="inlineStr">
        <is>
          <t>2.6000</t>
        </is>
      </c>
      <c r="T1006" t="inlineStr">
        <is>
          <t>No</t>
        </is>
      </c>
      <c r="U1006" t="inlineStr">
        <is>
          <t>1 Year/18,000 Mile</t>
        </is>
      </c>
      <c r="V1006" t="inlineStr">
        <is>
          <t>Yes</t>
        </is>
      </c>
      <c r="W1006" t="inlineStr">
        <is>
          <t>Available to Order</t>
        </is>
      </c>
      <c r="X1006" t="inlineStr">
        <is>
          <t>Kia Sorento 2015-11</t>
        </is>
      </c>
      <c r="Y1006" t="inlineStr">
        <is>
          <t>00884548028821</t>
        </is>
      </c>
      <c r="Z1006" t="inlineStr">
        <is>
          <t>43-45022::98353:89385:225</t>
        </is>
      </c>
      <c r="AA1006" t="inlineStr">
        <is>
          <t>Yes</t>
        </is>
      </c>
      <c r="AB1006" t="inlineStr"/>
      <c r="AC1006" t="inlineStr"/>
    </row>
    <row r="1007">
      <c r="A1007" t="inlineStr">
        <is>
          <t>1006</t>
        </is>
      </c>
      <c r="B1007" t="inlineStr">
        <is>
          <t>Windshield Wiper Motor</t>
        </is>
      </c>
      <c r="C1007" t="inlineStr">
        <is>
          <t>43-45024</t>
        </is>
      </c>
      <c r="D1007" t="inlineStr">
        <is>
          <t>Windshield Wiper Motor - 43-45024</t>
        </is>
      </c>
      <c r="E1007" t="inlineStr">
        <is>
          <t>CARDONE Reman</t>
        </is>
      </c>
      <c r="F1007" t="inlineStr">
        <is>
          <t>987103W000</t>
        </is>
      </c>
      <c r="G1007" t="inlineStr">
        <is>
          <t>Kia Sportage 2011-2015</t>
        </is>
      </c>
      <c r="H1007" t="inlineStr">
        <is>
          <t>Kia Sportage 2011-2015 2.4L L4 2359cc
Kia Sportage 2011-2015 2L L4 122cid</t>
        </is>
      </c>
      <c r="I1007" t="inlineStr">
        <is>
          <t>{"0": {"productDeskExternalKey": "CPCX|43-45024"}, "1": {"E-Waste": "Yes"}, "2": {"Product Condition": "Remanufactured"}, "3": {"Weight PG": "2.1000"}, "4": {"Part Type": "Windshield Wiper Motor"}, "5": {"Warranty Info": "1 Year/18,000 Mile"}, "6": {"Sustainable Choice": "Yes"}, "7": {"Lifecycle Status": "Available to Order"}, "8": {"Application Summary": "Kia Sportage 2015-11"}, "9": {"ItemLevelGTIN": "00884548028845"}, "10": {"_addonCardone": "43-45024::98353:89444:225"}, "11": {"Eligible for R&amp;R Service": "Yes"}}</t>
        </is>
      </c>
      <c r="J1007" t="inlineStr">
        <is>
          <t>https://www.cardone.com/product/windshield-wiper-motor-43-45024</t>
        </is>
      </c>
      <c r="K1007">
        <f>DISPIMG("ID_EBEA77C903A14301B3D28EE3B5076CFA",1)</f>
        <v/>
      </c>
      <c r="L1007" t="inlineStr">
        <is>
          <t>CPCX|43-45024</t>
        </is>
      </c>
      <c r="M1007" t="inlineStr"/>
      <c r="N1007" t="inlineStr">
        <is>
          <t>Yes</t>
        </is>
      </c>
      <c r="O1007" t="inlineStr">
        <is>
          <t>Remanufactured</t>
        </is>
      </c>
      <c r="P1007" t="inlineStr"/>
      <c r="Q1007" t="inlineStr"/>
      <c r="R1007" t="inlineStr"/>
      <c r="S1007" t="inlineStr">
        <is>
          <t>2.1000</t>
        </is>
      </c>
      <c r="T1007" t="inlineStr"/>
      <c r="U1007" t="inlineStr">
        <is>
          <t>1 Year/18,000 Mile</t>
        </is>
      </c>
      <c r="V1007" t="inlineStr">
        <is>
          <t>Yes</t>
        </is>
      </c>
      <c r="W1007" t="inlineStr">
        <is>
          <t>Available to Order</t>
        </is>
      </c>
      <c r="X1007" t="inlineStr">
        <is>
          <t>Kia Sportage 2015-11</t>
        </is>
      </c>
      <c r="Y1007" t="inlineStr">
        <is>
          <t>00884548028845</t>
        </is>
      </c>
      <c r="Z1007" t="inlineStr">
        <is>
          <t>43-45024::98353:89444:225</t>
        </is>
      </c>
      <c r="AA1007" t="inlineStr">
        <is>
          <t>Yes</t>
        </is>
      </c>
      <c r="AB1007" t="inlineStr"/>
      <c r="AC1007" t="inlineStr"/>
    </row>
    <row r="1008">
      <c r="A1008" t="inlineStr">
        <is>
          <t>1007</t>
        </is>
      </c>
      <c r="B1008" t="inlineStr">
        <is>
          <t>Windshield Wiper Motor</t>
        </is>
      </c>
      <c r="C1008" t="inlineStr">
        <is>
          <t>43-45026</t>
        </is>
      </c>
      <c r="D1008" t="inlineStr">
        <is>
          <t>Windshield Wiper Motor - 43-45026</t>
        </is>
      </c>
      <c r="E1008" t="inlineStr">
        <is>
          <t>CARDONE Reman</t>
        </is>
      </c>
      <c r="F1008" t="inlineStr">
        <is>
          <t>981101H000</t>
        </is>
      </c>
      <c r="G1008" t="inlineStr">
        <is>
          <t>Kia Sportage 2011-2015</t>
        </is>
      </c>
      <c r="H1008" t="inlineStr">
        <is>
          <t>Kia Sportage 2011-2015 2.4L L4 2359cc
Kia Sportage 2011-2015 2L L4 122cid</t>
        </is>
      </c>
      <c r="I1008" t="inlineStr">
        <is>
          <t>{"0": {"productDeskExternalKey": "CPCX|43-45026"},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"Hyundai Elantra 2012-09, Elantra GT 2013, Santa Fe 2018-13, Santa Fe Sport 2018-13, Santa Fe XL 2019 2016-13; Kia Sportage 2015-11"}, "14": {"ItemLevelGTIN": "00884548068148"}, "15": {"_addonCardone": "43-45026::98353:89450:225"}, "16": {"Eligible for R&amp;R Service": "Yes"}}</t>
        </is>
      </c>
      <c r="J1008" t="inlineStr">
        <is>
          <t>https://www.cardone.com/product/windshield-wiper-motor-43-45026</t>
        </is>
      </c>
      <c r="K1008">
        <f>DISPIMG("ID_06697E2E7E674B90A03DFACA5ADF5338",1)</f>
        <v/>
      </c>
      <c r="L1008" t="inlineStr">
        <is>
          <t>CPCX|43-45026</t>
        </is>
      </c>
      <c r="M1008" t="inlineStr">
        <is>
          <t>Wiper Motor; Instruction Sheet</t>
        </is>
      </c>
      <c r="N1008" t="inlineStr">
        <is>
          <t>Yes</t>
        </is>
      </c>
      <c r="O1008" t="inlineStr">
        <is>
          <t>Remanufactured</t>
        </is>
      </c>
      <c r="P1008" t="inlineStr">
        <is>
          <t>3</t>
        </is>
      </c>
      <c r="Q1008" t="inlineStr">
        <is>
          <t>Blade</t>
        </is>
      </c>
      <c r="R1008" t="inlineStr">
        <is>
          <t>Direct Bolt</t>
        </is>
      </c>
      <c r="S1008" t="inlineStr">
        <is>
          <t>3.0000</t>
        </is>
      </c>
      <c r="T1008" t="inlineStr">
        <is>
          <t>No</t>
        </is>
      </c>
      <c r="U1008" t="inlineStr">
        <is>
          <t>1 Year/18,000 Mile</t>
        </is>
      </c>
      <c r="V1008" t="inlineStr">
        <is>
          <t>Yes</t>
        </is>
      </c>
      <c r="W1008" t="inlineStr">
        <is>
          <t>Available to Order</t>
        </is>
      </c>
      <c r="X1008" t="inlineStr">
        <is>
          <t>Hyundai Elantra 2012-09, Elantra GT 2013, Santa Fe 2018-13, Santa Fe Sport 2018-13, Santa Fe XL 2019 2016-13; Kia Sportage 2015-11</t>
        </is>
      </c>
      <c r="Y1008" t="inlineStr">
        <is>
          <t>00884548068148</t>
        </is>
      </c>
      <c r="Z1008" t="inlineStr">
        <is>
          <t>43-45026::98353:89450:225</t>
        </is>
      </c>
      <c r="AA1008" t="inlineStr">
        <is>
          <t>Yes</t>
        </is>
      </c>
      <c r="AB1008" t="inlineStr"/>
      <c r="AC1008" t="inlineStr"/>
    </row>
    <row r="1009">
      <c r="A1009" t="inlineStr">
        <is>
          <t>1008</t>
        </is>
      </c>
      <c r="B1009" t="inlineStr">
        <is>
          <t>Windshield Wiper Motor</t>
        </is>
      </c>
      <c r="C1009" t="inlineStr">
        <is>
          <t>43-45027</t>
        </is>
      </c>
      <c r="D1009" t="inlineStr">
        <is>
          <t>Windshield Wiper Motor - 43-45027</t>
        </is>
      </c>
      <c r="E1009" t="inlineStr">
        <is>
          <t>CARDONE Reman</t>
        </is>
      </c>
      <c r="F1009" t="inlineStr">
        <is>
          <t>86510AJ00D;86510AJ00C;86510AJ00A</t>
        </is>
      </c>
      <c r="G1009" t="inlineStr">
        <is>
          <t>Subaru Legacy 2010-2014
Subaru Outback 2010-2014</t>
        </is>
      </c>
      <c r="H1009" t="inlineStr">
        <is>
          <t>Subaru Legacy 2010-2013 2.5L H4 2458cc
Subaru Legacy 2010-2014 3.6L H6 3630cc
Subaru Legacy 2013-2014 2.5L H4 152cid
Subaru Outback 2010-2014 2.5L H4 2458cc
Subaru Outback 2010-2014 3.6L H6 3630cc
Subaru Outback 2013-2014 2.5L H4 152cid</t>
        </is>
      </c>
      <c r="I1009" t="inlineStr">
        <is>
          <t>{"0": {"productDeskExternalKey": "CPCX|43-45027"}, "1": {"Package Contents": "Wiper Motor; Instruction Sheet"}, "2": {"E-Waste": "Yes"}, "3": {"Product Condition": "Remanufactured"}, "4": {"Mounting Hole Quantity": "2"}, "5": {"Terminal Type": "Blade"}, "6": {"Mounting Type": "Direct Bolt; Eyelet"}, "7": {"Weight PG": "3.0000"}, "8": {"Washer Pump Included": "No"}, "9": {"Part Type": "Windshield Wiper Motor"}, "10": {"Warranty Info": "1 Year/18,000 Mile"}, "11": {"Sustainable Choice": "Yes"}, "12": {"Lifecycle Status": "Available to Order"}, "13": {"Application Summary": "Subaru Legacy 2014-10, Outback 2014-10"}, "14": {"ItemLevelGTIN": "00884548068155"}, "15": {"_addonCardone": "43-45027::98353:89461:225"}, "16": {"Eligible for R&amp;R Service": "Yes"}}</t>
        </is>
      </c>
      <c r="J1009" t="inlineStr">
        <is>
          <t>https://www.cardone.com/product/windshield-wiper-motor-43-45027</t>
        </is>
      </c>
      <c r="K1009">
        <f>DISPIMG("ID_28B495FB347F4149B672C81817685DF7",1)</f>
        <v/>
      </c>
      <c r="L1009" t="inlineStr">
        <is>
          <t>CPCX|43-45027</t>
        </is>
      </c>
      <c r="M1009" t="inlineStr">
        <is>
          <t>Wiper Motor; Instruction Sheet</t>
        </is>
      </c>
      <c r="N1009" t="inlineStr">
        <is>
          <t>Yes</t>
        </is>
      </c>
      <c r="O1009" t="inlineStr">
        <is>
          <t>Remanufactured</t>
        </is>
      </c>
      <c r="P1009" t="inlineStr">
        <is>
          <t>2</t>
        </is>
      </c>
      <c r="Q1009" t="inlineStr">
        <is>
          <t>Blade</t>
        </is>
      </c>
      <c r="R1009" t="inlineStr">
        <is>
          <t>Direct Bolt; Eyelet</t>
        </is>
      </c>
      <c r="S1009" t="inlineStr">
        <is>
          <t>3.0000</t>
        </is>
      </c>
      <c r="T1009" t="inlineStr">
        <is>
          <t>No</t>
        </is>
      </c>
      <c r="U1009" t="inlineStr">
        <is>
          <t>1 Year/18,000 Mile</t>
        </is>
      </c>
      <c r="V1009" t="inlineStr">
        <is>
          <t>Yes</t>
        </is>
      </c>
      <c r="W1009" t="inlineStr">
        <is>
          <t>Available to Order</t>
        </is>
      </c>
      <c r="X1009" t="inlineStr">
        <is>
          <t>Subaru Legacy 2014-10, Outback 2014-10</t>
        </is>
      </c>
      <c r="Y1009" t="inlineStr">
        <is>
          <t>00884548068155</t>
        </is>
      </c>
      <c r="Z1009" t="inlineStr">
        <is>
          <t>43-45027::98353:89461:225</t>
        </is>
      </c>
      <c r="AA1009" t="inlineStr">
        <is>
          <t>Yes</t>
        </is>
      </c>
      <c r="AB1009" t="inlineStr"/>
      <c r="AC1009" t="inlineStr"/>
    </row>
    <row r="1010">
      <c r="A1010" t="inlineStr">
        <is>
          <t>1009</t>
        </is>
      </c>
      <c r="B1010" t="inlineStr">
        <is>
          <t>Windshield Wiper Motor</t>
        </is>
      </c>
      <c r="C1010" t="inlineStr">
        <is>
          <t>43-45028</t>
        </is>
      </c>
      <c r="D1010" t="inlineStr">
        <is>
          <t>Windshield Wiper Motor - 43-45028</t>
        </is>
      </c>
      <c r="E1010" t="inlineStr">
        <is>
          <t>CARDONE Reman</t>
        </is>
      </c>
      <c r="F1010" t="inlineStr">
        <is>
          <t>86510SC091;86510SC110</t>
        </is>
      </c>
      <c r="G1010" t="inlineStr">
        <is>
          <t>Subaru Forester 2010-2013
Subaru Impreza 2012
Subaru XV Crosstrek 2013-2014</t>
        </is>
      </c>
      <c r="H1010" t="inlineStr">
        <is>
          <t>Subaru Forester 2010-2013 2.5L H4 2458cc
Subaru Forester 2011-2013 2.5L H4 152cid
Subaru Impreza 2012 2L H4 122cid
Subaru Impreza 2012 2L H4 1995cc
Subaru XV Crosstrek 2013-2014 2L H4 1995cc</t>
        </is>
      </c>
      <c r="I1010" t="inlineStr">
        <is>
          <t>{"0": {"productDeskExternalKey": "CPCX|43-45028"}, "1": {"Package Contents": "Wiper Motor; Instruction Sheet"}, "2": {"E-Waste": "Yes"}, "3": {"Product Condition": "Remanufactured"}, "4": {"Mounting Hole Quantity": "3"}, "5": {"Terminal Type": "Blade"}, "6": {"Mounting Type": "Grommet"}, "7": {"Weight PG": "2.1500"}, "8": {"Washer Pump Included": "No"}, "9": {"Part Type": "Windshield Wiper Motor"}, "10": {"Warranty Info": "1 Year/18,000 Mile"}, "11": {"Sustainable Choice": "Yes"}, "12": {"Lifecycle Status": "Available to Order"}, "13": {"Application Summary": "Subaru Forester 2013-10, Impreza 2012, XV Crosstrek 2014-13"}, "14": {"ItemLevelGTIN": "00884548068162"}, "15": {"_addonCardone": "43-45028::98353:89469:225"}, "16": {"Eligible for R&amp;R Service": "Yes"}}</t>
        </is>
      </c>
      <c r="J1010" t="inlineStr">
        <is>
          <t>https://www.cardone.com/product/windshield-wiper-motor-43-45028</t>
        </is>
      </c>
      <c r="K1010">
        <f>DISPIMG("ID_9FB74BB324F745C486B2238F1CE4C242",1)</f>
        <v/>
      </c>
      <c r="L1010" t="inlineStr">
        <is>
          <t>CPCX|43-45028</t>
        </is>
      </c>
      <c r="M1010" t="inlineStr">
        <is>
          <t>Wiper Motor; Instruction Sheet</t>
        </is>
      </c>
      <c r="N1010" t="inlineStr">
        <is>
          <t>Yes</t>
        </is>
      </c>
      <c r="O1010" t="inlineStr">
        <is>
          <t>Remanufactured</t>
        </is>
      </c>
      <c r="P1010" t="inlineStr">
        <is>
          <t>3</t>
        </is>
      </c>
      <c r="Q1010" t="inlineStr">
        <is>
          <t>Blade</t>
        </is>
      </c>
      <c r="R1010" t="inlineStr">
        <is>
          <t>Grommet</t>
        </is>
      </c>
      <c r="S1010" t="inlineStr">
        <is>
          <t>2.1500</t>
        </is>
      </c>
      <c r="T1010" t="inlineStr">
        <is>
          <t>No</t>
        </is>
      </c>
      <c r="U1010" t="inlineStr">
        <is>
          <t>1 Year/18,000 Mile</t>
        </is>
      </c>
      <c r="V1010" t="inlineStr">
        <is>
          <t>Yes</t>
        </is>
      </c>
      <c r="W1010" t="inlineStr">
        <is>
          <t>Available to Order</t>
        </is>
      </c>
      <c r="X1010" t="inlineStr">
        <is>
          <t>Subaru Forester 2013-10, Impreza 2012, XV Crosstrek 2014-13</t>
        </is>
      </c>
      <c r="Y1010" t="inlineStr">
        <is>
          <t>00884548068162</t>
        </is>
      </c>
      <c r="Z1010" t="inlineStr">
        <is>
          <t>43-45028::98353:89469:225</t>
        </is>
      </c>
      <c r="AA1010" t="inlineStr">
        <is>
          <t>Yes</t>
        </is>
      </c>
      <c r="AB1010" t="inlineStr"/>
      <c r="AC1010" t="inlineStr"/>
    </row>
    <row r="1011">
      <c r="A1011" t="inlineStr">
        <is>
          <t>1010</t>
        </is>
      </c>
      <c r="B1011" t="inlineStr">
        <is>
          <t>Windshield Wiper Motor</t>
        </is>
      </c>
      <c r="C1011" t="inlineStr">
        <is>
          <t>43-4503</t>
        </is>
      </c>
      <c r="D1011" t="inlineStr">
        <is>
          <t>Windshield Wiper Motor - 43-4503</t>
        </is>
      </c>
      <c r="E1011" t="inlineStr">
        <is>
          <t>CARDONE Reman</t>
        </is>
      </c>
      <c r="F1011" t="inlineStr">
        <is>
          <t>86511GA240</t>
        </is>
      </c>
      <c r="G1011" t="inlineStr">
        <is>
          <t>Subaru GL 1985-1989
Subaru GL-10 1985-1989
Subaru Loyale 1990-1994
Subaru Standard 1985</t>
        </is>
      </c>
      <c r="H1011" t="inlineStr">
        <is>
          <t>Subaru GL 1985-1989 1.8L H4 1781cc
Subaru GL 1986-1987 1.6L H4 1595cc
Subaru GL-10 1985-1989 1.8L H4 1781cc
Subaru Loyale 1990-1994 1.8L H4 1781cc
Subaru Standard 1985 1.6L H4 1595cc</t>
        </is>
      </c>
      <c r="I1011" t="inlineStr">
        <is>
          <t>{"0": {"productDeskExternalKey": "CPCX|43-4503"}, "1": {"Package Contents": "Wiper Motor; Instruction Sheet"}, "2": {"E-Waste": "Yes"}, "3": {"Product Condition": "Remanufactured"}, "4": {"Mounting Hole Quantity": "2"}, "5": {"Terminal Type": "Blade"}, "6": {"Mounting Type": "Grommet"}, "7": {"Weight PG": "1.7600"}, "8": {"Washer Pump Included": "No"}, "9": {"Part Type": "Windshield Wiper Motor"}, "10": {"Warranty Info": "1 Year/18,000 Mile"}, "11": {"Sustainable Choice": "Yes"}, "12": {"Lifecycle Status": "Available to Order"}, "13": {"Application Summary": "Subaru GL 1989-85, GL-10 1989-85, Loyale 1994-90, Standard 1985"}, "14": {"ItemLevelGTIN": "00082617496278"}, "15": {"_addonCardone": "43-4503::98353:89479:225"}, "16": {"Eligible for R&amp;R Service": "Yes"}}</t>
        </is>
      </c>
      <c r="J1011" t="inlineStr">
        <is>
          <t>https://www.cardone.com/product/windshield-wiper-motor-43-4503</t>
        </is>
      </c>
      <c r="K1011">
        <f>DISPIMG("ID_E639913B30934FCCB8B5B5D2FFC21985",1)</f>
        <v/>
      </c>
      <c r="L1011" t="inlineStr">
        <is>
          <t>CPCX|43-4503</t>
        </is>
      </c>
      <c r="M1011" t="inlineStr">
        <is>
          <t>Wiper Motor; Instruction Sheet</t>
        </is>
      </c>
      <c r="N1011" t="inlineStr">
        <is>
          <t>Yes</t>
        </is>
      </c>
      <c r="O1011" t="inlineStr">
        <is>
          <t>Remanufactured</t>
        </is>
      </c>
      <c r="P1011" t="inlineStr">
        <is>
          <t>2</t>
        </is>
      </c>
      <c r="Q1011" t="inlineStr">
        <is>
          <t>Blade</t>
        </is>
      </c>
      <c r="R1011" t="inlineStr">
        <is>
          <t>Grommet</t>
        </is>
      </c>
      <c r="S1011" t="inlineStr">
        <is>
          <t>1.7600</t>
        </is>
      </c>
      <c r="T1011" t="inlineStr">
        <is>
          <t>No</t>
        </is>
      </c>
      <c r="U1011" t="inlineStr">
        <is>
          <t>1 Year/18,000 Mile</t>
        </is>
      </c>
      <c r="V1011" t="inlineStr">
        <is>
          <t>Yes</t>
        </is>
      </c>
      <c r="W1011" t="inlineStr">
        <is>
          <t>Available to Order</t>
        </is>
      </c>
      <c r="X1011" t="inlineStr">
        <is>
          <t>Subaru GL 1989-85, GL-10 1989-85, Loyale 1994-90, Standard 1985</t>
        </is>
      </c>
      <c r="Y1011" t="inlineStr">
        <is>
          <t>00082617496278</t>
        </is>
      </c>
      <c r="Z1011" t="inlineStr">
        <is>
          <t>43-4503::98353:89479:225</t>
        </is>
      </c>
      <c r="AA1011" t="inlineStr">
        <is>
          <t>Yes</t>
        </is>
      </c>
      <c r="AB1011" t="inlineStr"/>
      <c r="AC1011" t="inlineStr"/>
    </row>
    <row r="1012">
      <c r="A1012" t="inlineStr">
        <is>
          <t>1011</t>
        </is>
      </c>
      <c r="B1012" t="inlineStr">
        <is>
          <t>Windshield Wiper Motor</t>
        </is>
      </c>
      <c r="C1012" t="inlineStr">
        <is>
          <t>43-45030</t>
        </is>
      </c>
      <c r="D1012" t="inlineStr">
        <is>
          <t>Windshield Wiper Motor - 43-45030</t>
        </is>
      </c>
      <c r="E1012" t="inlineStr">
        <is>
          <t>CARDONE Reman</t>
        </is>
      </c>
      <c r="F1012" t="inlineStr">
        <is>
          <t>987002J101</t>
        </is>
      </c>
      <c r="G1012" t="inlineStr">
        <is>
          <t>Kia Borrego 2009-2011</t>
        </is>
      </c>
      <c r="H1012" t="inlineStr">
        <is>
          <t>Kia Borrego 2009-2011 3.8L V6 231cid
Kia Borrego 2009-2011 4.6L V8 4627cc</t>
        </is>
      </c>
      <c r="I1012" t="inlineStr">
        <is>
          <t>{"0": {"productDeskExternalKey": "CPCX|43-45030"}, "1": {"Package Contents": "Wiper Motor; Instruction Sheet"}, "2": {"E-Waste": "Yes"}, "3": {"Product Condition": "Remanufactured"}, "4": {"Mounting Hole Quantity": "3"}, "5": {"Terminal Type": "Blade"}, "6": {"Mounting Type": "Grommet; Through Hole"}, "7": {"Weight PG": "2.5000"}, "8": {"Washer Pump Included": "No"}, "9": {"Part Type": "Windshield Wiper Motor"}, "10": {"Warranty Info": "1 Year/18,000 Mile"}, "11": {"Sustainable Choice": "Yes"}, "12": {"Lifecycle Status": "Available to Order"}, "13": {"Application Summary": "Kia Borrego 2011-09"}, "14": {"ItemLevelGTIN": "00884548068735"}, "15": {"_addonCardone": "43-45030::98353:89488:225"}, "16": {"Eligible for R&amp;R Service": "Yes"}}</t>
        </is>
      </c>
      <c r="J1012" t="inlineStr">
        <is>
          <t>https://www.cardone.com/product/windshield-wiper-motor-43-45030</t>
        </is>
      </c>
      <c r="K1012">
        <f>DISPIMG("ID_EDD6FDE636AD4A50A8F0ABB2E2A102AD",1)</f>
        <v/>
      </c>
      <c r="L1012" t="inlineStr">
        <is>
          <t>CPCX|43-45030</t>
        </is>
      </c>
      <c r="M1012" t="inlineStr">
        <is>
          <t>Wiper Motor; Instruction Sheet</t>
        </is>
      </c>
      <c r="N1012" t="inlineStr">
        <is>
          <t>Yes</t>
        </is>
      </c>
      <c r="O1012" t="inlineStr">
        <is>
          <t>Remanufactured</t>
        </is>
      </c>
      <c r="P1012" t="inlineStr">
        <is>
          <t>3</t>
        </is>
      </c>
      <c r="Q1012" t="inlineStr">
        <is>
          <t>Blade</t>
        </is>
      </c>
      <c r="R1012" t="inlineStr">
        <is>
          <t>Grommet; Through Hole</t>
        </is>
      </c>
      <c r="S1012" t="inlineStr">
        <is>
          <t>2.5000</t>
        </is>
      </c>
      <c r="T1012" t="inlineStr">
        <is>
          <t>No</t>
        </is>
      </c>
      <c r="U1012" t="inlineStr">
        <is>
          <t>1 Year/18,000 Mile</t>
        </is>
      </c>
      <c r="V1012" t="inlineStr">
        <is>
          <t>Yes</t>
        </is>
      </c>
      <c r="W1012" t="inlineStr">
        <is>
          <t>Available to Order</t>
        </is>
      </c>
      <c r="X1012" t="inlineStr">
        <is>
          <t>Kia Borrego 2011-09</t>
        </is>
      </c>
      <c r="Y1012" t="inlineStr">
        <is>
          <t>00884548068735</t>
        </is>
      </c>
      <c r="Z1012" t="inlineStr">
        <is>
          <t>43-45030::98353:89488:225</t>
        </is>
      </c>
      <c r="AA1012" t="inlineStr">
        <is>
          <t>Yes</t>
        </is>
      </c>
      <c r="AB1012" t="inlineStr"/>
      <c r="AC1012" t="inlineStr"/>
    </row>
    <row r="1013">
      <c r="A1013" t="inlineStr">
        <is>
          <t>1012</t>
        </is>
      </c>
      <c r="B1013" t="inlineStr">
        <is>
          <t>Windshield Wiper Motor</t>
        </is>
      </c>
      <c r="C1013" t="inlineStr">
        <is>
          <t>43-45031</t>
        </is>
      </c>
      <c r="D1013" t="inlineStr">
        <is>
          <t>Windshield Wiper Motor - 43-45031</t>
        </is>
      </c>
      <c r="E1013" t="inlineStr">
        <is>
          <t>CARDONE Reman</t>
        </is>
      </c>
      <c r="F1013" t="inlineStr">
        <is>
          <t>98110A7000;981103X000</t>
        </is>
      </c>
      <c r="G1013" t="inlineStr">
        <is>
          <t>Kia Forte 2014-2018
Kia Forte Koup 2014-2016
Kia Forte5 2014-2018</t>
        </is>
      </c>
      <c r="H1013" t="inlineStr">
        <is>
          <t>Kia Forte 2014-2016 1.8L L4 1797cc
Kia Forte 2014-2018 2L L4 122cid
Kia Forte Koup 2014-2016 1.6L L4 97cid
Kia Forte Koup 2014-2016 2L L4 122cid
Kia Forte5 2014-2018 1.6L L4 97cid
Kia Forte5 2014-2018 2L L4 122cid</t>
        </is>
      </c>
      <c r="I1013" t="inlineStr">
        <is>
          <t>{"0": {"productDeskExternalKey": "CPCX|43-45031"}, "1": {"Package Contents": "Wiper Motor; Instruction Sheet"}, "2": {"E-Waste": "Yes"}, "3": {"Product Condition": "Remanufactured"}, "4": {"Mounting Hole Quantity": "3"}, "5": {"Terminal Type": "Blade"}, "6": {"Mounting Type": "Direct Hole"}, "7": {"Weight PG": "3.0000"}, "8": {"Washer Pump Included": "No"}, "9": {"Part Type": "Windshield Wiper Motor"}, "10": {"Warranty Info": "1 Year/18,000 Mile"}, "11": {"Sustainable Choice": "Yes"}, "12": {"Lifecycle Status": "Available to Order"}, "13": {"Application Summary": "Hyundai Elantra 2016-12, Elantra Coupe 2014-13; Kia Forte 2018-14, Forte Koup 2016-14, Forte5 2018-14"}, "14": {"ItemLevelGTIN": "00884548099715"}, "15": {"_addonCardone": "43-45031::98353:89495:225"}, "16": {"Eligible for R&amp;R Service": "Yes"}}</t>
        </is>
      </c>
      <c r="J1013" t="inlineStr">
        <is>
          <t>https://www.cardone.com/product/windshield-wiper-motor-43-45031</t>
        </is>
      </c>
      <c r="K1013">
        <f>DISPIMG("ID_BD9D9A4330CA4DBB9E193367D411F488",1)</f>
        <v/>
      </c>
      <c r="L1013" t="inlineStr">
        <is>
          <t>CPCX|43-45031</t>
        </is>
      </c>
      <c r="M1013" t="inlineStr">
        <is>
          <t>Wiper Motor; Instruction Sheet</t>
        </is>
      </c>
      <c r="N1013" t="inlineStr">
        <is>
          <t>Yes</t>
        </is>
      </c>
      <c r="O1013" t="inlineStr">
        <is>
          <t>Remanufactured</t>
        </is>
      </c>
      <c r="P1013" t="inlineStr">
        <is>
          <t>3</t>
        </is>
      </c>
      <c r="Q1013" t="inlineStr">
        <is>
          <t>Blade</t>
        </is>
      </c>
      <c r="R1013" t="inlineStr">
        <is>
          <t>Direct Hole</t>
        </is>
      </c>
      <c r="S1013" t="inlineStr">
        <is>
          <t>3.0000</t>
        </is>
      </c>
      <c r="T1013" t="inlineStr">
        <is>
          <t>No</t>
        </is>
      </c>
      <c r="U1013" t="inlineStr">
        <is>
          <t>1 Year/18,000 Mile</t>
        </is>
      </c>
      <c r="V1013" t="inlineStr">
        <is>
          <t>Yes</t>
        </is>
      </c>
      <c r="W1013" t="inlineStr">
        <is>
          <t>Available to Order</t>
        </is>
      </c>
      <c r="X1013" t="inlineStr">
        <is>
          <t>Hyundai Elantra 2016-12, Elantra Coupe 2014-13; Kia Forte 2018-14, Forte Koup 2016-14, Forte5 2018-14</t>
        </is>
      </c>
      <c r="Y1013" t="inlineStr">
        <is>
          <t>00884548099715</t>
        </is>
      </c>
      <c r="Z1013" t="inlineStr">
        <is>
          <t>43-45031::98353:89495:225</t>
        </is>
      </c>
      <c r="AA1013" t="inlineStr">
        <is>
          <t>Yes</t>
        </is>
      </c>
      <c r="AB1013" t="inlineStr"/>
      <c r="AC1013" t="inlineStr"/>
    </row>
    <row r="1014">
      <c r="A1014" t="inlineStr">
        <is>
          <t>1013</t>
        </is>
      </c>
      <c r="B1014" t="inlineStr">
        <is>
          <t>Windshield Wiper Motor</t>
        </is>
      </c>
      <c r="C1014" t="inlineStr">
        <is>
          <t>43-45032</t>
        </is>
      </c>
      <c r="D1014" t="inlineStr">
        <is>
          <t>Windshield Wiper Motor - 43-45032</t>
        </is>
      </c>
      <c r="E1014" t="inlineStr">
        <is>
          <t>CARDONE Reman</t>
        </is>
      </c>
      <c r="F1014" t="inlineStr">
        <is>
          <t>987101R000;987001R000</t>
        </is>
      </c>
      <c r="G1014" t="inlineStr"/>
      <c r="H1014" t="inlineStr"/>
      <c r="I1014" t="inlineStr">
        <is>
          <t>{"0": {"productDeskExternalKey": "CPCX|43-45032"}, "1": {"Package Contents": "Wiper Motor; Instruction Sheet"}, "2": {"E-Waste": "Yes"}, "3": {"Product Condition": "Remanufactured"}, "4": {"Mounting Hole Quantity": "4"}, "5": {"Terminal Type": "Blade"}, "6": {"Mounting Type": "Grommet; Through Hole"}, "7": {"Weight PG": "2.1500"}, "8": {"Washer Pump Included": "No"}, "9": {"Part Type": "Windshield Wiper Motor"}, "10": {"Warranty Info": "1 Year/18,000 Mile"}, "11": {"Sustainable Choice": "Yes"}, "12": {"Lifecycle Status": "Available to Order"}, "13": {"Application Summary": "Hyundai Accent 2017-12"}, "14": {"ItemLevelGTIN": "00884548116085"}, "15": {"_addonCardone": "43-45032::98353:89502:225"}, "16": {"Eligible for R&amp;R Service": "Yes"}}</t>
        </is>
      </c>
      <c r="J1014" t="inlineStr">
        <is>
          <t>https://www.cardone.com/product/windshield-wiper-motor-43-45032</t>
        </is>
      </c>
      <c r="K1014">
        <f>DISPIMG("ID_F583C8B007E8434E8079102467DBF3BD",1)</f>
        <v/>
      </c>
      <c r="L1014" t="inlineStr">
        <is>
          <t>CPCX|43-45032</t>
        </is>
      </c>
      <c r="M1014" t="inlineStr">
        <is>
          <t>Wiper Motor; Instruction Sheet</t>
        </is>
      </c>
      <c r="N1014" t="inlineStr">
        <is>
          <t>Yes</t>
        </is>
      </c>
      <c r="O1014" t="inlineStr">
        <is>
          <t>Remanufactured</t>
        </is>
      </c>
      <c r="P1014" t="inlineStr">
        <is>
          <t>4</t>
        </is>
      </c>
      <c r="Q1014" t="inlineStr">
        <is>
          <t>Blade</t>
        </is>
      </c>
      <c r="R1014" t="inlineStr">
        <is>
          <t>Grommet; Through Hole</t>
        </is>
      </c>
      <c r="S1014" t="inlineStr">
        <is>
          <t>2.1500</t>
        </is>
      </c>
      <c r="T1014" t="inlineStr">
        <is>
          <t>No</t>
        </is>
      </c>
      <c r="U1014" t="inlineStr">
        <is>
          <t>1 Year/18,000 Mile</t>
        </is>
      </c>
      <c r="V1014" t="inlineStr">
        <is>
          <t>Yes</t>
        </is>
      </c>
      <c r="W1014" t="inlineStr">
        <is>
          <t>Available to Order</t>
        </is>
      </c>
      <c r="X1014" t="inlineStr">
        <is>
          <t>Hyundai Accent 2017-12</t>
        </is>
      </c>
      <c r="Y1014" t="inlineStr">
        <is>
          <t>00884548116085</t>
        </is>
      </c>
      <c r="Z1014" t="inlineStr">
        <is>
          <t>43-45032::98353:89502:225</t>
        </is>
      </c>
      <c r="AA1014" t="inlineStr">
        <is>
          <t>Yes</t>
        </is>
      </c>
      <c r="AB1014" t="inlineStr"/>
      <c r="AC1014" t="inlineStr"/>
    </row>
    <row r="1015">
      <c r="A1015" t="inlineStr">
        <is>
          <t>1014</t>
        </is>
      </c>
      <c r="B1015" t="inlineStr">
        <is>
          <t>Windshield Wiper Motor</t>
        </is>
      </c>
      <c r="C1015" t="inlineStr">
        <is>
          <t>43-45033</t>
        </is>
      </c>
      <c r="D1015" t="inlineStr">
        <is>
          <t>Windshield Wiper Motor - 43-45033</t>
        </is>
      </c>
      <c r="E1015" t="inlineStr">
        <is>
          <t>CARDONE Reman</t>
        </is>
      </c>
      <c r="F1015" t="inlineStr">
        <is>
          <t>987001W000</t>
        </is>
      </c>
      <c r="G1015" t="inlineStr">
        <is>
          <t>Kia Rio 2012-2019</t>
        </is>
      </c>
      <c r="H1015" t="inlineStr">
        <is>
          <t>Kia Rio 2012-2019 1.6L L4 97cid
Kia Rio 2016 1.6L L4 98cid</t>
        </is>
      </c>
      <c r="I1015" t="inlineStr">
        <is>
          <t>{"0": {"productDeskExternalKey": "CPCX|43-45033"}, "1": {"Package Contents": "Wiper Motor; Instruction Sheet"}, "2": {"E-Waste": "Yes"}, "3": {"Product Condition": "Remanufactured"}, "4": {"Mounting Hole Quantity": "3"}, "5": {"Terminal Type": "Blade"}, "6": {"Mounting Type": "Grommet; Through Hole"}, "7": {"Weight PG": "3.0400"}, "8": {"Washer Pump Included": "No"}, "9": {"Part Type": "Windshield Wiper Motor"}, "10": {"Warranty Info": "1 Year/18,000 Mile"}, "11": {"Sustainable Choice": "Yes"}, "12": {"Lifecycle Status": "Available to Order"}, "13": {"Application Summary": "Kia Rio 2019-12"}, "14": {"ItemLevelGTIN": "00884548153370"}, "15": {"_addonCardone": "43-45033::98353:89510:225"}, "16": {"Eligible for R&amp;R Service": "Yes"}}</t>
        </is>
      </c>
      <c r="J1015" t="inlineStr">
        <is>
          <t>https://www.cardone.com/product/windshield-wiper-motor-43-45033</t>
        </is>
      </c>
      <c r="K1015">
        <f>DISPIMG("ID_4D26A140B5AE4A8FAADAE4262267D25E",1)</f>
        <v/>
      </c>
      <c r="L1015" t="inlineStr">
        <is>
          <t>CPCX|43-45033</t>
        </is>
      </c>
      <c r="M1015" t="inlineStr">
        <is>
          <t>Wiper Motor; Instruction Sheet</t>
        </is>
      </c>
      <c r="N1015" t="inlineStr">
        <is>
          <t>Yes</t>
        </is>
      </c>
      <c r="O1015" t="inlineStr">
        <is>
          <t>Remanufactured</t>
        </is>
      </c>
      <c r="P1015" t="inlineStr">
        <is>
          <t>3</t>
        </is>
      </c>
      <c r="Q1015" t="inlineStr">
        <is>
          <t>Blade</t>
        </is>
      </c>
      <c r="R1015" t="inlineStr">
        <is>
          <t>Grommet; Through Hole</t>
        </is>
      </c>
      <c r="S1015" t="inlineStr">
        <is>
          <t>3.0400</t>
        </is>
      </c>
      <c r="T1015" t="inlineStr">
        <is>
          <t>No</t>
        </is>
      </c>
      <c r="U1015" t="inlineStr">
        <is>
          <t>1 Year/18,000 Mile</t>
        </is>
      </c>
      <c r="V1015" t="inlineStr">
        <is>
          <t>Yes</t>
        </is>
      </c>
      <c r="W1015" t="inlineStr">
        <is>
          <t>Available to Order</t>
        </is>
      </c>
      <c r="X1015" t="inlineStr">
        <is>
          <t>Kia Rio 2019-12</t>
        </is>
      </c>
      <c r="Y1015" t="inlineStr">
        <is>
          <t>00884548153370</t>
        </is>
      </c>
      <c r="Z1015" t="inlineStr">
        <is>
          <t>43-45033::98353:89510:225</t>
        </is>
      </c>
      <c r="AA1015" t="inlineStr">
        <is>
          <t>Yes</t>
        </is>
      </c>
      <c r="AB1015" t="inlineStr"/>
      <c r="AC1015" t="inlineStr"/>
    </row>
    <row r="1016">
      <c r="A1016" t="inlineStr">
        <is>
          <t>1015</t>
        </is>
      </c>
      <c r="B1016" t="inlineStr">
        <is>
          <t>Windshield Wiper Motor</t>
        </is>
      </c>
      <c r="C1016" t="inlineStr">
        <is>
          <t>43-45037</t>
        </is>
      </c>
      <c r="D1016" t="inlineStr">
        <is>
          <t>Windshield Wiper Motor - 43-45037</t>
        </is>
      </c>
      <c r="E1016" t="inlineStr">
        <is>
          <t>CARDONE Reman</t>
        </is>
      </c>
      <c r="F1016" t="inlineStr">
        <is>
          <t>86510SG080;86510SG081</t>
        </is>
      </c>
      <c r="G1016" t="inlineStr">
        <is>
          <t>Subaru Forester 2014-2018</t>
        </is>
      </c>
      <c r="H1016" t="inlineStr">
        <is>
          <t>Subaru Forester 2014-2018 2.5L H4 152cid
Subaru Forester 2014-2018 2L H4 122cid</t>
        </is>
      </c>
      <c r="I1016" t="inlineStr">
        <is>
          <t>{"0": {"productDeskExternalKey": "CPCX|43-45037"}, "1": {"Package Contents": "Wiper Motor; Instruction Sheet"}, "2": {"E-Waste": "Yes"}, "3": {"Product Condition": "Remanufactured"}, "4": {"Mounting Hole Quantity": "4"}, "5": {"Terminal Type": "Blade"}, "6": {"Mounting Type": "Direct Bolt; Grommet"}, "7": {"Weight PG": "1.7900"}, "8": {"Washer Pump Included": "No"}, "9": {"Part Type": "Windshield Wiper Motor"}, "10": {"Warranty Info": "1 Year/18,000 Mile"}, "11": {"Sustainable Choice": "Yes"}, "12": {"Lifecycle Status": "Available to Order"}, "13": {"Application Summary": "Subaru Forester 2018-14"}, "14": {"ItemLevelGTIN": "00884548198968"}, "15": {"_addonCardone": "43-45037::98353:89519:225"}, "16": {"Eligible for R&amp;R Service": "Yes"}}</t>
        </is>
      </c>
      <c r="J1016" t="inlineStr">
        <is>
          <t>https://www.cardone.com/product/windshield-wiper-motor-43-45037</t>
        </is>
      </c>
      <c r="K1016">
        <f>DISPIMG("ID_A95EF9D3492D4682BFB6105A2FD6AB9E",1)</f>
        <v/>
      </c>
      <c r="L1016" t="inlineStr">
        <is>
          <t>CPCX|43-45037</t>
        </is>
      </c>
      <c r="M1016" t="inlineStr">
        <is>
          <t>Wiper Motor; Instruction Sheet</t>
        </is>
      </c>
      <c r="N1016" t="inlineStr">
        <is>
          <t>Yes</t>
        </is>
      </c>
      <c r="O1016" t="inlineStr">
        <is>
          <t>Remanufactured</t>
        </is>
      </c>
      <c r="P1016" t="inlineStr">
        <is>
          <t>4</t>
        </is>
      </c>
      <c r="Q1016" t="inlineStr">
        <is>
          <t>Blade</t>
        </is>
      </c>
      <c r="R1016" t="inlineStr">
        <is>
          <t>Direct Bolt; Grommet</t>
        </is>
      </c>
      <c r="S1016" t="inlineStr">
        <is>
          <t>1.7900</t>
        </is>
      </c>
      <c r="T1016" t="inlineStr">
        <is>
          <t>No</t>
        </is>
      </c>
      <c r="U1016" t="inlineStr">
        <is>
          <t>1 Year/18,000 Mile</t>
        </is>
      </c>
      <c r="V1016" t="inlineStr">
        <is>
          <t>Yes</t>
        </is>
      </c>
      <c r="W1016" t="inlineStr">
        <is>
          <t>Available to Order</t>
        </is>
      </c>
      <c r="X1016" t="inlineStr">
        <is>
          <t>Subaru Forester 2018-14</t>
        </is>
      </c>
      <c r="Y1016" t="inlineStr">
        <is>
          <t>00884548198968</t>
        </is>
      </c>
      <c r="Z1016" t="inlineStr">
        <is>
          <t>43-45037::98353:89519:225</t>
        </is>
      </c>
      <c r="AA1016" t="inlineStr">
        <is>
          <t>Yes</t>
        </is>
      </c>
      <c r="AB1016" t="inlineStr"/>
      <c r="AC1016" t="inlineStr"/>
    </row>
    <row r="1017">
      <c r="A1017" t="inlineStr">
        <is>
          <t>1016</t>
        </is>
      </c>
      <c r="B1017" t="inlineStr">
        <is>
          <t>Windshield Wiper Motor</t>
        </is>
      </c>
      <c r="C1017" t="inlineStr">
        <is>
          <t>43-45038</t>
        </is>
      </c>
      <c r="D1017" t="inlineStr">
        <is>
          <t>Windshield Wiper Motor - 43-45038</t>
        </is>
      </c>
      <c r="E1017" t="inlineStr">
        <is>
          <t>CARDONE Reman</t>
        </is>
      </c>
      <c r="F1017" t="inlineStr">
        <is>
          <t>98110C2000</t>
        </is>
      </c>
      <c r="G1017" t="inlineStr"/>
      <c r="H1017" t="inlineStr"/>
      <c r="I1017" t="inlineStr">
        <is>
          <t>{"0": {"productDeskExternalKey": "CPCX|43-45038"}, "1": {"Package Contents": "Wiper Motor; Instruction Sheet"}, "2": {"E-Waste": "Yes"}, "3": {"Product Condition": "Remanufactured"}, "4": {"Mounting Hole Quantity": "3"}, "5": {"Terminal Type": "Blade"}, "6": {"Mounting Type": "Direct Bolt"}, "7": {"Weight PG": "1.9200"}, "8": {"Washer Pump Included": "No"}, "9": {"Part Type": "Windshield Wiper Motor"}, "10": {"Warranty Info": "1 Year/18,000 Mile"}, "11": {"Sustainable Choice": "Yes"}, "12": {"Lifecycle Status": "Available to Order"}, "13": {"Application Summary": "Hyundai Sonata 2019-15"}, "14": {"ItemLevelGTIN": "00884548223189"}, "15": {"_addonCardone": "43-45038::98353:89529:225"}, "16": {"Eligible for R&amp;R Service": "Yes"}}</t>
        </is>
      </c>
      <c r="J1017" t="inlineStr">
        <is>
          <t>https://www.cardone.com/product/windshield-wiper-motor-43-45038</t>
        </is>
      </c>
      <c r="K1017">
        <f>DISPIMG("ID_9C46A2DA157D435CBB6F7A463AFE756D",1)</f>
        <v/>
      </c>
      <c r="L1017" t="inlineStr">
        <is>
          <t>CPCX|43-45038</t>
        </is>
      </c>
      <c r="M1017" t="inlineStr">
        <is>
          <t>Wiper Motor; Instruction Sheet</t>
        </is>
      </c>
      <c r="N1017" t="inlineStr">
        <is>
          <t>Yes</t>
        </is>
      </c>
      <c r="O1017" t="inlineStr">
        <is>
          <t>Remanufactured</t>
        </is>
      </c>
      <c r="P1017" t="inlineStr">
        <is>
          <t>3</t>
        </is>
      </c>
      <c r="Q1017" t="inlineStr">
        <is>
          <t>Blade</t>
        </is>
      </c>
      <c r="R1017" t="inlineStr">
        <is>
          <t>Direct Bolt</t>
        </is>
      </c>
      <c r="S1017" t="inlineStr">
        <is>
          <t>1.9200</t>
        </is>
      </c>
      <c r="T1017" t="inlineStr">
        <is>
          <t>No</t>
        </is>
      </c>
      <c r="U1017" t="inlineStr">
        <is>
          <t>1 Year/18,000 Mile</t>
        </is>
      </c>
      <c r="V1017" t="inlineStr">
        <is>
          <t>Yes</t>
        </is>
      </c>
      <c r="W1017" t="inlineStr">
        <is>
          <t>Available to Order</t>
        </is>
      </c>
      <c r="X1017" t="inlineStr">
        <is>
          <t>Hyundai Sonata 2019-15</t>
        </is>
      </c>
      <c r="Y1017" t="inlineStr">
        <is>
          <t>00884548223189</t>
        </is>
      </c>
      <c r="Z1017" t="inlineStr">
        <is>
          <t>43-45038::98353:89529:225</t>
        </is>
      </c>
      <c r="AA1017" t="inlineStr">
        <is>
          <t>Yes</t>
        </is>
      </c>
      <c r="AB1017" t="inlineStr"/>
      <c r="AC1017" t="inlineStr"/>
    </row>
    <row r="1018">
      <c r="A1018" t="inlineStr">
        <is>
          <t>1017</t>
        </is>
      </c>
      <c r="B1018" t="inlineStr">
        <is>
          <t>Windshield Wiper Motor</t>
        </is>
      </c>
      <c r="C1018" t="inlineStr">
        <is>
          <t>43-45039</t>
        </is>
      </c>
      <c r="D1018" t="inlineStr">
        <is>
          <t>Windshield Wiper Motor - 43-45039</t>
        </is>
      </c>
      <c r="E1018" t="inlineStr">
        <is>
          <t>CARDONE Reman</t>
        </is>
      </c>
      <c r="F1018" t="inlineStr">
        <is>
          <t>86510SA070</t>
        </is>
      </c>
      <c r="G1018" t="inlineStr">
        <is>
          <t>Subaru Forester 2003-2005</t>
        </is>
      </c>
      <c r="H1018" t="inlineStr">
        <is>
          <t>Subaru Forester 2003-2005 2.5L H4 2458cc</t>
        </is>
      </c>
      <c r="I1018" t="inlineStr">
        <is>
          <t>{"0": {"productDeskExternalKey": "CPCX|43-45039"}, "1": {"Package Contents": "Wiper Motor; Instruction Sheet"}, "2": {"E-Waste": "Yes"}, "3": {"Product Condition": "Remanufactured"}, "4": {"Mounting Hole Quantity": "3"}, "5": {"Terminal Type": "Blade"}, "6": {"Mounting Type": "Grommet; Through Hole"}, "7": {"Weight PG": "2.5400"}, "8": {"Washer Pump Included": "No"}, "9": {"Part Type": "Windshield Wiper Motor"}, "10": {"Warranty Info": "1 Year/18,000 Mile"}, "11": {"Sustainable Choice": "Yes"}, "12": {"Lifecycle Status": "Available to Order"}, "13": {"Application Summary": "Subaru Forester 2005-03"}, "14": {"ItemLevelGTIN": "00884548253544"}, "15": {"_addonCardone": "43-45039::98353:89536:225"}, "16": {"Eligible for R&amp;R Service": "Yes"}}</t>
        </is>
      </c>
      <c r="J1018" t="inlineStr">
        <is>
          <t>https://www.cardone.com/product/windshield-wiper-motor-43-45039</t>
        </is>
      </c>
      <c r="K1018">
        <f>DISPIMG("ID_F114601A5FD1404689FE94D4C738E4DD",1)</f>
        <v/>
      </c>
      <c r="L1018" t="inlineStr">
        <is>
          <t>CPCX|43-45039</t>
        </is>
      </c>
      <c r="M1018" t="inlineStr">
        <is>
          <t>Wiper Motor; Instruction Sheet</t>
        </is>
      </c>
      <c r="N1018" t="inlineStr">
        <is>
          <t>Yes</t>
        </is>
      </c>
      <c r="O1018" t="inlineStr">
        <is>
          <t>Remanufactured</t>
        </is>
      </c>
      <c r="P1018" t="inlineStr">
        <is>
          <t>3</t>
        </is>
      </c>
      <c r="Q1018" t="inlineStr">
        <is>
          <t>Blade</t>
        </is>
      </c>
      <c r="R1018" t="inlineStr">
        <is>
          <t>Grommet; Through Hole</t>
        </is>
      </c>
      <c r="S1018" t="inlineStr">
        <is>
          <t>2.5400</t>
        </is>
      </c>
      <c r="T1018" t="inlineStr">
        <is>
          <t>No</t>
        </is>
      </c>
      <c r="U1018" t="inlineStr">
        <is>
          <t>1 Year/18,000 Mile</t>
        </is>
      </c>
      <c r="V1018" t="inlineStr">
        <is>
          <t>Yes</t>
        </is>
      </c>
      <c r="W1018" t="inlineStr">
        <is>
          <t>Available to Order</t>
        </is>
      </c>
      <c r="X1018" t="inlineStr">
        <is>
          <t>Subaru Forester 2005-03</t>
        </is>
      </c>
      <c r="Y1018" t="inlineStr">
        <is>
          <t>00884548253544</t>
        </is>
      </c>
      <c r="Z1018" t="inlineStr">
        <is>
          <t>43-45039::98353:89536:225</t>
        </is>
      </c>
      <c r="AA1018" t="inlineStr">
        <is>
          <t>Yes</t>
        </is>
      </c>
      <c r="AB1018" t="inlineStr"/>
      <c r="AC1018" t="inlineStr"/>
    </row>
    <row r="1019">
      <c r="A1019" t="inlineStr">
        <is>
          <t>1018</t>
        </is>
      </c>
      <c r="B1019" t="inlineStr">
        <is>
          <t>Windshield Wiper Motor</t>
        </is>
      </c>
      <c r="C1019" t="inlineStr">
        <is>
          <t>43-4504</t>
        </is>
      </c>
      <c r="D1019" t="inlineStr">
        <is>
          <t>Windshield Wiper Motor - 43-4504</t>
        </is>
      </c>
      <c r="E1019" t="inlineStr">
        <is>
          <t>CARDONE Reman</t>
        </is>
      </c>
      <c r="F1019" t="inlineStr">
        <is>
          <t>86511FC020</t>
        </is>
      </c>
      <c r="G1019" t="inlineStr">
        <is>
          <t>Subaru Forester 1998-2002
Subaru Impreza 1998-2001</t>
        </is>
      </c>
      <c r="H1019" t="inlineStr">
        <is>
          <t>Subaru Forester 1998-2002 2.5L H4 2458cc
Subaru Impreza 1998-2001 2.2L H4 2212cc
Subaru Impreza 1998-2001 2.5L H4 2458cc</t>
        </is>
      </c>
      <c r="I1019" t="inlineStr">
        <is>
          <t>{"0": {"productDeskExternalKey": "CPCX|43-4504"}, "1": {"Package Contents": "Wiper Motor; Instruction Sheet"}, "2": {"E-Waste": "Yes"}, "3": {"Product Condition": "Remanufactured"}, "4": {"Mounting Hole Quantity": "4"}, "5": {"Terminal Type": "Blade"}, "6": {"Mounting Type": "Grommet"}, "7": {"Weight PG": "2.5000"}, "8": {"Washer Pump Included": "No"}, "9": {"Part Type": "Windshield Wiper Motor"}, "10": {"Warranty Info": "1 Year/18,000 Mile"}, "11": {"Sustainable Choice": "Yes"}, "12": {"Lifecycle Status": "Available to Order"}, "13": {"Application Summary": "Subaru Forester 2002-98, Impreza 2001-98"}, "14": {"ItemLevelGTIN": "00082617566797"}, "15": {"_addonCardone": "43-4504::98353:89544:225"}, "16": {"Eligible for R&amp;R Service": "Yes"}}</t>
        </is>
      </c>
      <c r="J1019" t="inlineStr">
        <is>
          <t>https://www.cardone.com/product/windshield-wiper-motor-43-4504</t>
        </is>
      </c>
      <c r="K1019">
        <f>DISPIMG("ID_126AA00C8B1C43CCB087AC12D3C455AD",1)</f>
        <v/>
      </c>
      <c r="L1019" t="inlineStr">
        <is>
          <t>CPCX|43-4504</t>
        </is>
      </c>
      <c r="M1019" t="inlineStr">
        <is>
          <t>Wiper Motor; Instruction Sheet</t>
        </is>
      </c>
      <c r="N1019" t="inlineStr">
        <is>
          <t>Yes</t>
        </is>
      </c>
      <c r="O1019" t="inlineStr">
        <is>
          <t>Remanufactured</t>
        </is>
      </c>
      <c r="P1019" t="inlineStr">
        <is>
          <t>4</t>
        </is>
      </c>
      <c r="Q1019" t="inlineStr">
        <is>
          <t>Blade</t>
        </is>
      </c>
      <c r="R1019" t="inlineStr">
        <is>
          <t>Grommet</t>
        </is>
      </c>
      <c r="S1019" t="inlineStr">
        <is>
          <t>2.5000</t>
        </is>
      </c>
      <c r="T1019" t="inlineStr">
        <is>
          <t>No</t>
        </is>
      </c>
      <c r="U1019" t="inlineStr">
        <is>
          <t>1 Year/18,000 Mile</t>
        </is>
      </c>
      <c r="V1019" t="inlineStr">
        <is>
          <t>Yes</t>
        </is>
      </c>
      <c r="W1019" t="inlineStr">
        <is>
          <t>Available to Order</t>
        </is>
      </c>
      <c r="X1019" t="inlineStr">
        <is>
          <t>Subaru Forester 2002-98, Impreza 2001-98</t>
        </is>
      </c>
      <c r="Y1019" t="inlineStr">
        <is>
          <t>00082617566797</t>
        </is>
      </c>
      <c r="Z1019" t="inlineStr">
        <is>
          <t>43-4504::98353:89544:225</t>
        </is>
      </c>
      <c r="AA1019" t="inlineStr">
        <is>
          <t>Yes</t>
        </is>
      </c>
      <c r="AB1019" t="inlineStr"/>
      <c r="AC1019" t="inlineStr"/>
    </row>
    <row r="1020">
      <c r="A1020" t="inlineStr">
        <is>
          <t>1019</t>
        </is>
      </c>
      <c r="B1020" t="inlineStr">
        <is>
          <t>Windshield Wiper Motor</t>
        </is>
      </c>
      <c r="C1020" t="inlineStr">
        <is>
          <t>43-45041</t>
        </is>
      </c>
      <c r="D1020" t="inlineStr">
        <is>
          <t>Windshield Wiper Motor - 43-45041</t>
        </is>
      </c>
      <c r="E1020" t="inlineStr">
        <is>
          <t>CARDONE Reman</t>
        </is>
      </c>
      <c r="F1020" t="inlineStr">
        <is>
          <t>981101R000;981101W000</t>
        </is>
      </c>
      <c r="G1020" t="inlineStr">
        <is>
          <t>Dodge Attitude 2012-2014
Kia Rio 2012-2017</t>
        </is>
      </c>
      <c r="H1020" t="inlineStr">
        <is>
          <t>Dodge Attitude 2012-2014 1.4L L4 85cid
Dodge Attitude 2012-2014 1.6L L4 97cid
Kia Rio 2012-2017 1.6L L4 97cid
Kia Rio 2016 1.6L L4 98cid</t>
        </is>
      </c>
      <c r="I1020" t="inlineStr">
        <is>
          <t>{"0": {"productDeskExternalKey": "CPCX|43-45041"}, "1": {"Package Contents": "Wiper Motor; Instruction Sheet"}, "2": {"E-Waste": "Yes"}, "3": {"Product Condition": "Remanufactured"}, "4": {"Mounting Hole Quantity": "3"}, "5": {"Terminal Type": "Blade"}, "6": {"Mounting Type": "Direct Bolt"}, "7": {"Weight PG": "2.6200"}, "8": {"Washer Pump Included": "No"}, "9": {"Part Type": "Windshield Wiper Motor"}, "10": {"Warranty Info": "1 Year/18,000 Mile"}, "11": {"Sustainable Choice": "Yes"}, "12": {"Lifecycle Status": "Available to Order"}, "13": {"Application Summary": "Dodge Attitude 2014-12; Hyundai Accent 2017-12; Kia Rio 2017-12"}, "14": {"ItemLevelGTIN": "00884548309319"}, "15": {"_addonCardone": "43-45041::98353:89553:225"}, "16": {"Eligible for R&amp;R Service": "Yes"}}</t>
        </is>
      </c>
      <c r="J1020" t="inlineStr">
        <is>
          <t>https://www.cardone.com/product/windshield-wiper-motor-43-45041</t>
        </is>
      </c>
      <c r="K1020">
        <f>DISPIMG("ID_A86F4ACC4C6D479A9236E81C148B39C9",1)</f>
        <v/>
      </c>
      <c r="L1020" t="inlineStr">
        <is>
          <t>CPCX|43-45041</t>
        </is>
      </c>
      <c r="M1020" t="inlineStr">
        <is>
          <t>Wiper Motor; Instruction Sheet</t>
        </is>
      </c>
      <c r="N1020" t="inlineStr">
        <is>
          <t>Yes</t>
        </is>
      </c>
      <c r="O1020" t="inlineStr">
        <is>
          <t>Remanufactured</t>
        </is>
      </c>
      <c r="P1020" t="inlineStr">
        <is>
          <t>3</t>
        </is>
      </c>
      <c r="Q1020" t="inlineStr">
        <is>
          <t>Blade</t>
        </is>
      </c>
      <c r="R1020" t="inlineStr">
        <is>
          <t>Direct Bolt</t>
        </is>
      </c>
      <c r="S1020" t="inlineStr">
        <is>
          <t>2.6200</t>
        </is>
      </c>
      <c r="T1020" t="inlineStr">
        <is>
          <t>No</t>
        </is>
      </c>
      <c r="U1020" t="inlineStr">
        <is>
          <t>1 Year/18,000 Mile</t>
        </is>
      </c>
      <c r="V1020" t="inlineStr">
        <is>
          <t>Yes</t>
        </is>
      </c>
      <c r="W1020" t="inlineStr">
        <is>
          <t>Available to Order</t>
        </is>
      </c>
      <c r="X1020" t="inlineStr">
        <is>
          <t>Dodge Attitude 2014-12; Hyundai Accent 2017-12; Kia Rio 2017-12</t>
        </is>
      </c>
      <c r="Y1020" t="inlineStr">
        <is>
          <t>00884548309319</t>
        </is>
      </c>
      <c r="Z1020" t="inlineStr">
        <is>
          <t>43-45041::98353:89553:225</t>
        </is>
      </c>
      <c r="AA1020" t="inlineStr">
        <is>
          <t>Yes</t>
        </is>
      </c>
      <c r="AB1020" t="inlineStr"/>
      <c r="AC1020" t="inlineStr"/>
    </row>
    <row r="1021">
      <c r="A1021" t="inlineStr">
        <is>
          <t>1020</t>
        </is>
      </c>
      <c r="B1021" t="inlineStr">
        <is>
          <t>Windshield Wiper Motor</t>
        </is>
      </c>
      <c r="C1021" t="inlineStr">
        <is>
          <t>43-4505</t>
        </is>
      </c>
      <c r="D1021" t="inlineStr">
        <is>
          <t>Windshield Wiper Motor - 43-4505</t>
        </is>
      </c>
      <c r="E1021" t="inlineStr">
        <is>
          <t>CARDONE Reman</t>
        </is>
      </c>
      <c r="F1021" t="inlineStr">
        <is>
          <t>86510SA070;86511FC060</t>
        </is>
      </c>
      <c r="G1021" t="inlineStr">
        <is>
          <t>Subaru Forester 1998-2002</t>
        </is>
      </c>
      <c r="H1021" t="inlineStr">
        <is>
          <t>Subaru Forester 1998-2002 2.5L H4 2458cc</t>
        </is>
      </c>
      <c r="I1021" t="inlineStr">
        <is>
          <t>{"0": {"productDeskExternalKey": "CPCX|43-4505"}, "1": {"Package Contents": "Wiper Motor; Instruction Sheet"}, "2": {"E-Waste": "Yes"}, "3": {"Product Condition": "Remanufactured"}, "4": {"Mounting Hole Quantity": "3"}, "5": {"Terminal Type": "Blade"}, "6": {"Mounting Type": "Grommet"}, "7": {"Weight PG": "2.4000"}, "8": {"Washer Pump Included": "No"}, "9": {"Part Type": "Windshield Wiper Motor"}, "10": {"Warranty Info": "1 Year/18,000 Mile"}, "11": {"Sustainable Choice": "Yes"}, "12": {"Lifecycle Status": "Available to Order"}, "13": {"Application Summary": "Subaru Forester 2002-98"}, "14": {"ItemLevelGTIN": "00082617566803"}, "15": {"_addonCardone": "43-4505::98353:89562:225"}, "16": {"Eligible for R&amp;R Service": "Yes"}}</t>
        </is>
      </c>
      <c r="J1021" t="inlineStr">
        <is>
          <t>https://www.cardone.com/product/windshield-wiper-motor-43-4505</t>
        </is>
      </c>
      <c r="K1021">
        <f>DISPIMG("ID_5C0CD46CB7AE4111805D63C6492F2740",1)</f>
        <v/>
      </c>
      <c r="L1021" t="inlineStr">
        <is>
          <t>CPCX|43-4505</t>
        </is>
      </c>
      <c r="M1021" t="inlineStr">
        <is>
          <t>Wiper Motor; Instruction Sheet</t>
        </is>
      </c>
      <c r="N1021" t="inlineStr">
        <is>
          <t>Yes</t>
        </is>
      </c>
      <c r="O1021" t="inlineStr">
        <is>
          <t>Remanufactured</t>
        </is>
      </c>
      <c r="P1021" t="inlineStr">
        <is>
          <t>3</t>
        </is>
      </c>
      <c r="Q1021" t="inlineStr">
        <is>
          <t>Blade</t>
        </is>
      </c>
      <c r="R1021" t="inlineStr">
        <is>
          <t>Grommet</t>
        </is>
      </c>
      <c r="S1021" t="inlineStr">
        <is>
          <t>2.4000</t>
        </is>
      </c>
      <c r="T1021" t="inlineStr">
        <is>
          <t>No</t>
        </is>
      </c>
      <c r="U1021" t="inlineStr">
        <is>
          <t>1 Year/18,000 Mile</t>
        </is>
      </c>
      <c r="V1021" t="inlineStr">
        <is>
          <t>Yes</t>
        </is>
      </c>
      <c r="W1021" t="inlineStr">
        <is>
          <t>Available to Order</t>
        </is>
      </c>
      <c r="X1021" t="inlineStr">
        <is>
          <t>Subaru Forester 2002-98</t>
        </is>
      </c>
      <c r="Y1021" t="inlineStr">
        <is>
          <t>00082617566803</t>
        </is>
      </c>
      <c r="Z1021" t="inlineStr">
        <is>
          <t>43-4505::98353:89562:225</t>
        </is>
      </c>
      <c r="AA1021" t="inlineStr">
        <is>
          <t>Yes</t>
        </is>
      </c>
      <c r="AB1021" t="inlineStr"/>
      <c r="AC1021" t="inlineStr"/>
    </row>
    <row r="1022">
      <c r="A1022" t="inlineStr">
        <is>
          <t>1021</t>
        </is>
      </c>
      <c r="B1022" t="inlineStr">
        <is>
          <t>Windshield Wiper Motor</t>
        </is>
      </c>
      <c r="C1022" t="inlineStr">
        <is>
          <t>43-4506</t>
        </is>
      </c>
      <c r="D1022" t="inlineStr">
        <is>
          <t>Windshield Wiper Motor - 43-4506</t>
        </is>
      </c>
      <c r="E1022" t="inlineStr">
        <is>
          <t>CARDONE Reman</t>
        </is>
      </c>
      <c r="F1022" t="inlineStr">
        <is>
          <t>86511SA030;86511SA010;86511AE04A</t>
        </is>
      </c>
      <c r="G1022" t="inlineStr">
        <is>
          <t>Subaru Baja 2003
Subaru Forester 2003-2004
Subaru Legacy 2000-2003
Subaru Outback 2000-2003</t>
        </is>
      </c>
      <c r="H1022" t="inlineStr">
        <is>
          <t>Subaru Baja 2003 2.5L H4 2458cc
Subaru Forester 2003-2004 2.5L H4 2458cc
Subaru Legacy 2000-2003 2.5L H4 2458cc
Subaru Outback 2000-2003 2.5L H4 2458cc
Subaru Outback 2001-2003 3L H6 3000cc</t>
        </is>
      </c>
      <c r="I1022" t="inlineStr">
        <is>
          <t>{"0": {"productDeskExternalKey": "CPCX|43-4506"},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"Subaru Baja 2003, Forester 2004-03, Legacy 2003-00, Outback 2003-00"}, "14": {"ItemLevelGTIN": "00082617587983"}, "15": {"_addonCardone": "43-4506::98353:89666:225"}, "16": {"Eligible for R&amp;R Service": "Yes"}}</t>
        </is>
      </c>
      <c r="J1022" t="inlineStr">
        <is>
          <t>https://www.cardone.com/product/windshield-wiper-motor-43-4506</t>
        </is>
      </c>
      <c r="K1022">
        <f>DISPIMG("ID_D9D77DB611D74815A5B4D49B600A8B79",1)</f>
        <v/>
      </c>
      <c r="L1022" t="inlineStr">
        <is>
          <t>CPCX|43-4506</t>
        </is>
      </c>
      <c r="M1022" t="inlineStr">
        <is>
          <t>Wiper Motor; Instruction Sheet</t>
        </is>
      </c>
      <c r="N1022" t="inlineStr">
        <is>
          <t>Yes</t>
        </is>
      </c>
      <c r="O1022" t="inlineStr">
        <is>
          <t>Remanufactured</t>
        </is>
      </c>
      <c r="P1022" t="inlineStr">
        <is>
          <t>3</t>
        </is>
      </c>
      <c r="Q1022" t="inlineStr">
        <is>
          <t>Blade</t>
        </is>
      </c>
      <c r="R1022" t="inlineStr">
        <is>
          <t>Direct Bolt</t>
        </is>
      </c>
      <c r="S1022" t="inlineStr">
        <is>
          <t>3.0000</t>
        </is>
      </c>
      <c r="T1022" t="inlineStr">
        <is>
          <t>No</t>
        </is>
      </c>
      <c r="U1022" t="inlineStr">
        <is>
          <t>1 Year/18,000 Mile</t>
        </is>
      </c>
      <c r="V1022" t="inlineStr">
        <is>
          <t>Yes</t>
        </is>
      </c>
      <c r="W1022" t="inlineStr">
        <is>
          <t>Available to Order</t>
        </is>
      </c>
      <c r="X1022" t="inlineStr">
        <is>
          <t>Subaru Baja 2003, Forester 2004-03, Legacy 2003-00, Outback 2003-00</t>
        </is>
      </c>
      <c r="Y1022" t="inlineStr">
        <is>
          <t>00082617587983</t>
        </is>
      </c>
      <c r="Z1022" t="inlineStr">
        <is>
          <t>43-4506::98353:89666:225</t>
        </is>
      </c>
      <c r="AA1022" t="inlineStr">
        <is>
          <t>Yes</t>
        </is>
      </c>
      <c r="AB1022" t="inlineStr"/>
      <c r="AC1022" t="inlineStr"/>
    </row>
    <row r="1023">
      <c r="A1023" t="inlineStr">
        <is>
          <t>1022</t>
        </is>
      </c>
      <c r="B1023" t="inlineStr">
        <is>
          <t>Windshield Wiper Motor</t>
        </is>
      </c>
      <c r="C1023" t="inlineStr">
        <is>
          <t>43-4507</t>
        </is>
      </c>
      <c r="D1023" t="inlineStr">
        <is>
          <t>Windshield Wiper Motor - 43-4507</t>
        </is>
      </c>
      <c r="E1023" t="inlineStr">
        <is>
          <t>CARDONE Reman</t>
        </is>
      </c>
      <c r="F1023" t="inlineStr">
        <is>
          <t>86511AC090;86511AC101;86511AC091;86511AC041;86511AC040</t>
        </is>
      </c>
      <c r="G1023" t="inlineStr">
        <is>
          <t>Subaru Legacy 1995-1999</t>
        </is>
      </c>
      <c r="H1023" t="inlineStr">
        <is>
          <t>Subaru Legacy 1995-1999 2.2L H4 2212cc
Subaru Legacy 1996-1999 2.5L H4 2458cc</t>
        </is>
      </c>
      <c r="I1023" t="inlineStr">
        <is>
          <t>{"0": {"productDeskExternalKey": "CPCX|43-4507"}, "1": {"Package Contents": "Wiper Motor; Instruction Sheet"}, "2": {"E-Waste": "Yes"}, "3": {"Product Condition": "Remanufactured"}, "4": {"Mounting Hole Quantity": "3"}, "5": {"Terminal Type": "Blade"}, "6": {"Mounting Type": "Grommet"}, "7": {"Weight PG": "2.5600"}, "8": {"Washer Pump Included": "No"}, "9": {"Part Type": "Windshield Wiper Motor"}, "10": {"Warranty Info": "1 Year/18,000 Mile"}, "11": {"Sustainable Choice": "Yes"}, "12": {"Lifecycle Status": "Available to Order"}, "13": {"Application Summary": "Subaru Legacy 1999-95"}, "14": {"ItemLevelGTIN": "00082617594813"}, "15": {"_addonCardone": "43-4507::98353:89674:225"}, "16": {"Eligible for R&amp;R Service": "Yes"}}</t>
        </is>
      </c>
      <c r="J1023" t="inlineStr">
        <is>
          <t>https://www.cardone.com/product/windshield-wiper-motor-43-4507</t>
        </is>
      </c>
      <c r="K1023">
        <f>DISPIMG("ID_630B8628C4404B9A9D3AD6C5F99B7AC3",1)</f>
        <v/>
      </c>
      <c r="L1023" t="inlineStr">
        <is>
          <t>CPCX|43-4507</t>
        </is>
      </c>
      <c r="M1023" t="inlineStr">
        <is>
          <t>Wiper Motor; Instruction Sheet</t>
        </is>
      </c>
      <c r="N1023" t="inlineStr">
        <is>
          <t>Yes</t>
        </is>
      </c>
      <c r="O1023" t="inlineStr">
        <is>
          <t>Remanufactured</t>
        </is>
      </c>
      <c r="P1023" t="inlineStr">
        <is>
          <t>3</t>
        </is>
      </c>
      <c r="Q1023" t="inlineStr">
        <is>
          <t>Blade</t>
        </is>
      </c>
      <c r="R1023" t="inlineStr">
        <is>
          <t>Grommet</t>
        </is>
      </c>
      <c r="S1023" t="inlineStr">
        <is>
          <t>2.5600</t>
        </is>
      </c>
      <c r="T1023" t="inlineStr">
        <is>
          <t>No</t>
        </is>
      </c>
      <c r="U1023" t="inlineStr">
        <is>
          <t>1 Year/18,000 Mile</t>
        </is>
      </c>
      <c r="V1023" t="inlineStr">
        <is>
          <t>Yes</t>
        </is>
      </c>
      <c r="W1023" t="inlineStr">
        <is>
          <t>Available to Order</t>
        </is>
      </c>
      <c r="X1023" t="inlineStr">
        <is>
          <t>Subaru Legacy 1999-95</t>
        </is>
      </c>
      <c r="Y1023" t="inlineStr">
        <is>
          <t>00082617594813</t>
        </is>
      </c>
      <c r="Z1023" t="inlineStr">
        <is>
          <t>43-4507::98353:89674:225</t>
        </is>
      </c>
      <c r="AA1023" t="inlineStr">
        <is>
          <t>Yes</t>
        </is>
      </c>
      <c r="AB1023" t="inlineStr"/>
      <c r="AC1023" t="inlineStr"/>
    </row>
    <row r="1024">
      <c r="A1024" t="inlineStr">
        <is>
          <t>1023</t>
        </is>
      </c>
      <c r="B1024" t="inlineStr">
        <is>
          <t>Windshield Wiper Motor</t>
        </is>
      </c>
      <c r="C1024" t="inlineStr">
        <is>
          <t>43-4508</t>
        </is>
      </c>
      <c r="D1024" t="inlineStr">
        <is>
          <t>Windshield Wiper Motor - 43-4508</t>
        </is>
      </c>
      <c r="E1024" t="inlineStr">
        <is>
          <t>CARDONE Reman</t>
        </is>
      </c>
      <c r="F1024" t="inlineStr">
        <is>
          <t>86511AA071;86511AA070;86511FA050;86512FA030</t>
        </is>
      </c>
      <c r="G1024" t="inlineStr">
        <is>
          <t>Subaru Impreza 1993-2001
Subaru Legacy 1990-1994</t>
        </is>
      </c>
      <c r="H1024" t="inlineStr">
        <is>
          <t>Subaru Impreza 1993-1997 1.8L H4 1781cc
Subaru Impreza 1995-2001 2.2L H4 2212cc
Subaru Impreza 1998-2001 2.5L H4 2458cc
Subaru Legacy 1990-1994 2.2L H4 2212cc</t>
        </is>
      </c>
      <c r="I1024" t="inlineStr">
        <is>
          <t>{"0": {"productDeskExternalKey": "CPCX|43-4508"}, "1": {"Package Contents": "Wiper Motor; Instruction Sheet"}, "2": {"E-Waste": "Yes"}, "3": {"Product Condition": "Remanufactured"}, "4": {"Mounting Hole Quantity": "3"}, "5": {"Terminal Type": "Blade"}, "6": {"Mounting Type": "Grommet"}, "7": {"Weight PG": "2.8200"}, "8": {"Washer Pump Included": "No"}, "9": {"Part Type": "Windshield Wiper Motor"}, "10": {"Warranty Info": "1 Year/18,000 Mile"}, "11": {"Sustainable Choice": "Yes"}, "12": {"Lifecycle Status": "Available to Order"}, "13": {"Application Summary": "Subaru Impreza 2001-93, Legacy 1994-90"}, "14": {"ItemLevelGTIN": "00082617594820"}, "15": {"_addonCardone": "43-4508::98353:89683:225"}, "16": {"Eligible for R&amp;R Service": "Yes"}}</t>
        </is>
      </c>
      <c r="J1024" t="inlineStr">
        <is>
          <t>https://www.cardone.com/product/windshield-wiper-motor-43-4508</t>
        </is>
      </c>
      <c r="K1024">
        <f>DISPIMG("ID_7BA5BDC092464EA7939797364F11B1EA",1)</f>
        <v/>
      </c>
      <c r="L1024" t="inlineStr">
        <is>
          <t>CPCX|43-4508</t>
        </is>
      </c>
      <c r="M1024" t="inlineStr">
        <is>
          <t>Wiper Motor; Instruction Sheet</t>
        </is>
      </c>
      <c r="N1024" t="inlineStr">
        <is>
          <t>Yes</t>
        </is>
      </c>
      <c r="O1024" t="inlineStr">
        <is>
          <t>Remanufactured</t>
        </is>
      </c>
      <c r="P1024" t="inlineStr">
        <is>
          <t>3</t>
        </is>
      </c>
      <c r="Q1024" t="inlineStr">
        <is>
          <t>Blade</t>
        </is>
      </c>
      <c r="R1024" t="inlineStr">
        <is>
          <t>Grommet</t>
        </is>
      </c>
      <c r="S1024" t="inlineStr">
        <is>
          <t>2.8200</t>
        </is>
      </c>
      <c r="T1024" t="inlineStr">
        <is>
          <t>No</t>
        </is>
      </c>
      <c r="U1024" t="inlineStr">
        <is>
          <t>1 Year/18,000 Mile</t>
        </is>
      </c>
      <c r="V1024" t="inlineStr">
        <is>
          <t>Yes</t>
        </is>
      </c>
      <c r="W1024" t="inlineStr">
        <is>
          <t>Available to Order</t>
        </is>
      </c>
      <c r="X1024" t="inlineStr">
        <is>
          <t>Subaru Impreza 2001-93, Legacy 1994-90</t>
        </is>
      </c>
      <c r="Y1024" t="inlineStr">
        <is>
          <t>00082617594820</t>
        </is>
      </c>
      <c r="Z1024" t="inlineStr">
        <is>
          <t>43-4508::98353:89683:225</t>
        </is>
      </c>
      <c r="AA1024" t="inlineStr">
        <is>
          <t>Yes</t>
        </is>
      </c>
      <c r="AB1024" t="inlineStr"/>
      <c r="AC1024" t="inlineStr"/>
    </row>
    <row r="1025">
      <c r="A1025" t="inlineStr">
        <is>
          <t>1024</t>
        </is>
      </c>
      <c r="B1025" t="inlineStr">
        <is>
          <t>Windshield Wiper Motor</t>
        </is>
      </c>
      <c r="C1025" t="inlineStr">
        <is>
          <t>43-4509</t>
        </is>
      </c>
      <c r="D1025" t="inlineStr">
        <is>
          <t>Windshield Wiper Motor - 43-4509</t>
        </is>
      </c>
      <c r="E1025" t="inlineStr">
        <is>
          <t>CARDONE Reman</t>
        </is>
      </c>
      <c r="F1025" t="inlineStr">
        <is>
          <t>86511AE05A;86511AE05B</t>
        </is>
      </c>
      <c r="G1025" t="inlineStr">
        <is>
          <t>Subaru Legacy 2000-2004
Subaru Outback 2000-2004</t>
        </is>
      </c>
      <c r="H1025" t="inlineStr">
        <is>
          <t>Subaru Legacy 2000-2004 2.5L H4 2458cc
Subaru Outback 2000-2004 2.5L H4 2458cc
Subaru Outback 2001-2004 3L H6 3000cc</t>
        </is>
      </c>
      <c r="I1025" t="inlineStr">
        <is>
          <t>{"0": {"productDeskExternalKey": "CPCX|43-4509"},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"Subaru Legacy 2004-00, Outback 2004-00"}, "14": {"ItemLevelGTIN": "00082617597425"}, "15": {"_addonCardone": "43-4509::98353:89696:225"}, "16": {"Eligible for R&amp;R Service": "Yes"}}</t>
        </is>
      </c>
      <c r="J1025" t="inlineStr">
        <is>
          <t>https://www.cardone.com/product/windshield-wiper-motor-43-4509</t>
        </is>
      </c>
      <c r="K1025">
        <f>DISPIMG("ID_F9099E07DD994F9393DBEC2382F97776",1)</f>
        <v/>
      </c>
      <c r="L1025" t="inlineStr">
        <is>
          <t>CPCX|43-4509</t>
        </is>
      </c>
      <c r="M1025" t="inlineStr">
        <is>
          <t>Wiper Motor; Instruction Sheet</t>
        </is>
      </c>
      <c r="N1025" t="inlineStr">
        <is>
          <t>Yes</t>
        </is>
      </c>
      <c r="O1025" t="inlineStr">
        <is>
          <t>Remanufactured</t>
        </is>
      </c>
      <c r="P1025" t="inlineStr">
        <is>
          <t>3</t>
        </is>
      </c>
      <c r="Q1025" t="inlineStr">
        <is>
          <t>Blade</t>
        </is>
      </c>
      <c r="R1025" t="inlineStr">
        <is>
          <t>Grommet</t>
        </is>
      </c>
      <c r="S1025" t="inlineStr">
        <is>
          <t>2.5000</t>
        </is>
      </c>
      <c r="T1025" t="inlineStr">
        <is>
          <t>No</t>
        </is>
      </c>
      <c r="U1025" t="inlineStr">
        <is>
          <t>1 Year/18,000 Mile</t>
        </is>
      </c>
      <c r="V1025" t="inlineStr">
        <is>
          <t>Yes</t>
        </is>
      </c>
      <c r="W1025" t="inlineStr">
        <is>
          <t>Available to Order</t>
        </is>
      </c>
      <c r="X1025" t="inlineStr">
        <is>
          <t>Subaru Legacy 2004-00, Outback 2004-00</t>
        </is>
      </c>
      <c r="Y1025" t="inlineStr">
        <is>
          <t>00082617597425</t>
        </is>
      </c>
      <c r="Z1025" t="inlineStr">
        <is>
          <t>43-4509::98353:89696:225</t>
        </is>
      </c>
      <c r="AA1025" t="inlineStr">
        <is>
          <t>Yes</t>
        </is>
      </c>
      <c r="AB1025" t="inlineStr"/>
      <c r="AC1025" t="inlineStr"/>
    </row>
    <row r="1026">
      <c r="A1026" t="inlineStr">
        <is>
          <t>1025</t>
        </is>
      </c>
      <c r="B1026" t="inlineStr">
        <is>
          <t>Windshield Wiper Motor</t>
        </is>
      </c>
      <c r="C1026" t="inlineStr">
        <is>
          <t>43-4510</t>
        </is>
      </c>
      <c r="D1026" t="inlineStr">
        <is>
          <t>Windshield Wiper Motor - 43-4510</t>
        </is>
      </c>
      <c r="E1026" t="inlineStr">
        <is>
          <t>CARDONE Reman</t>
        </is>
      </c>
      <c r="F1026" t="inlineStr">
        <is>
          <t>981103C100;9811038200</t>
        </is>
      </c>
      <c r="G1026" t="inlineStr"/>
      <c r="H1026" t="inlineStr"/>
      <c r="I1026" t="inlineStr">
        <is>
          <t>{"0": {"productDeskExternalKey": "CPCX|43-4510"},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"Hyundai Sonata 2004-99, XG300 2001, XG350 2004-02"}, "14": {"ItemLevelGTIN": "00082617705127"}, "15": {"_addonCardone": "43-4510::98353:89712:225"}, "16": {"Eligible for R&amp;R Service": "Yes"}}</t>
        </is>
      </c>
      <c r="J1026" t="inlineStr">
        <is>
          <t>https://www.cardone.com/product/windshield-wiper-motor-43-4510</t>
        </is>
      </c>
      <c r="K1026">
        <f>DISPIMG("ID_005655F744BF4BF1801A35F05B84538A",1)</f>
        <v/>
      </c>
      <c r="L1026" t="inlineStr">
        <is>
          <t>CPCX|43-4510</t>
        </is>
      </c>
      <c r="M1026" t="inlineStr">
        <is>
          <t>Wiper Motor; Instruction Sheet</t>
        </is>
      </c>
      <c r="N1026" t="inlineStr">
        <is>
          <t>Yes</t>
        </is>
      </c>
      <c r="O1026" t="inlineStr">
        <is>
          <t>Remanufactured</t>
        </is>
      </c>
      <c r="P1026" t="inlineStr">
        <is>
          <t>3</t>
        </is>
      </c>
      <c r="Q1026" t="inlineStr">
        <is>
          <t>Blade</t>
        </is>
      </c>
      <c r="R1026" t="inlineStr">
        <is>
          <t>Direct Bolt</t>
        </is>
      </c>
      <c r="S1026" t="inlineStr">
        <is>
          <t>2.5000</t>
        </is>
      </c>
      <c r="T1026" t="inlineStr">
        <is>
          <t>No</t>
        </is>
      </c>
      <c r="U1026" t="inlineStr">
        <is>
          <t>1 Year/18,000 Mile</t>
        </is>
      </c>
      <c r="V1026" t="inlineStr">
        <is>
          <t>Yes</t>
        </is>
      </c>
      <c r="W1026" t="inlineStr">
        <is>
          <t>Available to Order</t>
        </is>
      </c>
      <c r="X1026" t="inlineStr">
        <is>
          <t>Hyundai Sonata 2004-99, XG300 2001, XG350 2004-02</t>
        </is>
      </c>
      <c r="Y1026" t="inlineStr">
        <is>
          <t>00082617705127</t>
        </is>
      </c>
      <c r="Z1026" t="inlineStr">
        <is>
          <t>43-4510::98353:89712:225</t>
        </is>
      </c>
      <c r="AA1026" t="inlineStr">
        <is>
          <t>Yes</t>
        </is>
      </c>
      <c r="AB1026" t="inlineStr"/>
      <c r="AC1026" t="inlineStr"/>
    </row>
    <row r="1027">
      <c r="A1027" t="inlineStr">
        <is>
          <t>1026</t>
        </is>
      </c>
      <c r="B1027" t="inlineStr">
        <is>
          <t>Windshield Wiper Motor</t>
        </is>
      </c>
      <c r="C1027" t="inlineStr">
        <is>
          <t>43-4511</t>
        </is>
      </c>
      <c r="D1027" t="inlineStr">
        <is>
          <t>Windshield Wiper Motor - 43-4511</t>
        </is>
      </c>
      <c r="E1027" t="inlineStr">
        <is>
          <t>CARDONE Reman</t>
        </is>
      </c>
      <c r="F1027" t="inlineStr">
        <is>
          <t>9871025050;9870025000</t>
        </is>
      </c>
      <c r="G1027" t="inlineStr">
        <is>
          <t>Dodge Verna 2004-2005</t>
        </is>
      </c>
      <c r="H1027" t="inlineStr">
        <is>
          <t>Dodge Verna 2004-2005 1.5L L4 1495cc
Dodge Verna 2004-2005 1.6L L4 98cid</t>
        </is>
      </c>
      <c r="I1027" t="inlineStr">
        <is>
          <t>{"0": {"productDeskExternalKey": "CPCX|43-4511"}, "1": {"Package Contents": "Wiper Motor; Instruction Sheet"}, "2": {"E-Waste": "Yes"}, "3": {"Product Condition": "Remanufactured"}, "4": {"Mounting Hole Quantity": "2"}, "5": {"Terminal Type": "Blade"}, "6": {"Mounting Type": "Grommet"}, "7": {"Weight PG": "2.5000"}, "8": {"Washer Pump Included": "No"}, "9": {"Part Type": "Windshield Wiper Motor"}, "10": {"Warranty Info": "1 Year/18,000 Mile"}, "11": {"Sustainable Choice": "Yes"}, "12": {"Lifecycle Status": "Available to Order"}, "13": {"Application Summary": "Dodge Verna 2005-04; Hyundai Accent 2005-00"}, "14": {"ItemLevelGTIN": "00082617705141"}, "15": {"_addonCardone": "43-4511::98353:89723:225"}, "16": {"Eligible for R&amp;R Service": "Yes"}}</t>
        </is>
      </c>
      <c r="J1027" t="inlineStr">
        <is>
          <t>https://www.cardone.com/product/windshield-wiper-motor-43-4511</t>
        </is>
      </c>
      <c r="K1027">
        <f>DISPIMG("ID_F24A669A4B6649879403C2D90D7C555F",1)</f>
        <v/>
      </c>
      <c r="L1027" t="inlineStr">
        <is>
          <t>CPCX|43-4511</t>
        </is>
      </c>
      <c r="M1027" t="inlineStr">
        <is>
          <t>Wiper Motor; Instruction Sheet</t>
        </is>
      </c>
      <c r="N1027" t="inlineStr">
        <is>
          <t>Yes</t>
        </is>
      </c>
      <c r="O1027" t="inlineStr">
        <is>
          <t>Remanufactured</t>
        </is>
      </c>
      <c r="P1027" t="inlineStr">
        <is>
          <t>2</t>
        </is>
      </c>
      <c r="Q1027" t="inlineStr">
        <is>
          <t>Blade</t>
        </is>
      </c>
      <c r="R1027" t="inlineStr">
        <is>
          <t>Grommet</t>
        </is>
      </c>
      <c r="S1027" t="inlineStr">
        <is>
          <t>2.5000</t>
        </is>
      </c>
      <c r="T1027" t="inlineStr">
        <is>
          <t>No</t>
        </is>
      </c>
      <c r="U1027" t="inlineStr">
        <is>
          <t>1 Year/18,000 Mile</t>
        </is>
      </c>
      <c r="V1027" t="inlineStr">
        <is>
          <t>Yes</t>
        </is>
      </c>
      <c r="W1027" t="inlineStr">
        <is>
          <t>Available to Order</t>
        </is>
      </c>
      <c r="X1027" t="inlineStr">
        <is>
          <t>Dodge Verna 2005-04; Hyundai Accent 2005-00</t>
        </is>
      </c>
      <c r="Y1027" t="inlineStr">
        <is>
          <t>00082617705141</t>
        </is>
      </c>
      <c r="Z1027" t="inlineStr">
        <is>
          <t>43-4511::98353:89723:225</t>
        </is>
      </c>
      <c r="AA1027" t="inlineStr">
        <is>
          <t>Yes</t>
        </is>
      </c>
      <c r="AB1027" t="inlineStr"/>
      <c r="AC1027" t="inlineStr"/>
    </row>
    <row r="1028">
      <c r="A1028" t="inlineStr">
        <is>
          <t>1027</t>
        </is>
      </c>
      <c r="B1028" t="inlineStr">
        <is>
          <t>Windshield Wiper Motor</t>
        </is>
      </c>
      <c r="C1028" t="inlineStr">
        <is>
          <t>43-4512</t>
        </is>
      </c>
      <c r="D1028" t="inlineStr">
        <is>
          <t>Windshield Wiper Motor - 43-4512</t>
        </is>
      </c>
      <c r="E1028" t="inlineStr">
        <is>
          <t>CARDONE Reman</t>
        </is>
      </c>
      <c r="F1028" t="inlineStr">
        <is>
          <t>987002C050;987002C000</t>
        </is>
      </c>
      <c r="G1028" t="inlineStr"/>
      <c r="H1028" t="inlineStr"/>
      <c r="I1028" t="inlineStr">
        <is>
          <t>{"0": {"productDeskExternalKey": "CPCX|43-4512"},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"Hyundai Tiburon 2007-03"}, "14": {"ItemLevelGTIN": "00082617705172"}, "15": {"_addonCardone": "43-4512::98353:89734:225"}, "16": {"Eligible for R&amp;R Service": "Yes"}}</t>
        </is>
      </c>
      <c r="J1028" t="inlineStr">
        <is>
          <t>https://www.cardone.com/product/windshield-wiper-motor-43-4512</t>
        </is>
      </c>
      <c r="K1028">
        <f>DISPIMG("ID_1542AFF65BF048A49633D00AC4F6C775",1)</f>
        <v/>
      </c>
      <c r="L1028" t="inlineStr">
        <is>
          <t>CPCX|43-4512</t>
        </is>
      </c>
      <c r="M1028" t="inlineStr">
        <is>
          <t>Wiper Motor; Instruction Sheet</t>
        </is>
      </c>
      <c r="N1028" t="inlineStr">
        <is>
          <t>Yes</t>
        </is>
      </c>
      <c r="O1028" t="inlineStr">
        <is>
          <t>Remanufactured</t>
        </is>
      </c>
      <c r="P1028" t="inlineStr">
        <is>
          <t>3</t>
        </is>
      </c>
      <c r="Q1028" t="inlineStr">
        <is>
          <t>Blade</t>
        </is>
      </c>
      <c r="R1028" t="inlineStr">
        <is>
          <t>Grommet</t>
        </is>
      </c>
      <c r="S1028" t="inlineStr">
        <is>
          <t>2.5000</t>
        </is>
      </c>
      <c r="T1028" t="inlineStr">
        <is>
          <t>No</t>
        </is>
      </c>
      <c r="U1028" t="inlineStr">
        <is>
          <t>1 Year/18,000 Mile</t>
        </is>
      </c>
      <c r="V1028" t="inlineStr">
        <is>
          <t>Yes</t>
        </is>
      </c>
      <c r="W1028" t="inlineStr">
        <is>
          <t>Available to Order</t>
        </is>
      </c>
      <c r="X1028" t="inlineStr">
        <is>
          <t>Hyundai Tiburon 2007-03</t>
        </is>
      </c>
      <c r="Y1028" t="inlineStr">
        <is>
          <t>00082617705172</t>
        </is>
      </c>
      <c r="Z1028" t="inlineStr">
        <is>
          <t>43-4512::98353:89734:225</t>
        </is>
      </c>
      <c r="AA1028" t="inlineStr">
        <is>
          <t>Yes</t>
        </is>
      </c>
      <c r="AB1028" t="inlineStr"/>
      <c r="AC1028" t="inlineStr"/>
    </row>
    <row r="1029">
      <c r="A1029" t="inlineStr">
        <is>
          <t>1028</t>
        </is>
      </c>
      <c r="B1029" t="inlineStr">
        <is>
          <t>Windshield Wiper Motor</t>
        </is>
      </c>
      <c r="C1029" t="inlineStr">
        <is>
          <t>43-4513</t>
        </is>
      </c>
      <c r="D1029" t="inlineStr">
        <is>
          <t>Windshield Wiper Motor - 43-4513</t>
        </is>
      </c>
      <c r="E1029" t="inlineStr">
        <is>
          <t>CARDONE Reman</t>
        </is>
      </c>
      <c r="F1029" t="inlineStr">
        <is>
          <t>9870029610;9870029600;9870029601</t>
        </is>
      </c>
      <c r="G1029" t="inlineStr"/>
      <c r="H1029" t="inlineStr"/>
      <c r="I1029" t="inlineStr">
        <is>
          <t>{"0": {"productDeskExternalKey": "CPCX|43-4513"}, "1": {"Package Contents": "Wiper Motor; Instruction Sheet"}, "2": {"E-Waste": "Yes"}, "3": {"Product Condition": "Remanufactured"}, "4": {"Mounting Hole Quantity": "2"}, "5": {"Terminal Type": "Blade"}, "6": {"Mounting Type": "Grommet"}, "7": {"Weight PG": "2.5000"}, "8": {"Washer Pump Included": "No"}, "9": {"Part Type": "Windshield Wiper Motor"}, "10": {"Warranty Info": "1 Year/18,000 Mile"}, "11": {"Sustainable Choice": "Yes"}, "12": {"Lifecycle Status": "Available to Order"}, "13": {"Application Summary": "Hyundai Elantra 2000-96"}, "14": {"ItemLevelGTIN": "00082617705165"}, "15": {"_addonCardone": "43-4513::98353:89747:225"}, "16": {"Eligible for R&amp;R Service": "Yes"}}</t>
        </is>
      </c>
      <c r="J1029" t="inlineStr">
        <is>
          <t>https://www.cardone.com/product/windshield-wiper-motor-43-4513</t>
        </is>
      </c>
      <c r="K1029">
        <f>DISPIMG("ID_BDD63EAD33BB44EDA4544DCF2CAF46E9",1)</f>
        <v/>
      </c>
      <c r="L1029" t="inlineStr">
        <is>
          <t>CPCX|43-4513</t>
        </is>
      </c>
      <c r="M1029" t="inlineStr">
        <is>
          <t>Wiper Motor; Instruction Sheet</t>
        </is>
      </c>
      <c r="N1029" t="inlineStr">
        <is>
          <t>Yes</t>
        </is>
      </c>
      <c r="O1029" t="inlineStr">
        <is>
          <t>Remanufactured</t>
        </is>
      </c>
      <c r="P1029" t="inlineStr">
        <is>
          <t>2</t>
        </is>
      </c>
      <c r="Q1029" t="inlineStr">
        <is>
          <t>Blade</t>
        </is>
      </c>
      <c r="R1029" t="inlineStr">
        <is>
          <t>Grommet</t>
        </is>
      </c>
      <c r="S1029" t="inlineStr">
        <is>
          <t>2.5000</t>
        </is>
      </c>
      <c r="T1029" t="inlineStr">
        <is>
          <t>No</t>
        </is>
      </c>
      <c r="U1029" t="inlineStr">
        <is>
          <t>1 Year/18,000 Mile</t>
        </is>
      </c>
      <c r="V1029" t="inlineStr">
        <is>
          <t>Yes</t>
        </is>
      </c>
      <c r="W1029" t="inlineStr">
        <is>
          <t>Available to Order</t>
        </is>
      </c>
      <c r="X1029" t="inlineStr">
        <is>
          <t>Hyundai Elantra 2000-96</t>
        </is>
      </c>
      <c r="Y1029" t="inlineStr">
        <is>
          <t>00082617705165</t>
        </is>
      </c>
      <c r="Z1029" t="inlineStr">
        <is>
          <t>43-4513::98353:89747:225</t>
        </is>
      </c>
      <c r="AA1029" t="inlineStr">
        <is>
          <t>Yes</t>
        </is>
      </c>
      <c r="AB1029" t="inlineStr"/>
      <c r="AC1029" t="inlineStr"/>
    </row>
    <row r="1030">
      <c r="A1030" t="inlineStr">
        <is>
          <t>1029</t>
        </is>
      </c>
      <c r="B1030" t="inlineStr">
        <is>
          <t>Windshield Wiper Motor</t>
        </is>
      </c>
      <c r="C1030" t="inlineStr">
        <is>
          <t>43-4514</t>
        </is>
      </c>
      <c r="D1030" t="inlineStr">
        <is>
          <t>Windshield Wiper Motor - 43-4514</t>
        </is>
      </c>
      <c r="E1030" t="inlineStr">
        <is>
          <t>CARDONE Reman</t>
        </is>
      </c>
      <c r="F1030" t="inlineStr">
        <is>
          <t>9870026000</t>
        </is>
      </c>
      <c r="G1030" t="inlineStr"/>
      <c r="H1030" t="inlineStr"/>
      <c r="I1030" t="inlineStr">
        <is>
          <t>{"0": {"productDeskExternalKey": "CPCX|43-4514"}, "1": {"Package Contents": "Wiper Motor; Instruction Sheet"}, "2": {"E-Waste": "Yes"}, "3": {"Product Condition": "Remanufactured"}, "4": {"Mounting Hole Quantity": "3"}, "5": {"Terminal Type": "Blade"}, "6": {"Mounting Type": "Grommet"}, "7": {"Weight PG": "3.0000"}, "8": {"Washer Pump Included": "No"}, "9": {"Part Type": "Windshield Wiper Motor"}, "10": {"Warranty Info": "1 Year/18,000 Mile"}, "11": {"Sustainable Choice": "Yes"}, "12": {"Lifecycle Status": "Available to Order"}, "13": {"Application Summary": "Hyundai Santa Fe 2006-01"}, "14": {"ItemLevelGTIN": "00082617705158"}, "15": {"_addonCardone": "43-4514::98353:89759:225"}, "16": {"Eligible for R&amp;R Service": "Yes"}}</t>
        </is>
      </c>
      <c r="J1030" t="inlineStr">
        <is>
          <t>https://www.cardone.com/product/windshield-wiper-motor-43-4514</t>
        </is>
      </c>
      <c r="K1030">
        <f>DISPIMG("ID_F4065D2687F547E5A49288E852A89E3C",1)</f>
        <v/>
      </c>
      <c r="L1030" t="inlineStr">
        <is>
          <t>CPCX|43-4514</t>
        </is>
      </c>
      <c r="M1030" t="inlineStr">
        <is>
          <t>Wiper Motor; Instruction Sheet</t>
        </is>
      </c>
      <c r="N1030" t="inlineStr">
        <is>
          <t>Yes</t>
        </is>
      </c>
      <c r="O1030" t="inlineStr">
        <is>
          <t>Remanufactured</t>
        </is>
      </c>
      <c r="P1030" t="inlineStr">
        <is>
          <t>3</t>
        </is>
      </c>
      <c r="Q1030" t="inlineStr">
        <is>
          <t>Blade</t>
        </is>
      </c>
      <c r="R1030" t="inlineStr">
        <is>
          <t>Grommet</t>
        </is>
      </c>
      <c r="S1030" t="inlineStr">
        <is>
          <t>3.0000</t>
        </is>
      </c>
      <c r="T1030" t="inlineStr">
        <is>
          <t>No</t>
        </is>
      </c>
      <c r="U1030" t="inlineStr">
        <is>
          <t>1 Year/18,000 Mile</t>
        </is>
      </c>
      <c r="V1030" t="inlineStr">
        <is>
          <t>Yes</t>
        </is>
      </c>
      <c r="W1030" t="inlineStr">
        <is>
          <t>Available to Order</t>
        </is>
      </c>
      <c r="X1030" t="inlineStr">
        <is>
          <t>Hyundai Santa Fe 2006-01</t>
        </is>
      </c>
      <c r="Y1030" t="inlineStr">
        <is>
          <t>00082617705158</t>
        </is>
      </c>
      <c r="Z1030" t="inlineStr">
        <is>
          <t>43-4514::98353:89759:225</t>
        </is>
      </c>
      <c r="AA1030" t="inlineStr">
        <is>
          <t>Yes</t>
        </is>
      </c>
      <c r="AB1030" t="inlineStr"/>
      <c r="AC1030" t="inlineStr"/>
    </row>
    <row r="1031">
      <c r="A1031" t="inlineStr">
        <is>
          <t>1030</t>
        </is>
      </c>
      <c r="B1031" t="inlineStr">
        <is>
          <t>Windshield Wiper Motor</t>
        </is>
      </c>
      <c r="C1031" t="inlineStr">
        <is>
          <t>43-4515</t>
        </is>
      </c>
      <c r="D1031" t="inlineStr">
        <is>
          <t>Windshield Wiper Motor - 43-4515</t>
        </is>
      </c>
      <c r="E1031" t="inlineStr">
        <is>
          <t>CARDONE Reman</t>
        </is>
      </c>
      <c r="F1031" t="inlineStr">
        <is>
          <t>9811038501;9811038500</t>
        </is>
      </c>
      <c r="G1031" t="inlineStr">
        <is>
          <t>Hyundai Sonata 2005</t>
        </is>
      </c>
      <c r="H1031" t="inlineStr">
        <is>
          <t>Hyundai Sonata 2005 2.4L L4 2351cc
Hyundai Sonata 2005 2.7L V6 2656cc</t>
        </is>
      </c>
      <c r="I1031" t="inlineStr">
        <is>
          <t>{"0": {"productDeskExternalKey": "CPCX|43-4515"},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"Hyundai Sonata 2005, XG350 2005"}, "14": {"ItemLevelGTIN": "00082617755641"}, "15": {"_addonCardone": "43-4515::98353:89771:225"}, "16": {"Eligible for R&amp;R Service": "Yes"}}</t>
        </is>
      </c>
      <c r="J1031" t="inlineStr">
        <is>
          <t>https://www.cardone.com/product/windshield-wiper-motor-43-4515</t>
        </is>
      </c>
      <c r="K1031">
        <f>DISPIMG("ID_C5D71AC0F8014CDDADECD0E03D27750E",1)</f>
        <v/>
      </c>
      <c r="L1031" t="inlineStr">
        <is>
          <t>CPCX|43-4515</t>
        </is>
      </c>
      <c r="M1031" t="inlineStr">
        <is>
          <t>Wiper Motor; Instruction Sheet</t>
        </is>
      </c>
      <c r="N1031" t="inlineStr">
        <is>
          <t>Yes</t>
        </is>
      </c>
      <c r="O1031" t="inlineStr">
        <is>
          <t>Remanufactured</t>
        </is>
      </c>
      <c r="P1031" t="inlineStr">
        <is>
          <t>3</t>
        </is>
      </c>
      <c r="Q1031" t="inlineStr">
        <is>
          <t>Blade</t>
        </is>
      </c>
      <c r="R1031" t="inlineStr">
        <is>
          <t>Direct Bolt</t>
        </is>
      </c>
      <c r="S1031" t="inlineStr">
        <is>
          <t>3.0000</t>
        </is>
      </c>
      <c r="T1031" t="inlineStr">
        <is>
          <t>No</t>
        </is>
      </c>
      <c r="U1031" t="inlineStr">
        <is>
          <t>1 Year/18,000 Mile</t>
        </is>
      </c>
      <c r="V1031" t="inlineStr">
        <is>
          <t>Yes</t>
        </is>
      </c>
      <c r="W1031" t="inlineStr">
        <is>
          <t>Available to Order</t>
        </is>
      </c>
      <c r="X1031" t="inlineStr">
        <is>
          <t>Hyundai Sonata 2005, XG350 2005</t>
        </is>
      </c>
      <c r="Y1031" t="inlineStr">
        <is>
          <t>00082617755641</t>
        </is>
      </c>
      <c r="Z1031" t="inlineStr">
        <is>
          <t>43-4515::98353:89771:225</t>
        </is>
      </c>
      <c r="AA1031" t="inlineStr">
        <is>
          <t>Yes</t>
        </is>
      </c>
      <c r="AB1031" t="inlineStr"/>
      <c r="AC1031" t="inlineStr"/>
    </row>
    <row r="1032">
      <c r="A1032" t="inlineStr">
        <is>
          <t>1031</t>
        </is>
      </c>
      <c r="B1032" t="inlineStr">
        <is>
          <t>Windshield Wiper Motor</t>
        </is>
      </c>
      <c r="C1032" t="inlineStr">
        <is>
          <t>43-4516</t>
        </is>
      </c>
      <c r="D1032" t="inlineStr">
        <is>
          <t>Windshield Wiper Motor - 43-4516</t>
        </is>
      </c>
      <c r="E1032" t="inlineStr">
        <is>
          <t>CARDONE Reman</t>
        </is>
      </c>
      <c r="F1032" t="inlineStr">
        <is>
          <t>981101F000;981102E000;981102V000;981101H900;981103L000</t>
        </is>
      </c>
      <c r="G1032" t="inlineStr">
        <is>
          <t>Kia Optima 2011-2015
Kia Sportage 2005-2010</t>
        </is>
      </c>
      <c r="H1032" t="inlineStr">
        <is>
          <t>Kia Optima 2011-2015 2.4L L4 2359cc
Kia Optima 2011-2015 2L L4 122cid
Kia Sportage 2005-2010 2.7L V6 2656cc
Kia Sportage 2005-2010 2L L4 1975cc</t>
        </is>
      </c>
      <c r="I1032" t="inlineStr">
        <is>
          <t>{"0": {"productDeskExternalKey": "CPCX|43-4516"}, "1": {"Package Contents": "Wiper Motor; Instruction Sheet"}, "2": {"E-Waste": "Yes"}, "3": {"Product Condition": "Remanufactured"}, "4": {"Mounting Hole Quantity": "3"}, "5": {"Terminal Type": "Blade"}, "6": {"Mounting Type": "Direct Bolt"}, "7": {"Weight PG": "3.1000"}, "8": {"Washer Pump Included": "No"}, "9": {"Part Type": "Windshield Wiper Motor"}, "10": {"Warranty Info": "1 Year/18,000 Mile"}, "11": {"Sustainable Choice": "Yes"}, "12": {"Lifecycle Status": "Available to Order"}, "13": {"Application Summary": "Hyundai Azera 2011-06, Tucson 2009-05, Veloster 2017-12; Kia Optima 2015-11, Sportage 2010-05"}, "14": {"ItemLevelGTIN": "00082617755764"}, "15": {"_addonCardone": "43-4516::98353:89781:225"}, "16": {"Eligible for R&amp;R Service": "Yes"}}</t>
        </is>
      </c>
      <c r="J1032" t="inlineStr">
        <is>
          <t>https://www.cardone.com/product/windshield-wiper-motor-43-4516</t>
        </is>
      </c>
      <c r="K1032">
        <f>DISPIMG("ID_D37A9E4E9CBB47768907FA42E2BA9B93",1)</f>
        <v/>
      </c>
      <c r="L1032" t="inlineStr">
        <is>
          <t>CPCX|43-4516</t>
        </is>
      </c>
      <c r="M1032" t="inlineStr">
        <is>
          <t>Wiper Motor; Instruction Sheet</t>
        </is>
      </c>
      <c r="N1032" t="inlineStr">
        <is>
          <t>Yes</t>
        </is>
      </c>
      <c r="O1032" t="inlineStr">
        <is>
          <t>Remanufactured</t>
        </is>
      </c>
      <c r="P1032" t="inlineStr">
        <is>
          <t>3</t>
        </is>
      </c>
      <c r="Q1032" t="inlineStr">
        <is>
          <t>Blade</t>
        </is>
      </c>
      <c r="R1032" t="inlineStr">
        <is>
          <t>Direct Bolt</t>
        </is>
      </c>
      <c r="S1032" t="inlineStr">
        <is>
          <t>3.1000</t>
        </is>
      </c>
      <c r="T1032" t="inlineStr">
        <is>
          <t>No</t>
        </is>
      </c>
      <c r="U1032" t="inlineStr">
        <is>
          <t>1 Year/18,000 Mile</t>
        </is>
      </c>
      <c r="V1032" t="inlineStr">
        <is>
          <t>Yes</t>
        </is>
      </c>
      <c r="W1032" t="inlineStr">
        <is>
          <t>Available to Order</t>
        </is>
      </c>
      <c r="X1032" t="inlineStr">
        <is>
          <t>Hyundai Azera 2011-06, Tucson 2009-05, Veloster 2017-12; Kia Optima 2015-11, Sportage 2010-05</t>
        </is>
      </c>
      <c r="Y1032" t="inlineStr">
        <is>
          <t>00082617755764</t>
        </is>
      </c>
      <c r="Z1032" t="inlineStr">
        <is>
          <t>43-4516::98353:89781:225</t>
        </is>
      </c>
      <c r="AA1032" t="inlineStr">
        <is>
          <t>Yes</t>
        </is>
      </c>
      <c r="AB1032" t="inlineStr"/>
      <c r="AC1032" t="inlineStr"/>
    </row>
    <row r="1033">
      <c r="A1033" t="inlineStr">
        <is>
          <t>1032</t>
        </is>
      </c>
      <c r="B1033" t="inlineStr">
        <is>
          <t>Windshield Wiper Motor</t>
        </is>
      </c>
      <c r="C1033" t="inlineStr">
        <is>
          <t>43-4518</t>
        </is>
      </c>
      <c r="D1033" t="inlineStr">
        <is>
          <t>Windshield Wiper Motor - 43-4518</t>
        </is>
      </c>
      <c r="E1033" t="inlineStr">
        <is>
          <t>CARDONE Reman</t>
        </is>
      </c>
      <c r="F1033" t="inlineStr">
        <is>
          <t>28815AC500;86511FE030;32008786;86511AE074;86511SA050;86511AE07A</t>
        </is>
      </c>
      <c r="G1033" t="inlineStr">
        <is>
          <t>Nissan 350Z 2006-2009
Saab 9-2X 2005-2006
Subaru Baja 2004-2006
Subaru Forester 2005-2008
Subaru Impreza 2004-2007
Subaru Legacy 2004
Subaru Outback 2004</t>
        </is>
      </c>
      <c r="H1033" t="inlineStr">
        <is>
          <t>Nissan 350Z 2006-2009 3.5L V6 3498cc
Saab 9-2X 2005 2L H4 1994cc
Saab 9-2X 2005-2006 2.5L H4 2458cc
Subaru Baja 2004-2006 2.5L H4 2458cc
Subaru Forester 2005-2008 2.5L H4 2458cc
Subaru Impreza 2004-2005 2L H4 1994cc
Subaru Impreza 2004-2007 2.5L H4 2458cc
Subaru Legacy 2004 2.5L H4 2458cc
Subaru Outback 2004 2.5L H4 2458cc
Subaru Outback 2004 3L H6 3000cc</t>
        </is>
      </c>
      <c r="I1033" t="inlineStr">
        <is>
          <t>{"0": {"productDeskExternalKey": "CPCX|43-4518"}, "1": {"Package Contents": "Wiper Motor; Instruction Sheet"}, "2": {"E-Waste": "Yes"}, "3": {"Product Condition": "Remanufactured"}, "4": {"Mounting Hole Quantity": "3"}, "5": {"Terminal Type": "Blade"}, "6": {"Mounting Type": "Direct Bolt"}, "7": {"Weight PG": "2.6500"}, "8": {"Washer Pump Included": "No"}, "9": {"Part Type": "Windshield Wiper Motor"}, "10": {"Warranty Info": "1 Year/18,000 Mile"}, "11": {"Sustainable Choice": "Yes"}, "12": {"Lifecycle Status": "Available to Order"}, "13": {"Application Summary": "Nissan 350Z 2009-06; Saab 9-2X 2006-05; Subaru Baja 2006-04, Forester 2008-05, Impreza 2007-04, Legacy 2004, Outback 2004"}, "14": {"ItemLevelGTIN": "00082617760454"}, "15": {"_addonCardone": "43-4518::98353:89793:225"}, "16": {"Eligible for R&amp;R Service": "Yes"}}</t>
        </is>
      </c>
      <c r="J1033" t="inlineStr">
        <is>
          <t>https://www.cardone.com/product/windshield-wiper-motor-43-4518</t>
        </is>
      </c>
      <c r="K1033">
        <f>DISPIMG("ID_D6E79D485A3A4E26B6809D3CE3EEC88E",1)</f>
        <v/>
      </c>
      <c r="L1033" t="inlineStr">
        <is>
          <t>CPCX|43-4518</t>
        </is>
      </c>
      <c r="M1033" t="inlineStr">
        <is>
          <t>Wiper Motor; Instruction Sheet</t>
        </is>
      </c>
      <c r="N1033" t="inlineStr">
        <is>
          <t>Yes</t>
        </is>
      </c>
      <c r="O1033" t="inlineStr">
        <is>
          <t>Remanufactured</t>
        </is>
      </c>
      <c r="P1033" t="inlineStr">
        <is>
          <t>3</t>
        </is>
      </c>
      <c r="Q1033" t="inlineStr">
        <is>
          <t>Blade</t>
        </is>
      </c>
      <c r="R1033" t="inlineStr">
        <is>
          <t>Direct Bolt</t>
        </is>
      </c>
      <c r="S1033" t="inlineStr">
        <is>
          <t>2.6500</t>
        </is>
      </c>
      <c r="T1033" t="inlineStr">
        <is>
          <t>No</t>
        </is>
      </c>
      <c r="U1033" t="inlineStr">
        <is>
          <t>1 Year/18,000 Mile</t>
        </is>
      </c>
      <c r="V1033" t="inlineStr">
        <is>
          <t>Yes</t>
        </is>
      </c>
      <c r="W1033" t="inlineStr">
        <is>
          <t>Available to Order</t>
        </is>
      </c>
      <c r="X1033" t="inlineStr">
        <is>
          <t>Nissan 350Z 2009-06; Saab 9-2X 2006-05; Subaru Baja 2006-04, Forester 2008-05, Impreza 2007-04, Legacy 2004, Outback 2004</t>
        </is>
      </c>
      <c r="Y1033" t="inlineStr">
        <is>
          <t>00082617760454</t>
        </is>
      </c>
      <c r="Z1033" t="inlineStr">
        <is>
          <t>43-4518::98353:89793:225</t>
        </is>
      </c>
      <c r="AA1033" t="inlineStr">
        <is>
          <t>Yes</t>
        </is>
      </c>
      <c r="AB1033" t="inlineStr"/>
      <c r="AC1033" t="inlineStr"/>
    </row>
    <row r="1034">
      <c r="A1034" t="inlineStr">
        <is>
          <t>1033</t>
        </is>
      </c>
      <c r="B1034" t="inlineStr">
        <is>
          <t>Windshield Wiper Motor</t>
        </is>
      </c>
      <c r="C1034" t="inlineStr">
        <is>
          <t>43-4519</t>
        </is>
      </c>
      <c r="D1034" t="inlineStr">
        <is>
          <t>Windshield Wiper Motor - 43-4519</t>
        </is>
      </c>
      <c r="E1034" t="inlineStr">
        <is>
          <t>CARDONE Reman</t>
        </is>
      </c>
      <c r="F1034" t="inlineStr">
        <is>
          <t>9811026200;28815CG000</t>
        </is>
      </c>
      <c r="G1034" t="inlineStr"/>
      <c r="H1034" t="inlineStr"/>
      <c r="I1034" t="inlineStr">
        <is>
          <t>{"0": {"productDeskExternalKey": "CPCX|43-4519"},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"Hyundai Santa Fe 2004-01; INFINITI FX35 2008-03, FX45 2008-03"}, "14": {"ItemLevelGTIN": "00082617761468"}, "15": {"_addonCardone": "43-4519::98353:89804:225"}, "16": {"Eligible for R&amp;R Service": "Yes"}}</t>
        </is>
      </c>
      <c r="J1034" t="inlineStr">
        <is>
          <t>https://www.cardone.com/product/windshield-wiper-motor-43-4519</t>
        </is>
      </c>
      <c r="K1034">
        <f>DISPIMG("ID_7EB6987F67CA47DE846DC93CFE68358B",1)</f>
        <v/>
      </c>
      <c r="L1034" t="inlineStr">
        <is>
          <t>CPCX|43-4519</t>
        </is>
      </c>
      <c r="M1034" t="inlineStr">
        <is>
          <t>Wiper Motor; Instruction Sheet</t>
        </is>
      </c>
      <c r="N1034" t="inlineStr">
        <is>
          <t>Yes</t>
        </is>
      </c>
      <c r="O1034" t="inlineStr">
        <is>
          <t>Remanufactured</t>
        </is>
      </c>
      <c r="P1034" t="inlineStr">
        <is>
          <t>3</t>
        </is>
      </c>
      <c r="Q1034" t="inlineStr">
        <is>
          <t>Blade</t>
        </is>
      </c>
      <c r="R1034" t="inlineStr">
        <is>
          <t>Direct Bolt</t>
        </is>
      </c>
      <c r="S1034" t="inlineStr">
        <is>
          <t>3.0000</t>
        </is>
      </c>
      <c r="T1034" t="inlineStr">
        <is>
          <t>No</t>
        </is>
      </c>
      <c r="U1034" t="inlineStr">
        <is>
          <t>1 Year/18,000 Mile</t>
        </is>
      </c>
      <c r="V1034" t="inlineStr">
        <is>
          <t>Yes</t>
        </is>
      </c>
      <c r="W1034" t="inlineStr">
        <is>
          <t>Available to Order</t>
        </is>
      </c>
      <c r="X1034" t="inlineStr">
        <is>
          <t>Hyundai Santa Fe 2004-01; INFINITI FX35 2008-03, FX45 2008-03</t>
        </is>
      </c>
      <c r="Y1034" t="inlineStr">
        <is>
          <t>00082617761468</t>
        </is>
      </c>
      <c r="Z1034" t="inlineStr">
        <is>
          <t>43-4519::98353:89804:225</t>
        </is>
      </c>
      <c r="AA1034" t="inlineStr">
        <is>
          <t>Yes</t>
        </is>
      </c>
      <c r="AB1034" t="inlineStr"/>
      <c r="AC1034" t="inlineStr"/>
    </row>
    <row r="1035">
      <c r="A1035" t="inlineStr">
        <is>
          <t>1034</t>
        </is>
      </c>
      <c r="B1035" t="inlineStr">
        <is>
          <t>Windshield Wiper Motor</t>
        </is>
      </c>
      <c r="C1035" t="inlineStr">
        <is>
          <t>43-4520</t>
        </is>
      </c>
      <c r="D1035" t="inlineStr">
        <is>
          <t>Windshield Wiper Motor - 43-4520</t>
        </is>
      </c>
      <c r="E1035" t="inlineStr">
        <is>
          <t>CARDONE Reman</t>
        </is>
      </c>
      <c r="F1035" t="inlineStr">
        <is>
          <t>86510AG02D;86510AG02B;86510AG02A</t>
        </is>
      </c>
      <c r="G1035" t="inlineStr">
        <is>
          <t>Subaru Legacy 2005-2009
Subaru Outback 2005-2009</t>
        </is>
      </c>
      <c r="H1035" t="inlineStr">
        <is>
          <t>Subaru Legacy 2005-2009 2.5L H4 2458cc
Subaru Legacy 2008-2009 2L H4 122cid
Subaru Legacy 2008-2009 3L H6 3000cc
Subaru Outback 2005-2009 2.5L H4 2458cc
Subaru Outback 2005-2009 3L H6 3000cc</t>
        </is>
      </c>
      <c r="I1035" t="inlineStr">
        <is>
          <t>{"0": {"productDeskExternalKey": "CPCX|43-4520"}, "1": {"Package Contents": "Wiper Motor; Instruction Sheet"}, "2": {"E-Waste": "Yes"}, "3": {"Product Condition": "Remanufactured"}, "4": {"Mounting Hole Quantity": "3"}, "5": {"Terminal Type": "Blade"}, "6": {"Mounting Type": "Direct Bolt; Eyelet"}, "7": {"Weight PG": "2.8500"}, "8": {"Washer Pump Included": "No"}, "9": {"Part Type": "Windshield Wiper Motor"}, "10": {"Warranty Info": "1 Year/18,000 Mile"}, "11": {"Sustainable Choice": "Yes"}, "12": {"Lifecycle Status": "Available to Order"}, "13": {"Application Summary": "Subaru Legacy 2009-05, Outback 2009-05"}, "14": {"ItemLevelGTIN": "00082617761475"}, "15": {"_addonCardone": "43-4520::98353:89810:225"}, "16": {"Eligible for R&amp;R Service": "Yes"}}</t>
        </is>
      </c>
      <c r="J1035" t="inlineStr">
        <is>
          <t>https://www.cardone.com/product/windshield-wiper-motor-43-4520</t>
        </is>
      </c>
      <c r="K1035">
        <f>DISPIMG("ID_76A657464CD640A69C8CDCB7A36AD9EC",1)</f>
        <v/>
      </c>
      <c r="L1035" t="inlineStr">
        <is>
          <t>CPCX|43-4520</t>
        </is>
      </c>
      <c r="M1035" t="inlineStr">
        <is>
          <t>Wiper Motor; Instruction Sheet</t>
        </is>
      </c>
      <c r="N1035" t="inlineStr">
        <is>
          <t>Yes</t>
        </is>
      </c>
      <c r="O1035" t="inlineStr">
        <is>
          <t>Remanufactured</t>
        </is>
      </c>
      <c r="P1035" t="inlineStr">
        <is>
          <t>3</t>
        </is>
      </c>
      <c r="Q1035" t="inlineStr">
        <is>
          <t>Blade</t>
        </is>
      </c>
      <c r="R1035" t="inlineStr">
        <is>
          <t>Direct Bolt; Eyelet</t>
        </is>
      </c>
      <c r="S1035" t="inlineStr">
        <is>
          <t>2.8500</t>
        </is>
      </c>
      <c r="T1035" t="inlineStr">
        <is>
          <t>No</t>
        </is>
      </c>
      <c r="U1035" t="inlineStr">
        <is>
          <t>1 Year/18,000 Mile</t>
        </is>
      </c>
      <c r="V1035" t="inlineStr">
        <is>
          <t>Yes</t>
        </is>
      </c>
      <c r="W1035" t="inlineStr">
        <is>
          <t>Available to Order</t>
        </is>
      </c>
      <c r="X1035" t="inlineStr">
        <is>
          <t>Subaru Legacy 2009-05, Outback 2009-05</t>
        </is>
      </c>
      <c r="Y1035" t="inlineStr">
        <is>
          <t>00082617761475</t>
        </is>
      </c>
      <c r="Z1035" t="inlineStr">
        <is>
          <t>43-4520::98353:89810:225</t>
        </is>
      </c>
      <c r="AA1035" t="inlineStr">
        <is>
          <t>Yes</t>
        </is>
      </c>
      <c r="AB1035" t="inlineStr"/>
      <c r="AC1035" t="inlineStr"/>
    </row>
    <row r="1036">
      <c r="A1036" t="inlineStr">
        <is>
          <t>1035</t>
        </is>
      </c>
      <c r="B1036" t="inlineStr">
        <is>
          <t>Windshield Wiper Motor</t>
        </is>
      </c>
      <c r="C1036" t="inlineStr">
        <is>
          <t>43-4521</t>
        </is>
      </c>
      <c r="D1036" t="inlineStr">
        <is>
          <t>Windshield Wiper Motor - 43-4521</t>
        </is>
      </c>
      <c r="E1036" t="inlineStr">
        <is>
          <t>CARDONE Reman</t>
        </is>
      </c>
      <c r="F1036" t="inlineStr">
        <is>
          <t>981002C100;981102C100</t>
        </is>
      </c>
      <c r="G1036" t="inlineStr"/>
      <c r="H1036" t="inlineStr"/>
      <c r="I1036" t="inlineStr">
        <is>
          <t>{"0": {"productDeskExternalKey": "CPCX|43-4521"}, "1": {"Package Contents": "Wiper Motor; Instruction Sheet"}, "2": {"E-Waste": "Yes"}, "3": {"Product Condition": "Remanufactured"}, "4": {"Mounting Hole Quantity": "3"}, "5": {"Terminal Type": "Blade"}, "6": {"Mounting Type": "Direct Bolt"}, "7": {"Weight PG": "2.5000"}, "8": {"Washer Pump Included": "No"}, "9": {"Part Type": "Windshield Wiper Motor"}, "10": {"Warranty Info": "1 Year/18,000 Mile"}, "11": {"Sustainable Choice": "Yes"}, "12": {"Lifecycle Status": "Available to Order"}, "13": {"Application Summary": "Hyundai Tiburon 2008-03"}, "14": {"ItemLevelGTIN": "00082617759083"}, "15": {"_addonCardone": "43-4521::98353:89820:225"}, "16": {"Eligible for R&amp;R Service": "Yes"}}</t>
        </is>
      </c>
      <c r="J1036" t="inlineStr">
        <is>
          <t>https://www.cardone.com/product/windshield-wiper-motor-43-4521</t>
        </is>
      </c>
      <c r="K1036">
        <f>DISPIMG("ID_EA867136862643B987AED081ED6D9A5E",1)</f>
        <v/>
      </c>
      <c r="L1036" t="inlineStr">
        <is>
          <t>CPCX|43-4521</t>
        </is>
      </c>
      <c r="M1036" t="inlineStr">
        <is>
          <t>Wiper Motor; Instruction Sheet</t>
        </is>
      </c>
      <c r="N1036" t="inlineStr">
        <is>
          <t>Yes</t>
        </is>
      </c>
      <c r="O1036" t="inlineStr">
        <is>
          <t>Remanufactured</t>
        </is>
      </c>
      <c r="P1036" t="inlineStr">
        <is>
          <t>3</t>
        </is>
      </c>
      <c r="Q1036" t="inlineStr">
        <is>
          <t>Blade</t>
        </is>
      </c>
      <c r="R1036" t="inlineStr">
        <is>
          <t>Direct Bolt</t>
        </is>
      </c>
      <c r="S1036" t="inlineStr">
        <is>
          <t>2.5000</t>
        </is>
      </c>
      <c r="T1036" t="inlineStr">
        <is>
          <t>No</t>
        </is>
      </c>
      <c r="U1036" t="inlineStr">
        <is>
          <t>1 Year/18,000 Mile</t>
        </is>
      </c>
      <c r="V1036" t="inlineStr">
        <is>
          <t>Yes</t>
        </is>
      </c>
      <c r="W1036" t="inlineStr">
        <is>
          <t>Available to Order</t>
        </is>
      </c>
      <c r="X1036" t="inlineStr">
        <is>
          <t>Hyundai Tiburon 2008-03</t>
        </is>
      </c>
      <c r="Y1036" t="inlineStr">
        <is>
          <t>00082617759083</t>
        </is>
      </c>
      <c r="Z1036" t="inlineStr">
        <is>
          <t>43-4521::98353:89820:225</t>
        </is>
      </c>
      <c r="AA1036" t="inlineStr">
        <is>
          <t>Yes</t>
        </is>
      </c>
      <c r="AB1036" t="inlineStr"/>
      <c r="AC1036" t="inlineStr"/>
    </row>
    <row r="1037">
      <c r="A1037" t="inlineStr">
        <is>
          <t>1036</t>
        </is>
      </c>
      <c r="B1037" t="inlineStr">
        <is>
          <t>Windshield Wiper Motor</t>
        </is>
      </c>
      <c r="C1037" t="inlineStr">
        <is>
          <t>43-4522</t>
        </is>
      </c>
      <c r="D1037" t="inlineStr">
        <is>
          <t>Windshield Wiper Motor - 43-4522</t>
        </is>
      </c>
      <c r="E1037" t="inlineStr">
        <is>
          <t>CARDONE Reman</t>
        </is>
      </c>
      <c r="F1037" t="inlineStr">
        <is>
          <t>987003E000</t>
        </is>
      </c>
      <c r="G1037" t="inlineStr"/>
      <c r="H1037" t="inlineStr"/>
      <c r="I1037" t="inlineStr">
        <is>
          <t>{"0": {"productDeskExternalKey": "CPCX|43-4522"}, "1": {"Package Contents": "Wiper Motor; Instruction Sheet"}, "2": {"E-Waste": "Yes"}, "3": {"Product Condition": "Remanufactured"}, "4": {"Mounting Hole Quantity": "2"}, "5": {"Terminal Type": "Blade"}, "6": {"Mounting Type": "Grommet"}, "7": {"Weight PG": "2.8500"}, "8": {"Washer Pump Included": "No"}, "9": {"Part Type": "Windshield Wiper Motor"}, "10": {"Warranty Info": "1 Year/18,000 Mile"}, "11": {"Sustainable Choice": "Yes"}, "12": {"Lifecycle Status": "Available to Order"}, "13": {"Application Summary": "Kia Sorento 2009-03"}, "14": {"ItemLevelGTIN": "00082617766814"}, "15": {"_addonCardone": "43-4522::98353:89941:225"}, "16": {"Eligible for R&amp;R Service": "Yes"}}</t>
        </is>
      </c>
      <c r="J1037" t="inlineStr">
        <is>
          <t>https://www.cardone.com/product/windshield-wiper-motor-43-4522</t>
        </is>
      </c>
      <c r="K1037">
        <f>DISPIMG("ID_BE861F22DEEE47CC875A43AD30495246",1)</f>
        <v/>
      </c>
      <c r="L1037" t="inlineStr">
        <is>
          <t>CPCX|43-4522</t>
        </is>
      </c>
      <c r="M1037" t="inlineStr">
        <is>
          <t>Wiper Motor; Instruction Sheet</t>
        </is>
      </c>
      <c r="N1037" t="inlineStr">
        <is>
          <t>Yes</t>
        </is>
      </c>
      <c r="O1037" t="inlineStr">
        <is>
          <t>Remanufactured</t>
        </is>
      </c>
      <c r="P1037" t="inlineStr">
        <is>
          <t>2</t>
        </is>
      </c>
      <c r="Q1037" t="inlineStr">
        <is>
          <t>Blade</t>
        </is>
      </c>
      <c r="R1037" t="inlineStr">
        <is>
          <t>Grommet</t>
        </is>
      </c>
      <c r="S1037" t="inlineStr">
        <is>
          <t>2.8500</t>
        </is>
      </c>
      <c r="T1037" t="inlineStr">
        <is>
          <t>No</t>
        </is>
      </c>
      <c r="U1037" t="inlineStr">
        <is>
          <t>1 Year/18,000 Mile</t>
        </is>
      </c>
      <c r="V1037" t="inlineStr">
        <is>
          <t>Yes</t>
        </is>
      </c>
      <c r="W1037" t="inlineStr">
        <is>
          <t>Available to Order</t>
        </is>
      </c>
      <c r="X1037" t="inlineStr">
        <is>
          <t>Kia Sorento 2009-03</t>
        </is>
      </c>
      <c r="Y1037" t="inlineStr">
        <is>
          <t>00082617766814</t>
        </is>
      </c>
      <c r="Z1037" t="inlineStr">
        <is>
          <t>43-4522::98353:89941:225</t>
        </is>
      </c>
      <c r="AA1037" t="inlineStr">
        <is>
          <t>Yes</t>
        </is>
      </c>
      <c r="AB1037" t="inlineStr"/>
      <c r="AC1037" t="inlineStr"/>
    </row>
    <row r="1038">
      <c r="A1038" t="inlineStr">
        <is>
          <t>1037</t>
        </is>
      </c>
      <c r="B1038" t="inlineStr">
        <is>
          <t>Windshield Wiper Motor</t>
        </is>
      </c>
      <c r="C1038" t="inlineStr">
        <is>
          <t>43-4523</t>
        </is>
      </c>
      <c r="D1038" t="inlineStr">
        <is>
          <t>Windshield Wiper Motor - 43-4523</t>
        </is>
      </c>
      <c r="E1038" t="inlineStr">
        <is>
          <t>CARDONE Reman</t>
        </is>
      </c>
      <c r="F1038" t="inlineStr">
        <is>
          <t>0K2B167450B</t>
        </is>
      </c>
      <c r="G1038" t="inlineStr">
        <is>
          <t>Kia Spectra 2000-2004</t>
        </is>
      </c>
      <c r="H1038" t="inlineStr">
        <is>
          <t>Kia Spectra 2000-2004 1.8L L4 1793cc
Kia Spectra 2004 2L L4 1975cc</t>
        </is>
      </c>
      <c r="I1038" t="inlineStr">
        <is>
          <t>{"0": {"productDeskExternalKey": "CPCX|43-4523"}, "1": {"Package Contents": "Wiper Motor; Instruction Sheet"}, "2": {"E-Waste": "Yes"}, "3": {"Product Condition": "Remanufactured"}, "4": {"Mounting Hole Quantity": "3"}, "5": {"Terminal Type": "Blade"}, "6": {"Mounting Type": "Eyelet"}, "7": {"Weight PG": "2.0000"}, "8": {"Washer Pump Included": "No"}, "9": {"Part Type": "Windshield Wiper Motor"}, "10": {"Warranty Info": "1 Year/18,000 Mile"}, "11": {"Sustainable Choice": "Yes"}, "12": {"Lifecycle Status": "Available to Order"}, "13": {"Application Summary": "Kia Spectra 2004-00"}, "14": {"ItemLevelGTIN": "00082617766913"}, "15": {"_addonCardone": "43-4523::98353:89952:225"}, "16": {"Eligible for R&amp;R Service": "Yes"}}</t>
        </is>
      </c>
      <c r="J1038" t="inlineStr">
        <is>
          <t>https://www.cardone.com/product/windshield-wiper-motor-43-4523</t>
        </is>
      </c>
      <c r="K1038">
        <f>DISPIMG("ID_693DD1C7A1FA4EEABEDA3DBD59E8EE38",1)</f>
        <v/>
      </c>
      <c r="L1038" t="inlineStr">
        <is>
          <t>CPCX|43-4523</t>
        </is>
      </c>
      <c r="M1038" t="inlineStr">
        <is>
          <t>Wiper Motor; Instruction Sheet</t>
        </is>
      </c>
      <c r="N1038" t="inlineStr">
        <is>
          <t>Yes</t>
        </is>
      </c>
      <c r="O1038" t="inlineStr">
        <is>
          <t>Remanufactured</t>
        </is>
      </c>
      <c r="P1038" t="inlineStr">
        <is>
          <t>3</t>
        </is>
      </c>
      <c r="Q1038" t="inlineStr">
        <is>
          <t>Blade</t>
        </is>
      </c>
      <c r="R1038" t="inlineStr">
        <is>
          <t>Eyelet</t>
        </is>
      </c>
      <c r="S1038" t="inlineStr">
        <is>
          <t>2.0000</t>
        </is>
      </c>
      <c r="T1038" t="inlineStr">
        <is>
          <t>No</t>
        </is>
      </c>
      <c r="U1038" t="inlineStr">
        <is>
          <t>1 Year/18,000 Mile</t>
        </is>
      </c>
      <c r="V1038" t="inlineStr">
        <is>
          <t>Yes</t>
        </is>
      </c>
      <c r="W1038" t="inlineStr">
        <is>
          <t>Available to Order</t>
        </is>
      </c>
      <c r="X1038" t="inlineStr">
        <is>
          <t>Kia Spectra 2004-00</t>
        </is>
      </c>
      <c r="Y1038" t="inlineStr">
        <is>
          <t>00082617766913</t>
        </is>
      </c>
      <c r="Z1038" t="inlineStr">
        <is>
          <t>43-4523::98353:89952:225</t>
        </is>
      </c>
      <c r="AA1038" t="inlineStr">
        <is>
          <t>Yes</t>
        </is>
      </c>
      <c r="AB1038" t="inlineStr"/>
      <c r="AC1038" t="inlineStr"/>
    </row>
    <row r="1039">
      <c r="A1039" t="inlineStr">
        <is>
          <t>1038</t>
        </is>
      </c>
      <c r="B1039" t="inlineStr">
        <is>
          <t>Windshield Wiper Motor</t>
        </is>
      </c>
      <c r="C1039" t="inlineStr">
        <is>
          <t>43-4524</t>
        </is>
      </c>
      <c r="D1039" t="inlineStr">
        <is>
          <t>Windshield Wiper Motor - 43-4524</t>
        </is>
      </c>
      <c r="E1039" t="inlineStr">
        <is>
          <t>CARDONE Reman</t>
        </is>
      </c>
      <c r="F1039" t="inlineStr">
        <is>
          <t>MR957879;86511FE010</t>
        </is>
      </c>
      <c r="G1039" t="inlineStr">
        <is>
          <t>Mitsubishi Lancer 2003-2006
Subaru Impreza 2002-2003</t>
        </is>
      </c>
      <c r="H1039" t="inlineStr">
        <is>
          <t>Mitsubishi Lancer 2003-2006 2L L4 122cid
Subaru Impreza 2002-2003 2.5L H4 2458cc
Subaru Impreza 2002-2003 2L H4 1994cc</t>
        </is>
      </c>
      <c r="I1039" t="inlineStr">
        <is>
          <t>{"0": {"productDeskExternalKey": "CPCX|43-4524"},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"Mitsubishi Lancer 2006-03; Subaru Impreza 2003-02"}, "14": {"ItemLevelGTIN": "00082617767378"}, "15": {"_addonCardone": "43-4524::98353:89963:225"}, "16": {"Eligible for R&amp;R Service": "Yes"}}</t>
        </is>
      </c>
      <c r="J1039" t="inlineStr">
        <is>
          <t>https://www.cardone.com/product/windshield-wiper-motor-43-4524</t>
        </is>
      </c>
      <c r="K1039">
        <f>DISPIMG("ID_16FCC365A5BE401EB5B47D8B56D04A79",1)</f>
        <v/>
      </c>
      <c r="L1039" t="inlineStr">
        <is>
          <t>CPCX|43-4524</t>
        </is>
      </c>
      <c r="M1039" t="inlineStr">
        <is>
          <t>Wiper Motor; Instruction Sheet</t>
        </is>
      </c>
      <c r="N1039" t="inlineStr">
        <is>
          <t>Yes</t>
        </is>
      </c>
      <c r="O1039" t="inlineStr">
        <is>
          <t>Remanufactured</t>
        </is>
      </c>
      <c r="P1039" t="inlineStr">
        <is>
          <t>3</t>
        </is>
      </c>
      <c r="Q1039" t="inlineStr">
        <is>
          <t>Blade</t>
        </is>
      </c>
      <c r="R1039" t="inlineStr">
        <is>
          <t>Direct Bolt</t>
        </is>
      </c>
      <c r="S1039" t="inlineStr">
        <is>
          <t>3.0000</t>
        </is>
      </c>
      <c r="T1039" t="inlineStr">
        <is>
          <t>No</t>
        </is>
      </c>
      <c r="U1039" t="inlineStr">
        <is>
          <t>1 Year/18,000 Mile</t>
        </is>
      </c>
      <c r="V1039" t="inlineStr">
        <is>
          <t>Yes</t>
        </is>
      </c>
      <c r="W1039" t="inlineStr">
        <is>
          <t>Available to Order</t>
        </is>
      </c>
      <c r="X1039" t="inlineStr">
        <is>
          <t>Mitsubishi Lancer 2006-03; Subaru Impreza 2003-02</t>
        </is>
      </c>
      <c r="Y1039" t="inlineStr">
        <is>
          <t>00082617767378</t>
        </is>
      </c>
      <c r="Z1039" t="inlineStr">
        <is>
          <t>43-4524::98353:89963:225</t>
        </is>
      </c>
      <c r="AA1039" t="inlineStr">
        <is>
          <t>Yes</t>
        </is>
      </c>
      <c r="AB1039" t="inlineStr"/>
      <c r="AC1039" t="inlineStr"/>
    </row>
    <row r="1040">
      <c r="A1040" t="inlineStr">
        <is>
          <t>1039</t>
        </is>
      </c>
      <c r="B1040" t="inlineStr">
        <is>
          <t>Windshield Wiper Motor</t>
        </is>
      </c>
      <c r="C1040" t="inlineStr">
        <is>
          <t>43-4526</t>
        </is>
      </c>
      <c r="D1040" t="inlineStr">
        <is>
          <t>Windshield Wiper Motor - 43-4526</t>
        </is>
      </c>
      <c r="E1040" t="inlineStr">
        <is>
          <t>CARDONE Reman</t>
        </is>
      </c>
      <c r="F1040" t="inlineStr">
        <is>
          <t>981104D000</t>
        </is>
      </c>
      <c r="G1040" t="inlineStr">
        <is>
          <t>Kia Sedona 2006-2014</t>
        </is>
      </c>
      <c r="H1040" t="inlineStr">
        <is>
          <t>Kia Sedona 2006-2010 3.8L V6 231cid
Kia Sedona 2011-2014 3.5L V6 3470cc</t>
        </is>
      </c>
      <c r="I1040" t="inlineStr">
        <is>
          <t>{"0": {"productDeskExternalKey": "CPCX|43-4526"},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"Hyundai Entourage 2008-07; Kia Sedona 2014 2012-06"}, "14": {"ItemLevelGTIN": "00082617773348"}, "15": {"_addonCardone": "43-4526::98353:89973:225"}, "16": {"Eligible for R&amp;R Service": "Yes"}}</t>
        </is>
      </c>
      <c r="J1040" t="inlineStr">
        <is>
          <t>https://www.cardone.com/product/windshield-wiper-motor-43-4526</t>
        </is>
      </c>
      <c r="K1040">
        <f>DISPIMG("ID_02663E7F2972433EA2683766C3684CDC",1)</f>
        <v/>
      </c>
      <c r="L1040" t="inlineStr">
        <is>
          <t>CPCX|43-4526</t>
        </is>
      </c>
      <c r="M1040" t="inlineStr">
        <is>
          <t>Wiper Motor; Instruction Sheet</t>
        </is>
      </c>
      <c r="N1040" t="inlineStr">
        <is>
          <t>Yes</t>
        </is>
      </c>
      <c r="O1040" t="inlineStr">
        <is>
          <t>Remanufactured</t>
        </is>
      </c>
      <c r="P1040" t="inlineStr">
        <is>
          <t>3</t>
        </is>
      </c>
      <c r="Q1040" t="inlineStr">
        <is>
          <t>Blade</t>
        </is>
      </c>
      <c r="R1040" t="inlineStr">
        <is>
          <t>Direct Bolt</t>
        </is>
      </c>
      <c r="S1040" t="inlineStr">
        <is>
          <t>3.0000</t>
        </is>
      </c>
      <c r="T1040" t="inlineStr">
        <is>
          <t>No</t>
        </is>
      </c>
      <c r="U1040" t="inlineStr">
        <is>
          <t>1 Year/18,000 Mile</t>
        </is>
      </c>
      <c r="V1040" t="inlineStr">
        <is>
          <t>Yes</t>
        </is>
      </c>
      <c r="W1040" t="inlineStr">
        <is>
          <t>Available to Order</t>
        </is>
      </c>
      <c r="X1040" t="inlineStr">
        <is>
          <t>Hyundai Entourage 2008-07; Kia Sedona 2014 2012-06</t>
        </is>
      </c>
      <c r="Y1040" t="inlineStr">
        <is>
          <t>00082617773348</t>
        </is>
      </c>
      <c r="Z1040" t="inlineStr">
        <is>
          <t>43-4526::98353:89973:225</t>
        </is>
      </c>
      <c r="AA1040" t="inlineStr">
        <is>
          <t>Yes</t>
        </is>
      </c>
      <c r="AB1040" t="inlineStr"/>
      <c r="AC1040" t="inlineStr"/>
    </row>
    <row r="1041">
      <c r="A1041" t="inlineStr">
        <is>
          <t>1040</t>
        </is>
      </c>
      <c r="B1041" t="inlineStr">
        <is>
          <t>Windshield Wiper Motor</t>
        </is>
      </c>
      <c r="C1041" t="inlineStr">
        <is>
          <t>43-4527</t>
        </is>
      </c>
      <c r="D1041" t="inlineStr">
        <is>
          <t>Windshield Wiper Motor - 43-4527</t>
        </is>
      </c>
      <c r="E1041" t="inlineStr">
        <is>
          <t>CARDONE Reman</t>
        </is>
      </c>
      <c r="F1041" t="inlineStr">
        <is>
          <t>987002D001;987002D000</t>
        </is>
      </c>
      <c r="G1041" t="inlineStr"/>
      <c r="H1041" t="inlineStr"/>
      <c r="I1041" t="inlineStr">
        <is>
          <t>{"0": {"productDeskExternalKey": "CPCX|43-4527"}, "1": {"Package Contents": "Wiper Motor; Instruction Sheet"}, "2": {"E-Waste": "Yes"}, "3": {"Product Condition": "Remanufactured"}, "4": {"Mounting Hole Quantity": "3"}, "5": {"Terminal Type": "Blade"}, "6": {"Mounting Type": "Grommet"}, "7": {"Weight PG": "2.9000"}, "8": {"Washer Pump Included": "No"}, "9": {"Part Type": "Windshield Wiper Motor"}, "10": {"Warranty Info": "1 Year/18,000 Mile"}, "11": {"Sustainable Choice": "Yes"}, "12": {"Lifecycle Status": "Available to Order"}, "13": {"Application Summary": "Hyundai Elantra 2006-01"}, "14": {"ItemLevelGTIN": "00082617774604"}, "15": {"_addonCardone": "43-4527::98353:89980:225"}, "16": {"Eligible for R&amp;R Service": "Yes"}}</t>
        </is>
      </c>
      <c r="J1041" t="inlineStr">
        <is>
          <t>https://www.cardone.com/product/windshield-wiper-motor-43-4527</t>
        </is>
      </c>
      <c r="K1041">
        <f>DISPIMG("ID_D88A8ED6337C402AB5D5F0F3A54E13E0",1)</f>
        <v/>
      </c>
      <c r="L1041" t="inlineStr">
        <is>
          <t>CPCX|43-4527</t>
        </is>
      </c>
      <c r="M1041" t="inlineStr">
        <is>
          <t>Wiper Motor; Instruction Sheet</t>
        </is>
      </c>
      <c r="N1041" t="inlineStr">
        <is>
          <t>Yes</t>
        </is>
      </c>
      <c r="O1041" t="inlineStr">
        <is>
          <t>Remanufactured</t>
        </is>
      </c>
      <c r="P1041" t="inlineStr">
        <is>
          <t>3</t>
        </is>
      </c>
      <c r="Q1041" t="inlineStr">
        <is>
          <t>Blade</t>
        </is>
      </c>
      <c r="R1041" t="inlineStr">
        <is>
          <t>Grommet</t>
        </is>
      </c>
      <c r="S1041" t="inlineStr">
        <is>
          <t>2.9000</t>
        </is>
      </c>
      <c r="T1041" t="inlineStr">
        <is>
          <t>No</t>
        </is>
      </c>
      <c r="U1041" t="inlineStr">
        <is>
          <t>1 Year/18,000 Mile</t>
        </is>
      </c>
      <c r="V1041" t="inlineStr">
        <is>
          <t>Yes</t>
        </is>
      </c>
      <c r="W1041" t="inlineStr">
        <is>
          <t>Available to Order</t>
        </is>
      </c>
      <c r="X1041" t="inlineStr">
        <is>
          <t>Hyundai Elantra 2006-01</t>
        </is>
      </c>
      <c r="Y1041" t="inlineStr">
        <is>
          <t>00082617774604</t>
        </is>
      </c>
      <c r="Z1041" t="inlineStr">
        <is>
          <t>43-4527::98353:89980:225</t>
        </is>
      </c>
      <c r="AA1041" t="inlineStr">
        <is>
          <t>Yes</t>
        </is>
      </c>
      <c r="AB1041" t="inlineStr"/>
      <c r="AC1041" t="inlineStr"/>
    </row>
    <row r="1042">
      <c r="A1042" t="inlineStr">
        <is>
          <t>1041</t>
        </is>
      </c>
      <c r="B1042" t="inlineStr">
        <is>
          <t>Windshield Wiper Motor</t>
        </is>
      </c>
      <c r="C1042" t="inlineStr">
        <is>
          <t>43-4528</t>
        </is>
      </c>
      <c r="D1042" t="inlineStr">
        <is>
          <t>Windshield Wiper Motor - 43-4528</t>
        </is>
      </c>
      <c r="E1042" t="inlineStr">
        <is>
          <t>CARDONE Reman</t>
        </is>
      </c>
      <c r="F1042" t="inlineStr">
        <is>
          <t>86511PA040VG;86511PA040</t>
        </is>
      </c>
      <c r="G1042" t="inlineStr">
        <is>
          <t>Subaru SVX 1992-1997</t>
        </is>
      </c>
      <c r="H1042" t="inlineStr">
        <is>
          <t>Subaru SVX 1992-1997 3.3L H6 3318cc</t>
        </is>
      </c>
      <c r="I1042" t="inlineStr">
        <is>
          <t>{"0": {"productDeskExternalKey": "CPCX|43-4528"}, "1": {"Package Contents": "Wiper Motor; Instruction Sheet"}, "2": {"E-Waste": "Yes"}, "3": {"Product Condition": "Remanufactured"}, "4": {"Mounting Hole Quantity": "3"}, "5": {"Terminal Type": "Blade"}, "6": {"Mounting Type": "Grommet"}, "7": {"Weight PG": "2.9500"}, "8": {"Washer Pump Included": "No"}, "9": {"Part Type": "Windshield Wiper Motor"}, "10": {"Warranty Info": "1 Year/18,000 Mile"}, "11": {"Sustainable Choice": "Yes"}, "12": {"Lifecycle Status": "Available to Order"}, "13": {"Application Summary": "Subaru SVX 1997-92"}, "14": {"ItemLevelGTIN": "00082617776516"}, "15": {"_addonCardone": "43-4528::98353:89988:225"}, "16": {"Eligible for R&amp;R Service": "Yes"}}</t>
        </is>
      </c>
      <c r="J1042" t="inlineStr">
        <is>
          <t>https://www.cardone.com/product/windshield-wiper-motor-43-4528</t>
        </is>
      </c>
      <c r="K1042">
        <f>DISPIMG("ID_19C724BCCB8B4BA8A5984CD0BDBBB5A3",1)</f>
        <v/>
      </c>
      <c r="L1042" t="inlineStr">
        <is>
          <t>CPCX|43-4528</t>
        </is>
      </c>
      <c r="M1042" t="inlineStr">
        <is>
          <t>Wiper Motor; Instruction Sheet</t>
        </is>
      </c>
      <c r="N1042" t="inlineStr">
        <is>
          <t>Yes</t>
        </is>
      </c>
      <c r="O1042" t="inlineStr">
        <is>
          <t>Remanufactured</t>
        </is>
      </c>
      <c r="P1042" t="inlineStr">
        <is>
          <t>3</t>
        </is>
      </c>
      <c r="Q1042" t="inlineStr">
        <is>
          <t>Blade</t>
        </is>
      </c>
      <c r="R1042" t="inlineStr">
        <is>
          <t>Grommet</t>
        </is>
      </c>
      <c r="S1042" t="inlineStr">
        <is>
          <t>2.9500</t>
        </is>
      </c>
      <c r="T1042" t="inlineStr">
        <is>
          <t>No</t>
        </is>
      </c>
      <c r="U1042" t="inlineStr">
        <is>
          <t>1 Year/18,000 Mile</t>
        </is>
      </c>
      <c r="V1042" t="inlineStr">
        <is>
          <t>Yes</t>
        </is>
      </c>
      <c r="W1042" t="inlineStr">
        <is>
          <t>Available to Order</t>
        </is>
      </c>
      <c r="X1042" t="inlineStr">
        <is>
          <t>Subaru SVX 1997-92</t>
        </is>
      </c>
      <c r="Y1042" t="inlineStr">
        <is>
          <t>00082617776516</t>
        </is>
      </c>
      <c r="Z1042" t="inlineStr">
        <is>
          <t>43-4528::98353:89988:225</t>
        </is>
      </c>
      <c r="AA1042" t="inlineStr">
        <is>
          <t>Yes</t>
        </is>
      </c>
      <c r="AB1042" t="inlineStr"/>
      <c r="AC1042" t="inlineStr"/>
    </row>
    <row r="1043">
      <c r="A1043" t="inlineStr">
        <is>
          <t>1042</t>
        </is>
      </c>
      <c r="B1043" t="inlineStr">
        <is>
          <t>Windshield Wiper Motor</t>
        </is>
      </c>
      <c r="C1043" t="inlineStr">
        <is>
          <t>43-4529</t>
        </is>
      </c>
      <c r="D1043" t="inlineStr">
        <is>
          <t>Windshield Wiper Motor - 43-4529</t>
        </is>
      </c>
      <c r="E1043" t="inlineStr">
        <is>
          <t>CARDONE Reman</t>
        </is>
      </c>
      <c r="F1043" t="inlineStr">
        <is>
          <t>981103F000</t>
        </is>
      </c>
      <c r="G1043" t="inlineStr">
        <is>
          <t>Kia Amanti 2004-2009</t>
        </is>
      </c>
      <c r="H1043" t="inlineStr">
        <is>
          <t>Kia Amanti 2004-2006 3.5L V6 3497cc
Kia Amanti 2007-2009 3.8L V6 231cid</t>
        </is>
      </c>
      <c r="I1043" t="inlineStr">
        <is>
          <t>{"0": {"productDeskExternalKey": "CPCX|43-4529"},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"Kia Amanti 2009-04"}, "14": {"ItemLevelGTIN": "00082617776547"}, "15": {"_addonCardone": "43-4529::98353:89996:225"}, "16": {"Eligible for R&amp;R Service": "Yes"}}</t>
        </is>
      </c>
      <c r="J1043" t="inlineStr">
        <is>
          <t>https://www.cardone.com/product/windshield-wiper-motor-43-4529</t>
        </is>
      </c>
      <c r="K1043">
        <f>DISPIMG("ID_5865543BCB254081A99AAA159DA80E98",1)</f>
        <v/>
      </c>
      <c r="L1043" t="inlineStr">
        <is>
          <t>CPCX|43-4529</t>
        </is>
      </c>
      <c r="M1043" t="inlineStr">
        <is>
          <t>Wiper Motor; Instruction Sheet</t>
        </is>
      </c>
      <c r="N1043" t="inlineStr">
        <is>
          <t>Yes</t>
        </is>
      </c>
      <c r="O1043" t="inlineStr">
        <is>
          <t>Remanufactured</t>
        </is>
      </c>
      <c r="P1043" t="inlineStr">
        <is>
          <t>3</t>
        </is>
      </c>
      <c r="Q1043" t="inlineStr">
        <is>
          <t>Blade</t>
        </is>
      </c>
      <c r="R1043" t="inlineStr">
        <is>
          <t>Direct Bolt</t>
        </is>
      </c>
      <c r="S1043" t="inlineStr">
        <is>
          <t>2.7500</t>
        </is>
      </c>
      <c r="T1043" t="inlineStr">
        <is>
          <t>No</t>
        </is>
      </c>
      <c r="U1043" t="inlineStr">
        <is>
          <t>1 Year/18,000 Mile</t>
        </is>
      </c>
      <c r="V1043" t="inlineStr">
        <is>
          <t>Yes</t>
        </is>
      </c>
      <c r="W1043" t="inlineStr">
        <is>
          <t>Available to Order</t>
        </is>
      </c>
      <c r="X1043" t="inlineStr">
        <is>
          <t>Kia Amanti 2009-04</t>
        </is>
      </c>
      <c r="Y1043" t="inlineStr">
        <is>
          <t>00082617776547</t>
        </is>
      </c>
      <c r="Z1043" t="inlineStr">
        <is>
          <t>43-4529::98353:89996:225</t>
        </is>
      </c>
      <c r="AA1043" t="inlineStr">
        <is>
          <t>Yes</t>
        </is>
      </c>
      <c r="AB1043" t="inlineStr"/>
      <c r="AC1043" t="inlineStr"/>
    </row>
    <row r="1044">
      <c r="A1044" t="inlineStr">
        <is>
          <t>1043</t>
        </is>
      </c>
      <c r="B1044" t="inlineStr">
        <is>
          <t>Windshield Wiper Motor</t>
        </is>
      </c>
      <c r="C1044" t="inlineStr">
        <is>
          <t>43-4531</t>
        </is>
      </c>
      <c r="D1044" t="inlineStr">
        <is>
          <t>Windshield Wiper Motor - 43-4531</t>
        </is>
      </c>
      <c r="E1044" t="inlineStr">
        <is>
          <t>CARDONE Reman</t>
        </is>
      </c>
      <c r="F1044" t="inlineStr">
        <is>
          <t>9811026500</t>
        </is>
      </c>
      <c r="G1044" t="inlineStr"/>
      <c r="H1044" t="inlineStr"/>
      <c r="I1044" t="inlineStr">
        <is>
          <t>{"0": {"productDeskExternalKey": "CPCX|43-4531"},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"Hyundai Santa Fe 2006-05"}, "14": {"ItemLevelGTIN": "00082617795722"}, "15": {"_addonCardone": "43-4531::98353:90003:225"}, "16": {"Eligible for R&amp;R Service": "Yes"}}</t>
        </is>
      </c>
      <c r="J1044" t="inlineStr">
        <is>
          <t>https://www.cardone.com/product/windshield-wiper-motor-43-4531</t>
        </is>
      </c>
      <c r="K1044">
        <f>DISPIMG("ID_EBC277F04A0447AAA45524F0F14772E0",1)</f>
        <v/>
      </c>
      <c r="L1044" t="inlineStr">
        <is>
          <t>CPCX|43-4531</t>
        </is>
      </c>
      <c r="M1044" t="inlineStr">
        <is>
          <t>Wiper Motor; Instruction Sheet</t>
        </is>
      </c>
      <c r="N1044" t="inlineStr">
        <is>
          <t>Yes</t>
        </is>
      </c>
      <c r="O1044" t="inlineStr">
        <is>
          <t>Remanufactured</t>
        </is>
      </c>
      <c r="P1044" t="inlineStr">
        <is>
          <t>3</t>
        </is>
      </c>
      <c r="Q1044" t="inlineStr">
        <is>
          <t>Blade</t>
        </is>
      </c>
      <c r="R1044" t="inlineStr">
        <is>
          <t>Direct Bolt</t>
        </is>
      </c>
      <c r="S1044" t="inlineStr">
        <is>
          <t>3.0000</t>
        </is>
      </c>
      <c r="T1044" t="inlineStr">
        <is>
          <t>No</t>
        </is>
      </c>
      <c r="U1044" t="inlineStr">
        <is>
          <t>1 Year/18,000 Mile</t>
        </is>
      </c>
      <c r="V1044" t="inlineStr">
        <is>
          <t>Yes</t>
        </is>
      </c>
      <c r="W1044" t="inlineStr">
        <is>
          <t>Available to Order</t>
        </is>
      </c>
      <c r="X1044" t="inlineStr">
        <is>
          <t>Hyundai Santa Fe 2006-05</t>
        </is>
      </c>
      <c r="Y1044" t="inlineStr">
        <is>
          <t>00082617795722</t>
        </is>
      </c>
      <c r="Z1044" t="inlineStr">
        <is>
          <t>43-4531::98353:90003:225</t>
        </is>
      </c>
      <c r="AA1044" t="inlineStr">
        <is>
          <t>Yes</t>
        </is>
      </c>
      <c r="AB1044" t="inlineStr"/>
      <c r="AC1044" t="inlineStr"/>
    </row>
    <row r="1045">
      <c r="A1045" t="inlineStr">
        <is>
          <t>1044</t>
        </is>
      </c>
      <c r="B1045" t="inlineStr">
        <is>
          <t>Windshield Wiper Motor</t>
        </is>
      </c>
      <c r="C1045" t="inlineStr">
        <is>
          <t>43-4532</t>
        </is>
      </c>
      <c r="D1045" t="inlineStr">
        <is>
          <t>Windshield Wiper Motor - 43-4532</t>
        </is>
      </c>
      <c r="E1045" t="inlineStr">
        <is>
          <t>CARDONE Reman</t>
        </is>
      </c>
      <c r="F1045" t="inlineStr">
        <is>
          <t>86510AG09A;86510AG09B</t>
        </is>
      </c>
      <c r="G1045" t="inlineStr">
        <is>
          <t>Subaru B9 Tribeca 2006-2007
Subaru Legacy 2005-2007
Subaru Outback 2005-2009
Subaru Tribeca 2008-2009</t>
        </is>
      </c>
      <c r="H1045" t="inlineStr">
        <is>
          <t>Subaru B9 Tribeca 2006-2007 3L H6 3000cc
Subaru Legacy 2005-2007 2.5L H4 2458cc
Subaru Outback 2005-2009 2.5L H4 2458cc
Subaru Outback 2005-2009 3L H6 3000cc
Subaru Tribeca 2008-2009 3.6L H6 3630cc</t>
        </is>
      </c>
      <c r="I1045" t="inlineStr">
        <is>
          <t>{"0": {"productDeskExternalKey": "CPCX|43-4532"}, "1": {"Package Contents": "Wiper Motor; Instruction Sheet"}, "2": {"E-Waste": "Yes"}, "3": {"Product Condition": "Remanufactured"}, "4": {"Mounting Hole Quantity": "3"}, "5": {"Terminal Type": "Blade"}, "6": {"Mounting Type": "Grommet"}, "7": {"Weight PG": "2.3000"}, "8": {"Washer Pump Included": "No"}, "9": {"Part Type": "Windshield Wiper Motor"}, "10": {"Warranty Info": "1 Year/18,000 Mile"}, "11": {"Sustainable Choice": "Yes"}, "12": {"Lifecycle Status": "Available to Order"}, "13": {"Application Summary": "Subaru B9 Tribeca 2007-06, Legacy 2007-05, Outback 2009-05, Tribeca 2009-08"}, "14": {"ItemLevelGTIN": "00082617798426"}, "15": {"_addonCardone": "43-4532::98353:90012:225"}, "16": {"Eligible for R&amp;R Service": "Yes"}}</t>
        </is>
      </c>
      <c r="J1045" t="inlineStr">
        <is>
          <t>https://www.cardone.com/product/windshield-wiper-motor-43-4532</t>
        </is>
      </c>
      <c r="K1045">
        <f>DISPIMG("ID_02160D4C918A45AC8E53716E5005214D",1)</f>
        <v/>
      </c>
      <c r="L1045" t="inlineStr">
        <is>
          <t>CPCX|43-4532</t>
        </is>
      </c>
      <c r="M1045" t="inlineStr">
        <is>
          <t>Wiper Motor; Instruction Sheet</t>
        </is>
      </c>
      <c r="N1045" t="inlineStr">
        <is>
          <t>Yes</t>
        </is>
      </c>
      <c r="O1045" t="inlineStr">
        <is>
          <t>Remanufactured</t>
        </is>
      </c>
      <c r="P1045" t="inlineStr">
        <is>
          <t>3</t>
        </is>
      </c>
      <c r="Q1045" t="inlineStr">
        <is>
          <t>Blade</t>
        </is>
      </c>
      <c r="R1045" t="inlineStr">
        <is>
          <t>Grommet</t>
        </is>
      </c>
      <c r="S1045" t="inlineStr">
        <is>
          <t>2.3000</t>
        </is>
      </c>
      <c r="T1045" t="inlineStr">
        <is>
          <t>No</t>
        </is>
      </c>
      <c r="U1045" t="inlineStr">
        <is>
          <t>1 Year/18,000 Mile</t>
        </is>
      </c>
      <c r="V1045" t="inlineStr">
        <is>
          <t>Yes</t>
        </is>
      </c>
      <c r="W1045" t="inlineStr">
        <is>
          <t>Available to Order</t>
        </is>
      </c>
      <c r="X1045" t="inlineStr">
        <is>
          <t>Subaru B9 Tribeca 2007-06, Legacy 2007-05, Outback 2009-05, Tribeca 2009-08</t>
        </is>
      </c>
      <c r="Y1045" t="inlineStr">
        <is>
          <t>00082617798426</t>
        </is>
      </c>
      <c r="Z1045" t="inlineStr">
        <is>
          <t>43-4532::98353:90012:225</t>
        </is>
      </c>
      <c r="AA1045" t="inlineStr">
        <is>
          <t>Yes</t>
        </is>
      </c>
      <c r="AB1045" t="inlineStr"/>
      <c r="AC1045" t="inlineStr"/>
    </row>
    <row r="1046">
      <c r="A1046" t="inlineStr">
        <is>
          <t>1045</t>
        </is>
      </c>
      <c r="B1046" t="inlineStr">
        <is>
          <t>Windshield Wiper Motor</t>
        </is>
      </c>
      <c r="C1046" t="inlineStr">
        <is>
          <t>43-4533</t>
        </is>
      </c>
      <c r="D1046" t="inlineStr">
        <is>
          <t>Windshield Wiper Motor - 43-4533</t>
        </is>
      </c>
      <c r="E1046" t="inlineStr">
        <is>
          <t>CARDONE Reman</t>
        </is>
      </c>
      <c r="F1046" t="inlineStr">
        <is>
          <t>987002E000;987001F000;987002E001;987001F001;987102E000</t>
        </is>
      </c>
      <c r="G1046" t="inlineStr">
        <is>
          <t>Kia Sportage 2005-2010</t>
        </is>
      </c>
      <c r="H1046" t="inlineStr">
        <is>
          <t>Kia Sportage 2005-2010 2.7L V6 2656cc
Kia Sportage 2005-2010 2L L4 1975cc</t>
        </is>
      </c>
      <c r="I1046" t="inlineStr">
        <is>
          <t>{"0": {"productDeskExternalKey": "CPCX|43-4533"}, "1": {"Package Contents": "Wiper Motor; Instruction Sheet"}, "2": {"E-Waste": "Yes"}, "3": {"Product Condition": "Remanufactured"}, "4": {"Mounting Hole Quantity": "3"}, "5": {"Terminal Type": "Blade"}, "6": {"Mounting Type": "Direct Bolt"}, "7": {"Weight PG": "1.9500"}, "8": {"Washer Pump Included": "No"}, "9": {"Part Type": "Windshield Wiper Motor"}, "10": {"Warranty Info": "1 Year/18,000 Mile"}, "11": {"Sustainable Choice": "Yes"}, "12": {"Lifecycle Status": "Available to Order"}, "13": {"Application Summary": "Hyundai Tucson 2009-05; Kia Sportage 2010-05"}, "14": {"ItemLevelGTIN": "00082617800075"}, "15": {"_addonCardone": "43-4533::98353:90019:225"}, "16": {"Eligible for R&amp;R Service": "Yes"}}</t>
        </is>
      </c>
      <c r="J1046" t="inlineStr">
        <is>
          <t>https://www.cardone.com/product/windshield-wiper-motor-43-4533</t>
        </is>
      </c>
      <c r="K1046">
        <f>DISPIMG("ID_B86455D4BB4D4984BAD01157404F836C",1)</f>
        <v/>
      </c>
      <c r="L1046" t="inlineStr">
        <is>
          <t>CPCX|43-4533</t>
        </is>
      </c>
      <c r="M1046" t="inlineStr">
        <is>
          <t>Wiper Motor; Instruction Sheet</t>
        </is>
      </c>
      <c r="N1046" t="inlineStr">
        <is>
          <t>Yes</t>
        </is>
      </c>
      <c r="O1046" t="inlineStr">
        <is>
          <t>Remanufactured</t>
        </is>
      </c>
      <c r="P1046" t="inlineStr">
        <is>
          <t>3</t>
        </is>
      </c>
      <c r="Q1046" t="inlineStr">
        <is>
          <t>Blade</t>
        </is>
      </c>
      <c r="R1046" t="inlineStr">
        <is>
          <t>Direct Bolt</t>
        </is>
      </c>
      <c r="S1046" t="inlineStr">
        <is>
          <t>1.9500</t>
        </is>
      </c>
      <c r="T1046" t="inlineStr">
        <is>
          <t>No</t>
        </is>
      </c>
      <c r="U1046" t="inlineStr">
        <is>
          <t>1 Year/18,000 Mile</t>
        </is>
      </c>
      <c r="V1046" t="inlineStr">
        <is>
          <t>Yes</t>
        </is>
      </c>
      <c r="W1046" t="inlineStr">
        <is>
          <t>Available to Order</t>
        </is>
      </c>
      <c r="X1046" t="inlineStr">
        <is>
          <t>Hyundai Tucson 2009-05; Kia Sportage 2010-05</t>
        </is>
      </c>
      <c r="Y1046" t="inlineStr">
        <is>
          <t>00082617800075</t>
        </is>
      </c>
      <c r="Z1046" t="inlineStr">
        <is>
          <t>43-4533::98353:90019:225</t>
        </is>
      </c>
      <c r="AA1046" t="inlineStr">
        <is>
          <t>Yes</t>
        </is>
      </c>
      <c r="AB1046" t="inlineStr"/>
      <c r="AC1046" t="inlineStr"/>
    </row>
    <row r="1047">
      <c r="A1047" t="inlineStr">
        <is>
          <t>1046</t>
        </is>
      </c>
      <c r="B1047" t="inlineStr">
        <is>
          <t>Windshield Wiper Motor</t>
        </is>
      </c>
      <c r="C1047" t="inlineStr">
        <is>
          <t>43-4534</t>
        </is>
      </c>
      <c r="D1047" t="inlineStr">
        <is>
          <t>Windshield Wiper Motor - 43-4534</t>
        </is>
      </c>
      <c r="E1047" t="inlineStr">
        <is>
          <t>CARDONE Reman</t>
        </is>
      </c>
      <c r="F1047" t="inlineStr">
        <is>
          <t>9870027500</t>
        </is>
      </c>
      <c r="G1047" t="inlineStr"/>
      <c r="H1047" t="inlineStr"/>
      <c r="I1047" t="inlineStr">
        <is>
          <t>{"0": {"productDeskExternalKey": "CPCX|43-4534"},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"Hyundai Tiburon 2001-00"}, "14": {"ItemLevelGTIN": "00082617804967"}, "15": {"_addonCardone": "43-4534::98353:90026:225"}, "16": {"Eligible for R&amp;R Service": "Yes"}}</t>
        </is>
      </c>
      <c r="J1047" t="inlineStr">
        <is>
          <t>https://www.cardone.com/product/windshield-wiper-motor-43-4534</t>
        </is>
      </c>
      <c r="K1047">
        <f>DISPIMG("ID_4117FC6094F944EFB73998DFD1FE8FA9",1)</f>
        <v/>
      </c>
      <c r="L1047" t="inlineStr">
        <is>
          <t>CPCX|43-4534</t>
        </is>
      </c>
      <c r="M1047" t="inlineStr">
        <is>
          <t>Wiper Motor; Instruction Sheet</t>
        </is>
      </c>
      <c r="N1047" t="inlineStr">
        <is>
          <t>Yes</t>
        </is>
      </c>
      <c r="O1047" t="inlineStr">
        <is>
          <t>Remanufactured</t>
        </is>
      </c>
      <c r="P1047" t="inlineStr">
        <is>
          <t>3</t>
        </is>
      </c>
      <c r="Q1047" t="inlineStr">
        <is>
          <t>Blade</t>
        </is>
      </c>
      <c r="R1047" t="inlineStr">
        <is>
          <t>Grommet</t>
        </is>
      </c>
      <c r="S1047" t="inlineStr">
        <is>
          <t>2.5000</t>
        </is>
      </c>
      <c r="T1047" t="inlineStr">
        <is>
          <t>No</t>
        </is>
      </c>
      <c r="U1047" t="inlineStr">
        <is>
          <t>1 Year/18,000 Mile</t>
        </is>
      </c>
      <c r="V1047" t="inlineStr">
        <is>
          <t>Yes</t>
        </is>
      </c>
      <c r="W1047" t="inlineStr">
        <is>
          <t>Available to Order</t>
        </is>
      </c>
      <c r="X1047" t="inlineStr">
        <is>
          <t>Hyundai Tiburon 2001-00</t>
        </is>
      </c>
      <c r="Y1047" t="inlineStr">
        <is>
          <t>00082617804967</t>
        </is>
      </c>
      <c r="Z1047" t="inlineStr">
        <is>
          <t>43-4534::98353:90026:225</t>
        </is>
      </c>
      <c r="AA1047" t="inlineStr">
        <is>
          <t>Yes</t>
        </is>
      </c>
      <c r="AB1047" t="inlineStr"/>
      <c r="AC1047" t="inlineStr"/>
    </row>
    <row r="1048">
      <c r="A1048" t="inlineStr">
        <is>
          <t>1047</t>
        </is>
      </c>
      <c r="B1048" t="inlineStr">
        <is>
          <t>Windshield Wiper Motor</t>
        </is>
      </c>
      <c r="C1048" t="inlineStr">
        <is>
          <t>43-4535</t>
        </is>
      </c>
      <c r="D1048" t="inlineStr">
        <is>
          <t>Windshield Wiper Motor - 43-4535</t>
        </is>
      </c>
      <c r="E1048" t="inlineStr">
        <is>
          <t>CARDONE Reman</t>
        </is>
      </c>
      <c r="F1048" t="inlineStr">
        <is>
          <t>86510FE040;86510FE060</t>
        </is>
      </c>
      <c r="G1048" t="inlineStr">
        <is>
          <t>Subaru Impreza 2002-2004</t>
        </is>
      </c>
      <c r="H1048" t="inlineStr">
        <is>
          <t>Subaru Impreza 2002-2004 2.5L H4 2458cc
Subaru Impreza 2002-2004 2L H4 1994cc</t>
        </is>
      </c>
      <c r="I1048" t="inlineStr">
        <is>
          <t>{"0": {"productDeskExternalKey": "CPCX|43-4535"}, "1": {"Package Contents": "Wiper Motor; Instruction Sheet"}, "2": {"E-Waste": "Yes"}, "3": {"Product Condition": "Remanufactured"}, "4": {"Mounting Hole Quantity": "3"}, "5": {"Terminal Type": "Blade"}, "6": {"Mounting Type": "Grommet"}, "7": {"Weight PG": "2.4000"}, "8": {"Washer Pump Included": "No"}, "9": {"Part Type": "Windshield Wiper Motor"}, "10": {"Warranty Info": "1 Year/18,000 Mile"}, "11": {"Sustainable Choice": "Yes"}, "12": {"Lifecycle Status": "Available to Order"}, "13": {"Application Summary": "Subaru Impreza 2004-02"}, "14": {"ItemLevelGTIN": "00082617805018"}, "15": {"_addonCardone": "43-4535::98353:90035:225"}, "16": {"Eligible for R&amp;R Service": "Yes"}}</t>
        </is>
      </c>
      <c r="J1048" t="inlineStr">
        <is>
          <t>https://www.cardone.com/product/windshield-wiper-motor-43-4535</t>
        </is>
      </c>
      <c r="K1048">
        <f>DISPIMG("ID_742088FFFF9F4AA197890DA6CB1C5EFB",1)</f>
        <v/>
      </c>
      <c r="L1048" t="inlineStr">
        <is>
          <t>CPCX|43-4535</t>
        </is>
      </c>
      <c r="M1048" t="inlineStr">
        <is>
          <t>Wiper Motor; Instruction Sheet</t>
        </is>
      </c>
      <c r="N1048" t="inlineStr">
        <is>
          <t>Yes</t>
        </is>
      </c>
      <c r="O1048" t="inlineStr">
        <is>
          <t>Remanufactured</t>
        </is>
      </c>
      <c r="P1048" t="inlineStr">
        <is>
          <t>3</t>
        </is>
      </c>
      <c r="Q1048" t="inlineStr">
        <is>
          <t>Blade</t>
        </is>
      </c>
      <c r="R1048" t="inlineStr">
        <is>
          <t>Grommet</t>
        </is>
      </c>
      <c r="S1048" t="inlineStr">
        <is>
          <t>2.4000</t>
        </is>
      </c>
      <c r="T1048" t="inlineStr">
        <is>
          <t>No</t>
        </is>
      </c>
      <c r="U1048" t="inlineStr">
        <is>
          <t>1 Year/18,000 Mile</t>
        </is>
      </c>
      <c r="V1048" t="inlineStr">
        <is>
          <t>Yes</t>
        </is>
      </c>
      <c r="W1048" t="inlineStr">
        <is>
          <t>Available to Order</t>
        </is>
      </c>
      <c r="X1048" t="inlineStr">
        <is>
          <t>Subaru Impreza 2004-02</t>
        </is>
      </c>
      <c r="Y1048" t="inlineStr">
        <is>
          <t>00082617805018</t>
        </is>
      </c>
      <c r="Z1048" t="inlineStr">
        <is>
          <t>43-4535::98353:90035:225</t>
        </is>
      </c>
      <c r="AA1048" t="inlineStr">
        <is>
          <t>Yes</t>
        </is>
      </c>
      <c r="AB1048" t="inlineStr"/>
      <c r="AC1048" t="inlineStr"/>
    </row>
    <row r="1049">
      <c r="A1049" t="inlineStr">
        <is>
          <t>1048</t>
        </is>
      </c>
      <c r="B1049" t="inlineStr">
        <is>
          <t>Windshield Wiper Motor</t>
        </is>
      </c>
      <c r="C1049" t="inlineStr">
        <is>
          <t>43-4536</t>
        </is>
      </c>
      <c r="D1049" t="inlineStr">
        <is>
          <t>Windshield Wiper Motor - 43-4536</t>
        </is>
      </c>
      <c r="E1049" t="inlineStr">
        <is>
          <t>CARDONE Reman</t>
        </is>
      </c>
      <c r="F1049" t="inlineStr">
        <is>
          <t>9870027001;9870027000</t>
        </is>
      </c>
      <c r="G1049" t="inlineStr"/>
      <c r="H1049" t="inlineStr"/>
      <c r="I1049" t="inlineStr">
        <is>
          <t>{"0": {"productDeskExternalKey": "CPCX|43-4536"},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"Hyundai Tiburon 1999-97"}, "14": {"ItemLevelGTIN": "00082617805223"}, "15": {"_addonCardone": "43-4536::98353:90044:225"}, "16": {"Eligible for R&amp;R Service": "Yes"}}</t>
        </is>
      </c>
      <c r="J1049" t="inlineStr">
        <is>
          <t>https://www.cardone.com/product/windshield-wiper-motor-43-4536</t>
        </is>
      </c>
      <c r="K1049">
        <f>DISPIMG("ID_8DAC724CE5D744DFA950314A83295FCB",1)</f>
        <v/>
      </c>
      <c r="L1049" t="inlineStr">
        <is>
          <t>CPCX|43-4536</t>
        </is>
      </c>
      <c r="M1049" t="inlineStr">
        <is>
          <t>Wiper Motor; Instruction Sheet</t>
        </is>
      </c>
      <c r="N1049" t="inlineStr">
        <is>
          <t>Yes</t>
        </is>
      </c>
      <c r="O1049" t="inlineStr">
        <is>
          <t>Remanufactured</t>
        </is>
      </c>
      <c r="P1049" t="inlineStr">
        <is>
          <t>3</t>
        </is>
      </c>
      <c r="Q1049" t="inlineStr">
        <is>
          <t>Blade</t>
        </is>
      </c>
      <c r="R1049" t="inlineStr">
        <is>
          <t>Grommet</t>
        </is>
      </c>
      <c r="S1049" t="inlineStr">
        <is>
          <t>2.5000</t>
        </is>
      </c>
      <c r="T1049" t="inlineStr">
        <is>
          <t>No</t>
        </is>
      </c>
      <c r="U1049" t="inlineStr">
        <is>
          <t>1 Year/18,000 Mile</t>
        </is>
      </c>
      <c r="V1049" t="inlineStr">
        <is>
          <t>Yes</t>
        </is>
      </c>
      <c r="W1049" t="inlineStr">
        <is>
          <t>Available to Order</t>
        </is>
      </c>
      <c r="X1049" t="inlineStr">
        <is>
          <t>Hyundai Tiburon 1999-97</t>
        </is>
      </c>
      <c r="Y1049" t="inlineStr">
        <is>
          <t>00082617805223</t>
        </is>
      </c>
      <c r="Z1049" t="inlineStr">
        <is>
          <t>43-4536::98353:90044:225</t>
        </is>
      </c>
      <c r="AA1049" t="inlineStr">
        <is>
          <t>Yes</t>
        </is>
      </c>
      <c r="AB1049" t="inlineStr"/>
      <c r="AC1049" t="inlineStr"/>
    </row>
    <row r="1050">
      <c r="A1050" t="inlineStr">
        <is>
          <t>1049</t>
        </is>
      </c>
      <c r="B1050" t="inlineStr">
        <is>
          <t>Windshield Wiper Motor</t>
        </is>
      </c>
      <c r="C1050" t="inlineStr">
        <is>
          <t>43-4537</t>
        </is>
      </c>
      <c r="D1050" t="inlineStr">
        <is>
          <t>Windshield Wiper Motor - 43-4537</t>
        </is>
      </c>
      <c r="E1050" t="inlineStr">
        <is>
          <t>CARDONE Reman</t>
        </is>
      </c>
      <c r="F1050" t="inlineStr">
        <is>
          <t>981101D000</t>
        </is>
      </c>
      <c r="G1050" t="inlineStr">
        <is>
          <t>Kia Rondo 2007-2011</t>
        </is>
      </c>
      <c r="H1050" t="inlineStr">
        <is>
          <t>Kia Rondo 2007-2011 2.4L L4 2359cc
Kia Rondo 2007-2011 2.7L V6 2656cc</t>
        </is>
      </c>
      <c r="I1050" t="inlineStr">
        <is>
          <t>{"0": {"productDeskExternalKey": "CPCX|43-4537"}, "1": {"Package Contents": "Wiper Motor; Instruction Sheet"}, "2": {"E-Waste": "Yes"}, "3": {"Product Condition": "Remanufactured"}, "4": {"Mounting Hole Quantity": "3"}, "5": {"Terminal Type": "Blade"}, "6": {"Mounting Type": "Direct Bolt"}, "7": {"Weight PG": "2.8000"}, "8": {"Washer Pump Included": "No"}, "9": {"Part Type": "Windshield Wiper Motor"}, "10": {"Warranty Info": "1 Year/18,000 Mile"}, "11": {"Sustainable Choice": "Yes"}, "12": {"Lifecycle Status": "Available to Order"}, "13": {"Application Summary": "Kia Rondo 2011-07"}, "14": {"ItemLevelGTIN": "00082617812788"}, "15": {"_addonCardone": "43-4537::98353:90056:225"}, "16": {"Eligible for R&amp;R Service": "Yes"}}</t>
        </is>
      </c>
      <c r="J1050" t="inlineStr">
        <is>
          <t>https://www.cardone.com/product/windshield-wiper-motor-43-4537</t>
        </is>
      </c>
      <c r="K1050">
        <f>DISPIMG("ID_A3F819D7B94F42BAB306CAAAE326B811",1)</f>
        <v/>
      </c>
      <c r="L1050" t="inlineStr">
        <is>
          <t>CPCX|43-4537</t>
        </is>
      </c>
      <c r="M1050" t="inlineStr">
        <is>
          <t>Wiper Motor; Instruction Sheet</t>
        </is>
      </c>
      <c r="N1050" t="inlineStr">
        <is>
          <t>Yes</t>
        </is>
      </c>
      <c r="O1050" t="inlineStr">
        <is>
          <t>Remanufactured</t>
        </is>
      </c>
      <c r="P1050" t="inlineStr">
        <is>
          <t>3</t>
        </is>
      </c>
      <c r="Q1050" t="inlineStr">
        <is>
          <t>Blade</t>
        </is>
      </c>
      <c r="R1050" t="inlineStr">
        <is>
          <t>Direct Bolt</t>
        </is>
      </c>
      <c r="S1050" t="inlineStr">
        <is>
          <t>2.8000</t>
        </is>
      </c>
      <c r="T1050" t="inlineStr">
        <is>
          <t>No</t>
        </is>
      </c>
      <c r="U1050" t="inlineStr">
        <is>
          <t>1 Year/18,000 Mile</t>
        </is>
      </c>
      <c r="V1050" t="inlineStr">
        <is>
          <t>Yes</t>
        </is>
      </c>
      <c r="W1050" t="inlineStr">
        <is>
          <t>Available to Order</t>
        </is>
      </c>
      <c r="X1050" t="inlineStr">
        <is>
          <t>Kia Rondo 2011-07</t>
        </is>
      </c>
      <c r="Y1050" t="inlineStr">
        <is>
          <t>00082617812788</t>
        </is>
      </c>
      <c r="Z1050" t="inlineStr">
        <is>
          <t>43-4537::98353:90056:225</t>
        </is>
      </c>
      <c r="AA1050" t="inlineStr">
        <is>
          <t>Yes</t>
        </is>
      </c>
      <c r="AB1050" t="inlineStr"/>
      <c r="AC1050" t="inlineStr"/>
    </row>
    <row r="1051">
      <c r="A1051" t="inlineStr">
        <is>
          <t>1050</t>
        </is>
      </c>
      <c r="B1051" t="inlineStr">
        <is>
          <t>Windshield Wiper Motor</t>
        </is>
      </c>
      <c r="C1051" t="inlineStr">
        <is>
          <t>43-4538</t>
        </is>
      </c>
      <c r="D1051" t="inlineStr">
        <is>
          <t>Windshield Wiper Motor - 43-4538</t>
        </is>
      </c>
      <c r="E1051" t="inlineStr">
        <is>
          <t>CARDONE Reman</t>
        </is>
      </c>
      <c r="F1051" t="inlineStr">
        <is>
          <t>987001D000</t>
        </is>
      </c>
      <c r="G1051" t="inlineStr">
        <is>
          <t>Kia Rondo 2007-2011</t>
        </is>
      </c>
      <c r="H1051" t="inlineStr">
        <is>
          <t>Kia Rondo 2007-2011 2.4L L4 2359cc
Kia Rondo 2007-2011 2.7L V6 2656cc</t>
        </is>
      </c>
      <c r="I1051" t="inlineStr">
        <is>
          <t>{"0": {"productDeskExternalKey": "CPCX|43-4538"},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"Kia Rondo 2011-07"}, "14": {"ItemLevelGTIN": "00082617817226"}, "15": {"_addonCardone": "43-4538::98353:90246:225"}, "16": {"Eligible for R&amp;R Service": "Yes"}}</t>
        </is>
      </c>
      <c r="J1051" t="inlineStr">
        <is>
          <t>https://www.cardone.com/product/windshield-wiper-motor-43-4538</t>
        </is>
      </c>
      <c r="K1051">
        <f>DISPIMG("ID_DED626E16BB642B1BCC75A984F1D15D1",1)</f>
        <v/>
      </c>
      <c r="L1051" t="inlineStr">
        <is>
          <t>CPCX|43-4538</t>
        </is>
      </c>
      <c r="M1051" t="inlineStr">
        <is>
          <t>Wiper Motor; Instruction Sheet</t>
        </is>
      </c>
      <c r="N1051" t="inlineStr">
        <is>
          <t>Yes</t>
        </is>
      </c>
      <c r="O1051" t="inlineStr">
        <is>
          <t>Remanufactured</t>
        </is>
      </c>
      <c r="P1051" t="inlineStr">
        <is>
          <t>3</t>
        </is>
      </c>
      <c r="Q1051" t="inlineStr">
        <is>
          <t>Blade</t>
        </is>
      </c>
      <c r="R1051" t="inlineStr">
        <is>
          <t>Grommet</t>
        </is>
      </c>
      <c r="S1051" t="inlineStr">
        <is>
          <t>2.5000</t>
        </is>
      </c>
      <c r="T1051" t="inlineStr">
        <is>
          <t>No</t>
        </is>
      </c>
      <c r="U1051" t="inlineStr">
        <is>
          <t>1 Year/18,000 Mile</t>
        </is>
      </c>
      <c r="V1051" t="inlineStr">
        <is>
          <t>Yes</t>
        </is>
      </c>
      <c r="W1051" t="inlineStr">
        <is>
          <t>Available to Order</t>
        </is>
      </c>
      <c r="X1051" t="inlineStr">
        <is>
          <t>Kia Rondo 2011-07</t>
        </is>
      </c>
      <c r="Y1051" t="inlineStr">
        <is>
          <t>00082617817226</t>
        </is>
      </c>
      <c r="Z1051" t="inlineStr">
        <is>
          <t>43-4538::98353:90246:225</t>
        </is>
      </c>
      <c r="AA1051" t="inlineStr">
        <is>
          <t>Yes</t>
        </is>
      </c>
      <c r="AB1051" t="inlineStr"/>
      <c r="AC1051" t="inlineStr"/>
    </row>
    <row r="1052">
      <c r="A1052" t="inlineStr">
        <is>
          <t>1051</t>
        </is>
      </c>
      <c r="B1052" t="inlineStr">
        <is>
          <t>Windshield Wiper Motor</t>
        </is>
      </c>
      <c r="C1052" t="inlineStr">
        <is>
          <t>43-4540</t>
        </is>
      </c>
      <c r="D1052" t="inlineStr">
        <is>
          <t>Windshield Wiper Motor - 43-4540</t>
        </is>
      </c>
      <c r="E1052" t="inlineStr">
        <is>
          <t>CARDONE Reman</t>
        </is>
      </c>
      <c r="F1052" t="inlineStr">
        <is>
          <t>987101G000</t>
        </is>
      </c>
      <c r="G1052" t="inlineStr">
        <is>
          <t>Kia Rio5 2006-2011</t>
        </is>
      </c>
      <c r="H1052" t="inlineStr">
        <is>
          <t>Kia Rio5 2006-2011 1.6L L4 1599cc</t>
        </is>
      </c>
      <c r="I1052" t="inlineStr">
        <is>
          <t>{"0": {"productDeskExternalKey": "CPCX|43-4540"}, "1": {"Package Contents": "Wiper Motor; Instruction Sheet"}, "2": {"E-Waste": "Yes"}, "3": {"Product Condition": "Remanufactured"}, "4": {"Mounting Hole Quantity": "2"}, "5": {"Terminal Type": "Blade"}, "6": {"Mounting Type": "Direct Bolt; Grommet"}, "7": {"Weight PG": "2.7000"}, "8": {"Washer Pump Included": "No"}, "9": {"Part Type": "Windshield Wiper Motor"}, "10": {"Warranty Info": "1 Year/18,000 Mile"}, "11": {"Sustainable Choice": "Yes"}, "12": {"Lifecycle Status": "Available to Order"}, "13": {"Application Summary": "Kia Rio5 2011-06"}, "14": {"ItemLevelGTIN": "00082617817486"}, "15": {"_addonCardone": "43-4540::98353:90255:225"}, "16": {"Eligible for R&amp;R Service": "Yes"}}</t>
        </is>
      </c>
      <c r="J1052" t="inlineStr">
        <is>
          <t>https://www.cardone.com/product/windshield-wiper-motor-43-4540</t>
        </is>
      </c>
      <c r="K1052">
        <f>DISPIMG("ID_8D154CF4782A44ACB5D5C9B16725B310",1)</f>
        <v/>
      </c>
      <c r="L1052" t="inlineStr">
        <is>
          <t>CPCX|43-4540</t>
        </is>
      </c>
      <c r="M1052" t="inlineStr">
        <is>
          <t>Wiper Motor; Instruction Sheet</t>
        </is>
      </c>
      <c r="N1052" t="inlineStr">
        <is>
          <t>Yes</t>
        </is>
      </c>
      <c r="O1052" t="inlineStr">
        <is>
          <t>Remanufactured</t>
        </is>
      </c>
      <c r="P1052" t="inlineStr">
        <is>
          <t>2</t>
        </is>
      </c>
      <c r="Q1052" t="inlineStr">
        <is>
          <t>Blade</t>
        </is>
      </c>
      <c r="R1052" t="inlineStr">
        <is>
          <t>Direct Bolt; Grommet</t>
        </is>
      </c>
      <c r="S1052" t="inlineStr">
        <is>
          <t>2.7000</t>
        </is>
      </c>
      <c r="T1052" t="inlineStr">
        <is>
          <t>No</t>
        </is>
      </c>
      <c r="U1052" t="inlineStr">
        <is>
          <t>1 Year/18,000 Mile</t>
        </is>
      </c>
      <c r="V1052" t="inlineStr">
        <is>
          <t>Yes</t>
        </is>
      </c>
      <c r="W1052" t="inlineStr">
        <is>
          <t>Available to Order</t>
        </is>
      </c>
      <c r="X1052" t="inlineStr">
        <is>
          <t>Kia Rio5 2011-06</t>
        </is>
      </c>
      <c r="Y1052" t="inlineStr">
        <is>
          <t>00082617817486</t>
        </is>
      </c>
      <c r="Z1052" t="inlineStr">
        <is>
          <t>43-4540::98353:90255:225</t>
        </is>
      </c>
      <c r="AA1052" t="inlineStr">
        <is>
          <t>Yes</t>
        </is>
      </c>
      <c r="AB1052" t="inlineStr"/>
      <c r="AC1052" t="inlineStr"/>
    </row>
    <row r="1053">
      <c r="A1053" t="inlineStr">
        <is>
          <t>1052</t>
        </is>
      </c>
      <c r="B1053" t="inlineStr">
        <is>
          <t>Windshield Wiper Motor</t>
        </is>
      </c>
      <c r="C1053" t="inlineStr">
        <is>
          <t>43-4542</t>
        </is>
      </c>
      <c r="D1053" t="inlineStr">
        <is>
          <t>Windshield Wiper Motor - 43-4542</t>
        </is>
      </c>
      <c r="E1053" t="inlineStr">
        <is>
          <t>CARDONE Reman</t>
        </is>
      </c>
      <c r="F1053" t="inlineStr">
        <is>
          <t>86510SA160;28710CG000</t>
        </is>
      </c>
      <c r="G1053" t="inlineStr">
        <is>
          <t>Subaru Forester 2006-2008</t>
        </is>
      </c>
      <c r="H1053" t="inlineStr">
        <is>
          <t>Subaru Forester 2006-2008 2.5L H4 2458cc</t>
        </is>
      </c>
      <c r="I1053" t="inlineStr">
        <is>
          <t>{"0": {"productDeskExternalKey": "CPCX|43-4542"}, "1": {"Package Contents": "Wiper Motor; Instruction Sheet"}, "2": {"E-Waste": "Yes"}, "3": {"Product Condition": "Remanufactured"}, "4": {"Mounting Hole Quantity": "3"}, "5": {"Terminal Type": "Blade"}, "6": {"Mounting Type": "Grommet"}, "7": {"Weight PG": "2.7000"}, "8": {"Washer Pump Included": "No"}, "9": {"Part Type": "Windshield Wiper Motor"}, "10": {"Warranty Info": "1 Year/18,000 Mile"}, "11": {"Sustainable Choice": "Yes"}, "12": {"Lifecycle Status": "Available to Order"}, "13": {"Application Summary": "Subaru Forester 2008-06"}, "14": {"ItemLevelGTIN": "00082617823524"}, "15": {"_addonCardone": "43-4542::98353:90261:225"}, "16": {"Eligible for R&amp;R Service": "Yes"}}</t>
        </is>
      </c>
      <c r="J1053" t="inlineStr">
        <is>
          <t>https://www.cardone.com/product/windshield-wiper-motor-43-4542</t>
        </is>
      </c>
      <c r="K1053">
        <f>DISPIMG("ID_8EC7843BAEEB4422ABF4307F625E8C0C",1)</f>
        <v/>
      </c>
      <c r="L1053" t="inlineStr">
        <is>
          <t>CPCX|43-4542</t>
        </is>
      </c>
      <c r="M1053" t="inlineStr">
        <is>
          <t>Wiper Motor; Instruction Sheet</t>
        </is>
      </c>
      <c r="N1053" t="inlineStr">
        <is>
          <t>Yes</t>
        </is>
      </c>
      <c r="O1053" t="inlineStr">
        <is>
          <t>Remanufactured</t>
        </is>
      </c>
      <c r="P1053" t="inlineStr">
        <is>
          <t>3</t>
        </is>
      </c>
      <c r="Q1053" t="inlineStr">
        <is>
          <t>Blade</t>
        </is>
      </c>
      <c r="R1053" t="inlineStr">
        <is>
          <t>Grommet</t>
        </is>
      </c>
      <c r="S1053" t="inlineStr">
        <is>
          <t>2.7000</t>
        </is>
      </c>
      <c r="T1053" t="inlineStr">
        <is>
          <t>No</t>
        </is>
      </c>
      <c r="U1053" t="inlineStr">
        <is>
          <t>1 Year/18,000 Mile</t>
        </is>
      </c>
      <c r="V1053" t="inlineStr">
        <is>
          <t>Yes</t>
        </is>
      </c>
      <c r="W1053" t="inlineStr">
        <is>
          <t>Available to Order</t>
        </is>
      </c>
      <c r="X1053" t="inlineStr">
        <is>
          <t>Subaru Forester 2008-06</t>
        </is>
      </c>
      <c r="Y1053" t="inlineStr">
        <is>
          <t>00082617823524</t>
        </is>
      </c>
      <c r="Z1053" t="inlineStr">
        <is>
          <t>43-4542::98353:90261:225</t>
        </is>
      </c>
      <c r="AA1053" t="inlineStr">
        <is>
          <t>Yes</t>
        </is>
      </c>
      <c r="AB1053" t="inlineStr"/>
      <c r="AC1053" t="inlineStr"/>
    </row>
    <row r="1054">
      <c r="A1054" t="inlineStr">
        <is>
          <t>1053</t>
        </is>
      </c>
      <c r="B1054" t="inlineStr">
        <is>
          <t>Windshield Wiper Motor</t>
        </is>
      </c>
      <c r="C1054" t="inlineStr">
        <is>
          <t>43-4543</t>
        </is>
      </c>
      <c r="D1054" t="inlineStr">
        <is>
          <t>Windshield Wiper Motor - 43-4543</t>
        </is>
      </c>
      <c r="E1054" t="inlineStr">
        <is>
          <t>CARDONE Reman</t>
        </is>
      </c>
      <c r="F1054" t="inlineStr">
        <is>
          <t>9870022000</t>
        </is>
      </c>
      <c r="G1054" t="inlineStr"/>
      <c r="H1054" t="inlineStr"/>
      <c r="I1054" t="inlineStr">
        <is>
          <t>{"0": {"productDeskExternalKey": "CPCX|43-4543"}, "1": {"Package Contents": "Wiper Motor; Instruction Sheet"}, "2": {"E-Waste": "Yes"}, "3": {"Product Condition": "Remanufactured"}, "4": {"Mounting Hole Quantity": "3"}, "5": {"Terminal Type": "Blade"}, "6": {"Mounting Type": "Grommet"}, "7": {"Weight PG": "1.9000"}, "8": {"Washer Pump Included": "No"}, "9": {"Part Type": "Windshield Wiper Motor"}, "10": {"Warranty Info": "1 Year/18,000 Mile"}, "11": {"Sustainable Choice": "Yes"}, "12": {"Lifecycle Status": "Available to Order"}, "13": {"Application Summary": "Hyundai Accent 1999-95"}, "14": {"ItemLevelGTIN": "00082617824958"}, "15": {"_addonCardone": "43-4543::98353:90267:225"}, "16": {"Eligible for R&amp;R Service": "Yes"}}</t>
        </is>
      </c>
      <c r="J1054" t="inlineStr">
        <is>
          <t>https://www.cardone.com/product/windshield-wiper-motor-43-4543</t>
        </is>
      </c>
      <c r="K1054">
        <f>DISPIMG("ID_FDF4234046464B558346889F4DC91F77",1)</f>
        <v/>
      </c>
      <c r="L1054" t="inlineStr">
        <is>
          <t>CPCX|43-4543</t>
        </is>
      </c>
      <c r="M1054" t="inlineStr">
        <is>
          <t>Wiper Motor; Instruction Sheet</t>
        </is>
      </c>
      <c r="N1054" t="inlineStr">
        <is>
          <t>Yes</t>
        </is>
      </c>
      <c r="O1054" t="inlineStr">
        <is>
          <t>Remanufactured</t>
        </is>
      </c>
      <c r="P1054" t="inlineStr">
        <is>
          <t>3</t>
        </is>
      </c>
      <c r="Q1054" t="inlineStr">
        <is>
          <t>Blade</t>
        </is>
      </c>
      <c r="R1054" t="inlineStr">
        <is>
          <t>Grommet</t>
        </is>
      </c>
      <c r="S1054" t="inlineStr">
        <is>
          <t>1.9000</t>
        </is>
      </c>
      <c r="T1054" t="inlineStr">
        <is>
          <t>No</t>
        </is>
      </c>
      <c r="U1054" t="inlineStr">
        <is>
          <t>1 Year/18,000 Mile</t>
        </is>
      </c>
      <c r="V1054" t="inlineStr">
        <is>
          <t>Yes</t>
        </is>
      </c>
      <c r="W1054" t="inlineStr">
        <is>
          <t>Available to Order</t>
        </is>
      </c>
      <c r="X1054" t="inlineStr">
        <is>
          <t>Hyundai Accent 1999-95</t>
        </is>
      </c>
      <c r="Y1054" t="inlineStr">
        <is>
          <t>00082617824958</t>
        </is>
      </c>
      <c r="Z1054" t="inlineStr">
        <is>
          <t>43-4543::98353:90267:225</t>
        </is>
      </c>
      <c r="AA1054" t="inlineStr">
        <is>
          <t>Yes</t>
        </is>
      </c>
      <c r="AB1054" t="inlineStr"/>
      <c r="AC1054" t="inlineStr"/>
    </row>
    <row r="1055">
      <c r="A1055" t="inlineStr">
        <is>
          <t>1054</t>
        </is>
      </c>
      <c r="B1055" t="inlineStr">
        <is>
          <t>Windshield Wiper Motor</t>
        </is>
      </c>
      <c r="C1055" t="inlineStr">
        <is>
          <t>43-4550</t>
        </is>
      </c>
      <c r="D1055" t="inlineStr">
        <is>
          <t>Windshield Wiper Motor - 43-4550</t>
        </is>
      </c>
      <c r="E1055" t="inlineStr">
        <is>
          <t>CARDONE Reman</t>
        </is>
      </c>
      <c r="F1055" t="inlineStr">
        <is>
          <t>DKD100630</t>
        </is>
      </c>
      <c r="G1055" t="inlineStr">
        <is>
          <t>Land Rover Discovery 1999-2004</t>
        </is>
      </c>
      <c r="H1055" t="inlineStr">
        <is>
          <t>Land Rover Discovery 1999-2002 4L V8 3950cc
Land Rover Discovery 2003-2004 4.6L V8 278cid</t>
        </is>
      </c>
      <c r="I1055" t="inlineStr">
        <is>
          <t>{"0": {"productDeskExternalKey": "CPCX|43-4550"},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"Land Rover Discovery 2004-99"}, "14": {"ItemLevelGTIN": "00082617621625"}, "15": {"_addonCardone": "43-4550::98353:90273:225"}, "16": {"Eligible for R&amp;R Service": "Yes"}}</t>
        </is>
      </c>
      <c r="J1055" t="inlineStr">
        <is>
          <t>https://www.cardone.com/product/windshield-wiper-motor-43-4550</t>
        </is>
      </c>
      <c r="K1055">
        <f>DISPIMG("ID_34AA42100DA94AF4A1EB48D7A8787668",1)</f>
        <v/>
      </c>
      <c r="L1055" t="inlineStr">
        <is>
          <t>CPCX|43-4550</t>
        </is>
      </c>
      <c r="M1055" t="inlineStr">
        <is>
          <t>Wiper Motor; Instruction Sheet</t>
        </is>
      </c>
      <c r="N1055" t="inlineStr">
        <is>
          <t>Yes</t>
        </is>
      </c>
      <c r="O1055" t="inlineStr">
        <is>
          <t>Remanufactured</t>
        </is>
      </c>
      <c r="P1055" t="inlineStr">
        <is>
          <t>3</t>
        </is>
      </c>
      <c r="Q1055" t="inlineStr">
        <is>
          <t>Blade</t>
        </is>
      </c>
      <c r="R1055" t="inlineStr">
        <is>
          <t>Direct Bolt</t>
        </is>
      </c>
      <c r="S1055" t="inlineStr">
        <is>
          <t>2.7500</t>
        </is>
      </c>
      <c r="T1055" t="inlineStr">
        <is>
          <t>No</t>
        </is>
      </c>
      <c r="U1055" t="inlineStr">
        <is>
          <t>1 Year/18,000 Mile</t>
        </is>
      </c>
      <c r="V1055" t="inlineStr">
        <is>
          <t>Yes</t>
        </is>
      </c>
      <c r="W1055" t="inlineStr">
        <is>
          <t>Available to Order</t>
        </is>
      </c>
      <c r="X1055" t="inlineStr">
        <is>
          <t>Land Rover Discovery 2004-99</t>
        </is>
      </c>
      <c r="Y1055" t="inlineStr">
        <is>
          <t>00082617621625</t>
        </is>
      </c>
      <c r="Z1055" t="inlineStr">
        <is>
          <t>43-4550::98353:90273:225</t>
        </is>
      </c>
      <c r="AA1055" t="inlineStr">
        <is>
          <t>Yes</t>
        </is>
      </c>
      <c r="AB1055" t="inlineStr"/>
      <c r="AC1055" t="inlineStr"/>
    </row>
    <row r="1056">
      <c r="A1056" t="inlineStr">
        <is>
          <t>1055</t>
        </is>
      </c>
      <c r="B1056" t="inlineStr">
        <is>
          <t>Windshield Wiper Motor</t>
        </is>
      </c>
      <c r="C1056" t="inlineStr">
        <is>
          <t>43-4551</t>
        </is>
      </c>
      <c r="D1056" t="inlineStr">
        <is>
          <t>Windshield Wiper Motor - 43-4551</t>
        </is>
      </c>
      <c r="E1056" t="inlineStr">
        <is>
          <t>CARDONE Reman</t>
        </is>
      </c>
      <c r="F1056" t="inlineStr">
        <is>
          <t>DLB101640</t>
        </is>
      </c>
      <c r="G1056" t="inlineStr">
        <is>
          <t>Land Rover Discovery 1995-2004</t>
        </is>
      </c>
      <c r="H1056" t="inlineStr">
        <is>
          <t>Land Rover Discovery 1995 3.9L V8 3950cc
Land Rover Discovery 1996-2002 4L V8 3950cc
Land Rover Discovery 2003-2004 4.6L V8 278cid</t>
        </is>
      </c>
      <c r="I1056" t="inlineStr">
        <is>
          <t>{"0": {"productDeskExternalKey": "CPCX|43-4551"},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"Land Rover Discovery 2004-95"}, "14": {"ItemLevelGTIN": "00082617621632"}, "15": {"_addonCardone": "43-4551::98353:90278:225"}, "16": {"Eligible for R&amp;R Service": "Yes"}}</t>
        </is>
      </c>
      <c r="J1056" t="inlineStr">
        <is>
          <t>https://www.cardone.com/product/windshield-wiper-motor-43-4551</t>
        </is>
      </c>
      <c r="K1056">
        <f>DISPIMG("ID_1120D60BD23A4EB1B771C86283C21049",1)</f>
        <v/>
      </c>
      <c r="L1056" t="inlineStr">
        <is>
          <t>CPCX|43-4551</t>
        </is>
      </c>
      <c r="M1056" t="inlineStr">
        <is>
          <t>Wiper Motor; Instruction Sheet</t>
        </is>
      </c>
      <c r="N1056" t="inlineStr">
        <is>
          <t>Yes</t>
        </is>
      </c>
      <c r="O1056" t="inlineStr">
        <is>
          <t>Remanufactured</t>
        </is>
      </c>
      <c r="P1056" t="inlineStr">
        <is>
          <t>3</t>
        </is>
      </c>
      <c r="Q1056" t="inlineStr">
        <is>
          <t>Blade</t>
        </is>
      </c>
      <c r="R1056" t="inlineStr">
        <is>
          <t>Direct Bolt</t>
        </is>
      </c>
      <c r="S1056" t="inlineStr">
        <is>
          <t>2.7500</t>
        </is>
      </c>
      <c r="T1056" t="inlineStr">
        <is>
          <t>No</t>
        </is>
      </c>
      <c r="U1056" t="inlineStr">
        <is>
          <t>1 Year/18,000 Mile</t>
        </is>
      </c>
      <c r="V1056" t="inlineStr">
        <is>
          <t>Yes</t>
        </is>
      </c>
      <c r="W1056" t="inlineStr">
        <is>
          <t>Available to Order</t>
        </is>
      </c>
      <c r="X1056" t="inlineStr">
        <is>
          <t>Land Rover Discovery 2004-95</t>
        </is>
      </c>
      <c r="Y1056" t="inlineStr">
        <is>
          <t>00082617621632</t>
        </is>
      </c>
      <c r="Z1056" t="inlineStr">
        <is>
          <t>43-4551::98353:90278:225</t>
        </is>
      </c>
      <c r="AA1056" t="inlineStr">
        <is>
          <t>Yes</t>
        </is>
      </c>
      <c r="AB1056" t="inlineStr"/>
      <c r="AC1056" t="inlineStr"/>
    </row>
    <row r="1057">
      <c r="A1057" t="inlineStr">
        <is>
          <t>1056</t>
        </is>
      </c>
      <c r="B1057" t="inlineStr">
        <is>
          <t>Windshield Wiper Motor</t>
        </is>
      </c>
      <c r="C1057" t="inlineStr">
        <is>
          <t>43-4552</t>
        </is>
      </c>
      <c r="D1057" t="inlineStr">
        <is>
          <t>Windshield Wiper Motor - 43-4552</t>
        </is>
      </c>
      <c r="E1057" t="inlineStr">
        <is>
          <t>CARDONE Reman</t>
        </is>
      </c>
      <c r="F1057" t="inlineStr">
        <is>
          <t>DLB101770</t>
        </is>
      </c>
      <c r="G1057" t="inlineStr">
        <is>
          <t>Land Rover Range Rover 1996-2002</t>
        </is>
      </c>
      <c r="H1057" t="inlineStr">
        <is>
          <t>Land Rover Range Rover 1996-2000 4L V8 3950cc
Land Rover Range Rover 1996-2002 4.6L V8 278cid</t>
        </is>
      </c>
      <c r="I1057" t="inlineStr">
        <is>
          <t>{"0": {"productDeskExternalKey": "CPCX|43-4552"},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"Land Rover Range Rover 2002-96"}, "14": {"ItemLevelGTIN": "00082617780513"}, "15": {"_addonCardone": "43-4552::98353:90284:225"}, "16": {"Eligible for R&amp;R Service": "Yes"}}</t>
        </is>
      </c>
      <c r="J1057" t="inlineStr">
        <is>
          <t>https://www.cardone.com/product/windshield-wiper-motor-43-4552</t>
        </is>
      </c>
      <c r="K1057">
        <f>DISPIMG("ID_9DAC5535EF964019A1AC4BFFB1A347D4",1)</f>
        <v/>
      </c>
      <c r="L1057" t="inlineStr">
        <is>
          <t>CPCX|43-4552</t>
        </is>
      </c>
      <c r="M1057" t="inlineStr">
        <is>
          <t>Wiper Motor; Instruction Sheet</t>
        </is>
      </c>
      <c r="N1057" t="inlineStr">
        <is>
          <t>Yes</t>
        </is>
      </c>
      <c r="O1057" t="inlineStr">
        <is>
          <t>Remanufactured</t>
        </is>
      </c>
      <c r="P1057" t="inlineStr">
        <is>
          <t>3</t>
        </is>
      </c>
      <c r="Q1057" t="inlineStr">
        <is>
          <t>Blade</t>
        </is>
      </c>
      <c r="R1057" t="inlineStr">
        <is>
          <t>Direct Bolt</t>
        </is>
      </c>
      <c r="S1057" t="inlineStr">
        <is>
          <t>3.0000</t>
        </is>
      </c>
      <c r="T1057" t="inlineStr">
        <is>
          <t>No</t>
        </is>
      </c>
      <c r="U1057" t="inlineStr">
        <is>
          <t>1 Year/18,000 Mile</t>
        </is>
      </c>
      <c r="V1057" t="inlineStr">
        <is>
          <t>Yes</t>
        </is>
      </c>
      <c r="W1057" t="inlineStr">
        <is>
          <t>Available to Order</t>
        </is>
      </c>
      <c r="X1057" t="inlineStr">
        <is>
          <t>Land Rover Range Rover 2002-96</t>
        </is>
      </c>
      <c r="Y1057" t="inlineStr">
        <is>
          <t>00082617780513</t>
        </is>
      </c>
      <c r="Z1057" t="inlineStr">
        <is>
          <t>43-4552::98353:90284:225</t>
        </is>
      </c>
      <c r="AA1057" t="inlineStr">
        <is>
          <t>Yes</t>
        </is>
      </c>
      <c r="AB1057" t="inlineStr"/>
      <c r="AC1057" t="inlineStr"/>
    </row>
    <row r="1058">
      <c r="A1058" t="inlineStr">
        <is>
          <t>1057</t>
        </is>
      </c>
      <c r="B1058" t="inlineStr">
        <is>
          <t>Windshield Wiper Motor</t>
        </is>
      </c>
      <c r="C1058" t="inlineStr">
        <is>
          <t>43-4553</t>
        </is>
      </c>
      <c r="D1058" t="inlineStr">
        <is>
          <t>Windshield Wiper Motor - 43-4553</t>
        </is>
      </c>
      <c r="E1058" t="inlineStr">
        <is>
          <t>CARDONE Reman</t>
        </is>
      </c>
      <c r="F1058" t="inlineStr">
        <is>
          <t>DLB500073;DLB500074</t>
        </is>
      </c>
      <c r="G1058" t="inlineStr">
        <is>
          <t>Land Rover LR3 2005-2009
Land Rover LR4 2010-2011</t>
        </is>
      </c>
      <c r="H1058" t="inlineStr">
        <is>
          <t>Land Rover LR3 2005-2009 4.4L V8 4394cc
Land Rover LR3 2005-2009 4L V6 245cid
Land Rover LR4 2010-2011 5L V8 5000cc</t>
        </is>
      </c>
      <c r="I1058" t="inlineStr">
        <is>
          <t>{"0": {"productDeskExternalKey": "CPCX|43-4553"},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"Land Rover LR3 2009-05, LR4 2011-10"}, "14": {"ItemLevelGTIN": "00082617804936"}, "15": {"_addonCardone": "43-4553::98353:90289:225"}, "16": {"Eligible for R&amp;R Service": "Yes"}}</t>
        </is>
      </c>
      <c r="J1058" t="inlineStr">
        <is>
          <t>https://www.cardone.com/product/windshield-wiper-motor-43-4553</t>
        </is>
      </c>
      <c r="K1058">
        <f>DISPIMG("ID_D5D3899A399747FD9075E9E45BFA928C",1)</f>
        <v/>
      </c>
      <c r="L1058" t="inlineStr">
        <is>
          <t>CPCX|43-4553</t>
        </is>
      </c>
      <c r="M1058" t="inlineStr">
        <is>
          <t>Wiper Motor; Instruction Sheet</t>
        </is>
      </c>
      <c r="N1058" t="inlineStr">
        <is>
          <t>Yes</t>
        </is>
      </c>
      <c r="O1058" t="inlineStr">
        <is>
          <t>Remanufactured</t>
        </is>
      </c>
      <c r="P1058" t="inlineStr">
        <is>
          <t>3</t>
        </is>
      </c>
      <c r="Q1058" t="inlineStr">
        <is>
          <t>Blade</t>
        </is>
      </c>
      <c r="R1058" t="inlineStr">
        <is>
          <t>Grommet</t>
        </is>
      </c>
      <c r="S1058" t="inlineStr">
        <is>
          <t>2.5000</t>
        </is>
      </c>
      <c r="T1058" t="inlineStr">
        <is>
          <t>No</t>
        </is>
      </c>
      <c r="U1058" t="inlineStr">
        <is>
          <t>1 Year/18,000 Mile</t>
        </is>
      </c>
      <c r="V1058" t="inlineStr">
        <is>
          <t>Yes</t>
        </is>
      </c>
      <c r="W1058" t="inlineStr">
        <is>
          <t>Available to Order</t>
        </is>
      </c>
      <c r="X1058" t="inlineStr">
        <is>
          <t>Land Rover LR3 2009-05, LR4 2011-10</t>
        </is>
      </c>
      <c r="Y1058" t="inlineStr">
        <is>
          <t>00082617804936</t>
        </is>
      </c>
      <c r="Z1058" t="inlineStr">
        <is>
          <t>43-4553::98353:90289:225</t>
        </is>
      </c>
      <c r="AA1058" t="inlineStr">
        <is>
          <t>Yes</t>
        </is>
      </c>
      <c r="AB1058" t="inlineStr"/>
      <c r="AC1058" t="inlineStr"/>
    </row>
    <row r="1059">
      <c r="A1059" t="inlineStr">
        <is>
          <t>1058</t>
        </is>
      </c>
      <c r="B1059" t="inlineStr">
        <is>
          <t>Windshield Wiper Motor</t>
        </is>
      </c>
      <c r="C1059" t="inlineStr">
        <is>
          <t>43-4554</t>
        </is>
      </c>
      <c r="D1059" t="inlineStr">
        <is>
          <t>Windshield Wiper Motor - 43-4554</t>
        </is>
      </c>
      <c r="E1059" t="inlineStr">
        <is>
          <t>CARDONE Reman</t>
        </is>
      </c>
      <c r="F1059" t="inlineStr">
        <is>
          <t>PRC7096;AMR1515</t>
        </is>
      </c>
      <c r="G1059" t="inlineStr">
        <is>
          <t>Land Rover Discovery 1994-1999
Land Rover Range Rover 1987-1991</t>
        </is>
      </c>
      <c r="H1059" t="inlineStr">
        <is>
          <t>Land Rover Discovery 1994-1995 3.9L V8 3950cc
Land Rover Discovery 1996-1999 4L V8 3950cc
Land Rover Range Rover 1987-1988 3.5L V8 216cid
Land Rover Range Rover 1989-1991 3.9L V8 3947cc</t>
        </is>
      </c>
      <c r="I1059" t="inlineStr">
        <is>
          <t>{"0": {"productDeskExternalKey": "CPCX|43-4554"}, "1": {"Package Contents": "Wiper Motor; Instruction Sheet"}, "2": {"E-Waste": "Yes"}, "3": {"Product Condition": "Remanufactured"}, "4": {"Mounting Hole Quantity": "3"}, "5": {"Terminal Type": "Blade"}, "6": {"Mounting Type": "Direct Bolt"}, "7": {"Weight PG": "2.7500"}, "8": {"Washer Pump Included": "No"}, "9": {"Part Type": "Windshield Wiper Motor"}, "10": {"Warranty Info": "1 Year/18,000 Mile"}, "11": {"Sustainable Choice": "Yes"}, "12": {"Lifecycle Status": "Available to Order"}, "13": {"Application Summary": "Land Rover Discovery 1999-94, Range Rover 1991-87"}, "14": {"ItemLevelGTIN": "00082617804929"}, "15": {"_addonCardone": "43-4554::98353:90293:225"}, "16": {"Eligible for R&amp;R Service": "Yes"}}</t>
        </is>
      </c>
      <c r="J1059" t="inlineStr">
        <is>
          <t>https://www.cardone.com/product/windshield-wiper-motor-43-4554</t>
        </is>
      </c>
      <c r="K1059">
        <f>DISPIMG("ID_B6FA6C2447834863AC576F6A7C5DB568",1)</f>
        <v/>
      </c>
      <c r="L1059" t="inlineStr">
        <is>
          <t>CPCX|43-4554</t>
        </is>
      </c>
      <c r="M1059" t="inlineStr">
        <is>
          <t>Wiper Motor; Instruction Sheet</t>
        </is>
      </c>
      <c r="N1059" t="inlineStr">
        <is>
          <t>Yes</t>
        </is>
      </c>
      <c r="O1059" t="inlineStr">
        <is>
          <t>Remanufactured</t>
        </is>
      </c>
      <c r="P1059" t="inlineStr">
        <is>
          <t>3</t>
        </is>
      </c>
      <c r="Q1059" t="inlineStr">
        <is>
          <t>Blade</t>
        </is>
      </c>
      <c r="R1059" t="inlineStr">
        <is>
          <t>Direct Bolt</t>
        </is>
      </c>
      <c r="S1059" t="inlineStr">
        <is>
          <t>2.7500</t>
        </is>
      </c>
      <c r="T1059" t="inlineStr">
        <is>
          <t>No</t>
        </is>
      </c>
      <c r="U1059" t="inlineStr">
        <is>
          <t>1 Year/18,000 Mile</t>
        </is>
      </c>
      <c r="V1059" t="inlineStr">
        <is>
          <t>Yes</t>
        </is>
      </c>
      <c r="W1059" t="inlineStr">
        <is>
          <t>Available to Order</t>
        </is>
      </c>
      <c r="X1059" t="inlineStr">
        <is>
          <t>Land Rover Discovery 1999-94, Range Rover 1991-87</t>
        </is>
      </c>
      <c r="Y1059" t="inlineStr">
        <is>
          <t>00082617804929</t>
        </is>
      </c>
      <c r="Z1059" t="inlineStr">
        <is>
          <t>43-4554::98353:90293:225</t>
        </is>
      </c>
      <c r="AA1059" t="inlineStr">
        <is>
          <t>Yes</t>
        </is>
      </c>
      <c r="AB1059" t="inlineStr"/>
      <c r="AC1059" t="inlineStr"/>
    </row>
    <row r="1060">
      <c r="A1060" t="inlineStr">
        <is>
          <t>1059</t>
        </is>
      </c>
      <c r="B1060" t="inlineStr">
        <is>
          <t>Windshield Wiper Motor</t>
        </is>
      </c>
      <c r="C1060" t="inlineStr">
        <is>
          <t>43-4561</t>
        </is>
      </c>
      <c r="D1060" t="inlineStr">
        <is>
          <t>Windshield Wiper Motor - 43-4561</t>
        </is>
      </c>
      <c r="E1060" t="inlineStr">
        <is>
          <t>CARDONE Reman</t>
        </is>
      </c>
      <c r="F1060" t="inlineStr">
        <is>
          <t>DLB500031;DLB500030</t>
        </is>
      </c>
      <c r="G1060" t="inlineStr">
        <is>
          <t>Land Rover LR3 2005-2009
Land Rover Range Rover Sport 2006-2010</t>
        </is>
      </c>
      <c r="H1060" t="inlineStr">
        <is>
          <t>Land Rover LR3 2005-2009 4.4L V8 4394cc
Land Rover LR3 2005-2009 4L V6 245cid
Land Rover Range Rover Sport 2006-2009 4.2L V8 256cid
Land Rover Range Rover Sport 2006-2009 4.4L V8 4394cc
Land Rover Range Rover Sport 2010 5L V8 5000cc</t>
        </is>
      </c>
      <c r="I1060" t="inlineStr">
        <is>
          <t>{"0": {"productDeskExternalKey": "CPCX|43-4561"}, "1": {"Package Contents": "Wiper Motor; Instruction Sheet"}, "2": {"E-Waste": "Yes"}, "3": {"Product Condition": "Remanufactured"}, "4": {"Mounting Hole Quantity": "3"}, "5": {"Terminal Type": "Blade"}, "6": {"Mounting Type": "Grommet"}, "7": {"Weight PG": "3.0500"}, "8": {"Washer Pump Included": "No"}, "9": {"Part Type": "Windshield Wiper Motor"}, "10": {"Warranty Info": "1 Year/18,000 Mile"}, "11": {"Sustainable Choice": "Yes"}, "12": {"Lifecycle Status": "Available to Order"}, "13": {"Application Summary": "Land Rover LR3 2009-05, Range Rover Sport 2010-06"}, "14": {"ItemLevelGTIN": "00082617817516"}, "15": {"_addonCardone": "43-4561::98353:90300:225"}, "16": {"Eligible for R&amp;R Service": "Yes"}}</t>
        </is>
      </c>
      <c r="J1060" t="inlineStr">
        <is>
          <t>https://www.cardone.com/product/windshield-wiper-motor-43-4561</t>
        </is>
      </c>
      <c r="K1060">
        <f>DISPIMG("ID_350750CF7DF14EC79137864F9CE91EA8",1)</f>
        <v/>
      </c>
      <c r="L1060" t="inlineStr">
        <is>
          <t>CPCX|43-4561</t>
        </is>
      </c>
      <c r="M1060" t="inlineStr">
        <is>
          <t>Wiper Motor; Instruction Sheet</t>
        </is>
      </c>
      <c r="N1060" t="inlineStr">
        <is>
          <t>Yes</t>
        </is>
      </c>
      <c r="O1060" t="inlineStr">
        <is>
          <t>Remanufactured</t>
        </is>
      </c>
      <c r="P1060" t="inlineStr">
        <is>
          <t>3</t>
        </is>
      </c>
      <c r="Q1060" t="inlineStr">
        <is>
          <t>Blade</t>
        </is>
      </c>
      <c r="R1060" t="inlineStr">
        <is>
          <t>Grommet</t>
        </is>
      </c>
      <c r="S1060" t="inlineStr">
        <is>
          <t>3.0500</t>
        </is>
      </c>
      <c r="T1060" t="inlineStr">
        <is>
          <t>No</t>
        </is>
      </c>
      <c r="U1060" t="inlineStr">
        <is>
          <t>1 Year/18,000 Mile</t>
        </is>
      </c>
      <c r="V1060" t="inlineStr">
        <is>
          <t>Yes</t>
        </is>
      </c>
      <c r="W1060" t="inlineStr">
        <is>
          <t>Available to Order</t>
        </is>
      </c>
      <c r="X1060" t="inlineStr">
        <is>
          <t>Land Rover LR3 2009-05, Range Rover Sport 2010-06</t>
        </is>
      </c>
      <c r="Y1060" t="inlineStr">
        <is>
          <t>00082617817516</t>
        </is>
      </c>
      <c r="Z1060" t="inlineStr">
        <is>
          <t>43-4561::98353:90300:225</t>
        </is>
      </c>
      <c r="AA1060" t="inlineStr">
        <is>
          <t>Yes</t>
        </is>
      </c>
      <c r="AB1060" t="inlineStr"/>
      <c r="AC1060" t="inlineStr"/>
    </row>
    <row r="1061">
      <c r="A1061" t="inlineStr">
        <is>
          <t>1060</t>
        </is>
      </c>
      <c r="B1061" t="inlineStr">
        <is>
          <t>Windshield Wiper Motor</t>
        </is>
      </c>
      <c r="C1061" t="inlineStr">
        <is>
          <t>43-4562</t>
        </is>
      </c>
      <c r="D1061" t="inlineStr">
        <is>
          <t>Windshield Wiper Motor - 43-4562</t>
        </is>
      </c>
      <c r="E1061" t="inlineStr">
        <is>
          <t>CARDONE Reman</t>
        </is>
      </c>
      <c r="F1061" t="inlineStr">
        <is>
          <t>DLB500014;DLB500013</t>
        </is>
      </c>
      <c r="G1061" t="inlineStr">
        <is>
          <t>Land Rover Range Rover Sport 2006-2011</t>
        </is>
      </c>
      <c r="H1061" t="inlineStr">
        <is>
          <t>Land Rover Range Rover Sport 2006-2009 4.2L V8 256cid
Land Rover Range Rover Sport 2006-2009 4.4L V8 4394cc
Land Rover Range Rover Sport 2010-2011 5L V8 5000cc
Land Rover Range Rover Sport 2011 5L V8 305cid</t>
        </is>
      </c>
      <c r="I1061" t="inlineStr">
        <is>
          <t>{"0": {"productDeskExternalKey": "CPCX|43-4562"}, "1": {"Package Contents": "Wiper Motor; Instruction Sheet"}, "2": {"E-Waste": "Yes"}, "3": {"Product Condition": "Remanufactured"}, "4": {"Mounting Hole Quantity": "3"}, "5": {"Terminal Type": "Blade"}, "6": {"Mounting Type": "Grommet"}, "7": {"Weight PG": "2.3000"}, "8": {"Washer Pump Included": "No"}, "9": {"Part Type": "Windshield Wiper Motor"}, "10": {"Warranty Info": "1 Year/18,000 Mile"}, "11": {"Sustainable Choice": "Yes"}, "12": {"Lifecycle Status": "Available to Order"}, "13": {"Application Summary": "Land Rover Range Rover Sport 2011-06"}, "14": {"ItemLevelGTIN": "00082617817578"}, "15": {"_addonCardone": "43-4562::98353:90305:225"}, "16": {"Eligible for R&amp;R Service": "Yes"}}</t>
        </is>
      </c>
      <c r="J1061" t="inlineStr">
        <is>
          <t>https://www.cardone.com/product/windshield-wiper-motor-43-4562</t>
        </is>
      </c>
      <c r="K1061">
        <f>DISPIMG("ID_98D600E0A07549E48408FAD73030EE6F",1)</f>
        <v/>
      </c>
      <c r="L1061" t="inlineStr">
        <is>
          <t>CPCX|43-4562</t>
        </is>
      </c>
      <c r="M1061" t="inlineStr">
        <is>
          <t>Wiper Motor; Instruction Sheet</t>
        </is>
      </c>
      <c r="N1061" t="inlineStr">
        <is>
          <t>Yes</t>
        </is>
      </c>
      <c r="O1061" t="inlineStr">
        <is>
          <t>Remanufactured</t>
        </is>
      </c>
      <c r="P1061" t="inlineStr">
        <is>
          <t>3</t>
        </is>
      </c>
      <c r="Q1061" t="inlineStr">
        <is>
          <t>Blade</t>
        </is>
      </c>
      <c r="R1061" t="inlineStr">
        <is>
          <t>Grommet</t>
        </is>
      </c>
      <c r="S1061" t="inlineStr">
        <is>
          <t>2.3000</t>
        </is>
      </c>
      <c r="T1061" t="inlineStr">
        <is>
          <t>No</t>
        </is>
      </c>
      <c r="U1061" t="inlineStr">
        <is>
          <t>1 Year/18,000 Mile</t>
        </is>
      </c>
      <c r="V1061" t="inlineStr">
        <is>
          <t>Yes</t>
        </is>
      </c>
      <c r="W1061" t="inlineStr">
        <is>
          <t>Available to Order</t>
        </is>
      </c>
      <c r="X1061" t="inlineStr">
        <is>
          <t>Land Rover Range Rover Sport 2011-06</t>
        </is>
      </c>
      <c r="Y1061" t="inlineStr">
        <is>
          <t>00082617817578</t>
        </is>
      </c>
      <c r="Z1061" t="inlineStr">
        <is>
          <t>43-4562::98353:90305:225</t>
        </is>
      </c>
      <c r="AA1061" t="inlineStr">
        <is>
          <t>Yes</t>
        </is>
      </c>
      <c r="AB1061" t="inlineStr"/>
      <c r="AC1061" t="inlineStr"/>
    </row>
    <row r="1062">
      <c r="A1062" t="inlineStr">
        <is>
          <t>1061</t>
        </is>
      </c>
      <c r="B1062" t="inlineStr">
        <is>
          <t>Windshield Wiper Motor</t>
        </is>
      </c>
      <c r="C1062" t="inlineStr">
        <is>
          <t>43-4563</t>
        </is>
      </c>
      <c r="D1062" t="inlineStr">
        <is>
          <t>Windshield Wiper Motor - 43-4563</t>
        </is>
      </c>
      <c r="E1062" t="inlineStr">
        <is>
          <t>CARDONE Reman</t>
        </is>
      </c>
      <c r="F1062" t="inlineStr">
        <is>
          <t>AMR3265</t>
        </is>
      </c>
      <c r="G1062" t="inlineStr">
        <is>
          <t>Land Rover Range Rover 1996-2002</t>
        </is>
      </c>
      <c r="H1062" t="inlineStr">
        <is>
          <t>Land Rover Range Rover 1996-2000 4L V8 3950cc
Land Rover Range Rover 1996-2002 4.6L V8 278cid</t>
        </is>
      </c>
      <c r="I1062" t="inlineStr">
        <is>
          <t>{"0": {"productDeskExternalKey": "CPCX|43-4563"}, "1": {"Package Contents": "Wiper Motor; Instruction Sheet"}, "2": {"E-Waste": "Yes"}, "3": {"Product Condition": "Remanufactured"}, "4": {"Mounting Hole Quantity": "2"}, "5": {"Terminal Type": "Blade"}, "6": {"Mounting Type": "Grommet"}, "7": {"Weight PG": "3.1000"}, "8": {"Washer Pump Included": "No"}, "9": {"Part Type": "Windshield Wiper Motor"}, "10": {"Warranty Info": "1 Year/18,000 Mile"}, "11": {"Sustainable Choice": "Yes"}, "12": {"Lifecycle Status": "Available to Order"}, "13": {"Application Summary": "Land Rover Range Rover 2002-96"}, "14": {"ItemLevelGTIN": "00082617817622"}, "15": {"_addonCardone": "43-4563::98353:90315:225"}, "16": {"Eligible for R&amp;R Service": "Yes"}}</t>
        </is>
      </c>
      <c r="J1062" t="inlineStr">
        <is>
          <t>https://www.cardone.com/product/windshield-wiper-motor-43-4563</t>
        </is>
      </c>
      <c r="K1062">
        <f>DISPIMG("ID_DECF506AF84740259F3469322475DA00",1)</f>
        <v/>
      </c>
      <c r="L1062" t="inlineStr">
        <is>
          <t>CPCX|43-4563</t>
        </is>
      </c>
      <c r="M1062" t="inlineStr">
        <is>
          <t>Wiper Motor; Instruction Sheet</t>
        </is>
      </c>
      <c r="N1062" t="inlineStr">
        <is>
          <t>Yes</t>
        </is>
      </c>
      <c r="O1062" t="inlineStr">
        <is>
          <t>Remanufactured</t>
        </is>
      </c>
      <c r="P1062" t="inlineStr">
        <is>
          <t>2</t>
        </is>
      </c>
      <c r="Q1062" t="inlineStr">
        <is>
          <t>Blade</t>
        </is>
      </c>
      <c r="R1062" t="inlineStr">
        <is>
          <t>Grommet</t>
        </is>
      </c>
      <c r="S1062" t="inlineStr">
        <is>
          <t>3.1000</t>
        </is>
      </c>
      <c r="T1062" t="inlineStr">
        <is>
          <t>No</t>
        </is>
      </c>
      <c r="U1062" t="inlineStr">
        <is>
          <t>1 Year/18,000 Mile</t>
        </is>
      </c>
      <c r="V1062" t="inlineStr">
        <is>
          <t>Yes</t>
        </is>
      </c>
      <c r="W1062" t="inlineStr">
        <is>
          <t>Available to Order</t>
        </is>
      </c>
      <c r="X1062" t="inlineStr">
        <is>
          <t>Land Rover Range Rover 2002-96</t>
        </is>
      </c>
      <c r="Y1062" t="inlineStr">
        <is>
          <t>00082617817622</t>
        </is>
      </c>
      <c r="Z1062" t="inlineStr">
        <is>
          <t>43-4563::98353:90315:225</t>
        </is>
      </c>
      <c r="AA1062" t="inlineStr">
        <is>
          <t>Yes</t>
        </is>
      </c>
      <c r="AB1062" t="inlineStr"/>
      <c r="AC1062" t="inlineStr"/>
    </row>
    <row r="1063">
      <c r="A1063" t="inlineStr">
        <is>
          <t>1062</t>
        </is>
      </c>
      <c r="B1063" t="inlineStr">
        <is>
          <t>Windshield Wiper Motor</t>
        </is>
      </c>
      <c r="C1063" t="inlineStr">
        <is>
          <t>43-4567</t>
        </is>
      </c>
      <c r="D1063" t="inlineStr">
        <is>
          <t>Windshield Wiper Motor - 43-4567</t>
        </is>
      </c>
      <c r="E1063" t="inlineStr">
        <is>
          <t>CARDONE Reman</t>
        </is>
      </c>
      <c r="F1063" t="inlineStr">
        <is>
          <t>DLB101621;DLB101620</t>
        </is>
      </c>
      <c r="G1063" t="inlineStr">
        <is>
          <t>Land Rover Freelander 2002-2005</t>
        </is>
      </c>
      <c r="H1063" t="inlineStr">
        <is>
          <t>Land Rover Freelander 2002-2005 2.5L V6 153cid</t>
        </is>
      </c>
      <c r="I1063" t="inlineStr">
        <is>
          <t>{"0": {"productDeskExternalKey": "CPCX|43-4567"}, "1": {"Package Contents": "Wiper Motor; Instruction Sheet"}, "2": {"E-Waste": "Yes"}, "3": {"Product Condition": "Remanufactured"}, "4": {"Mounting Hole Quantity": "2"}, "5": {"Terminal Type": "Blade"}, "6": {"Mounting Type": "Grommet"}, "7": {"Weight PG": "3.0500"}, "8": {"Washer Pump Included": "No"}, "9": {"Part Type": "Windshield Wiper Motor"}, "10": {"Warranty Info": "1 Year/18,000 Mile"}, "11": {"Sustainable Choice": "Yes"}, "12": {"Lifecycle Status": "Available to Order"}, "13": {"Application Summary": "Land Rover Freelander 2005-02"}, "14": {"ItemLevelGTIN": "00082617834391"}, "15": {"_addonCardone": "43-4567::98353:90327:225"}, "16": {"Eligible for R&amp;R Service": "Yes"}}</t>
        </is>
      </c>
      <c r="J1063" t="inlineStr">
        <is>
          <t>https://www.cardone.com/product/windshield-wiper-motor-43-4567</t>
        </is>
      </c>
      <c r="K1063">
        <f>DISPIMG("ID_EE62955F768548D08EC2A93C20E638EF",1)</f>
        <v/>
      </c>
      <c r="L1063" t="inlineStr">
        <is>
          <t>CPCX|43-4567</t>
        </is>
      </c>
      <c r="M1063" t="inlineStr">
        <is>
          <t>Wiper Motor; Instruction Sheet</t>
        </is>
      </c>
      <c r="N1063" t="inlineStr">
        <is>
          <t>Yes</t>
        </is>
      </c>
      <c r="O1063" t="inlineStr">
        <is>
          <t>Remanufactured</t>
        </is>
      </c>
      <c r="P1063" t="inlineStr">
        <is>
          <t>2</t>
        </is>
      </c>
      <c r="Q1063" t="inlineStr">
        <is>
          <t>Blade</t>
        </is>
      </c>
      <c r="R1063" t="inlineStr">
        <is>
          <t>Grommet</t>
        </is>
      </c>
      <c r="S1063" t="inlineStr">
        <is>
          <t>3.0500</t>
        </is>
      </c>
      <c r="T1063" t="inlineStr">
        <is>
          <t>No</t>
        </is>
      </c>
      <c r="U1063" t="inlineStr">
        <is>
          <t>1 Year/18,000 Mile</t>
        </is>
      </c>
      <c r="V1063" t="inlineStr">
        <is>
          <t>Yes</t>
        </is>
      </c>
      <c r="W1063" t="inlineStr">
        <is>
          <t>Available to Order</t>
        </is>
      </c>
      <c r="X1063" t="inlineStr">
        <is>
          <t>Land Rover Freelander 2005-02</t>
        </is>
      </c>
      <c r="Y1063" t="inlineStr">
        <is>
          <t>00082617834391</t>
        </is>
      </c>
      <c r="Z1063" t="inlineStr">
        <is>
          <t>43-4567::98353:90327:225</t>
        </is>
      </c>
      <c r="AA1063" t="inlineStr">
        <is>
          <t>Yes</t>
        </is>
      </c>
      <c r="AB1063" t="inlineStr"/>
      <c r="AC1063" t="inlineStr"/>
    </row>
    <row r="1064">
      <c r="A1064" t="inlineStr">
        <is>
          <t>1063</t>
        </is>
      </c>
      <c r="B1064" t="inlineStr">
        <is>
          <t>Windshield Wiper Motor</t>
        </is>
      </c>
      <c r="C1064" t="inlineStr">
        <is>
          <t>43-4568</t>
        </is>
      </c>
      <c r="D1064" t="inlineStr">
        <is>
          <t>Windshield Wiper Motor - 43-4568</t>
        </is>
      </c>
      <c r="E1064" t="inlineStr">
        <is>
          <t>CARDONE Reman</t>
        </is>
      </c>
      <c r="F1064" t="inlineStr">
        <is>
          <t>DLB101542;DLB101540;DLB101541</t>
        </is>
      </c>
      <c r="G1064" t="inlineStr">
        <is>
          <t>Land Rover Freelander 2002-2005</t>
        </is>
      </c>
      <c r="H1064" t="inlineStr">
        <is>
          <t>Land Rover Freelander 2002-2005 2.5L V6 153cid</t>
        </is>
      </c>
      <c r="I1064" t="inlineStr">
        <is>
          <t>{"0": {"productDeskExternalKey": "CPCX|43-4568"}, "1": {"Package Contents": "Wiper Motor; Instruction Sheet"}, "2": {"E-Waste": "Yes"}, "3": {"Product Condition": "Remanufactured"}, "4": {"Mounting Hole Quantity": "3"}, "5": {"Terminal Type": "Blade"}, "6": {"Mounting Type": "Direct Bolt"}, "7": {"Weight PG": "2.8000"}, "8": {"Washer Pump Included": "No"}, "9": {"Part Type": "Windshield Wiper Motor"}, "10": {"Warranty Info": "1 Year/18,000 Mile"}, "11": {"Sustainable Choice": "Yes"}, "12": {"Lifecycle Status": "Available to Order"}, "13": {"Application Summary": "Land Rover Freelander 2005-02"}, "14": {"ItemLevelGTIN": "00082617834384"}, "15": {"_addonCardone": "43-4568::98353:90338:225"}, "16": {"Eligible for R&amp;R Service": "Yes"}}</t>
        </is>
      </c>
      <c r="J1064" t="inlineStr">
        <is>
          <t>https://www.cardone.com/product/windshield-wiper-motor-43-4568</t>
        </is>
      </c>
      <c r="K1064">
        <f>DISPIMG("ID_AFF53546BD5545A18B5B8DDD4C565FC8",1)</f>
        <v/>
      </c>
      <c r="L1064" t="inlineStr">
        <is>
          <t>CPCX|43-4568</t>
        </is>
      </c>
      <c r="M1064" t="inlineStr">
        <is>
          <t>Wiper Motor; Instruction Sheet</t>
        </is>
      </c>
      <c r="N1064" t="inlineStr">
        <is>
          <t>Yes</t>
        </is>
      </c>
      <c r="O1064" t="inlineStr">
        <is>
          <t>Remanufactured</t>
        </is>
      </c>
      <c r="P1064" t="inlineStr">
        <is>
          <t>3</t>
        </is>
      </c>
      <c r="Q1064" t="inlineStr">
        <is>
          <t>Blade</t>
        </is>
      </c>
      <c r="R1064" t="inlineStr">
        <is>
          <t>Direct Bolt</t>
        </is>
      </c>
      <c r="S1064" t="inlineStr">
        <is>
          <t>2.8000</t>
        </is>
      </c>
      <c r="T1064" t="inlineStr">
        <is>
          <t>No</t>
        </is>
      </c>
      <c r="U1064" t="inlineStr">
        <is>
          <t>1 Year/18,000 Mile</t>
        </is>
      </c>
      <c r="V1064" t="inlineStr">
        <is>
          <t>Yes</t>
        </is>
      </c>
      <c r="W1064" t="inlineStr">
        <is>
          <t>Available to Order</t>
        </is>
      </c>
      <c r="X1064" t="inlineStr">
        <is>
          <t>Land Rover Freelander 2005-02</t>
        </is>
      </c>
      <c r="Y1064" t="inlineStr">
        <is>
          <t>00082617834384</t>
        </is>
      </c>
      <c r="Z1064" t="inlineStr">
        <is>
          <t>43-4568::98353:90338:225</t>
        </is>
      </c>
      <c r="AA1064" t="inlineStr">
        <is>
          <t>Yes</t>
        </is>
      </c>
      <c r="AB1064" t="inlineStr"/>
      <c r="AC1064" t="inlineStr"/>
    </row>
    <row r="1065">
      <c r="A1065" t="inlineStr">
        <is>
          <t>1064</t>
        </is>
      </c>
      <c r="B1065" t="inlineStr">
        <is>
          <t>Windshield Wiper Motor</t>
        </is>
      </c>
      <c r="C1065" t="inlineStr">
        <is>
          <t>43-4569</t>
        </is>
      </c>
      <c r="D1065" t="inlineStr">
        <is>
          <t>Windshield Wiper Motor - 43-4569</t>
        </is>
      </c>
      <c r="E1065" t="inlineStr">
        <is>
          <t>CARDONE Reman</t>
        </is>
      </c>
      <c r="F1065" t="inlineStr">
        <is>
          <t>987001E000</t>
        </is>
      </c>
      <c r="G1065" t="inlineStr">
        <is>
          <t>Dodge Attitude 2007-2011</t>
        </is>
      </c>
      <c r="H1065" t="inlineStr">
        <is>
          <t>Dodge Attitude 2007-2011 1.4L L4 85cid
Dodge Attitude 2007-2011 1.6L L4 98cid
Dodge Attitude 2011 1.6L L4 97cid</t>
        </is>
      </c>
      <c r="I1065" t="inlineStr">
        <is>
          <t>{"0": {"productDeskExternalKey": "CPCX|43-4569"}, "1": {"Package Contents": "Wiper Motor; Instruction Sheet"}, "2": {"E-Waste": "Yes"}, "3": {"Product Condition": "Remanufactured"}, "4": {"Mounting Hole Quantity": "3"}, "5": {"Terminal Type": "Blade"}, "6": {"Mounting Type": "Grommet"}, "7": {"Weight PG": "2.7000"}, "8": {"Washer Pump Included": "No"}, "9": {"Part Type": "Windshield Wiper Motor"}, "10": {"Warranty Info": "1 Year/18,000 Mile"}, "11": {"Sustainable Choice": "Yes"}, "12": {"Lifecycle Status": "Available to Order"}, "13": {"Application Summary": "Dodge Attitude 2011-07; Hyundai Accent 2011-07"}, "14": {"ItemLevelGTIN": "00082617838139"}, "15": {"_addonCardone": "43-4569::98353:90348:225"}, "16": {"Eligible for R&amp;R Service": "Yes"}}</t>
        </is>
      </c>
      <c r="J1065" t="inlineStr">
        <is>
          <t>https://www.cardone.com/product/windshield-wiper-motor-43-4569</t>
        </is>
      </c>
      <c r="K1065">
        <f>DISPIMG("ID_F06A495B36934B368C0788D14B826AAA",1)</f>
        <v/>
      </c>
      <c r="L1065" t="inlineStr">
        <is>
          <t>CPCX|43-4569</t>
        </is>
      </c>
      <c r="M1065" t="inlineStr">
        <is>
          <t>Wiper Motor; Instruction Sheet</t>
        </is>
      </c>
      <c r="N1065" t="inlineStr">
        <is>
          <t>Yes</t>
        </is>
      </c>
      <c r="O1065" t="inlineStr">
        <is>
          <t>Remanufactured</t>
        </is>
      </c>
      <c r="P1065" t="inlineStr">
        <is>
          <t>3</t>
        </is>
      </c>
      <c r="Q1065" t="inlineStr">
        <is>
          <t>Blade</t>
        </is>
      </c>
      <c r="R1065" t="inlineStr">
        <is>
          <t>Grommet</t>
        </is>
      </c>
      <c r="S1065" t="inlineStr">
        <is>
          <t>2.7000</t>
        </is>
      </c>
      <c r="T1065" t="inlineStr">
        <is>
          <t>No</t>
        </is>
      </c>
      <c r="U1065" t="inlineStr">
        <is>
          <t>1 Year/18,000 Mile</t>
        </is>
      </c>
      <c r="V1065" t="inlineStr">
        <is>
          <t>Yes</t>
        </is>
      </c>
      <c r="W1065" t="inlineStr">
        <is>
          <t>Available to Order</t>
        </is>
      </c>
      <c r="X1065" t="inlineStr">
        <is>
          <t>Dodge Attitude 2011-07; Hyundai Accent 2011-07</t>
        </is>
      </c>
      <c r="Y1065" t="inlineStr">
        <is>
          <t>00082617838139</t>
        </is>
      </c>
      <c r="Z1065" t="inlineStr">
        <is>
          <t>43-4569::98353:90348:225</t>
        </is>
      </c>
      <c r="AA1065" t="inlineStr">
        <is>
          <t>Yes</t>
        </is>
      </c>
      <c r="AB1065" t="inlineStr"/>
      <c r="AC1065" t="inlineStr"/>
    </row>
    <row r="1066">
      <c r="A1066" t="inlineStr">
        <is>
          <t>1065</t>
        </is>
      </c>
      <c r="B1066" t="inlineStr">
        <is>
          <t>Windshield Wiper Motor</t>
        </is>
      </c>
      <c r="C1066" t="inlineStr">
        <is>
          <t>43-4571</t>
        </is>
      </c>
      <c r="D1066" t="inlineStr">
        <is>
          <t>Windshield Wiper Motor - 43-4571</t>
        </is>
      </c>
      <c r="E1066" t="inlineStr">
        <is>
          <t>CARDONE Reman</t>
        </is>
      </c>
      <c r="F1066" t="inlineStr">
        <is>
          <t>86510FG080</t>
        </is>
      </c>
      <c r="G1066" t="inlineStr">
        <is>
          <t>Subaru Impreza 2008-2009</t>
        </is>
      </c>
      <c r="H1066" t="inlineStr">
        <is>
          <t>Subaru Impreza 2008-2009 2.5L H4 2458cc
Subaru Impreza 2008-2009 2L H4 122cid</t>
        </is>
      </c>
      <c r="I1066" t="inlineStr">
        <is>
          <t>{"0": {"productDeskExternalKey": "CPCX|43-4571"}, "1": {"Package Contents": "Wiper Motor; Instruction Sheet"}, "2": {"E-Waste": "Yes"}, "3": {"Product Condition": "Remanufactured"}, "4": {"Mounting Hole Quantity": "3"}, "5": {"Terminal Type": "Blade"}, "6": {"Mounting Type": "Grommet; Through Hole"}, "7": {"Weight PG": "2.2600"}, "8": {"Washer Pump Included": "No"}, "9": {"Part Type": "Windshield Wiper Motor"}, "10": {"Warranty Info": "1 Year/18,000 Mile"}, "11": {"Sustainable Choice": "Yes"}, "12": {"Lifecycle Status": "Available to Order"}, "13": {"Application Summary": "Subaru Impreza 2009-08"}, "14": {"ItemLevelGTIN": "00082617838535"}, "15": {"_addonCardone": "43-4571::98353:90493:225"}, "16": {"Eligible for R&amp;R Service": "Yes"}}</t>
        </is>
      </c>
      <c r="J1066" t="inlineStr">
        <is>
          <t>https://www.cardone.com/product/windshield-wiper-motor-43-4571</t>
        </is>
      </c>
      <c r="K1066">
        <f>DISPIMG("ID_FFEC9627FEC94991B134214C9D8A95A3",1)</f>
        <v/>
      </c>
      <c r="L1066" t="inlineStr">
        <is>
          <t>CPCX|43-4571</t>
        </is>
      </c>
      <c r="M1066" t="inlineStr">
        <is>
          <t>Wiper Motor; Instruction Sheet</t>
        </is>
      </c>
      <c r="N1066" t="inlineStr">
        <is>
          <t>Yes</t>
        </is>
      </c>
      <c r="O1066" t="inlineStr">
        <is>
          <t>Remanufactured</t>
        </is>
      </c>
      <c r="P1066" t="inlineStr">
        <is>
          <t>3</t>
        </is>
      </c>
      <c r="Q1066" t="inlineStr">
        <is>
          <t>Blade</t>
        </is>
      </c>
      <c r="R1066" t="inlineStr">
        <is>
          <t>Grommet; Through Hole</t>
        </is>
      </c>
      <c r="S1066" t="inlineStr">
        <is>
          <t>2.2600</t>
        </is>
      </c>
      <c r="T1066" t="inlineStr">
        <is>
          <t>No</t>
        </is>
      </c>
      <c r="U1066" t="inlineStr">
        <is>
          <t>1 Year/18,000 Mile</t>
        </is>
      </c>
      <c r="V1066" t="inlineStr">
        <is>
          <t>Yes</t>
        </is>
      </c>
      <c r="W1066" t="inlineStr">
        <is>
          <t>Available to Order</t>
        </is>
      </c>
      <c r="X1066" t="inlineStr">
        <is>
          <t>Subaru Impreza 2009-08</t>
        </is>
      </c>
      <c r="Y1066" t="inlineStr">
        <is>
          <t>00082617838535</t>
        </is>
      </c>
      <c r="Z1066" t="inlineStr">
        <is>
          <t>43-4571::98353:90493:225</t>
        </is>
      </c>
      <c r="AA1066" t="inlineStr">
        <is>
          <t>Yes</t>
        </is>
      </c>
      <c r="AB1066" t="inlineStr"/>
      <c r="AC1066" t="inlineStr"/>
    </row>
    <row r="1067">
      <c r="A1067" t="inlineStr">
        <is>
          <t>1066</t>
        </is>
      </c>
      <c r="B1067" t="inlineStr">
        <is>
          <t>Windshield Wiper Motor</t>
        </is>
      </c>
      <c r="C1067" t="inlineStr">
        <is>
          <t>43-4572</t>
        </is>
      </c>
      <c r="D1067" t="inlineStr">
        <is>
          <t>Windshield Wiper Motor - 43-4572</t>
        </is>
      </c>
      <c r="E1067" t="inlineStr">
        <is>
          <t>CARDONE Reman</t>
        </is>
      </c>
      <c r="F1067" t="inlineStr">
        <is>
          <t>987002F000</t>
        </is>
      </c>
      <c r="G1067" t="inlineStr">
        <is>
          <t>Kia Spectra 2005
Kia Spectra5 2005-2009</t>
        </is>
      </c>
      <c r="H1067" t="inlineStr">
        <is>
          <t>Kia Spectra 2005 2L L4 1975cc
Kia Spectra5 2005-2009 2L L4 1975cc</t>
        </is>
      </c>
      <c r="I1067" t="inlineStr">
        <is>
          <t>{"0": {"productDeskExternalKey": "CPCX|43-4572"}, "1": {"Package Contents": "Wiper Motor; Instruction Sheet"}, "2": {"E-Waste": "Yes"}, "3": {"Product Condition": "Remanufactured"}, "4": {"Mounting Hole Quantity": "3"}, "5": {"Terminal Type": "Blade"}, "6": {"Mounting Type": "Grommet"}, "7": {"Weight PG": "2.7000"}, "8": {"Washer Pump Included": "No"}, "9": {"Part Type": "Windshield Wiper Motor"}, "10": {"Warranty Info": "1 Year/18,000 Mile"}, "11": {"Sustainable Choice": "Yes"}, "12": {"Lifecycle Status": "Available to Order"}, "13": {"Application Summary": "Kia Spectra 2005, Spectra5 2009-05"}, "14": {"ItemLevelGTIN": "00082617838566"}, "15": {"_addonCardone": "43-4572::98353:90499:225"}, "16": {"Eligible for R&amp;R Service": "Yes"}}</t>
        </is>
      </c>
      <c r="J1067" t="inlineStr">
        <is>
          <t>https://www.cardone.com/product/windshield-wiper-motor-43-4572</t>
        </is>
      </c>
      <c r="K1067">
        <f>DISPIMG("ID_1213B05B5B3843D0AFD0AA36BBA6BD16",1)</f>
        <v/>
      </c>
      <c r="L1067" t="inlineStr">
        <is>
          <t>CPCX|43-4572</t>
        </is>
      </c>
      <c r="M1067" t="inlineStr">
        <is>
          <t>Wiper Motor; Instruction Sheet</t>
        </is>
      </c>
      <c r="N1067" t="inlineStr">
        <is>
          <t>Yes</t>
        </is>
      </c>
      <c r="O1067" t="inlineStr">
        <is>
          <t>Remanufactured</t>
        </is>
      </c>
      <c r="P1067" t="inlineStr">
        <is>
          <t>3</t>
        </is>
      </c>
      <c r="Q1067" t="inlineStr">
        <is>
          <t>Blade</t>
        </is>
      </c>
      <c r="R1067" t="inlineStr">
        <is>
          <t>Grommet</t>
        </is>
      </c>
      <c r="S1067" t="inlineStr">
        <is>
          <t>2.7000</t>
        </is>
      </c>
      <c r="T1067" t="inlineStr">
        <is>
          <t>No</t>
        </is>
      </c>
      <c r="U1067" t="inlineStr">
        <is>
          <t>1 Year/18,000 Mile</t>
        </is>
      </c>
      <c r="V1067" t="inlineStr">
        <is>
          <t>Yes</t>
        </is>
      </c>
      <c r="W1067" t="inlineStr">
        <is>
          <t>Available to Order</t>
        </is>
      </c>
      <c r="X1067" t="inlineStr">
        <is>
          <t>Kia Spectra 2005, Spectra5 2009-05</t>
        </is>
      </c>
      <c r="Y1067" t="inlineStr">
        <is>
          <t>00082617838566</t>
        </is>
      </c>
      <c r="Z1067" t="inlineStr">
        <is>
          <t>43-4572::98353:90499:225</t>
        </is>
      </c>
      <c r="AA1067" t="inlineStr">
        <is>
          <t>Yes</t>
        </is>
      </c>
      <c r="AB1067" t="inlineStr"/>
      <c r="AC1067" t="inlineStr"/>
    </row>
    <row r="1068">
      <c r="A1068" t="inlineStr">
        <is>
          <t>1067</t>
        </is>
      </c>
      <c r="B1068" t="inlineStr">
        <is>
          <t>Windshield Wiper Motor</t>
        </is>
      </c>
      <c r="C1068" t="inlineStr">
        <is>
          <t>43-4573</t>
        </is>
      </c>
      <c r="D1068" t="inlineStr">
        <is>
          <t>Windshield Wiper Motor - 43-4573</t>
        </is>
      </c>
      <c r="E1068" t="inlineStr">
        <is>
          <t>CARDONE Reman</t>
        </is>
      </c>
      <c r="F1068" t="inlineStr">
        <is>
          <t>981003J000</t>
        </is>
      </c>
      <c r="G1068" t="inlineStr"/>
      <c r="H1068" t="inlineStr"/>
      <c r="I1068" t="inlineStr">
        <is>
          <t>{"0": {"productDeskExternalKey": "CPCX|43-4573"}, "1": {"E-Waste": "Yes"}, "2": {"Product Condition": "Remanufactured"}, "3": {"Weight PG": "2.8000"}, "4": {"Part Type": "Windshield Wiper Motor"}, "5": {"Warranty Info": "1 Year/18,000 Mile"}, "6": {"Sustainable Choice": "Yes"}, "7": {"Lifecycle Status": "Available to Order"}, "8": {"Application Summary": "Hyundai Veracruz 2012-07"}, "9": {"ItemLevelGTIN": "00082617838191"}, "10": {"_addonCardone": "43-4573::98353:90503:225"}, "11": {"Eligible for R&amp;R Service": "Yes"}}</t>
        </is>
      </c>
      <c r="J1068" t="inlineStr">
        <is>
          <t>https://www.cardone.com/product/windshield-wiper-motor-43-4573</t>
        </is>
      </c>
      <c r="K1068">
        <f>DISPIMG("ID_41E05CBD66BD4D11AC9CCFF559CC3979",1)</f>
        <v/>
      </c>
      <c r="L1068" t="inlineStr">
        <is>
          <t>CPCX|43-4573</t>
        </is>
      </c>
      <c r="M1068" t="inlineStr"/>
      <c r="N1068" t="inlineStr">
        <is>
          <t>Yes</t>
        </is>
      </c>
      <c r="O1068" t="inlineStr">
        <is>
          <t>Remanufactured</t>
        </is>
      </c>
      <c r="P1068" t="inlineStr"/>
      <c r="Q1068" t="inlineStr"/>
      <c r="R1068" t="inlineStr"/>
      <c r="S1068" t="inlineStr">
        <is>
          <t>2.8000</t>
        </is>
      </c>
      <c r="T1068" t="inlineStr"/>
      <c r="U1068" t="inlineStr">
        <is>
          <t>1 Year/18,000 Mile</t>
        </is>
      </c>
      <c r="V1068" t="inlineStr">
        <is>
          <t>Yes</t>
        </is>
      </c>
      <c r="W1068" t="inlineStr">
        <is>
          <t>Available to Order</t>
        </is>
      </c>
      <c r="X1068" t="inlineStr">
        <is>
          <t>Hyundai Veracruz 2012-07</t>
        </is>
      </c>
      <c r="Y1068" t="inlineStr">
        <is>
          <t>00082617838191</t>
        </is>
      </c>
      <c r="Z1068" t="inlineStr">
        <is>
          <t>43-4573::98353:90503:225</t>
        </is>
      </c>
      <c r="AA1068" t="inlineStr">
        <is>
          <t>Yes</t>
        </is>
      </c>
      <c r="AB1068" t="inlineStr"/>
      <c r="AC1068" t="inlineStr"/>
    </row>
    <row r="1069">
      <c r="A1069" t="inlineStr">
        <is>
          <t>1068</t>
        </is>
      </c>
      <c r="B1069" t="inlineStr">
        <is>
          <t>Windshield Wiper Motor</t>
        </is>
      </c>
      <c r="C1069" t="inlineStr">
        <is>
          <t>43-4574</t>
        </is>
      </c>
      <c r="D1069" t="inlineStr">
        <is>
          <t>Windshield Wiper Motor - 43-4574</t>
        </is>
      </c>
      <c r="E1069" t="inlineStr">
        <is>
          <t>CARDONE Reman</t>
        </is>
      </c>
      <c r="F1069" t="inlineStr">
        <is>
          <t>987003J000</t>
        </is>
      </c>
      <c r="G1069" t="inlineStr"/>
      <c r="H1069" t="inlineStr"/>
      <c r="I1069" t="inlineStr">
        <is>
          <t>{"0": {"productDeskExternalKey": "CPCX|43-4574"},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"Hyundai Veracruz 2012-07"}, "14": {"ItemLevelGTIN": "00082617838207"}, "15": {"_addonCardone": "43-4574::98353:90506:225"}, "16": {"Eligible for R&amp;R Service": "Yes"}}</t>
        </is>
      </c>
      <c r="J1069" t="inlineStr">
        <is>
          <t>https://www.cardone.com/product/windshield-wiper-motor-43-4574</t>
        </is>
      </c>
      <c r="K1069">
        <f>DISPIMG("ID_181784ECE84048B38CEF9484012C1F09",1)</f>
        <v/>
      </c>
      <c r="L1069" t="inlineStr">
        <is>
          <t>CPCX|43-4574</t>
        </is>
      </c>
      <c r="M1069" t="inlineStr">
        <is>
          <t>Wiper Motor; Instruction Sheet</t>
        </is>
      </c>
      <c r="N1069" t="inlineStr">
        <is>
          <t>Yes</t>
        </is>
      </c>
      <c r="O1069" t="inlineStr">
        <is>
          <t>Remanufactured</t>
        </is>
      </c>
      <c r="P1069" t="inlineStr">
        <is>
          <t>3</t>
        </is>
      </c>
      <c r="Q1069" t="inlineStr">
        <is>
          <t>Blade</t>
        </is>
      </c>
      <c r="R1069" t="inlineStr">
        <is>
          <t>Grommet</t>
        </is>
      </c>
      <c r="S1069" t="inlineStr">
        <is>
          <t>2.0000</t>
        </is>
      </c>
      <c r="T1069" t="inlineStr">
        <is>
          <t>No</t>
        </is>
      </c>
      <c r="U1069" t="inlineStr">
        <is>
          <t>1 Year/18,000 Mile</t>
        </is>
      </c>
      <c r="V1069" t="inlineStr">
        <is>
          <t>Yes</t>
        </is>
      </c>
      <c r="W1069" t="inlineStr">
        <is>
          <t>Available to Order</t>
        </is>
      </c>
      <c r="X1069" t="inlineStr">
        <is>
          <t>Hyundai Veracruz 2012-07</t>
        </is>
      </c>
      <c r="Y1069" t="inlineStr">
        <is>
          <t>00082617838207</t>
        </is>
      </c>
      <c r="Z1069" t="inlineStr">
        <is>
          <t>43-4574::98353:90506:225</t>
        </is>
      </c>
      <c r="AA1069" t="inlineStr">
        <is>
          <t>Yes</t>
        </is>
      </c>
      <c r="AB1069" t="inlineStr"/>
      <c r="AC1069" t="inlineStr"/>
    </row>
    <row r="1070">
      <c r="A1070" t="inlineStr">
        <is>
          <t>1069</t>
        </is>
      </c>
      <c r="B1070" t="inlineStr">
        <is>
          <t>Windshield Wiper Motor</t>
        </is>
      </c>
      <c r="C1070" t="inlineStr">
        <is>
          <t>43-4577</t>
        </is>
      </c>
      <c r="D1070" t="inlineStr">
        <is>
          <t>Windshield Wiper Motor - 43-4577</t>
        </is>
      </c>
      <c r="E1070" t="inlineStr">
        <is>
          <t>CARDONE Reman</t>
        </is>
      </c>
      <c r="F1070" t="inlineStr">
        <is>
          <t>LR033226;LR002243</t>
        </is>
      </c>
      <c r="G1070" t="inlineStr">
        <is>
          <t>Land Rover LR2 2008-2012</t>
        </is>
      </c>
      <c r="H1070" t="inlineStr">
        <is>
          <t>Land Rover LR2 2008-2012 3.2L L6 3192cc</t>
        </is>
      </c>
      <c r="I1070" t="inlineStr">
        <is>
          <t>{"0": {"productDeskExternalKey": "CPCX|43-4577"}, "1": {"Package Contents": "Wiper Motor; Instruction Sheet"}, "2": {"E-Waste": "Yes"}, "3": {"Product Condition": "Remanufactured"}, "4": {"Mounting Hole Quantity": "3"}, "5": {"Terminal Type": "Blade"}, "6": {"Mounting Type": "Eyelet; Grommet"}, "7": {"Weight PG": "2.1500"}, "8": {"Washer Pump Included": "No"}, "9": {"Part Type": "Windshield Wiper Motor"}, "10": {"Warranty Info": "1 Year/18,000 Mile"}, "11": {"Sustainable Choice": "Yes"}, "12": {"Lifecycle Status": "Available to Order"}, "13": {"Application Summary": "Land Rover LR2 2012-08"}, "14": {"ItemLevelGTIN": "00082617838474"}, "15": {"_addonCardone": "43-4577::98353:90513:225"}, "16": {"Eligible for R&amp;R Service": "Yes"}}</t>
        </is>
      </c>
      <c r="J1070" t="inlineStr">
        <is>
          <t>https://www.cardone.com/product/windshield-wiper-motor-43-4577</t>
        </is>
      </c>
      <c r="K1070">
        <f>DISPIMG("ID_3A886AF1BD784E81B9A5112882DAFDD1",1)</f>
        <v/>
      </c>
      <c r="L1070" t="inlineStr">
        <is>
          <t>CPCX|43-4577</t>
        </is>
      </c>
      <c r="M1070" t="inlineStr">
        <is>
          <t>Wiper Motor; Instruction Sheet</t>
        </is>
      </c>
      <c r="N1070" t="inlineStr">
        <is>
          <t>Yes</t>
        </is>
      </c>
      <c r="O1070" t="inlineStr">
        <is>
          <t>Remanufactured</t>
        </is>
      </c>
      <c r="P1070" t="inlineStr">
        <is>
          <t>3</t>
        </is>
      </c>
      <c r="Q1070" t="inlineStr">
        <is>
          <t>Blade</t>
        </is>
      </c>
      <c r="R1070" t="inlineStr">
        <is>
          <t>Eyelet; Grommet</t>
        </is>
      </c>
      <c r="S1070" t="inlineStr">
        <is>
          <t>2.1500</t>
        </is>
      </c>
      <c r="T1070" t="inlineStr">
        <is>
          <t>No</t>
        </is>
      </c>
      <c r="U1070" t="inlineStr">
        <is>
          <t>1 Year/18,000 Mile</t>
        </is>
      </c>
      <c r="V1070" t="inlineStr">
        <is>
          <t>Yes</t>
        </is>
      </c>
      <c r="W1070" t="inlineStr">
        <is>
          <t>Available to Order</t>
        </is>
      </c>
      <c r="X1070" t="inlineStr">
        <is>
          <t>Land Rover LR2 2012-08</t>
        </is>
      </c>
      <c r="Y1070" t="inlineStr">
        <is>
          <t>00082617838474</t>
        </is>
      </c>
      <c r="Z1070" t="inlineStr">
        <is>
          <t>43-4577::98353:90513:225</t>
        </is>
      </c>
      <c r="AA1070" t="inlineStr">
        <is>
          <t>Yes</t>
        </is>
      </c>
      <c r="AB1070" t="inlineStr"/>
      <c r="AC1070" t="inlineStr"/>
    </row>
    <row r="1071">
      <c r="A1071" t="inlineStr">
        <is>
          <t>1070</t>
        </is>
      </c>
      <c r="B1071" t="inlineStr">
        <is>
          <t>Windshield Wiper Motor</t>
        </is>
      </c>
      <c r="C1071" t="inlineStr">
        <is>
          <t>43-4578</t>
        </is>
      </c>
      <c r="D1071" t="inlineStr">
        <is>
          <t>Windshield Wiper Motor - 43-4578</t>
        </is>
      </c>
      <c r="E1071" t="inlineStr">
        <is>
          <t>CARDONE Reman</t>
        </is>
      </c>
      <c r="F1071" t="inlineStr">
        <is>
          <t>LR002253</t>
        </is>
      </c>
      <c r="G1071" t="inlineStr">
        <is>
          <t>Land Rover LR2 2008-2013</t>
        </is>
      </c>
      <c r="H1071" t="inlineStr">
        <is>
          <t>Land Rover LR2 2008-2012 3.2L L6 3192cc
Land Rover LR2 2013 2L L4 122cid</t>
        </is>
      </c>
      <c r="I1071" t="inlineStr">
        <is>
          <t>{"0": {"productDeskExternalKey": "CPCX|43-4578"}, "1": {"Package Contents": "Wiper Motor; Instruction Sheet"}, "2": {"E-Waste": "Yes"}, "3": {"Product Condition": "Remanufactured"}, "4": {"Mounting Hole Quantity": "4"}, "5": {"Terminal Type": "Blade"}, "6": {"Mounting Type": "Direct Bolt"}, "7": {"Weight PG": "3.1000"}, "8": {"Washer Pump Included": "No"}, "9": {"Part Type": "Windshield Wiper Motor"}, "10": {"Warranty Info": "1 Year/18,000 Mile"}, "11": {"Sustainable Choice": "Yes"}, "12": {"Lifecycle Status": "Available to Order"}, "13": {"Application Summary": "Land Rover LR2 2013-08"}, "14": {"ItemLevelGTIN": "00082617838481"}, "15": {"_addonCardone": "43-4578::98353:90519:225"}, "16": {"Eligible for R&amp;R Service": "Yes"}}</t>
        </is>
      </c>
      <c r="J1071" t="inlineStr">
        <is>
          <t>https://www.cardone.com/product/windshield-wiper-motor-43-4578</t>
        </is>
      </c>
      <c r="K1071">
        <f>DISPIMG("ID_7582AF72BAE642CBB157EAEC0077E779",1)</f>
        <v/>
      </c>
      <c r="L1071" t="inlineStr">
        <is>
          <t>CPCX|43-4578</t>
        </is>
      </c>
      <c r="M1071" t="inlineStr">
        <is>
          <t>Wiper Motor; Instruction Sheet</t>
        </is>
      </c>
      <c r="N1071" t="inlineStr">
        <is>
          <t>Yes</t>
        </is>
      </c>
      <c r="O1071" t="inlineStr">
        <is>
          <t>Remanufactured</t>
        </is>
      </c>
      <c r="P1071" t="inlineStr">
        <is>
          <t>4</t>
        </is>
      </c>
      <c r="Q1071" t="inlineStr">
        <is>
          <t>Blade</t>
        </is>
      </c>
      <c r="R1071" t="inlineStr">
        <is>
          <t>Direct Bolt</t>
        </is>
      </c>
      <c r="S1071" t="inlineStr">
        <is>
          <t>3.1000</t>
        </is>
      </c>
      <c r="T1071" t="inlineStr">
        <is>
          <t>No</t>
        </is>
      </c>
      <c r="U1071" t="inlineStr">
        <is>
          <t>1 Year/18,000 Mile</t>
        </is>
      </c>
      <c r="V1071" t="inlineStr">
        <is>
          <t>Yes</t>
        </is>
      </c>
      <c r="W1071" t="inlineStr">
        <is>
          <t>Available to Order</t>
        </is>
      </c>
      <c r="X1071" t="inlineStr">
        <is>
          <t>Land Rover LR2 2013-08</t>
        </is>
      </c>
      <c r="Y1071" t="inlineStr">
        <is>
          <t>00082617838481</t>
        </is>
      </c>
      <c r="Z1071" t="inlineStr">
        <is>
          <t>43-4578::98353:90519:225</t>
        </is>
      </c>
      <c r="AA1071" t="inlineStr">
        <is>
          <t>Yes</t>
        </is>
      </c>
      <c r="AB1071" t="inlineStr"/>
      <c r="AC1071" t="inlineStr"/>
    </row>
    <row r="1072">
      <c r="A1072" t="inlineStr">
        <is>
          <t>1071</t>
        </is>
      </c>
      <c r="B1072" t="inlineStr">
        <is>
          <t>Windshield Wiper Motor</t>
        </is>
      </c>
      <c r="C1072" t="inlineStr">
        <is>
          <t>43-4582</t>
        </is>
      </c>
      <c r="D1072" t="inlineStr">
        <is>
          <t>Windshield Wiper Motor - 43-4582</t>
        </is>
      </c>
      <c r="E1072" t="inlineStr">
        <is>
          <t>CARDONE Reman</t>
        </is>
      </c>
      <c r="F1072" t="inlineStr">
        <is>
          <t>981102J000;981102H000</t>
        </is>
      </c>
      <c r="G1072" t="inlineStr">
        <is>
          <t>Kia Borrego 2009-2011</t>
        </is>
      </c>
      <c r="H1072" t="inlineStr">
        <is>
          <t>Kia Borrego 2009-2011 3.8L V6 231cid
Kia Borrego 2009-2011 4.6L V8 4627cc</t>
        </is>
      </c>
      <c r="I1072" t="inlineStr">
        <is>
          <t>{"0": {"productDeskExternalKey": "CPCX|43-4582"}, "1": {"Package Contents": "Wiper Motor; Instruction Sheet"}, "2": {"E-Waste": "Yes"}, "3": {"Product Condition": "Remanufactured"}, "4": {"Mounting Hole Quantity": "3"}, "5": {"Terminal Type": "Blade"}, "6": {"Mounting Type": "Direct Bolt"}, "7": {"Weight PG": "3.0000"}, "8": {"Washer Pump Included": "No"}, "9": {"Part Type": "Windshield Wiper Motor"}, "10": {"Warranty Info": "1 Year/18,000 Mile"}, "11": {"Sustainable Choice": "Yes"}, "12": {"Lifecycle Status": "Available to Order"}, "13": {"Application Summary": "Hyundai Elantra 2008-07; Kia Borrego 2011-09"}, "14": {"ItemLevelGTIN": "00082617821544"}, "15": {"_addonCardone": "43-4582::98353:90528:225"}, "16": {"Eligible for R&amp;R Service": "Yes"}}</t>
        </is>
      </c>
      <c r="J1072" t="inlineStr">
        <is>
          <t>https://www.cardone.com/product/windshield-wiper-motor-43-4582</t>
        </is>
      </c>
      <c r="K1072">
        <f>DISPIMG("ID_9FF1E9788E9A4C078EEDF38F85CFDD0A",1)</f>
        <v/>
      </c>
      <c r="L1072" t="inlineStr">
        <is>
          <t>CPCX|43-4582</t>
        </is>
      </c>
      <c r="M1072" t="inlineStr">
        <is>
          <t>Wiper Motor; Instruction Sheet</t>
        </is>
      </c>
      <c r="N1072" t="inlineStr">
        <is>
          <t>Yes</t>
        </is>
      </c>
      <c r="O1072" t="inlineStr">
        <is>
          <t>Remanufactured</t>
        </is>
      </c>
      <c r="P1072" t="inlineStr">
        <is>
          <t>3</t>
        </is>
      </c>
      <c r="Q1072" t="inlineStr">
        <is>
          <t>Blade</t>
        </is>
      </c>
      <c r="R1072" t="inlineStr">
        <is>
          <t>Direct Bolt</t>
        </is>
      </c>
      <c r="S1072" t="inlineStr">
        <is>
          <t>3.0000</t>
        </is>
      </c>
      <c r="T1072" t="inlineStr">
        <is>
          <t>No</t>
        </is>
      </c>
      <c r="U1072" t="inlineStr">
        <is>
          <t>1 Year/18,000 Mile</t>
        </is>
      </c>
      <c r="V1072" t="inlineStr">
        <is>
          <t>Yes</t>
        </is>
      </c>
      <c r="W1072" t="inlineStr">
        <is>
          <t>Available to Order</t>
        </is>
      </c>
      <c r="X1072" t="inlineStr">
        <is>
          <t>Hyundai Elantra 2008-07; Kia Borrego 2011-09</t>
        </is>
      </c>
      <c r="Y1072" t="inlineStr">
        <is>
          <t>00082617821544</t>
        </is>
      </c>
      <c r="Z1072" t="inlineStr">
        <is>
          <t>43-4582::98353:90528:225</t>
        </is>
      </c>
      <c r="AA1072" t="inlineStr">
        <is>
          <t>Yes</t>
        </is>
      </c>
      <c r="AB1072" t="inlineStr"/>
      <c r="AC1072" t="inlineStr"/>
    </row>
    <row r="1073">
      <c r="A1073" t="inlineStr">
        <is>
          <t>1072</t>
        </is>
      </c>
      <c r="B1073" t="inlineStr">
        <is>
          <t>Windshield Wiper Motor</t>
        </is>
      </c>
      <c r="C1073" t="inlineStr">
        <is>
          <t>43-4584</t>
        </is>
      </c>
      <c r="D1073" t="inlineStr">
        <is>
          <t>Windshield Wiper Motor - 43-4584</t>
        </is>
      </c>
      <c r="E1073" t="inlineStr">
        <is>
          <t>CARDONE Reman</t>
        </is>
      </c>
      <c r="F1073" t="inlineStr">
        <is>
          <t>0K08267445A</t>
        </is>
      </c>
      <c r="G1073" t="inlineStr">
        <is>
          <t>Kia Sportage 2000</t>
        </is>
      </c>
      <c r="H1073" t="inlineStr">
        <is>
          <t>Kia Sportage 2000 2L L4 122cid</t>
        </is>
      </c>
      <c r="I1073" t="inlineStr">
        <is>
          <t>{"0": {"productDeskExternalKey": "CPCX|43-4584"}, "1": {"Package Contents": "Wiper Motor; Instruction Sheet"}, "2": {"E-Waste": "Yes"}, "3": {"Product Condition": "Remanufactured"}, "4": {"Mounting Hole Quantity": "3"}, "5": {"Terminal Type": "Blade"}, "6": {"Mounting Type": "Eyelet"}, "7": {"Weight PG": "2.5500"}, "8": {"Washer Pump Included": "No"}, "9": {"Part Type": "Windshield Wiper Motor"}, "10": {"Warranty Info": "1 Year/18,000 Mile"}, "11": {"Sustainable Choice": "Yes"}, "12": {"Lifecycle Status": "Available to Order"}, "13": {"Application Summary": "Kia Sportage 2000"}, "14": {"ItemLevelGTIN": "00082617832083"}, "15": {"_addonCardone": "43-4584::98353:90535:225"}, "16": {"Eligible for R&amp;R Service": "Yes"}}</t>
        </is>
      </c>
      <c r="J1073" t="inlineStr">
        <is>
          <t>https://www.cardone.com/product/windshield-wiper-motor-43-4584</t>
        </is>
      </c>
      <c r="K1073">
        <f>DISPIMG("ID_3D8C47D9F38D4FAA8E9D952A14F09BDC",1)</f>
        <v/>
      </c>
      <c r="L1073" t="inlineStr">
        <is>
          <t>CPCX|43-4584</t>
        </is>
      </c>
      <c r="M1073" t="inlineStr">
        <is>
          <t>Wiper Motor; Instruction Sheet</t>
        </is>
      </c>
      <c r="N1073" t="inlineStr">
        <is>
          <t>Yes</t>
        </is>
      </c>
      <c r="O1073" t="inlineStr">
        <is>
          <t>Remanufactured</t>
        </is>
      </c>
      <c r="P1073" t="inlineStr">
        <is>
          <t>3</t>
        </is>
      </c>
      <c r="Q1073" t="inlineStr">
        <is>
          <t>Blade</t>
        </is>
      </c>
      <c r="R1073" t="inlineStr">
        <is>
          <t>Eyelet</t>
        </is>
      </c>
      <c r="S1073" t="inlineStr">
        <is>
          <t>2.5500</t>
        </is>
      </c>
      <c r="T1073" t="inlineStr">
        <is>
          <t>No</t>
        </is>
      </c>
      <c r="U1073" t="inlineStr">
        <is>
          <t>1 Year/18,000 Mile</t>
        </is>
      </c>
      <c r="V1073" t="inlineStr">
        <is>
          <t>Yes</t>
        </is>
      </c>
      <c r="W1073" t="inlineStr">
        <is>
          <t>Available to Order</t>
        </is>
      </c>
      <c r="X1073" t="inlineStr">
        <is>
          <t>Kia Sportage 2000</t>
        </is>
      </c>
      <c r="Y1073" t="inlineStr">
        <is>
          <t>00082617832083</t>
        </is>
      </c>
      <c r="Z1073" t="inlineStr">
        <is>
          <t>43-4584::98353:90535:225</t>
        </is>
      </c>
      <c r="AA1073" t="inlineStr">
        <is>
          <t>Yes</t>
        </is>
      </c>
      <c r="AB1073" t="inlineStr"/>
      <c r="AC1073" t="inlineStr"/>
    </row>
    <row r="1074">
      <c r="A1074" t="inlineStr">
        <is>
          <t>1073</t>
        </is>
      </c>
      <c r="B1074" t="inlineStr">
        <is>
          <t>Windshield Wiper Motor</t>
        </is>
      </c>
      <c r="C1074" t="inlineStr">
        <is>
          <t>43-4586</t>
        </is>
      </c>
      <c r="D1074" t="inlineStr">
        <is>
          <t>Windshield Wiper Motor - 43-4586</t>
        </is>
      </c>
      <c r="E1074" t="inlineStr">
        <is>
          <t>CARDONE Reman</t>
        </is>
      </c>
      <c r="F1074" t="inlineStr">
        <is>
          <t>32008785;86510FE130</t>
        </is>
      </c>
      <c r="G1074" t="inlineStr">
        <is>
          <t>Saab 9-2X 2005-2006
Subaru Impreza 2005-2007</t>
        </is>
      </c>
      <c r="H1074" t="inlineStr">
        <is>
          <t>Saab 9-2X 2005 2L H4 1994cc
Saab 9-2X 2005-2006 2.5L H4 2458cc
Subaru Impreza 2005 2L H4 1994cc
Subaru Impreza 2005-2007 2.5L H4 2458cc</t>
        </is>
      </c>
      <c r="I1074" t="inlineStr">
        <is>
          <t>{"0": {"productDeskExternalKey": "CPCX|43-4586"}, "1": {"Package Contents": "Wiper Motor; Instruction Sheet"}, "2": {"E-Waste": "Yes"}, "3": {"Product Condition": "Remanufactured"}, "4": {"Mounting Hole Quantity": "3"}, "5": {"Terminal Type": "Blade"}, "6": {"Mounting Type": "Eyelet; Grommet"}, "7": {"Weight PG": "2.5000"}, "8": {"Washer Pump Included": "No"}, "9": {"Part Type": "Windshield Wiper Motor"}, "10": {"Warranty Info": "1 Year/18,000 Mile"}, "11": {"Sustainable Choice": "Yes"}, "12": {"Lifecycle Status": "Available to Order"}, "13": {"Application Summary": "Saab 9-2X 2006-05; Subaru Impreza 2007-05"}, "14": {"ItemLevelGTIN": "00082617838610"}, "15": {"_addonCardone": "43-4586::98353:90544:225"}, "16": {"Eligible for R&amp;R Service": "Yes"}}</t>
        </is>
      </c>
      <c r="J1074" t="inlineStr">
        <is>
          <t>https://www.cardone.com/product/windshield-wiper-motor-43-4586</t>
        </is>
      </c>
      <c r="K1074">
        <f>DISPIMG("ID_A9BBF592BD5D4ACC9F07C94A8FDD6F66",1)</f>
        <v/>
      </c>
      <c r="L1074" t="inlineStr">
        <is>
          <t>CPCX|43-4586</t>
        </is>
      </c>
      <c r="M1074" t="inlineStr">
        <is>
          <t>Wiper Motor; Instruction Sheet</t>
        </is>
      </c>
      <c r="N1074" t="inlineStr">
        <is>
          <t>Yes</t>
        </is>
      </c>
      <c r="O1074" t="inlineStr">
        <is>
          <t>Remanufactured</t>
        </is>
      </c>
      <c r="P1074" t="inlineStr">
        <is>
          <t>3</t>
        </is>
      </c>
      <c r="Q1074" t="inlineStr">
        <is>
          <t>Blade</t>
        </is>
      </c>
      <c r="R1074" t="inlineStr">
        <is>
          <t>Eyelet; Grommet</t>
        </is>
      </c>
      <c r="S1074" t="inlineStr">
        <is>
          <t>2.5000</t>
        </is>
      </c>
      <c r="T1074" t="inlineStr">
        <is>
          <t>No</t>
        </is>
      </c>
      <c r="U1074" t="inlineStr">
        <is>
          <t>1 Year/18,000 Mile</t>
        </is>
      </c>
      <c r="V1074" t="inlineStr">
        <is>
          <t>Yes</t>
        </is>
      </c>
      <c r="W1074" t="inlineStr">
        <is>
          <t>Available to Order</t>
        </is>
      </c>
      <c r="X1074" t="inlineStr">
        <is>
          <t>Saab 9-2X 2006-05; Subaru Impreza 2007-05</t>
        </is>
      </c>
      <c r="Y1074" t="inlineStr">
        <is>
          <t>00082617838610</t>
        </is>
      </c>
      <c r="Z1074" t="inlineStr">
        <is>
          <t>43-4586::98353:90544:225</t>
        </is>
      </c>
      <c r="AA1074" t="inlineStr">
        <is>
          <t>Yes</t>
        </is>
      </c>
      <c r="AB1074" t="inlineStr"/>
      <c r="AC1074" t="inlineStr"/>
    </row>
    <row r="1075">
      <c r="A1075" t="inlineStr">
        <is>
          <t>1074</t>
        </is>
      </c>
      <c r="B1075" t="inlineStr">
        <is>
          <t>Windshield Wiper Motor</t>
        </is>
      </c>
      <c r="C1075" t="inlineStr">
        <is>
          <t>43-4587</t>
        </is>
      </c>
      <c r="D1075" t="inlineStr">
        <is>
          <t>Windshield Wiper Motor - 43-4587</t>
        </is>
      </c>
      <c r="E1075" t="inlineStr">
        <is>
          <t>CARDONE Reman</t>
        </is>
      </c>
      <c r="F1075" t="inlineStr">
        <is>
          <t>DKD000030</t>
        </is>
      </c>
      <c r="G1075" t="inlineStr">
        <is>
          <t>Land Rover Range Rover 2003-2009</t>
        </is>
      </c>
      <c r="H1075" t="inlineStr">
        <is>
          <t>Land Rover Range Rover 2003-2005 4.4L V8 4398cc
Land Rover Range Rover 2003-2009 4.4L V8 4394cc
Land Rover Range Rover 2006-2009 4.2L V8 256cid</t>
        </is>
      </c>
      <c r="I1075" t="inlineStr">
        <is>
          <t>{"0": {"productDeskExternalKey": "CPCX|43-4587"}, "1": {"E-Waste": "Yes"}, "2": {"Product Condition": "Remanufactured"}, "3": {"Weight PG": "2.4500"}, "4": {"Part Type": "Windshield Wiper Motor"}, "5": {"Warranty Info": "1 Year/18,000 Mile"}, "6": {"Sustainable Choice": "Yes"}, "7": {"Lifecycle Status": "Available to Order"}, "8": {"Application Summary": "Land Rover Range Rover 2009-03"}, "9": {"ItemLevelGTIN": "00082617838627"}, "10": {"_addonCardone": "43-4587::98353:90552:225"}, "11": {"Eligible for R&amp;R Service": "Yes"}}</t>
        </is>
      </c>
      <c r="J1075" t="inlineStr">
        <is>
          <t>https://www.cardone.com/product/windshield-wiper-motor-43-4587</t>
        </is>
      </c>
      <c r="K1075">
        <f>DISPIMG("ID_2AAB4A9149334638AA52DD62F7DE9644",1)</f>
        <v/>
      </c>
      <c r="L1075" t="inlineStr">
        <is>
          <t>CPCX|43-4587</t>
        </is>
      </c>
      <c r="M1075" t="inlineStr"/>
      <c r="N1075" t="inlineStr">
        <is>
          <t>Yes</t>
        </is>
      </c>
      <c r="O1075" t="inlineStr">
        <is>
          <t>Remanufactured</t>
        </is>
      </c>
      <c r="P1075" t="inlineStr"/>
      <c r="Q1075" t="inlineStr"/>
      <c r="R1075" t="inlineStr"/>
      <c r="S1075" t="inlineStr">
        <is>
          <t>2.4500</t>
        </is>
      </c>
      <c r="T1075" t="inlineStr"/>
      <c r="U1075" t="inlineStr">
        <is>
          <t>1 Year/18,000 Mile</t>
        </is>
      </c>
      <c r="V1075" t="inlineStr">
        <is>
          <t>Yes</t>
        </is>
      </c>
      <c r="W1075" t="inlineStr">
        <is>
          <t>Available to Order</t>
        </is>
      </c>
      <c r="X1075" t="inlineStr">
        <is>
          <t>Land Rover Range Rover 2009-03</t>
        </is>
      </c>
      <c r="Y1075" t="inlineStr">
        <is>
          <t>00082617838627</t>
        </is>
      </c>
      <c r="Z1075" t="inlineStr">
        <is>
          <t>43-4587::98353:90552:225</t>
        </is>
      </c>
      <c r="AA1075" t="inlineStr">
        <is>
          <t>Yes</t>
        </is>
      </c>
      <c r="AB1075" t="inlineStr"/>
      <c r="AC1075" t="inlineStr"/>
    </row>
    <row r="1076">
      <c r="A1076" t="inlineStr">
        <is>
          <t>1075</t>
        </is>
      </c>
      <c r="B1076" t="inlineStr">
        <is>
          <t>Windshield Wiper Motor</t>
        </is>
      </c>
      <c r="C1076" t="inlineStr">
        <is>
          <t>43-4590</t>
        </is>
      </c>
      <c r="D1076" t="inlineStr">
        <is>
          <t>Windshield Wiper Motor - 43-4590</t>
        </is>
      </c>
      <c r="E1076" t="inlineStr">
        <is>
          <t>CARDONE Reman</t>
        </is>
      </c>
      <c r="F1076" t="inlineStr">
        <is>
          <t>0K53A67450</t>
        </is>
      </c>
      <c r="G1076" t="inlineStr">
        <is>
          <t>Kia Sedona 2002</t>
        </is>
      </c>
      <c r="H1076" t="inlineStr">
        <is>
          <t>Kia Sedona 2002 3.5L V6 3497cc</t>
        </is>
      </c>
      <c r="I1076" t="inlineStr">
        <is>
          <t>{"0": {"productDeskExternalKey": "CPCX|43-4590"}, "1": {"Package Contents": "Wiper Motor; Instruction Sheet"}, "2": {"E-Waste": "Yes"}, "3": {"Product Condition": "Remanufactured"}, "4": {"Mounting Hole Quantity": "3"}, "5": {"Terminal Type": "Blade"}, "6": {"Mounting Type": "Eyelet"}, "7": {"Weight PG": "2.7500"}, "8": {"Washer Pump Included": "No"}, "9": {"Part Type": "Windshield Wiper Motor"}, "10": {"Warranty Info": "1 Year/18,000 Mile"}, "11": {"Sustainable Choice": "Yes"}, "12": {"Lifecycle Status": "Available to Order"}, "13": {"Application Summary": "Kia Sedona 2002"}, "14": {"ItemLevelGTIN": "00082617838719"}, "15": {"_addonCardone": "43-4590::98353:90556:225"}, "16": {"Eligible for R&amp;R Service": "Yes"}}</t>
        </is>
      </c>
      <c r="J1076" t="inlineStr">
        <is>
          <t>https://www.cardone.com/product/windshield-wiper-motor-43-4590</t>
        </is>
      </c>
      <c r="K1076">
        <f>DISPIMG("ID_F876D04D2E904438B400821600A49761",1)</f>
        <v/>
      </c>
      <c r="L1076" t="inlineStr">
        <is>
          <t>CPCX|43-4590</t>
        </is>
      </c>
      <c r="M1076" t="inlineStr">
        <is>
          <t>Wiper Motor; Instruction Sheet</t>
        </is>
      </c>
      <c r="N1076" t="inlineStr">
        <is>
          <t>Yes</t>
        </is>
      </c>
      <c r="O1076" t="inlineStr">
        <is>
          <t>Remanufactured</t>
        </is>
      </c>
      <c r="P1076" t="inlineStr">
        <is>
          <t>3</t>
        </is>
      </c>
      <c r="Q1076" t="inlineStr">
        <is>
          <t>Blade</t>
        </is>
      </c>
      <c r="R1076" t="inlineStr">
        <is>
          <t>Eyelet</t>
        </is>
      </c>
      <c r="S1076" t="inlineStr">
        <is>
          <t>2.7500</t>
        </is>
      </c>
      <c r="T1076" t="inlineStr">
        <is>
          <t>No</t>
        </is>
      </c>
      <c r="U1076" t="inlineStr">
        <is>
          <t>1 Year/18,000 Mile</t>
        </is>
      </c>
      <c r="V1076" t="inlineStr">
        <is>
          <t>Yes</t>
        </is>
      </c>
      <c r="W1076" t="inlineStr">
        <is>
          <t>Available to Order</t>
        </is>
      </c>
      <c r="X1076" t="inlineStr">
        <is>
          <t>Kia Sedona 2002</t>
        </is>
      </c>
      <c r="Y1076" t="inlineStr">
        <is>
          <t>00082617838719</t>
        </is>
      </c>
      <c r="Z1076" t="inlineStr">
        <is>
          <t>43-4590::98353:90556:225</t>
        </is>
      </c>
      <c r="AA1076" t="inlineStr">
        <is>
          <t>Yes</t>
        </is>
      </c>
      <c r="AB1076" t="inlineStr"/>
      <c r="AC1076" t="inlineStr"/>
    </row>
    <row r="1077">
      <c r="A1077" t="inlineStr">
        <is>
          <t>1076</t>
        </is>
      </c>
      <c r="B1077" t="inlineStr">
        <is>
          <t>Windshield Wiper Motor</t>
        </is>
      </c>
      <c r="C1077" t="inlineStr">
        <is>
          <t>43-4595</t>
        </is>
      </c>
      <c r="D1077" t="inlineStr">
        <is>
          <t>Windshield Wiper Motor - 43-4595</t>
        </is>
      </c>
      <c r="E1077" t="inlineStr">
        <is>
          <t>CARDONE Reman</t>
        </is>
      </c>
      <c r="F1077" t="inlineStr">
        <is>
          <t>0K07267445C;0K07267445B;0K07067445;0K07267445;0K07267445A</t>
        </is>
      </c>
      <c r="G1077" t="inlineStr">
        <is>
          <t>Kia Sportage 2001-2002</t>
        </is>
      </c>
      <c r="H1077" t="inlineStr">
        <is>
          <t>Kia Sportage 2001-2002 2L L4 122cid</t>
        </is>
      </c>
      <c r="I1077" t="inlineStr">
        <is>
          <t>{"0": {"productDeskExternalKey": "CPCX|43-4595"}, "1": {"Package Contents": "Wiper Motor; Instruction Sheet"}, "2": {"E-Waste": "Yes"}, "3": {"Product Condition": "Remanufactured"}, "4": {"Mounting Hole Quantity": "3"}, "5": {"Terminal Type": "Blade"}, "6": {"Mounting Type": "Eyelet"}, "7": {"Weight PG": "2.5500"}, "8": {"Washer Pump Included": "No"}, "9": {"Part Type": "Windshield Wiper Motor"}, "10": {"Warranty Info": "1 Year/18,000 Mile"}, "11": {"Sustainable Choice": "Yes"}, "12": {"Lifecycle Status": "Available to Order"}, "13": {"Application Summary": "Kia Sportage 2002-01"}, "14": {"ItemLevelGTIN": "00082617838832"}, "15": {"_addonCardone": "43-4595::98353:90562:225"}, "16": {"Eligible for R&amp;R Service": "Yes"}}</t>
        </is>
      </c>
      <c r="J1077" t="inlineStr">
        <is>
          <t>https://www.cardone.com/product/windshield-wiper-motor-43-4595</t>
        </is>
      </c>
      <c r="K1077">
        <f>DISPIMG("ID_09C38ABB6D864581BE220FDD853E0722",1)</f>
        <v/>
      </c>
      <c r="L1077" t="inlineStr">
        <is>
          <t>CPCX|43-4595</t>
        </is>
      </c>
      <c r="M1077" t="inlineStr">
        <is>
          <t>Wiper Motor; Instruction Sheet</t>
        </is>
      </c>
      <c r="N1077" t="inlineStr">
        <is>
          <t>Yes</t>
        </is>
      </c>
      <c r="O1077" t="inlineStr">
        <is>
          <t>Remanufactured</t>
        </is>
      </c>
      <c r="P1077" t="inlineStr">
        <is>
          <t>3</t>
        </is>
      </c>
      <c r="Q1077" t="inlineStr">
        <is>
          <t>Blade</t>
        </is>
      </c>
      <c r="R1077" t="inlineStr">
        <is>
          <t>Eyelet</t>
        </is>
      </c>
      <c r="S1077" t="inlineStr">
        <is>
          <t>2.5500</t>
        </is>
      </c>
      <c r="T1077" t="inlineStr">
        <is>
          <t>No</t>
        </is>
      </c>
      <c r="U1077" t="inlineStr">
        <is>
          <t>1 Year/18,000 Mile</t>
        </is>
      </c>
      <c r="V1077" t="inlineStr">
        <is>
          <t>Yes</t>
        </is>
      </c>
      <c r="W1077" t="inlineStr">
        <is>
          <t>Available to Order</t>
        </is>
      </c>
      <c r="X1077" t="inlineStr">
        <is>
          <t>Kia Sportage 2002-01</t>
        </is>
      </c>
      <c r="Y1077" t="inlineStr">
        <is>
          <t>00082617838832</t>
        </is>
      </c>
      <c r="Z1077" t="inlineStr">
        <is>
          <t>43-4595::98353:90562:225</t>
        </is>
      </c>
      <c r="AA1077" t="inlineStr">
        <is>
          <t>Yes</t>
        </is>
      </c>
      <c r="AB1077" t="inlineStr"/>
      <c r="AC1077" t="inlineStr"/>
    </row>
    <row r="1078">
      <c r="A1078" t="inlineStr">
        <is>
          <t>1077</t>
        </is>
      </c>
      <c r="B1078" t="inlineStr">
        <is>
          <t>Windshield Wiper Motor</t>
        </is>
      </c>
      <c r="C1078" t="inlineStr">
        <is>
          <t>43-4596</t>
        </is>
      </c>
      <c r="D1078" t="inlineStr">
        <is>
          <t>Windshield Wiper Motor - 43-4596</t>
        </is>
      </c>
      <c r="E1078" t="inlineStr">
        <is>
          <t>CARDONE Reman</t>
        </is>
      </c>
      <c r="F1078" t="inlineStr">
        <is>
          <t>987004D000</t>
        </is>
      </c>
      <c r="G1078" t="inlineStr">
        <is>
          <t>Kia Sedona 2006-2014</t>
        </is>
      </c>
      <c r="H1078" t="inlineStr">
        <is>
          <t>Kia Sedona 2006-2010 3.8L V6 231cid
Kia Sedona 2011-2014 3.5L V6 3470cc</t>
        </is>
      </c>
      <c r="I1078" t="inlineStr">
        <is>
          <t>{"0": {"productDeskExternalKey": "CPCX|43-4596"}, "1": {"Package Contents": "Wiper Motor; Instruction Sheet"}, "2": {"E-Waste": "Yes"}, "3": {"Product Condition": "Remanufactured"}, "4": {"Mounting Hole Quantity": "2"}, "5": {"Terminal Type": "Blade"}, "6": {"Mounting Type": "Grommet"}, "7": {"Weight PG": "2.4500"}, "8": {"Washer Pump Included": "No"}, "9": {"Part Type": "Windshield Wiper Motor"}, "10": {"Warranty Info": "1 Year/18,000 Mile"}, "11": {"Sustainable Choice": "Yes"}, "12": {"Lifecycle Status": "Available to Order"}, "13": {"Application Summary": "Hyundai Entourage 2008-07; Kia Sedona 2014 2012-06"}, "14": {"ItemLevelGTIN": "00082617838849"}, "15": {"_addonCardone": "43-4596::98353:90568:225"}, "16": {"Eligible for R&amp;R Service": "Yes"}}</t>
        </is>
      </c>
      <c r="J1078" t="inlineStr">
        <is>
          <t>https://www.cardone.com/product/windshield-wiper-motor-43-4596</t>
        </is>
      </c>
      <c r="K1078">
        <f>DISPIMG("ID_6A4BEB794EB6407DAC0DA404CE07517A",1)</f>
        <v/>
      </c>
      <c r="L1078" t="inlineStr">
        <is>
          <t>CPCX|43-4596</t>
        </is>
      </c>
      <c r="M1078" t="inlineStr">
        <is>
          <t>Wiper Motor; Instruction Sheet</t>
        </is>
      </c>
      <c r="N1078" t="inlineStr">
        <is>
          <t>Yes</t>
        </is>
      </c>
      <c r="O1078" t="inlineStr">
        <is>
          <t>Remanufactured</t>
        </is>
      </c>
      <c r="P1078" t="inlineStr">
        <is>
          <t>2</t>
        </is>
      </c>
      <c r="Q1078" t="inlineStr">
        <is>
          <t>Blade</t>
        </is>
      </c>
      <c r="R1078" t="inlineStr">
        <is>
          <t>Grommet</t>
        </is>
      </c>
      <c r="S1078" t="inlineStr">
        <is>
          <t>2.4500</t>
        </is>
      </c>
      <c r="T1078" t="inlineStr">
        <is>
          <t>No</t>
        </is>
      </c>
      <c r="U1078" t="inlineStr">
        <is>
          <t>1 Year/18,000 Mile</t>
        </is>
      </c>
      <c r="V1078" t="inlineStr">
        <is>
          <t>Yes</t>
        </is>
      </c>
      <c r="W1078" t="inlineStr">
        <is>
          <t>Available to Order</t>
        </is>
      </c>
      <c r="X1078" t="inlineStr">
        <is>
          <t>Hyundai Entourage 2008-07; Kia Sedona 2014 2012-06</t>
        </is>
      </c>
      <c r="Y1078" t="inlineStr">
        <is>
          <t>00082617838849</t>
        </is>
      </c>
      <c r="Z1078" t="inlineStr">
        <is>
          <t>43-4596::98353:90568:225</t>
        </is>
      </c>
      <c r="AA1078" t="inlineStr">
        <is>
          <t>Yes</t>
        </is>
      </c>
      <c r="AB1078" t="inlineStr"/>
      <c r="AC1078" t="inlineStr"/>
    </row>
    <row r="1079">
      <c r="A1079" t="inlineStr">
        <is>
          <t>1078</t>
        </is>
      </c>
      <c r="B1079" t="inlineStr">
        <is>
          <t>Windshield Wiper Motor</t>
        </is>
      </c>
      <c r="C1079" t="inlineStr">
        <is>
          <t>43-4597</t>
        </is>
      </c>
      <c r="D1079" t="inlineStr">
        <is>
          <t>Windshield Wiper Motor - 43-4597</t>
        </is>
      </c>
      <c r="E1079" t="inlineStr">
        <is>
          <t>CARDONE Reman</t>
        </is>
      </c>
      <c r="F1079" t="inlineStr">
        <is>
          <t>987102B000</t>
        </is>
      </c>
      <c r="G1079" t="inlineStr"/>
      <c r="H1079" t="inlineStr"/>
      <c r="I1079" t="inlineStr">
        <is>
          <t>{"0": {"productDeskExternalKey": "CPCX|43-4597"}, "1": {"Package Contents": "Wiper Motor; Instruction Sheet"}, "2": {"E-Waste": "Yes"}, "3": {"Product Condition": "Remanufactured"}, "4": {"Mounting Hole Quantity": "3"}, "5": {"Terminal Type": "Blade"}, "6": {"Mounting Type": "Grommet"}, "7": {"Weight PG": "2.8500"}, "8": {"Washer Pump Included": "No"}, "9": {"Part Type": "Windshield Wiper Motor"}, "10": {"Warranty Info": "1 Year/18,000 Mile"}, "11": {"Sustainable Choice": "Yes"}, "12": {"Lifecycle Status": "Available to Order"}, "13": {"Application Summary": "Hyundai Santa Fe 2012-07"}, "14": {"ItemLevelGTIN": "00082617849142"}, "15": {"_addonCardone": "43-4597::98353:90575:225"}, "16": {"Eligible for R&amp;R Service": "Yes"}}</t>
        </is>
      </c>
      <c r="J1079" t="inlineStr">
        <is>
          <t>https://www.cardone.com/product/windshield-wiper-motor-43-4597</t>
        </is>
      </c>
      <c r="K1079">
        <f>DISPIMG("ID_DE8F6F92E63648CEB972F24BBD258EED",1)</f>
        <v/>
      </c>
      <c r="L1079" t="inlineStr">
        <is>
          <t>CPCX|43-4597</t>
        </is>
      </c>
      <c r="M1079" t="inlineStr">
        <is>
          <t>Wiper Motor; Instruction Sheet</t>
        </is>
      </c>
      <c r="N1079" t="inlineStr">
        <is>
          <t>Yes</t>
        </is>
      </c>
      <c r="O1079" t="inlineStr">
        <is>
          <t>Remanufactured</t>
        </is>
      </c>
      <c r="P1079" t="inlineStr">
        <is>
          <t>3</t>
        </is>
      </c>
      <c r="Q1079" t="inlineStr">
        <is>
          <t>Blade</t>
        </is>
      </c>
      <c r="R1079" t="inlineStr">
        <is>
          <t>Grommet</t>
        </is>
      </c>
      <c r="S1079" t="inlineStr">
        <is>
          <t>2.8500</t>
        </is>
      </c>
      <c r="T1079" t="inlineStr">
        <is>
          <t>No</t>
        </is>
      </c>
      <c r="U1079" t="inlineStr">
        <is>
          <t>1 Year/18,000 Mile</t>
        </is>
      </c>
      <c r="V1079" t="inlineStr">
        <is>
          <t>Yes</t>
        </is>
      </c>
      <c r="W1079" t="inlineStr">
        <is>
          <t>Available to Order</t>
        </is>
      </c>
      <c r="X1079" t="inlineStr">
        <is>
          <t>Hyundai Santa Fe 2012-07</t>
        </is>
      </c>
      <c r="Y1079" t="inlineStr">
        <is>
          <t>00082617849142</t>
        </is>
      </c>
      <c r="Z1079" t="inlineStr">
        <is>
          <t>43-4597::98353:90575:225</t>
        </is>
      </c>
      <c r="AA1079" t="inlineStr">
        <is>
          <t>Yes</t>
        </is>
      </c>
      <c r="AB1079" t="inlineStr"/>
      <c r="AC1079" t="inlineStr"/>
    </row>
    <row r="1080">
      <c r="A1080" t="inlineStr">
        <is>
          <t>1079</t>
        </is>
      </c>
      <c r="B1080" t="inlineStr">
        <is>
          <t>Windshield Wiper Motor</t>
        </is>
      </c>
      <c r="C1080" t="inlineStr">
        <is>
          <t>43-4601</t>
        </is>
      </c>
      <c r="D1080" t="inlineStr">
        <is>
          <t>Windshield Wiper Motor - 43-4601</t>
        </is>
      </c>
      <c r="E1080" t="inlineStr">
        <is>
          <t>CARDONE Reman</t>
        </is>
      </c>
      <c r="F1080" t="inlineStr">
        <is>
          <t>8941343941</t>
        </is>
      </c>
      <c r="G1080" t="inlineStr">
        <is>
          <t>Isuzu Trooper 1984-1991</t>
        </is>
      </c>
      <c r="H1080" t="inlineStr">
        <is>
          <t>Isuzu Trooper 1984-1985 1.9L L4 1949cc
Isuzu Trooper 1984-1987 2.2L L4 2238cc
Isuzu Trooper 1986-1987 2.3L L4 2254cc
Isuzu Trooper 1988-1991 2.6L L4 2559cc
Isuzu Trooper 1989-1991 2.8L V6 2827cc</t>
        </is>
      </c>
      <c r="I1080" t="inlineStr">
        <is>
          <t>{"0": {"productDeskExternalKey": "CPCX|43-4601"}, "1": {"Package Contents": "Wiper Motor; Instruction Sheet"}, "2": {"E-Waste": "Yes"}, "3": {"Product Condition": "Remanufactured"}, "4": {"Mounting Hole Quantity": "3"}, "5": {"Terminal Type": "Blade"}, "6": {"Mounting Type": "Grommet"}, "7": {"Weight PG": "2.2000"}, "8": {"Washer Pump Included": "No"}, "9": {"Part Type": "Windshield Wiper Motor"}, "10": {"Warranty Info": "1 Year/18,000 Mile"}, "11": {"Sustainable Choice": "Yes"}, "12": {"Lifecycle Status": "Available to Order"}, "13": {"Application Summary": "Isuzu Trooper 1991-84"}, "14": {"ItemLevelGTIN": "00082617456227"}, "15": {"_addonCardone": "43-4601::98353:90582:225"}, "16": {"Eligible for R&amp;R Service": "Yes"}}</t>
        </is>
      </c>
      <c r="J1080" t="inlineStr">
        <is>
          <t>https://www.cardone.com/product/windshield-wiper-motor-43-4601</t>
        </is>
      </c>
      <c r="K1080">
        <f>DISPIMG("ID_276D6874EC074DC3BE2DFCAF6CBCF68D",1)</f>
        <v/>
      </c>
      <c r="L1080" t="inlineStr">
        <is>
          <t>CPCX|43-4601</t>
        </is>
      </c>
      <c r="M1080" t="inlineStr">
        <is>
          <t>Wiper Motor; Instruction Sheet</t>
        </is>
      </c>
      <c r="N1080" t="inlineStr">
        <is>
          <t>Yes</t>
        </is>
      </c>
      <c r="O1080" t="inlineStr">
        <is>
          <t>Remanufactured</t>
        </is>
      </c>
      <c r="P1080" t="inlineStr">
        <is>
          <t>3</t>
        </is>
      </c>
      <c r="Q1080" t="inlineStr">
        <is>
          <t>Blade</t>
        </is>
      </c>
      <c r="R1080" t="inlineStr">
        <is>
          <t>Grommet</t>
        </is>
      </c>
      <c r="S1080" t="inlineStr">
        <is>
          <t>2.2000</t>
        </is>
      </c>
      <c r="T1080" t="inlineStr">
        <is>
          <t>No</t>
        </is>
      </c>
      <c r="U1080" t="inlineStr">
        <is>
          <t>1 Year/18,000 Mile</t>
        </is>
      </c>
      <c r="V1080" t="inlineStr">
        <is>
          <t>Yes</t>
        </is>
      </c>
      <c r="W1080" t="inlineStr">
        <is>
          <t>Available to Order</t>
        </is>
      </c>
      <c r="X1080" t="inlineStr">
        <is>
          <t>Isuzu Trooper 1991-84</t>
        </is>
      </c>
      <c r="Y1080" t="inlineStr">
        <is>
          <t>00082617456227</t>
        </is>
      </c>
      <c r="Z1080" t="inlineStr">
        <is>
          <t>43-4601::98353:90582:225</t>
        </is>
      </c>
      <c r="AA1080" t="inlineStr">
        <is>
          <t>Yes</t>
        </is>
      </c>
      <c r="AB1080" t="inlineStr"/>
      <c r="AC1080" t="inlineStr"/>
    </row>
    <row r="1081">
      <c r="A1081" t="inlineStr">
        <is>
          <t>1080</t>
        </is>
      </c>
      <c r="B1081" t="inlineStr">
        <is>
          <t>Windshield Wiper Motor</t>
        </is>
      </c>
      <c r="C1081" t="inlineStr">
        <is>
          <t>43-4602</t>
        </is>
      </c>
      <c r="D1081" t="inlineStr">
        <is>
          <t>Windshield Wiper Motor - 43-4602</t>
        </is>
      </c>
      <c r="E1081" t="inlineStr">
        <is>
          <t>CARDONE Reman</t>
        </is>
      </c>
      <c r="F1081" t="inlineStr">
        <is>
          <t>8942302151</t>
        </is>
      </c>
      <c r="G1081" t="inlineStr">
        <is>
          <t>Isuzu I-Mark 1982-1984</t>
        </is>
      </c>
      <c r="H1081" t="inlineStr">
        <is>
          <t>Isuzu I-Mark 1982-1984 1.8L L4 1817cc</t>
        </is>
      </c>
      <c r="I1081" t="inlineStr">
        <is>
          <t>{"0": {"productDeskExternalKey": "CPCX|43-4602"}, "1": {"Package Contents": "Wiper Motor; Instruction Sheet"}, "2": {"E-Waste": "Yes"}, "3": {"Product Condition": "Remanufactured"}, "4": {"Mounting Hole Quantity": "3"}, "5": {"Terminal Type": "Blade"}, "6": {"Mounting Type": "Direct Bolt"}, "7": {"Weight PG": "2.3500"}, "8": {"Washer Pump Included": "No"}, "9": {"Part Type": "Windshield Wiper Motor"}, "10": {"Warranty Info": "1 Year/18,000 Mile"}, "11": {"Sustainable Choice": "Yes"}, "12": {"Lifecycle Status": "Available to Order"}, "13": {"Application Summary": "Isuzu I-Mark 1984-82"}, "14": {"ItemLevelGTIN": "00082617456234"}, "15": {"_addonCardone": "43-4602::98353:90588:225"}, "16": {"Eligible for R&amp;R Service": "Yes"}}</t>
        </is>
      </c>
      <c r="J1081" t="inlineStr">
        <is>
          <t>https://www.cardone.com/product/windshield-wiper-motor-43-4602</t>
        </is>
      </c>
      <c r="K1081">
        <f>DISPIMG("ID_3DBCC1B02DA44595818CB88F77C5C0BA",1)</f>
        <v/>
      </c>
      <c r="L1081" t="inlineStr">
        <is>
          <t>CPCX|43-4602</t>
        </is>
      </c>
      <c r="M1081" t="inlineStr">
        <is>
          <t>Wiper Motor; Instruction Sheet</t>
        </is>
      </c>
      <c r="N1081" t="inlineStr">
        <is>
          <t>Yes</t>
        </is>
      </c>
      <c r="O1081" t="inlineStr">
        <is>
          <t>Remanufactured</t>
        </is>
      </c>
      <c r="P1081" t="inlineStr">
        <is>
          <t>3</t>
        </is>
      </c>
      <c r="Q1081" t="inlineStr">
        <is>
          <t>Blade</t>
        </is>
      </c>
      <c r="R1081" t="inlineStr">
        <is>
          <t>Direct Bolt</t>
        </is>
      </c>
      <c r="S1081" t="inlineStr">
        <is>
          <t>2.3500</t>
        </is>
      </c>
      <c r="T1081" t="inlineStr">
        <is>
          <t>No</t>
        </is>
      </c>
      <c r="U1081" t="inlineStr">
        <is>
          <t>1 Year/18,000 Mile</t>
        </is>
      </c>
      <c r="V1081" t="inlineStr">
        <is>
          <t>Yes</t>
        </is>
      </c>
      <c r="W1081" t="inlineStr">
        <is>
          <t>Available to Order</t>
        </is>
      </c>
      <c r="X1081" t="inlineStr">
        <is>
          <t>Isuzu I-Mark 1984-82</t>
        </is>
      </c>
      <c r="Y1081" t="inlineStr">
        <is>
          <t>00082617456234</t>
        </is>
      </c>
      <c r="Z1081" t="inlineStr">
        <is>
          <t>43-4602::98353:90588:225</t>
        </is>
      </c>
      <c r="AA1081" t="inlineStr">
        <is>
          <t>Yes</t>
        </is>
      </c>
      <c r="AB1081" t="inlineStr"/>
      <c r="AC1081" t="inlineStr"/>
    </row>
    <row r="1082">
      <c r="A1082" t="inlineStr">
        <is>
          <t>1081</t>
        </is>
      </c>
      <c r="B1082" t="inlineStr">
        <is>
          <t>Windshield Wiper Motor</t>
        </is>
      </c>
      <c r="C1082" t="inlineStr">
        <is>
          <t>43-4603</t>
        </is>
      </c>
      <c r="D1082" t="inlineStr">
        <is>
          <t>Windshield Wiper Motor - 43-4603</t>
        </is>
      </c>
      <c r="E1082" t="inlineStr">
        <is>
          <t>CARDONE Reman</t>
        </is>
      </c>
      <c r="F1082" t="inlineStr">
        <is>
          <t>8971383572;8971383583;8971383582;8971383573</t>
        </is>
      </c>
      <c r="G1082" t="inlineStr">
        <is>
          <t>Isuzu Rodeo 1998-2004</t>
        </is>
      </c>
      <c r="H1082" t="inlineStr">
        <is>
          <t>Isuzu Rodeo 1998-2003 2.2L L4 2180cc
Isuzu Rodeo 1998-2004 3.2L V6 3165cc
Isuzu Rodeo 2004 3.5L V6 3494cc</t>
        </is>
      </c>
      <c r="I1082" t="inlineStr">
        <is>
          <t>{"0": {"productDeskExternalKey": "CPCX|43-4603"}, "1": {"Package Contents": "Wiper Motor; Instruction Sheet"}, "2": {"E-Waste": "Yes"}, "3": {"Product Condition": "Remanufactured"}, "4": {"Mounting Hole Quantity": "2"}, "5": {"Terminal Type": "Blade"}, "6": {"Mounting Type": "Direct Bolt"}, "7": {"Weight PG": "2.5000"}, "8": {"Washer Pump Included": "No"}, "9": {"Part Type": "Windshield Wiper Motor"}, "10": {"Warranty Info": "1 Year/18,000 Mile"}, "11": {"Sustainable Choice": "Yes"}, "12": {"Lifecycle Status": "Available to Order"}, "13": {"Application Summary": "Honda Passport 2002-98; Isuzu Rodeo 2004-98"}, "14": {"ItemLevelGTIN": "00082617566834"}, "15": {"_addonCardone": "43-4603::98353:90594:225"}, "16": {"Eligible for R&amp;R Service": "Yes"}}</t>
        </is>
      </c>
      <c r="J1082" t="inlineStr">
        <is>
          <t>https://www.cardone.com/product/windshield-wiper-motor-43-4603</t>
        </is>
      </c>
      <c r="K1082">
        <f>DISPIMG("ID_980CB915791241F5A0F70DEB753BE425",1)</f>
        <v/>
      </c>
      <c r="L1082" t="inlineStr">
        <is>
          <t>CPCX|43-4603</t>
        </is>
      </c>
      <c r="M1082" t="inlineStr">
        <is>
          <t>Wiper Motor; Instruction Sheet</t>
        </is>
      </c>
      <c r="N1082" t="inlineStr">
        <is>
          <t>Yes</t>
        </is>
      </c>
      <c r="O1082" t="inlineStr">
        <is>
          <t>Remanufactured</t>
        </is>
      </c>
      <c r="P1082" t="inlineStr">
        <is>
          <t>2</t>
        </is>
      </c>
      <c r="Q1082" t="inlineStr">
        <is>
          <t>Blade</t>
        </is>
      </c>
      <c r="R1082" t="inlineStr">
        <is>
          <t>Direct Bolt</t>
        </is>
      </c>
      <c r="S1082" t="inlineStr">
        <is>
          <t>2.5000</t>
        </is>
      </c>
      <c r="T1082" t="inlineStr">
        <is>
          <t>No</t>
        </is>
      </c>
      <c r="U1082" t="inlineStr">
        <is>
          <t>1 Year/18,000 Mile</t>
        </is>
      </c>
      <c r="V1082" t="inlineStr">
        <is>
          <t>Yes</t>
        </is>
      </c>
      <c r="W1082" t="inlineStr">
        <is>
          <t>Available to Order</t>
        </is>
      </c>
      <c r="X1082" t="inlineStr">
        <is>
          <t>Honda Passport 2002-98; Isuzu Rodeo 2004-98</t>
        </is>
      </c>
      <c r="Y1082" t="inlineStr">
        <is>
          <t>00082617566834</t>
        </is>
      </c>
      <c r="Z1082" t="inlineStr">
        <is>
          <t>43-4603::98353:90594:225</t>
        </is>
      </c>
      <c r="AA1082" t="inlineStr">
        <is>
          <t>Yes</t>
        </is>
      </c>
      <c r="AB1082" t="inlineStr"/>
      <c r="AC1082" t="inlineStr"/>
    </row>
    <row r="1083">
      <c r="A1083" t="inlineStr">
        <is>
          <t>1082</t>
        </is>
      </c>
      <c r="B1083" t="inlineStr">
        <is>
          <t>Windshield Wiper Motor</t>
        </is>
      </c>
      <c r="C1083" t="inlineStr">
        <is>
          <t>43-4613</t>
        </is>
      </c>
      <c r="D1083" t="inlineStr">
        <is>
          <t>Windshield Wiper Motor - 43-4613</t>
        </is>
      </c>
      <c r="E1083" t="inlineStr">
        <is>
          <t>CARDONE Reman</t>
        </is>
      </c>
      <c r="F1083" t="inlineStr">
        <is>
          <t>8972603630</t>
        </is>
      </c>
      <c r="G1083" t="inlineStr">
        <is>
          <t>Isuzu Axiom 2002-2004</t>
        </is>
      </c>
      <c r="H1083" t="inlineStr">
        <is>
          <t>Isuzu Axiom 2002 3.5L V6 3475cc
Isuzu Axiom 2003 3.5L V6 3491cc
Isuzu Axiom 2004 3.5L V6 3494cc</t>
        </is>
      </c>
      <c r="I1083" t="inlineStr">
        <is>
          <t>{"0": {"productDeskExternalKey": "CPCX|43-4613"}, "1": {"Package Contents": "Wiper Motor; Instruction Sheet"}, "2": {"E-Waste": "Yes"}, "3": {"Product Condition": "Remanufactured"}, "4": {"Mounting Hole Quantity": "3"}, "5": {"Terminal Type": "Blade"}, "6": {"Mounting Type": "Grommet"}, "7": {"Weight PG": "2.6000"}, "8": {"Washer Pump Included": "No"}, "9": {"Part Type": "Windshield Wiper Motor"}, "10": {"Warranty Info": "1 Year/18,000 Mile"}, "11": {"Sustainable Choice": "Yes"}, "12": {"Lifecycle Status": "Available to Order"}, "13": {"Application Summary": "Isuzu Axiom 2004-02"}, "14": {"ItemLevelGTIN": "00082617825009"}, "15": {"_addonCardone": "43-4613::98353:90601:225"}, "16": {"Eligible for R&amp;R Service": "Yes"}}</t>
        </is>
      </c>
      <c r="J1083" t="inlineStr">
        <is>
          <t>https://www.cardone.com/product/windshield-wiper-motor-43-4613</t>
        </is>
      </c>
      <c r="K1083">
        <f>DISPIMG("ID_4C89AA6381EC4A629A444EB89B2FAC42",1)</f>
        <v/>
      </c>
      <c r="L1083" t="inlineStr">
        <is>
          <t>CPCX|43-4613</t>
        </is>
      </c>
      <c r="M1083" t="inlineStr">
        <is>
          <t>Wiper Motor; Instruction Sheet</t>
        </is>
      </c>
      <c r="N1083" t="inlineStr">
        <is>
          <t>Yes</t>
        </is>
      </c>
      <c r="O1083" t="inlineStr">
        <is>
          <t>Remanufactured</t>
        </is>
      </c>
      <c r="P1083" t="inlineStr">
        <is>
          <t>3</t>
        </is>
      </c>
      <c r="Q1083" t="inlineStr">
        <is>
          <t>Blade</t>
        </is>
      </c>
      <c r="R1083" t="inlineStr">
        <is>
          <t>Grommet</t>
        </is>
      </c>
      <c r="S1083" t="inlineStr">
        <is>
          <t>2.6000</t>
        </is>
      </c>
      <c r="T1083" t="inlineStr">
        <is>
          <t>No</t>
        </is>
      </c>
      <c r="U1083" t="inlineStr">
        <is>
          <t>1 Year/18,000 Mile</t>
        </is>
      </c>
      <c r="V1083" t="inlineStr">
        <is>
          <t>Yes</t>
        </is>
      </c>
      <c r="W1083" t="inlineStr">
        <is>
          <t>Available to Order</t>
        </is>
      </c>
      <c r="X1083" t="inlineStr">
        <is>
          <t>Isuzu Axiom 2004-02</t>
        </is>
      </c>
      <c r="Y1083" t="inlineStr">
        <is>
          <t>00082617825009</t>
        </is>
      </c>
      <c r="Z1083" t="inlineStr">
        <is>
          <t>43-4613::98353:90601:225</t>
        </is>
      </c>
      <c r="AA1083" t="inlineStr">
        <is>
          <t>Yes</t>
        </is>
      </c>
      <c r="AB1083" t="inlineStr"/>
      <c r="AC1083" t="inlineStr"/>
    </row>
    <row r="1084">
      <c r="A1084" t="inlineStr">
        <is>
          <t>1083</t>
        </is>
      </c>
      <c r="B1084" t="inlineStr">
        <is>
          <t>Windshield Wiper Motor</t>
        </is>
      </c>
      <c r="C1084" t="inlineStr">
        <is>
          <t>43-4614</t>
        </is>
      </c>
      <c r="D1084" t="inlineStr">
        <is>
          <t>Windshield Wiper Motor - 43-4614</t>
        </is>
      </c>
      <c r="E1084" t="inlineStr">
        <is>
          <t>CARDONE Reman</t>
        </is>
      </c>
      <c r="F1084" t="inlineStr">
        <is>
          <t>8971441460</t>
        </is>
      </c>
      <c r="G1084" t="inlineStr">
        <is>
          <t>Isuzu Amigo 1998-2000
Isuzu Rodeo Sport 2001-2003</t>
        </is>
      </c>
      <c r="H1084" t="inlineStr">
        <is>
          <t>Isuzu Amigo 1998-2000 2.2L L4 2180cc
Isuzu Amigo 1998-2000 3.2L V6 3165cc
Isuzu Rodeo Sport 2001-2003 2.2L L4 2180cc
Isuzu Rodeo Sport 2001-2003 3.2L V6 3165cc</t>
        </is>
      </c>
      <c r="I1084" t="inlineStr">
        <is>
          <t>{"0": {"productDeskExternalKey": "CPCX|43-4614"}, "1": {"Package Contents": "Wiper Motor; Instruction Sheet"}, "2": {"E-Waste": "Yes"}, "3": {"Product Condition": "Remanufactured"}, "4": {"Mounting Hole Quantity": "2"}, "5": {"Terminal Type": "Blade"}, "6": {"Mounting Type": "Eyelet"}, "7": {"Weight PG": "2.0000"}, "8": {"Washer Pump Included": "No"}, "9": {"Part Type": "Windshield Wiper Motor"}, "10": {"Warranty Info": "1 Year/18,000 Mile"}, "11": {"Sustainable Choice": "Yes"}, "12": {"Lifecycle Status": "Available to Order"}, "13": {"Application Summary": "Isuzu Amigo 2000-98, Rodeo Sport 2003-01"}, "14": {"ItemLevelGTIN": "00082617825122"}, "15": {"_addonCardone": "43-4614::98353:90607:225"}, "16": {"Eligible for R&amp;R Service": "Yes"}}</t>
        </is>
      </c>
      <c r="J1084" t="inlineStr">
        <is>
          <t>https://www.cardone.com/product/windshield-wiper-motor-43-4614</t>
        </is>
      </c>
      <c r="K1084">
        <f>DISPIMG("ID_6F1DD9E2867A42C28F3680B88C3ABB74",1)</f>
        <v/>
      </c>
      <c r="L1084" t="inlineStr">
        <is>
          <t>CPCX|43-4614</t>
        </is>
      </c>
      <c r="M1084" t="inlineStr">
        <is>
          <t>Wiper Motor; Instruction Sheet</t>
        </is>
      </c>
      <c r="N1084" t="inlineStr">
        <is>
          <t>Yes</t>
        </is>
      </c>
      <c r="O1084" t="inlineStr">
        <is>
          <t>Remanufactured</t>
        </is>
      </c>
      <c r="P1084" t="inlineStr">
        <is>
          <t>2</t>
        </is>
      </c>
      <c r="Q1084" t="inlineStr">
        <is>
          <t>Blade</t>
        </is>
      </c>
      <c r="R1084" t="inlineStr">
        <is>
          <t>Eyelet</t>
        </is>
      </c>
      <c r="S1084" t="inlineStr">
        <is>
          <t>2.0000</t>
        </is>
      </c>
      <c r="T1084" t="inlineStr">
        <is>
          <t>No</t>
        </is>
      </c>
      <c r="U1084" t="inlineStr">
        <is>
          <t>1 Year/18,000 Mile</t>
        </is>
      </c>
      <c r="V1084" t="inlineStr">
        <is>
          <t>Yes</t>
        </is>
      </c>
      <c r="W1084" t="inlineStr">
        <is>
          <t>Available to Order</t>
        </is>
      </c>
      <c r="X1084" t="inlineStr">
        <is>
          <t>Isuzu Amigo 2000-98, Rodeo Sport 2003-01</t>
        </is>
      </c>
      <c r="Y1084" t="inlineStr">
        <is>
          <t>00082617825122</t>
        </is>
      </c>
      <c r="Z1084" t="inlineStr">
        <is>
          <t>43-4614::98353:90607:225</t>
        </is>
      </c>
      <c r="AA1084" t="inlineStr">
        <is>
          <t>Yes</t>
        </is>
      </c>
      <c r="AB1084" t="inlineStr"/>
      <c r="AC1084" t="inlineStr"/>
    </row>
    <row r="1085">
      <c r="A1085" t="inlineStr">
        <is>
          <t>1084</t>
        </is>
      </c>
      <c r="B1085" t="inlineStr">
        <is>
          <t>Windshield Wiper Motor</t>
        </is>
      </c>
      <c r="C1085" t="inlineStr">
        <is>
          <t>43-4700</t>
        </is>
      </c>
      <c r="D1085" t="inlineStr">
        <is>
          <t>Windshield Wiper Motor - 43-4700</t>
        </is>
      </c>
      <c r="E1085" t="inlineStr">
        <is>
          <t>CARDONE Reman</t>
        </is>
      </c>
      <c r="F1085" t="inlineStr">
        <is>
          <t>67638357866</t>
        </is>
      </c>
      <c r="G1085" t="inlineStr">
        <is>
          <t>BMW 318i 1994
BMW 318is 1992-1994
BMW 325i 1994
BMW 325is 1992-1994</t>
        </is>
      </c>
      <c r="H1085" t="inlineStr">
        <is>
          <t>BMW 318i 1994 1.8L L4 1796cc
BMW 318is 1992-1994 1.8L L4 1796cc
BMW 325i 1994 2.5L L6 152cid
BMW 325is 1992-1994 2.5L L6 152cid</t>
        </is>
      </c>
      <c r="I1085" t="inlineStr">
        <is>
          <t>{"0": {"productDeskExternalKey": "CPCX|43-4700"}, "1": {"Package Contents": "Wiper Motor; Instruction Sheet"}, "2": {"E-Waste": "Yes"}, "3": {"Product Condition": "Remanufactured"}, "4": {"Mounting Hole Quantity": "3"}, "5": {"Terminal Type": "Bullet"}, "6": {"Mounting Type": "Direct Bolt"}, "7": {"Weight PG": "3.1500"}, "8": {"Washer Pump Included": "No"}, "9": {"Part Type": "Windshield Wiper Motor"}, "10": {"Warranty Info": "1 Year/18,000 Mile"}, "11": {"Sustainable Choice": "Yes"}, "12": {"Lifecycle Status": "Available to Order"}, "13": {"Application Summary": "BMW 318i 1994, 318is 1994-92, 325i 1994, 325is 1994-92"}, "14": {"ItemLevelGTIN": "00082617456197"}, "15": {"_addonCardone": "43-4700::98353:90616:225"}, "16": {"Eligible for R&amp;R Service": "Yes"}}</t>
        </is>
      </c>
      <c r="J1085" t="inlineStr">
        <is>
          <t>https://www.cardone.com/product/windshield-wiper-motor-43-4700</t>
        </is>
      </c>
      <c r="K1085">
        <f>DISPIMG("ID_C3802A38EEE644BAAA034AC6AEFBFBA4",1)</f>
        <v/>
      </c>
      <c r="L1085" t="inlineStr">
        <is>
          <t>CPCX|43-4700</t>
        </is>
      </c>
      <c r="M1085" t="inlineStr">
        <is>
          <t>Wiper Motor; Instruction Sheet</t>
        </is>
      </c>
      <c r="N1085" t="inlineStr">
        <is>
          <t>Yes</t>
        </is>
      </c>
      <c r="O1085" t="inlineStr">
        <is>
          <t>Remanufactured</t>
        </is>
      </c>
      <c r="P1085" t="inlineStr">
        <is>
          <t>3</t>
        </is>
      </c>
      <c r="Q1085" t="inlineStr">
        <is>
          <t>Bullet</t>
        </is>
      </c>
      <c r="R1085" t="inlineStr">
        <is>
          <t>Direct Bolt</t>
        </is>
      </c>
      <c r="S1085" t="inlineStr">
        <is>
          <t>3.1500</t>
        </is>
      </c>
      <c r="T1085" t="inlineStr">
        <is>
          <t>No</t>
        </is>
      </c>
      <c r="U1085" t="inlineStr">
        <is>
          <t>1 Year/18,000 Mile</t>
        </is>
      </c>
      <c r="V1085" t="inlineStr">
        <is>
          <t>Yes</t>
        </is>
      </c>
      <c r="W1085" t="inlineStr">
        <is>
          <t>Available to Order</t>
        </is>
      </c>
      <c r="X1085" t="inlineStr">
        <is>
          <t>BMW 318i 1994, 318is 1994-92, 325i 1994, 325is 1994-92</t>
        </is>
      </c>
      <c r="Y1085" t="inlineStr">
        <is>
          <t>00082617456197</t>
        </is>
      </c>
      <c r="Z1085" t="inlineStr">
        <is>
          <t>43-4700::98353:90616:225</t>
        </is>
      </c>
      <c r="AA1085" t="inlineStr">
        <is>
          <t>Yes</t>
        </is>
      </c>
      <c r="AB1085" t="inlineStr"/>
      <c r="AC1085" t="inlineStr"/>
    </row>
    <row r="1086">
      <c r="A1086" t="inlineStr">
        <is>
          <t>1085</t>
        </is>
      </c>
      <c r="B1086" t="inlineStr">
        <is>
          <t>Windshield Wiper Motor</t>
        </is>
      </c>
      <c r="C1086" t="inlineStr">
        <is>
          <t>43-4701</t>
        </is>
      </c>
      <c r="D1086" t="inlineStr">
        <is>
          <t>Windshield Wiper Motor - 43-4701</t>
        </is>
      </c>
      <c r="E1086" t="inlineStr">
        <is>
          <t>CARDONE Reman</t>
        </is>
      </c>
      <c r="F1086" t="inlineStr">
        <is>
          <t>67631393499;61638353433</t>
        </is>
      </c>
      <c r="G1086" t="inlineStr">
        <is>
          <t>BMW 318i 1992-1994
BMW 325i 1992-1994</t>
        </is>
      </c>
      <c r="H1086" t="inlineStr">
        <is>
          <t>BMW 318i 1992-1994 1.8L L4 1796cc
BMW 325i 1992-1994 2.5L L6 152cid</t>
        </is>
      </c>
      <c r="I1086" t="inlineStr">
        <is>
          <t>{"0": {"productDeskExternalKey": "CPCX|43-4701"}, "1": {"Package Contents": "Wiper Motor; Instruction Sheet"}, "2": {"E-Waste": "Yes"}, "3": {"Product Condition": "Remanufactured"}, "4": {"Mounting Hole Quantity": "3"}, "5": {"Terminal Type": "Bullet"}, "6": {"Mounting Type": "Direct Bolt"}, "7": {"Weight PG": "2.8000"}, "8": {"Washer Pump Included": "No"}, "9": {"Part Type": "Windshield Wiper Motor"}, "10": {"Warranty Info": "1 Year/18,000 Mile"}, "11": {"Sustainable Choice": "Yes"}, "12": {"Lifecycle Status": "Available to Order"}, "13": {"Application Summary": "BMW 318i 1994-92, 325i 1994-92"}, "14": {"ItemLevelGTIN": "00082617456180"}, "15": {"_addonCardone": "43-4701::98353:90625:225"}, "16": {"Eligible for R&amp;R Service": "Yes"}}</t>
        </is>
      </c>
      <c r="J1086" t="inlineStr">
        <is>
          <t>https://www.cardone.com/product/windshield-wiper-motor-43-4701</t>
        </is>
      </c>
      <c r="K1086">
        <f>DISPIMG("ID_D4BBB4D9BF09406F90B3CE35A670CDB5",1)</f>
        <v/>
      </c>
      <c r="L1086" t="inlineStr">
        <is>
          <t>CPCX|43-4701</t>
        </is>
      </c>
      <c r="M1086" t="inlineStr">
        <is>
          <t>Wiper Motor; Instruction Sheet</t>
        </is>
      </c>
      <c r="N1086" t="inlineStr">
        <is>
          <t>Yes</t>
        </is>
      </c>
      <c r="O1086" t="inlineStr">
        <is>
          <t>Remanufactured</t>
        </is>
      </c>
      <c r="P1086" t="inlineStr">
        <is>
          <t>3</t>
        </is>
      </c>
      <c r="Q1086" t="inlineStr">
        <is>
          <t>Bullet</t>
        </is>
      </c>
      <c r="R1086" t="inlineStr">
        <is>
          <t>Direct Bolt</t>
        </is>
      </c>
      <c r="S1086" t="inlineStr">
        <is>
          <t>2.8000</t>
        </is>
      </c>
      <c r="T1086" t="inlineStr">
        <is>
          <t>No</t>
        </is>
      </c>
      <c r="U1086" t="inlineStr">
        <is>
          <t>1 Year/18,000 Mile</t>
        </is>
      </c>
      <c r="V1086" t="inlineStr">
        <is>
          <t>Yes</t>
        </is>
      </c>
      <c r="W1086" t="inlineStr">
        <is>
          <t>Available to Order</t>
        </is>
      </c>
      <c r="X1086" t="inlineStr">
        <is>
          <t>BMW 318i 1994-92, 325i 1994-92</t>
        </is>
      </c>
      <c r="Y1086" t="inlineStr">
        <is>
          <t>00082617456180</t>
        </is>
      </c>
      <c r="Z1086" t="inlineStr">
        <is>
          <t>43-4701::98353:90625:225</t>
        </is>
      </c>
      <c r="AA1086" t="inlineStr">
        <is>
          <t>Yes</t>
        </is>
      </c>
      <c r="AB1086" t="inlineStr"/>
      <c r="AC1086" t="inlineStr"/>
    </row>
    <row r="1087">
      <c r="A1087" t="inlineStr">
        <is>
          <t>1086</t>
        </is>
      </c>
      <c r="B1087" t="inlineStr">
        <is>
          <t>Windshield Wiper Motor</t>
        </is>
      </c>
      <c r="C1087" t="inlineStr">
        <is>
          <t>43-4702</t>
        </is>
      </c>
      <c r="D1087" t="inlineStr">
        <is>
          <t>Windshield Wiper Motor - 43-4702</t>
        </is>
      </c>
      <c r="E1087" t="inlineStr">
        <is>
          <t>CARDONE Reman</t>
        </is>
      </c>
      <c r="F1087" t="inlineStr">
        <is>
          <t>67638363514</t>
        </is>
      </c>
      <c r="G1087" t="inlineStr">
        <is>
          <t>BMW 318i 1995-1997
BMW 318is 1995-1997
BMW 323i 1998
BMW 323is 1998
BMW 325i 1995
BMW 325is 1995
BMW 328i 1996-1999
BMW 328is 1996-1999
BMW M3 1995-1999
BMW Z3 1996-2002</t>
        </is>
      </c>
      <c r="H1087" t="inlineStr">
        <is>
          <t>BMW 318i 1995 1.8L L4 1796cc
BMW 318i 1996-1997 1.9L L4 1895cc
BMW 318is 1995 1.8L L4 1796cc
BMW 318is 1996-1997 1.9L L4 1895cc
BMW 323i 1998 2.5L L6 152cid
BMW 323is 1998 2.5L L6 152cid
BMW 325i 1995 2.5L L6 152cid
BMW 325is 1995 2.5L L6 152cid
BMW 328i 1996-1999 2.8L L6 2793cc
BMW 328is 1996-1999 2.8L L6 2793cc
BMW M3 1995 3L L6 2990cc
BMW M3 1996-1999 3.2L L6 3152cc
BMW Z3 1996-1999 1.9L L4 1895cc
BMW Z3 1997-2000 2.8L L6 2793cc
BMW Z3 1998-2000 3.2L L6 3152cc
BMW Z3 1999-2002 2.5L L6 152cid
BMW Z3 2000 2L L6 121cid
BMW Z3 2001-2002 2.2L L6 132cid
BMW Z3 2001-2002 3.2L L6 3246cc
BMW Z3 2001-2002 3L L6 2979cc</t>
        </is>
      </c>
      <c r="I1087" t="inlineStr">
        <is>
          <t>{"0": {"productDeskExternalKey": "CPCX|43-4702"}, "1": {"Package Contents": "Wiper Motor; Instruction Sheet"}, "2": {"E-Waste": "Yes"}, "3": {"Product Condition": "Remanufactured"}, "4": {"Mounting Hole Quantity": "3"}, "5": {"Terminal Type": "Bullet"}, "6": {"Mounting Type": "Direct Bolt"}, "7": {"Weight PG": "2.9600"}, "8": {"Washer Pump Included": "No"}, "9": {"Part Type": "Windshield Wiper Motor"}, "10": {"Warranty Info": "1 Year/18,000 Mile"}, "11": {"Sustainable Choice": "Yes"}, "12": {"Lifecycle Status": "Available to Order"}, "13": {"Application Summary": "BMW 318i 1997-95, 318is 1997-95, 323i 1998, 323is 1998, 325i 1995, 325is 1995, 328i 1999-96, 328is 1999-96, M3 1999-95, Z3 2002-96"}, "14": {"ItemLevelGTIN": "00082617456203"}, "15": {"_addonCardone": "43-4702::98353:90637:225"}, "16": {"Eligible for R&amp;R Service": "Yes"}}</t>
        </is>
      </c>
      <c r="J1087" t="inlineStr">
        <is>
          <t>https://www.cardone.com/product/windshield-wiper-motor-43-4702</t>
        </is>
      </c>
      <c r="K1087">
        <f>DISPIMG("ID_46FC2A8EC15D4290961349A12FE4B2B6",1)</f>
        <v/>
      </c>
      <c r="L1087" t="inlineStr">
        <is>
          <t>CPCX|43-4702</t>
        </is>
      </c>
      <c r="M1087" t="inlineStr">
        <is>
          <t>Wiper Motor; Instruction Sheet</t>
        </is>
      </c>
      <c r="N1087" t="inlineStr">
        <is>
          <t>Yes</t>
        </is>
      </c>
      <c r="O1087" t="inlineStr">
        <is>
          <t>Remanufactured</t>
        </is>
      </c>
      <c r="P1087" t="inlineStr">
        <is>
          <t>3</t>
        </is>
      </c>
      <c r="Q1087" t="inlineStr">
        <is>
          <t>Bullet</t>
        </is>
      </c>
      <c r="R1087" t="inlineStr">
        <is>
          <t>Direct Bolt</t>
        </is>
      </c>
      <c r="S1087" t="inlineStr">
        <is>
          <t>2.9600</t>
        </is>
      </c>
      <c r="T1087" t="inlineStr">
        <is>
          <t>No</t>
        </is>
      </c>
      <c r="U1087" t="inlineStr">
        <is>
          <t>1 Year/18,000 Mile</t>
        </is>
      </c>
      <c r="V1087" t="inlineStr">
        <is>
          <t>Yes</t>
        </is>
      </c>
      <c r="W1087" t="inlineStr">
        <is>
          <t>Available to Order</t>
        </is>
      </c>
      <c r="X1087" t="inlineStr">
        <is>
          <t>BMW 318i 1997-95, 318is 1997-95, 323i 1998, 323is 1998, 325i 1995, 325is 1995, 328i 1999-96, 328is 1999-96, M3 1999-95, Z3 2002-96</t>
        </is>
      </c>
      <c r="Y1087" t="inlineStr">
        <is>
          <t>00082617456203</t>
        </is>
      </c>
      <c r="Z1087" t="inlineStr">
        <is>
          <t>43-4702::98353:90637:225</t>
        </is>
      </c>
      <c r="AA1087" t="inlineStr">
        <is>
          <t>Yes</t>
        </is>
      </c>
      <c r="AB1087" t="inlineStr"/>
      <c r="AC1087" t="inlineStr"/>
    </row>
    <row r="1088">
      <c r="A1088" t="inlineStr">
        <is>
          <t>1087</t>
        </is>
      </c>
      <c r="B1088" t="inlineStr">
        <is>
          <t>Windshield Wiper Motor</t>
        </is>
      </c>
      <c r="C1088" t="inlineStr">
        <is>
          <t>43-4703</t>
        </is>
      </c>
      <c r="D1088" t="inlineStr">
        <is>
          <t>Windshield Wiper Motor - 43-4703</t>
        </is>
      </c>
      <c r="E1088" t="inlineStr">
        <is>
          <t>CARDONE Reman</t>
        </is>
      </c>
      <c r="F1088" t="inlineStr">
        <is>
          <t>61628357515</t>
        </is>
      </c>
      <c r="G1088" t="inlineStr">
        <is>
          <t>BMW Z3 1999-2002</t>
        </is>
      </c>
      <c r="H1088" t="inlineStr">
        <is>
          <t>BMW Z3 1999 1.9L L4 1895cc
BMW Z3 1999-2000 2.8L L6 2793cc
BMW Z3 1999-2000 3.2L L6 3152cc
BMW Z3 1999-2002 2.5L L6 152cid
BMW Z3 2000 2L L6 121cid
BMW Z3 2001-2002 2.2L L6 132cid
BMW Z3 2001-2002 3.2L L6 3246cc
BMW Z3 2001-2002 3L L6 2979cc</t>
        </is>
      </c>
      <c r="I1088" t="inlineStr">
        <is>
          <t>{"0": {"productDeskExternalKey": "CPCX|43-4703"}, "1": {"E-Waste": "Yes"}, "2": {"Product Condition": "Remanufactured"}, "3": {"Weight PG": "2.5000"}, "4": {"Part Type": "Windshield Wiper Motor"}, "5": {"Warranty Info": "1 Year/18,000 Mile"}, "6": {"Sustainable Choice": "Yes"}, "7": {"Lifecycle Status": "Available to Order"}, "8": {"Application Summary": "BMW Z3 2002-99"}, "9": {"ItemLevelGTIN": "00082617595858"}, "10": {"_addonCardone": "43-4703::98353:90651:225"}, "11": {"Eligible for R&amp;R Service": "Yes"}}</t>
        </is>
      </c>
      <c r="J1088" t="inlineStr">
        <is>
          <t>https://www.cardone.com/product/windshield-wiper-motor-43-4703</t>
        </is>
      </c>
      <c r="K1088">
        <f>DISPIMG("ID_D519ED81DBBE4DB881438D79CB331E64",1)</f>
        <v/>
      </c>
      <c r="L1088" t="inlineStr">
        <is>
          <t>CPCX|43-4703</t>
        </is>
      </c>
      <c r="M1088" t="inlineStr"/>
      <c r="N1088" t="inlineStr">
        <is>
          <t>Yes</t>
        </is>
      </c>
      <c r="O1088" t="inlineStr">
        <is>
          <t>Remanufactured</t>
        </is>
      </c>
      <c r="P1088" t="inlineStr"/>
      <c r="Q1088" t="inlineStr"/>
      <c r="R1088" t="inlineStr"/>
      <c r="S1088" t="inlineStr">
        <is>
          <t>2.5000</t>
        </is>
      </c>
      <c r="T1088" t="inlineStr"/>
      <c r="U1088" t="inlineStr">
        <is>
          <t>1 Year/18,000 Mile</t>
        </is>
      </c>
      <c r="V1088" t="inlineStr">
        <is>
          <t>Yes</t>
        </is>
      </c>
      <c r="W1088" t="inlineStr">
        <is>
          <t>Available to Order</t>
        </is>
      </c>
      <c r="X1088" t="inlineStr">
        <is>
          <t>BMW Z3 2002-99</t>
        </is>
      </c>
      <c r="Y1088" t="inlineStr">
        <is>
          <t>00082617595858</t>
        </is>
      </c>
      <c r="Z1088" t="inlineStr">
        <is>
          <t>43-4703::98353:90651:225</t>
        </is>
      </c>
      <c r="AA1088" t="inlineStr">
        <is>
          <t>Yes</t>
        </is>
      </c>
      <c r="AB1088" t="inlineStr"/>
      <c r="AC1088" t="inlineStr"/>
    </row>
    <row r="1089">
      <c r="A1089" t="inlineStr">
        <is>
          <t>1088</t>
        </is>
      </c>
      <c r="B1089" t="inlineStr">
        <is>
          <t>Windshield Wiper Motor</t>
        </is>
      </c>
      <c r="C1089" t="inlineStr">
        <is>
          <t>43-4800</t>
        </is>
      </c>
      <c r="D1089" t="inlineStr">
        <is>
          <t>Windshield Wiper Motor - 43-4800</t>
        </is>
      </c>
      <c r="E1089" t="inlineStr">
        <is>
          <t>CARDONE Reman</t>
        </is>
      </c>
      <c r="F1089" t="inlineStr">
        <is>
          <t>1358011;13580113</t>
        </is>
      </c>
      <c r="G1089" t="inlineStr">
        <is>
          <t>Volvo 740 1985-1992
Volvo 745 1985
Volvo 760 1985-1990
Volvo 940 1991-1995
Volvo 960 1992-1997
Volvo S90 1997-1998
Volvo V90 1997-1998</t>
        </is>
      </c>
      <c r="H1089" t="inlineStr">
        <is>
          <t>Volvo 740 1985-1986 2.4L L6 2377cc
Volvo 740 1985-1992 2.3L L4 2316cc
Volvo 745 1985 2.3L L4 2316cc
Volvo 745 1985 2.4L L6 2383cc
Volvo 760 1985 2.4L L6 2377cc
Volvo 760 1985-1990 2.3L L4 2316cc
Volvo 760 1985-1990 2.8L V6 2849cc
Volvo 940 1991-1995 2.3L L4 2316cc
Volvo 960 1992-1997 2.9L L6 2922cc
Volvo S90 1997-1998 2.9L L6 2917cc
Volvo V90 1997-1998 2.9L L6 2917cc</t>
        </is>
      </c>
      <c r="I1089" t="inlineStr">
        <is>
          <t>{"0": {"productDeskExternalKey": "CPCX|43-4800"}, "1": {"Package Contents": "Wiper Motor; Instruction Sheet"}, "2": {"E-Waste": "Yes"}, "3": {"Product Condition": "Remanufactured"}, "4": {"Mounting Hole Quantity": "3"}, "5": {"Terminal Type": "Blade"}, "6": {"Mounting Type": "Direct Bolt"}, "7": {"Weight PG": "1.7200"}, "8": {"Washer Pump Included": "No"}, "9": {"Part Type": "Windshield Wiper Motor"}, "10": {"Warranty Info": "1 Year/18,000 Mile"}, "11": {"Sustainable Choice": "Yes"}, "12": {"Lifecycle Status": "Available to Order"}, "13": {"Application Summary": "Volvo 740 1992-85, 745 1985, 760 1990-85, 940 1995-91, 960 1997-92, S90 1998-97, V90 1998-97"}, "14": {"ItemLevelGTIN": "00082617456005"}, "15": {"_addonCardone": "43-4800::98353:90663:225"}, "16": {"Eligible for R&amp;R Service": "Yes"}}</t>
        </is>
      </c>
      <c r="J1089" t="inlineStr">
        <is>
          <t>https://www.cardone.com/product/windshield-wiper-motor-43-4800</t>
        </is>
      </c>
      <c r="K1089">
        <f>DISPIMG("ID_92F059669CCB40DA9F31C366866EC466",1)</f>
        <v/>
      </c>
      <c r="L1089" t="inlineStr">
        <is>
          <t>CPCX|43-4800</t>
        </is>
      </c>
      <c r="M1089" t="inlineStr">
        <is>
          <t>Wiper Motor; Instruction Sheet</t>
        </is>
      </c>
      <c r="N1089" t="inlineStr">
        <is>
          <t>Yes</t>
        </is>
      </c>
      <c r="O1089" t="inlineStr">
        <is>
          <t>Remanufactured</t>
        </is>
      </c>
      <c r="P1089" t="inlineStr">
        <is>
          <t>3</t>
        </is>
      </c>
      <c r="Q1089" t="inlineStr">
        <is>
          <t>Blade</t>
        </is>
      </c>
      <c r="R1089" t="inlineStr">
        <is>
          <t>Direct Bolt</t>
        </is>
      </c>
      <c r="S1089" t="inlineStr">
        <is>
          <t>1.7200</t>
        </is>
      </c>
      <c r="T1089" t="inlineStr">
        <is>
          <t>No</t>
        </is>
      </c>
      <c r="U1089" t="inlineStr">
        <is>
          <t>1 Year/18,000 Mile</t>
        </is>
      </c>
      <c r="V1089" t="inlineStr">
        <is>
          <t>Yes</t>
        </is>
      </c>
      <c r="W1089" t="inlineStr">
        <is>
          <t>Available to Order</t>
        </is>
      </c>
      <c r="X1089" t="inlineStr">
        <is>
          <t>Volvo 740 1992-85, 745 1985, 760 1990-85, 940 1995-91, 960 1997-92, S90 1998-97, V90 1998-97</t>
        </is>
      </c>
      <c r="Y1089" t="inlineStr">
        <is>
          <t>00082617456005</t>
        </is>
      </c>
      <c r="Z1089" t="inlineStr">
        <is>
          <t>43-4800::98353:90663:225</t>
        </is>
      </c>
      <c r="AA1089" t="inlineStr">
        <is>
          <t>Yes</t>
        </is>
      </c>
      <c r="AB1089" t="inlineStr"/>
      <c r="AC1089" t="inlineStr"/>
    </row>
    <row r="1090">
      <c r="A1090" t="inlineStr">
        <is>
          <t>1089</t>
        </is>
      </c>
      <c r="B1090" t="inlineStr">
        <is>
          <t>Windshield Wiper Motor</t>
        </is>
      </c>
      <c r="C1090" t="inlineStr">
        <is>
          <t>43-4801</t>
        </is>
      </c>
      <c r="D1090" t="inlineStr">
        <is>
          <t>Windshield Wiper Motor - 43-4801</t>
        </is>
      </c>
      <c r="E1090" t="inlineStr">
        <is>
          <t>CARDONE Reman</t>
        </is>
      </c>
      <c r="F1090" t="inlineStr">
        <is>
          <t>35121730;3512173</t>
        </is>
      </c>
      <c r="G1090" t="inlineStr">
        <is>
          <t>Volvo 850 1993-1997</t>
        </is>
      </c>
      <c r="H1090" t="inlineStr">
        <is>
          <t>Volvo 850 1993-1997 2.4L L5 2435cc
Volvo 850 1994-1997 2.3L L5 2319cc</t>
        </is>
      </c>
      <c r="I1090" t="inlineStr">
        <is>
          <t>{"0": {"productDeskExternalKey": "CPCX|43-4801"}, "1": {"Package Contents": "Wiper Motor; Instruction Sheet"}, "2": {"E-Waste": "Yes"}, "3": {"Product Condition": "Remanufactured"}, "4": {"Mounting Hole Quantity": "3"}, "5": {"Terminal Type": "Bullet"}, "6": {"Mounting Type": "Direct Bolt"}, "7": {"Weight PG": "2.7500"}, "8": {"Washer Pump Included": "No"}, "9": {"Part Type": "Windshield Wiper Motor"}, "10": {"Warranty Info": "1 Year/18,000 Mile"}, "11": {"Sustainable Choice": "Yes"}, "12": {"Lifecycle Status": "Available to Order"}, "13": {"Application Summary": "Volvo 850 1997-93"}, "14": {"ItemLevelGTIN": "00082617456029"}, "15": {"_addonCardone": "43-4801::98353:90677:225"}, "16": {"Eligible for R&amp;R Service": "Yes"}}</t>
        </is>
      </c>
      <c r="J1090" t="inlineStr">
        <is>
          <t>https://www.cardone.com/product/windshield-wiper-motor-43-4801</t>
        </is>
      </c>
      <c r="K1090">
        <f>DISPIMG("ID_9D74975A9FC5490A8FBD52730D14A150",1)</f>
        <v/>
      </c>
      <c r="L1090" t="inlineStr">
        <is>
          <t>CPCX|43-4801</t>
        </is>
      </c>
      <c r="M1090" t="inlineStr">
        <is>
          <t>Wiper Motor; Instruction Sheet</t>
        </is>
      </c>
      <c r="N1090" t="inlineStr">
        <is>
          <t>Yes</t>
        </is>
      </c>
      <c r="O1090" t="inlineStr">
        <is>
          <t>Remanufactured</t>
        </is>
      </c>
      <c r="P1090" t="inlineStr">
        <is>
          <t>3</t>
        </is>
      </c>
      <c r="Q1090" t="inlineStr">
        <is>
          <t>Bullet</t>
        </is>
      </c>
      <c r="R1090" t="inlineStr">
        <is>
          <t>Direct Bolt</t>
        </is>
      </c>
      <c r="S1090" t="inlineStr">
        <is>
          <t>2.7500</t>
        </is>
      </c>
      <c r="T1090" t="inlineStr">
        <is>
          <t>No</t>
        </is>
      </c>
      <c r="U1090" t="inlineStr">
        <is>
          <t>1 Year/18,000 Mile</t>
        </is>
      </c>
      <c r="V1090" t="inlineStr">
        <is>
          <t>Yes</t>
        </is>
      </c>
      <c r="W1090" t="inlineStr">
        <is>
          <t>Available to Order</t>
        </is>
      </c>
      <c r="X1090" t="inlineStr">
        <is>
          <t>Volvo 850 1997-93</t>
        </is>
      </c>
      <c r="Y1090" t="inlineStr">
        <is>
          <t>00082617456029</t>
        </is>
      </c>
      <c r="Z1090" t="inlineStr">
        <is>
          <t>43-4801::98353:90677:225</t>
        </is>
      </c>
      <c r="AA1090" t="inlineStr">
        <is>
          <t>Yes</t>
        </is>
      </c>
      <c r="AB1090" t="inlineStr"/>
      <c r="AC1090" t="inlineStr"/>
    </row>
    <row r="1091">
      <c r="A1091" t="inlineStr">
        <is>
          <t>1090</t>
        </is>
      </c>
      <c r="B1091" t="inlineStr">
        <is>
          <t>Windshield Wiper Motor</t>
        </is>
      </c>
      <c r="C1091" t="inlineStr">
        <is>
          <t>43-4802</t>
        </is>
      </c>
      <c r="D1091" t="inlineStr">
        <is>
          <t>Windshield Wiper Motor - 43-4802</t>
        </is>
      </c>
      <c r="E1091" t="inlineStr">
        <is>
          <t>CARDONE Reman</t>
        </is>
      </c>
      <c r="F1091" t="inlineStr">
        <is>
          <t>1372153;15721535;13721535</t>
        </is>
      </c>
      <c r="G1091" t="inlineStr">
        <is>
          <t>Volvo 240 1990-1993
Volvo 244 1985-1989
Volvo 245 1985-1989</t>
        </is>
      </c>
      <c r="H1091" t="inlineStr">
        <is>
          <t>Volvo 240 1990-1993 2.3L L4 2316cc
Volvo 244 1985 2.1L L4 2127cc
Volvo 244 1985-1989 2.3L L4 2316cc
Volvo 245 1985 2.1L L4 2127cc
Volvo 245 1985-1989 2.3L L4 2316cc</t>
        </is>
      </c>
      <c r="I1091" t="inlineStr">
        <is>
          <t>{"0": {"productDeskExternalKey": "CPCX|43-4802"}, "1": {"Package Contents": "Wiper Motor; Instruction Sheet"}, "2": {"E-Waste": "Yes"}, "3": {"Product Condition": "Remanufactured"}, "4": {"Mounting Hole Quantity": "3"}, "5": {"Terminal Type": "Bullet; Pin"}, "6": {"Mounting Type": "Direct Bolt"}, "7": {"Weight PG": "1.6800"}, "8": {"Washer Pump Included": "No"}, "9": {"Part Type": "Windshield Wiper Motor"}, "10": {"Warranty Info": "1 Year/18,000 Mile"}, "11": {"Sustainable Choice": "Yes"}, "12": {"Lifecycle Status": "Available to Order"}, "13": {"Application Summary": "Volvo 240 1993-90, 244 1989-85, 245 1989-85"}, "14": {"ItemLevelGTIN": "00082617456012"}, "15": {"_addonCardone": "43-4802::98353:90692:225"}, "16": {"Eligible for R&amp;R Service": "Yes"}}</t>
        </is>
      </c>
      <c r="J1091" t="inlineStr">
        <is>
          <t>https://www.cardone.com/product/windshield-wiper-motor-43-4802</t>
        </is>
      </c>
      <c r="K1091">
        <f>DISPIMG("ID_7D498D9105E741B7943A71EADF1592AB",1)</f>
        <v/>
      </c>
      <c r="L1091" t="inlineStr">
        <is>
          <t>CPCX|43-4802</t>
        </is>
      </c>
      <c r="M1091" t="inlineStr">
        <is>
          <t>Wiper Motor; Instruction Sheet</t>
        </is>
      </c>
      <c r="N1091" t="inlineStr">
        <is>
          <t>Yes</t>
        </is>
      </c>
      <c r="O1091" t="inlineStr">
        <is>
          <t>Remanufactured</t>
        </is>
      </c>
      <c r="P1091" t="inlineStr">
        <is>
          <t>3</t>
        </is>
      </c>
      <c r="Q1091" t="inlineStr">
        <is>
          <t>Bullet; Pin</t>
        </is>
      </c>
      <c r="R1091" t="inlineStr">
        <is>
          <t>Direct Bolt</t>
        </is>
      </c>
      <c r="S1091" t="inlineStr">
        <is>
          <t>1.6800</t>
        </is>
      </c>
      <c r="T1091" t="inlineStr">
        <is>
          <t>No</t>
        </is>
      </c>
      <c r="U1091" t="inlineStr">
        <is>
          <t>1 Year/18,000 Mile</t>
        </is>
      </c>
      <c r="V1091" t="inlineStr">
        <is>
          <t>Yes</t>
        </is>
      </c>
      <c r="W1091" t="inlineStr">
        <is>
          <t>Available to Order</t>
        </is>
      </c>
      <c r="X1091" t="inlineStr">
        <is>
          <t>Volvo 240 1993-90, 244 1989-85, 245 1989-85</t>
        </is>
      </c>
      <c r="Y1091" t="inlineStr">
        <is>
          <t>00082617456012</t>
        </is>
      </c>
      <c r="Z1091" t="inlineStr">
        <is>
          <t>43-4802::98353:90692:225</t>
        </is>
      </c>
      <c r="AA1091" t="inlineStr">
        <is>
          <t>Yes</t>
        </is>
      </c>
      <c r="AB1091" t="inlineStr"/>
      <c r="AC1091" t="inlineStr"/>
    </row>
    <row r="1092">
      <c r="A1092" t="inlineStr">
        <is>
          <t>1091</t>
        </is>
      </c>
      <c r="B1092" t="inlineStr">
        <is>
          <t>Windshield Wiper Motor</t>
        </is>
      </c>
      <c r="C1092" t="inlineStr">
        <is>
          <t>43-4803</t>
        </is>
      </c>
      <c r="D1092" t="inlineStr">
        <is>
          <t>Windshield Wiper Motor - 43-4803</t>
        </is>
      </c>
      <c r="E1092" t="inlineStr">
        <is>
          <t>CARDONE Reman</t>
        </is>
      </c>
      <c r="F1092" t="inlineStr">
        <is>
          <t>86483430;91719013;86483435;91719010;9171901;8648343</t>
        </is>
      </c>
      <c r="G1092" t="inlineStr">
        <is>
          <t>Volvo S60 2001-2009
Volvo S80 1999-2006
Volvo V70 2001-2007
Volvo XC70 2003-2008
Volvo XC90 2003</t>
        </is>
      </c>
      <c r="H1092" t="inlineStr">
        <is>
          <t>Volvo S60 2001-2004 2L L5 121cid
Volvo S60 2001-2005 2.3L L5 2319cc
Volvo S60 2001-2009 2.4L L5 2435cc
Volvo S60 2003-2009 2.5L L5 2521cc
Volvo S60 2004-2007 2.5L L5 154cid
Volvo S80 1999-2003 2.8L L6 2798cc
Volvo S80 1999-2006 2.9L L6 2917cc
Volvo S80 2000-2003 2.9L L6 178cid
Volvo S80 2004-2006 2.5L L5 2521cc
Volvo S80 2005-2006 2.5L L5 154cid
Volvo V70 2001-2004 2.3L L5 2319cc
Volvo V70 2001-2007 2.4L L5 2435cc
Volvo V70 2003-2007 2.5L L5 2521cc
Volvo XC70 2003-2007 2.5L L5 2521cc
Volvo XC70 2004-2007 2.5L L5 154cid
Volvo XC70 2008 3.2L L6 3192cc
Volvo XC90 2003 2.5L L5 2521cc
Volvo XC90 2003 2.9L L6 2917cc</t>
        </is>
      </c>
      <c r="I1092" t="inlineStr">
        <is>
          <t>{"0": {"productDeskExternalKey": "CPCX|43-4803"}, "1": {"Package Contents": "Wiper Motor; Instruction Sheet"}, "2": {"E-Waste": "Yes"}, "3": {"Product Condition": "Remanufactured"}, "4": {"Mounting Hole Quantity": "3"}, "5": {"Terminal Type": "Blade"}, "6": {"Mounting Type": "Direct Bolt"}, "7": {"Weight PG": "2.9600"}, "8": {"Washer Pump Included": "No"}, "9": {"Part Type": "Windshield Wiper Motor"}, "10": {"Warranty Info": "1 Year/18,000 Mile"}, "11": {"Sustainable Choice": "Yes"}, "12": {"Lifecycle Status": "Available to Order"}, "13": {"Application Summary": "Volvo S60 2009-01, S80 2006-99, V70 2007-01, XC70 2008-03, XC90 2003"}, "14": {"ItemLevelGTIN": "00082617588140"}, "15": {"_addonCardone": "43-4803::98353:90702:225"}, "16": {"Eligible for R&amp;R Service": "Yes"}}</t>
        </is>
      </c>
      <c r="J1092" t="inlineStr">
        <is>
          <t>https://www.cardone.com/product/windshield-wiper-motor-43-4803</t>
        </is>
      </c>
      <c r="K1092">
        <f>DISPIMG("ID_35F4E78A93404751A3EAE1DD4A4E4E4D",1)</f>
        <v/>
      </c>
      <c r="L1092" t="inlineStr">
        <is>
          <t>CPCX|43-4803</t>
        </is>
      </c>
      <c r="M1092" t="inlineStr">
        <is>
          <t>Wiper Motor; Instruction Sheet</t>
        </is>
      </c>
      <c r="N1092" t="inlineStr">
        <is>
          <t>Yes</t>
        </is>
      </c>
      <c r="O1092" t="inlineStr">
        <is>
          <t>Remanufactured</t>
        </is>
      </c>
      <c r="P1092" t="inlineStr">
        <is>
          <t>3</t>
        </is>
      </c>
      <c r="Q1092" t="inlineStr">
        <is>
          <t>Blade</t>
        </is>
      </c>
      <c r="R1092" t="inlineStr">
        <is>
          <t>Direct Bolt</t>
        </is>
      </c>
      <c r="S1092" t="inlineStr">
        <is>
          <t>2.9600</t>
        </is>
      </c>
      <c r="T1092" t="inlineStr">
        <is>
          <t>No</t>
        </is>
      </c>
      <c r="U1092" t="inlineStr">
        <is>
          <t>1 Year/18,000 Mile</t>
        </is>
      </c>
      <c r="V1092" t="inlineStr">
        <is>
          <t>Yes</t>
        </is>
      </c>
      <c r="W1092" t="inlineStr">
        <is>
          <t>Available to Order</t>
        </is>
      </c>
      <c r="X1092" t="inlineStr">
        <is>
          <t>Volvo S60 2009-01, S80 2006-99, V70 2007-01, XC70 2008-03, XC90 2003</t>
        </is>
      </c>
      <c r="Y1092" t="inlineStr">
        <is>
          <t>00082617588140</t>
        </is>
      </c>
      <c r="Z1092" t="inlineStr">
        <is>
          <t>43-4803::98353:90702:225</t>
        </is>
      </c>
      <c r="AA1092" t="inlineStr">
        <is>
          <t>Yes</t>
        </is>
      </c>
      <c r="AB1092" t="inlineStr"/>
      <c r="AC1092" t="inlineStr"/>
    </row>
    <row r="1093">
      <c r="A1093" t="inlineStr">
        <is>
          <t>1092</t>
        </is>
      </c>
      <c r="B1093" t="inlineStr">
        <is>
          <t>Windshield Wiper Motor</t>
        </is>
      </c>
      <c r="C1093" t="inlineStr">
        <is>
          <t>43-4804</t>
        </is>
      </c>
      <c r="D1093" t="inlineStr">
        <is>
          <t>Windshield Wiper Motor - 43-4804</t>
        </is>
      </c>
      <c r="E1093" t="inlineStr">
        <is>
          <t>CARDONE Reman</t>
        </is>
      </c>
      <c r="F1093" t="inlineStr">
        <is>
          <t>91693218;9169321</t>
        </is>
      </c>
      <c r="G1093" t="inlineStr">
        <is>
          <t>Volvo C70 1998-2004
Volvo S70 1998-2000
Volvo V70 1998-2000</t>
        </is>
      </c>
      <c r="H1093" t="inlineStr">
        <is>
          <t>Volvo C70 1998-2004 2.3L L5 2319cc
Volvo C70 1998-2004 2.4L L5 2435cc
Volvo S70 1998-2000 2.3L L5 2319cc
Volvo S70 1998-2000 2.4L L5 2435cc
Volvo V70 1998-2000 2.3L L5 2319cc
Volvo V70 1998-2000 2.4L L5 2435cc</t>
        </is>
      </c>
      <c r="I1093" t="inlineStr">
        <is>
          <t>{"0": {"productDeskExternalKey": "CPCX|43-4804"}, "1": {"Package Contents": "Wiper Motor; Instruction Sheet"}, "2": {"E-Waste": "Yes"}, "3": {"Product Condition": "Remanufactured"}, "4": {"Mounting Hole Quantity": "3"}, "5": {"Terminal Type": "Bullet"}, "6": {"Mounting Type": "Direct Bolt"}, "7": {"Weight PG": "2.6200"}, "8": {"Washer Pump Included": "No"}, "9": {"Part Type": "Windshield Wiper Motor"}, "10": {"Warranty Info": "1 Year/18,000 Mile"}, "11": {"Sustainable Choice": "Yes"}, "12": {"Lifecycle Status": "Available to Order"}, "13": {"Application Summary": "Volvo C70 2004-98, S70 2000-98, V70 2000-98"}, "14": {"ItemLevelGTIN": "00082617588157"}, "15": {"_addonCardone": "43-4804::98353:90718:225"}, "16": {"Eligible for R&amp;R Service": "Yes"}}</t>
        </is>
      </c>
      <c r="J1093" t="inlineStr">
        <is>
          <t>https://www.cardone.com/product/windshield-wiper-motor-43-4804</t>
        </is>
      </c>
      <c r="K1093">
        <f>DISPIMG("ID_CA99079AA73A43B7B7EC551ABCA57601",1)</f>
        <v/>
      </c>
      <c r="L1093" t="inlineStr">
        <is>
          <t>CPCX|43-4804</t>
        </is>
      </c>
      <c r="M1093" t="inlineStr">
        <is>
          <t>Wiper Motor; Instruction Sheet</t>
        </is>
      </c>
      <c r="N1093" t="inlineStr">
        <is>
          <t>Yes</t>
        </is>
      </c>
      <c r="O1093" t="inlineStr">
        <is>
          <t>Remanufactured</t>
        </is>
      </c>
      <c r="P1093" t="inlineStr">
        <is>
          <t>3</t>
        </is>
      </c>
      <c r="Q1093" t="inlineStr">
        <is>
          <t>Bullet</t>
        </is>
      </c>
      <c r="R1093" t="inlineStr">
        <is>
          <t>Direct Bolt</t>
        </is>
      </c>
      <c r="S1093" t="inlineStr">
        <is>
          <t>2.6200</t>
        </is>
      </c>
      <c r="T1093" t="inlineStr">
        <is>
          <t>No</t>
        </is>
      </c>
      <c r="U1093" t="inlineStr">
        <is>
          <t>1 Year/18,000 Mile</t>
        </is>
      </c>
      <c r="V1093" t="inlineStr">
        <is>
          <t>Yes</t>
        </is>
      </c>
      <c r="W1093" t="inlineStr">
        <is>
          <t>Available to Order</t>
        </is>
      </c>
      <c r="X1093" t="inlineStr">
        <is>
          <t>Volvo C70 2004-98, S70 2000-98, V70 2000-98</t>
        </is>
      </c>
      <c r="Y1093" t="inlineStr">
        <is>
          <t>00082617588157</t>
        </is>
      </c>
      <c r="Z1093" t="inlineStr">
        <is>
          <t>43-4804::98353:90718:225</t>
        </is>
      </c>
      <c r="AA1093" t="inlineStr">
        <is>
          <t>Yes</t>
        </is>
      </c>
      <c r="AB1093" t="inlineStr"/>
      <c r="AC1093" t="inlineStr"/>
    </row>
    <row r="1094">
      <c r="A1094" t="inlineStr">
        <is>
          <t>1093</t>
        </is>
      </c>
      <c r="B1094" t="inlineStr">
        <is>
          <t>Windshield Wiper Motor</t>
        </is>
      </c>
      <c r="C1094" t="inlineStr">
        <is>
          <t>43-4805</t>
        </is>
      </c>
      <c r="D1094" t="inlineStr">
        <is>
          <t>Windshield Wiper Motor - 43-4805</t>
        </is>
      </c>
      <c r="E1094" t="inlineStr">
        <is>
          <t>CARDONE Reman</t>
        </is>
      </c>
      <c r="F1094" t="inlineStr">
        <is>
          <t>308743673;30874367</t>
        </is>
      </c>
      <c r="G1094" t="inlineStr">
        <is>
          <t>Volvo S40 2000-2004
Volvo V40 2000-2004</t>
        </is>
      </c>
      <c r="H1094" t="inlineStr">
        <is>
          <t>Volvo S40 2000-2002 1.9L L4 113cid
Volvo S40 2000-2004 1.9L L4 1948cc
Volvo S40 2004 2.4L L5 2435cc
Volvo S40 2004 2.5L L5 154cid
Volvo S40 2004 2.5L L5 2521cc
Volvo V40 2000-2004 1.9L L4 1948cc</t>
        </is>
      </c>
      <c r="I1094" t="inlineStr">
        <is>
          <t>{"0": {"productDeskExternalKey": "CPCX|43-4805"}, "1": {"Package Contents": "Wiper Motor; Instruction Sheet"}, "2": {"E-Waste": "Yes"}, "3": {"Product Condition": "Remanufactured"}, "4": {"Mounting Hole Quantity": "3"}, "5": {"Terminal Type": "Blade"}, "6": {"Mounting Type": "Direct Bolt"}, "7": {"Weight PG": "2.7000"}, "8": {"Washer Pump Included": "No"}, "9": {"Part Type": "Windshield Wiper Motor"}, "10": {"Warranty Info": "1 Year/18,000 Mile"}, "11": {"Sustainable Choice": "Yes"}, "12": {"Lifecycle Status": "Available to Order"}, "13": {"Application Summary": "Volvo S40 2004-00, V40 2004-00"}, "14": {"ItemLevelGTIN": "00082617588164"}, "15": {"_addonCardone": "43-4805::98353:90729:225"}, "16": {"Eligible for R&amp;R Service": "Yes"}}</t>
        </is>
      </c>
      <c r="J1094" t="inlineStr">
        <is>
          <t>https://www.cardone.com/product/windshield-wiper-motor-43-4805</t>
        </is>
      </c>
      <c r="K1094">
        <f>DISPIMG("ID_3821318D3F31425A9FDA0540CCB8A571",1)</f>
        <v/>
      </c>
      <c r="L1094" t="inlineStr">
        <is>
          <t>CPCX|43-4805</t>
        </is>
      </c>
      <c r="M1094" t="inlineStr">
        <is>
          <t>Wiper Motor; Instruction Sheet</t>
        </is>
      </c>
      <c r="N1094" t="inlineStr">
        <is>
          <t>Yes</t>
        </is>
      </c>
      <c r="O1094" t="inlineStr">
        <is>
          <t>Remanufactured</t>
        </is>
      </c>
      <c r="P1094" t="inlineStr">
        <is>
          <t>3</t>
        </is>
      </c>
      <c r="Q1094" t="inlineStr">
        <is>
          <t>Blade</t>
        </is>
      </c>
      <c r="R1094" t="inlineStr">
        <is>
          <t>Direct Bolt</t>
        </is>
      </c>
      <c r="S1094" t="inlineStr">
        <is>
          <t>2.7000</t>
        </is>
      </c>
      <c r="T1094" t="inlineStr">
        <is>
          <t>No</t>
        </is>
      </c>
      <c r="U1094" t="inlineStr">
        <is>
          <t>1 Year/18,000 Mile</t>
        </is>
      </c>
      <c r="V1094" t="inlineStr">
        <is>
          <t>Yes</t>
        </is>
      </c>
      <c r="W1094" t="inlineStr">
        <is>
          <t>Available to Order</t>
        </is>
      </c>
      <c r="X1094" t="inlineStr">
        <is>
          <t>Volvo S40 2004-00, V40 2004-00</t>
        </is>
      </c>
      <c r="Y1094" t="inlineStr">
        <is>
          <t>00082617588164</t>
        </is>
      </c>
      <c r="Z1094" t="inlineStr">
        <is>
          <t>43-4805::98353:90729:225</t>
        </is>
      </c>
      <c r="AA1094" t="inlineStr">
        <is>
          <t>Yes</t>
        </is>
      </c>
      <c r="AB1094" t="inlineStr"/>
      <c r="AC1094" t="inlineStr"/>
    </row>
    <row r="1095">
      <c r="A1095" t="inlineStr">
        <is>
          <t>1094</t>
        </is>
      </c>
      <c r="B1095" t="inlineStr">
        <is>
          <t>Windshield Wiper Motor</t>
        </is>
      </c>
      <c r="C1095" t="inlineStr">
        <is>
          <t>43-4806</t>
        </is>
      </c>
      <c r="D1095" t="inlineStr">
        <is>
          <t>Windshield Wiper Motor - 43-4806</t>
        </is>
      </c>
      <c r="E1095" t="inlineStr">
        <is>
          <t>CARDONE Reman</t>
        </is>
      </c>
      <c r="F1095" t="inlineStr">
        <is>
          <t>35123918;3512391</t>
        </is>
      </c>
      <c r="G1095" t="inlineStr">
        <is>
          <t>Volvo 850 1993-1997
Volvo S70 1999
Volvo V70 1998-2000</t>
        </is>
      </c>
      <c r="H1095" t="inlineStr">
        <is>
          <t>Volvo 850 1993-1997 2.4L L5 2435cc
Volvo 850 1994-1997 2.3L L5 2319cc
Volvo S70 1999 2.3L L5 2319cc
Volvo S70 1999 2.4L L5 2435cc
Volvo V70 1998-2000 2.3L L5 2319cc
Volvo V70 1998-2000 2.4L L5 2435cc</t>
        </is>
      </c>
      <c r="I1095" t="inlineStr">
        <is>
          <t>{"0": {"productDeskExternalKey": "CPCX|43-4806"}, "1": {"Package Contents": "Wiper Motor; Instruction Sheet"}, "2": {"E-Waste": "Yes"}, "3": {"Product Condition": "Remanufactured"}, "4": {"Mounting Hole Quantity": "3"}, "5": {"Terminal Type": "Blade"}, "6": {"Mounting Type": "Direct Bolt"}, "7": {"Weight PG": "2.0000"}, "8": {"Washer Pump Included": "No"}, "9": {"Part Type": "Windshield Wiper Motor"}, "10": {"Warranty Info": "1 Year/18,000 Mile"}, "11": {"Sustainable Choice": "Yes"}, "12": {"Lifecycle Status": "Available to Order"}, "13": {"Application Summary": "Volvo 850 1997-93, S70 1999, V70 2000-98"}, "14": {"ItemLevelGTIN": "00082617594998"}, "15": {"_addonCardone": "43-4806::98353:90741:225"}, "16": {"Eligible for R&amp;R Service": "Yes"}}</t>
        </is>
      </c>
      <c r="J1095" t="inlineStr">
        <is>
          <t>https://www.cardone.com/product/windshield-wiper-motor-43-4806</t>
        </is>
      </c>
      <c r="K1095">
        <f>DISPIMG("ID_55EEE96A71E64D3197ED09CD654E8F29",1)</f>
        <v/>
      </c>
      <c r="L1095" t="inlineStr">
        <is>
          <t>CPCX|43-4806</t>
        </is>
      </c>
      <c r="M1095" t="inlineStr">
        <is>
          <t>Wiper Motor; Instruction Sheet</t>
        </is>
      </c>
      <c r="N1095" t="inlineStr">
        <is>
          <t>Yes</t>
        </is>
      </c>
      <c r="O1095" t="inlineStr">
        <is>
          <t>Remanufactured</t>
        </is>
      </c>
      <c r="P1095" t="inlineStr">
        <is>
          <t>3</t>
        </is>
      </c>
      <c r="Q1095" t="inlineStr">
        <is>
          <t>Blade</t>
        </is>
      </c>
      <c r="R1095" t="inlineStr">
        <is>
          <t>Direct Bolt</t>
        </is>
      </c>
      <c r="S1095" t="inlineStr">
        <is>
          <t>2.0000</t>
        </is>
      </c>
      <c r="T1095" t="inlineStr">
        <is>
          <t>No</t>
        </is>
      </c>
      <c r="U1095" t="inlineStr">
        <is>
          <t>1 Year/18,000 Mile</t>
        </is>
      </c>
      <c r="V1095" t="inlineStr">
        <is>
          <t>Yes</t>
        </is>
      </c>
      <c r="W1095" t="inlineStr">
        <is>
          <t>Available to Order</t>
        </is>
      </c>
      <c r="X1095" t="inlineStr">
        <is>
          <t>Volvo 850 1997-93, S70 1999, V70 2000-98</t>
        </is>
      </c>
      <c r="Y1095" t="inlineStr">
        <is>
          <t>00082617594998</t>
        </is>
      </c>
      <c r="Z1095" t="inlineStr">
        <is>
          <t>43-4806::98353:90741:225</t>
        </is>
      </c>
      <c r="AA1095" t="inlineStr">
        <is>
          <t>Yes</t>
        </is>
      </c>
      <c r="AB1095" t="inlineStr"/>
      <c r="AC1095" t="inlineStr"/>
    </row>
    <row r="1096">
      <c r="A1096" t="inlineStr">
        <is>
          <t>1095</t>
        </is>
      </c>
      <c r="B1096" t="inlineStr">
        <is>
          <t>Windshield Wiper Motor</t>
        </is>
      </c>
      <c r="C1096" t="inlineStr">
        <is>
          <t>43-4807</t>
        </is>
      </c>
      <c r="D1096" t="inlineStr">
        <is>
          <t>Windshield Wiper Motor - 43-4807</t>
        </is>
      </c>
      <c r="E1096" t="inlineStr">
        <is>
          <t>CARDONE Reman</t>
        </is>
      </c>
      <c r="F1096" t="inlineStr">
        <is>
          <t>9154255;9154525;91545250;91545251</t>
        </is>
      </c>
      <c r="G1096" t="inlineStr">
        <is>
          <t>Volvo V70 2001-2004
Volvo XC70 2003-2004</t>
        </is>
      </c>
      <c r="H1096" t="inlineStr">
        <is>
          <t>Volvo V70 2001-2004 2.3L L5 2319cc
Volvo V70 2001-2004 2.4L L5 2435cc
Volvo V70 2003-2004 2.5L L5 2521cc
Volvo XC70 2003-2004 2.5L L5 2521cc
Volvo XC70 2004 2.5L L5 154cid</t>
        </is>
      </c>
      <c r="I1096" t="inlineStr">
        <is>
          <t>{"0": {"productDeskExternalKey": "CPCX|43-4807"}, "1": {"Package Contents": "Wiper Motor; Instruction Sheet"}, "2": {"E-Waste": "Yes"}, "3": {"Product Condition": "Remanufactured"}, "4": {"Mounting Hole Quantity": "3"}, "5": {"Terminal Type": "Blade"}, "6": {"Mounting Type": "Grommet"}, "7": {"Weight PG": "2.3000"}, "8": {"Washer Pump Included": "No"}, "9": {"Part Type": "Windshield Wiper Motor"}, "10": {"Warranty Info": "1 Year/18,000 Mile"}, "11": {"Sustainable Choice": "Yes"}, "12": {"Lifecycle Status": "Available to Order"}, "13": {"Application Summary": "Volvo V70 2004-01, XC70 2004-03"}, "14": {"ItemLevelGTIN": "00082617767521"}, "15": {"_addonCardone": "43-4807::98353:90757:225"}, "16": {"Eligible for R&amp;R Service": "Yes"}}</t>
        </is>
      </c>
      <c r="J1096" t="inlineStr">
        <is>
          <t>https://www.cardone.com/product/windshield-wiper-motor-43-4807</t>
        </is>
      </c>
      <c r="K1096">
        <f>DISPIMG("ID_907CCEE38DD3442DB624EE0460888E6A",1)</f>
        <v/>
      </c>
      <c r="L1096" t="inlineStr">
        <is>
          <t>CPCX|43-4807</t>
        </is>
      </c>
      <c r="M1096" t="inlineStr">
        <is>
          <t>Wiper Motor; Instruction Sheet</t>
        </is>
      </c>
      <c r="N1096" t="inlineStr">
        <is>
          <t>Yes</t>
        </is>
      </c>
      <c r="O1096" t="inlineStr">
        <is>
          <t>Remanufactured</t>
        </is>
      </c>
      <c r="P1096" t="inlineStr">
        <is>
          <t>3</t>
        </is>
      </c>
      <c r="Q1096" t="inlineStr">
        <is>
          <t>Blade</t>
        </is>
      </c>
      <c r="R1096" t="inlineStr">
        <is>
          <t>Grommet</t>
        </is>
      </c>
      <c r="S1096" t="inlineStr">
        <is>
          <t>2.3000</t>
        </is>
      </c>
      <c r="T1096" t="inlineStr">
        <is>
          <t>No</t>
        </is>
      </c>
      <c r="U1096" t="inlineStr">
        <is>
          <t>1 Year/18,000 Mile</t>
        </is>
      </c>
      <c r="V1096" t="inlineStr">
        <is>
          <t>Yes</t>
        </is>
      </c>
      <c r="W1096" t="inlineStr">
        <is>
          <t>Available to Order</t>
        </is>
      </c>
      <c r="X1096" t="inlineStr">
        <is>
          <t>Volvo V70 2004-01, XC70 2004-03</t>
        </is>
      </c>
      <c r="Y1096" t="inlineStr">
        <is>
          <t>00082617767521</t>
        </is>
      </c>
      <c r="Z1096" t="inlineStr">
        <is>
          <t>43-4807::98353:90757:225</t>
        </is>
      </c>
      <c r="AA1096" t="inlineStr">
        <is>
          <t>Yes</t>
        </is>
      </c>
      <c r="AB1096" t="inlineStr"/>
      <c r="AC1096" t="inlineStr"/>
    </row>
    <row r="1097">
      <c r="A1097" t="inlineStr">
        <is>
          <t>1096</t>
        </is>
      </c>
      <c r="B1097" t="inlineStr">
        <is>
          <t>Windshield Wiper Motor</t>
        </is>
      </c>
      <c r="C1097" t="inlineStr">
        <is>
          <t>43-4809</t>
        </is>
      </c>
      <c r="D1097" t="inlineStr">
        <is>
          <t>Windshield Wiper Motor - 43-4809</t>
        </is>
      </c>
      <c r="E1097" t="inlineStr">
        <is>
          <t>CARDONE Reman</t>
        </is>
      </c>
      <c r="F1097" t="inlineStr">
        <is>
          <t>86671880;8667188</t>
        </is>
      </c>
      <c r="G1097" t="inlineStr">
        <is>
          <t>Volvo V70 2005-2007
Volvo XC70 2005-2008</t>
        </is>
      </c>
      <c r="H1097" t="inlineStr">
        <is>
          <t>Volvo V70 2005-2007 2.4L L5 2435cc
Volvo V70 2005-2007 2.5L L5 2521cc
Volvo XC70 2005-2007 2.5L L5 154cid
Volvo XC70 2005-2007 2.5L L5 2521cc
Volvo XC70 2008 3.2L L6 3192cc</t>
        </is>
      </c>
      <c r="I1097" t="inlineStr">
        <is>
          <t>{"0": {"productDeskExternalKey": "CPCX|43-4809"}, "1": {"Package Contents": "Wiper Motor; Instruction Sheet"}, "2": {"E-Waste": "Yes"}, "3": {"Product Condition": "Remanufactured"}, "4": {"Mounting Hole Quantity": "3"}, "5": {"Terminal Type": "Blade"}, "6": {"Mounting Type": "Eyelet; Grommet"}, "7": {"Weight PG": "2.0000"}, "8": {"Washer Pump Included": "No"}, "9": {"Part Type": "Windshield Wiper Motor"}, "10": {"Warranty Info": "1 Year/18,000 Mile"}, "11": {"Sustainable Choice": "Yes"}, "12": {"Lifecycle Status": "Available to Order"}, "13": {"Application Summary": "Volvo V70 2007-05, XC70 2008-05"}, "14": {"ItemLevelGTIN": "00082617804943"}, "15": {"_addonCardone": "43-4809::98353:90771:225"}, "16": {"Eligible for R&amp;R Service": "Yes"}}</t>
        </is>
      </c>
      <c r="J1097" t="inlineStr">
        <is>
          <t>https://www.cardone.com/product/windshield-wiper-motor-43-4809</t>
        </is>
      </c>
      <c r="K1097">
        <f>DISPIMG("ID_1E9C098ED04643ACAF44D87668158F5E",1)</f>
        <v/>
      </c>
      <c r="L1097" t="inlineStr">
        <is>
          <t>CPCX|43-4809</t>
        </is>
      </c>
      <c r="M1097" t="inlineStr">
        <is>
          <t>Wiper Motor; Instruction Sheet</t>
        </is>
      </c>
      <c r="N1097" t="inlineStr">
        <is>
          <t>Yes</t>
        </is>
      </c>
      <c r="O1097" t="inlineStr">
        <is>
          <t>Remanufactured</t>
        </is>
      </c>
      <c r="P1097" t="inlineStr">
        <is>
          <t>3</t>
        </is>
      </c>
      <c r="Q1097" t="inlineStr">
        <is>
          <t>Blade</t>
        </is>
      </c>
      <c r="R1097" t="inlineStr">
        <is>
          <t>Eyelet; Grommet</t>
        </is>
      </c>
      <c r="S1097" t="inlineStr">
        <is>
          <t>2.0000</t>
        </is>
      </c>
      <c r="T1097" t="inlineStr">
        <is>
          <t>No</t>
        </is>
      </c>
      <c r="U1097" t="inlineStr">
        <is>
          <t>1 Year/18,000 Mile</t>
        </is>
      </c>
      <c r="V1097" t="inlineStr">
        <is>
          <t>Yes</t>
        </is>
      </c>
      <c r="W1097" t="inlineStr">
        <is>
          <t>Available to Order</t>
        </is>
      </c>
      <c r="X1097" t="inlineStr">
        <is>
          <t>Volvo V70 2007-05, XC70 2008-05</t>
        </is>
      </c>
      <c r="Y1097" t="inlineStr">
        <is>
          <t>00082617804943</t>
        </is>
      </c>
      <c r="Z1097" t="inlineStr">
        <is>
          <t>43-4809::98353:90771:225</t>
        </is>
      </c>
      <c r="AA1097" t="inlineStr">
        <is>
          <t>Yes</t>
        </is>
      </c>
      <c r="AB1097" t="inlineStr"/>
      <c r="AC1097" t="inlineStr"/>
    </row>
    <row r="1098">
      <c r="A1098" t="inlineStr">
        <is>
          <t>1097</t>
        </is>
      </c>
      <c r="B1098" t="inlineStr">
        <is>
          <t>Windshield Wiper Motor</t>
        </is>
      </c>
      <c r="C1098" t="inlineStr">
        <is>
          <t>43-4810</t>
        </is>
      </c>
      <c r="D1098" t="inlineStr">
        <is>
          <t>Windshield Wiper Motor - 43-4810</t>
        </is>
      </c>
      <c r="E1098" t="inlineStr">
        <is>
          <t>CARDONE Reman</t>
        </is>
      </c>
      <c r="F1098" t="inlineStr">
        <is>
          <t>86381639;8638163;86381630</t>
        </is>
      </c>
      <c r="G1098" t="inlineStr">
        <is>
          <t>Volvo XC90 2003-2014</t>
        </is>
      </c>
      <c r="H1098" t="inlineStr">
        <is>
          <t>Volvo XC90 2003-2006 2.5L L5 2521cc
Volvo XC90 2003-2006 2.9L L6 2917cc
Volvo XC90 2004-2014 2.5L L5 154cid
Volvo XC90 2005-2011 4.4L V8 269cid
Volvo XC90 2007-2014 3.2L L6 3192cc</t>
        </is>
      </c>
      <c r="I1098" t="inlineStr">
        <is>
          <t>{"0": {"productDeskExternalKey": "CPCX|43-4810"}, "1": {"Package Contents": "Wiper Motor; Instruction Sheet"}, "2": {"E-Waste": "Yes"}, "3": {"Product Condition": "Remanufactured"}, "4": {"Mounting Hole Quantity": "3"}, "5": {"Terminal Type": "Blade"}, "6": {"Mounting Type": "Grommet"}, "7": {"Weight PG": "2.4000"}, "8": {"Washer Pump Included": "No"}, "9": {"Part Type": "Windshield Wiper Motor"}, "10": {"Warranty Info": "1 Year/18,000 Mile"}, "11": {"Sustainable Choice": "Yes"}, "12": {"Lifecycle Status": "Available to Order"}, "13": {"Application Summary": "Volvo XC90 2014-03"}, "14": {"ItemLevelGTIN": "00082617804950"}, "15": {"_addonCardone": "43-4810::98353:90784:225"}, "16": {"Eligible for R&amp;R Service": "Yes"}}</t>
        </is>
      </c>
      <c r="J1098" t="inlineStr">
        <is>
          <t>https://www.cardone.com/product/windshield-wiper-motor-43-4810</t>
        </is>
      </c>
      <c r="K1098">
        <f>DISPIMG("ID_3004D20494E74F88BC273E91B9C94008",1)</f>
        <v/>
      </c>
      <c r="L1098" t="inlineStr">
        <is>
          <t>CPCX|43-4810</t>
        </is>
      </c>
      <c r="M1098" t="inlineStr">
        <is>
          <t>Wiper Motor; Instruction Sheet</t>
        </is>
      </c>
      <c r="N1098" t="inlineStr">
        <is>
          <t>Yes</t>
        </is>
      </c>
      <c r="O1098" t="inlineStr">
        <is>
          <t>Remanufactured</t>
        </is>
      </c>
      <c r="P1098" t="inlineStr">
        <is>
          <t>3</t>
        </is>
      </c>
      <c r="Q1098" t="inlineStr">
        <is>
          <t>Blade</t>
        </is>
      </c>
      <c r="R1098" t="inlineStr">
        <is>
          <t>Grommet</t>
        </is>
      </c>
      <c r="S1098" t="inlineStr">
        <is>
          <t>2.4000</t>
        </is>
      </c>
      <c r="T1098" t="inlineStr">
        <is>
          <t>No</t>
        </is>
      </c>
      <c r="U1098" t="inlineStr">
        <is>
          <t>1 Year/18,000 Mile</t>
        </is>
      </c>
      <c r="V1098" t="inlineStr">
        <is>
          <t>Yes</t>
        </is>
      </c>
      <c r="W1098" t="inlineStr">
        <is>
          <t>Available to Order</t>
        </is>
      </c>
      <c r="X1098" t="inlineStr">
        <is>
          <t>Volvo XC90 2014-03</t>
        </is>
      </c>
      <c r="Y1098" t="inlineStr">
        <is>
          <t>00082617804950</t>
        </is>
      </c>
      <c r="Z1098" t="inlineStr">
        <is>
          <t>43-4810::98353:90784:225</t>
        </is>
      </c>
      <c r="AA1098" t="inlineStr">
        <is>
          <t>Yes</t>
        </is>
      </c>
      <c r="AB1098" t="inlineStr"/>
      <c r="AC1098" t="inlineStr"/>
    </row>
    <row r="1099">
      <c r="A1099" t="inlineStr">
        <is>
          <t>1098</t>
        </is>
      </c>
      <c r="B1099" t="inlineStr">
        <is>
          <t>Windshield Wiper Motor</t>
        </is>
      </c>
      <c r="C1099" t="inlineStr">
        <is>
          <t>43-4811</t>
        </is>
      </c>
      <c r="D1099" t="inlineStr">
        <is>
          <t>Windshield Wiper Motor - 43-4811</t>
        </is>
      </c>
      <c r="E1099" t="inlineStr">
        <is>
          <t>CARDONE Reman</t>
        </is>
      </c>
      <c r="F1099" t="inlineStr">
        <is>
          <t>308056570;30805657;308056571</t>
        </is>
      </c>
      <c r="G1099" t="inlineStr">
        <is>
          <t>Volvo V40 2000-2004</t>
        </is>
      </c>
      <c r="H1099" t="inlineStr">
        <is>
          <t>Volvo V40 2000-2004 1.9L L4 1948cc</t>
        </is>
      </c>
      <c r="I1099" t="inlineStr">
        <is>
          <t>{"0": {"productDeskExternalKey": "CPCX|43-4811"}, "1": {"Package Contents": "Wiper Motor; Instruction Sheet"}, "2": {"E-Waste": "Yes"}, "3": {"Product Condition": "Remanufactured"}, "4": {"Mounting Hole Quantity": "2"}, "5": {"Terminal Type": "Blade"}, "6": {"Mounting Type": "Grommet"}, "7": {"Weight PG": "2.7500"}, "8": {"Washer Pump Included": "No"}, "9": {"Part Type": "Windshield Wiper Motor"}, "10": {"Warranty Info": "1 Year/18,000 Mile"}, "11": {"Sustainable Choice": "Yes"}, "12": {"Lifecycle Status": "Available to Order"}, "13": {"Application Summary": "Volvo V40 2004-00"}, "14": {"ItemLevelGTIN": "00082617806725"}, "15": {"_addonCardone": "43-4811::98353:90941:225"}, "16": {"Eligible for R&amp;R Service": "Yes"}}</t>
        </is>
      </c>
      <c r="J1099" t="inlineStr">
        <is>
          <t>https://www.cardone.com/product/windshield-wiper-motor-43-4811</t>
        </is>
      </c>
      <c r="K1099">
        <f>DISPIMG("ID_E5601870037A4A09A9B1323AB5F10F4A",1)</f>
        <v/>
      </c>
      <c r="L1099" t="inlineStr">
        <is>
          <t>CPCX|43-4811</t>
        </is>
      </c>
      <c r="M1099" t="inlineStr">
        <is>
          <t>Wiper Motor; Instruction Sheet</t>
        </is>
      </c>
      <c r="N1099" t="inlineStr">
        <is>
          <t>Yes</t>
        </is>
      </c>
      <c r="O1099" t="inlineStr">
        <is>
          <t>Remanufactured</t>
        </is>
      </c>
      <c r="P1099" t="inlineStr">
        <is>
          <t>2</t>
        </is>
      </c>
      <c r="Q1099" t="inlineStr">
        <is>
          <t>Blade</t>
        </is>
      </c>
      <c r="R1099" t="inlineStr">
        <is>
          <t>Grommet</t>
        </is>
      </c>
      <c r="S1099" t="inlineStr">
        <is>
          <t>2.7500</t>
        </is>
      </c>
      <c r="T1099" t="inlineStr">
        <is>
          <t>No</t>
        </is>
      </c>
      <c r="U1099" t="inlineStr">
        <is>
          <t>1 Year/18,000 Mile</t>
        </is>
      </c>
      <c r="V1099" t="inlineStr">
        <is>
          <t>Yes</t>
        </is>
      </c>
      <c r="W1099" t="inlineStr">
        <is>
          <t>Available to Order</t>
        </is>
      </c>
      <c r="X1099" t="inlineStr">
        <is>
          <t>Volvo V40 2004-00</t>
        </is>
      </c>
      <c r="Y1099" t="inlineStr">
        <is>
          <t>00082617806725</t>
        </is>
      </c>
      <c r="Z1099" t="inlineStr">
        <is>
          <t>43-4811::98353:90941:225</t>
        </is>
      </c>
      <c r="AA1099" t="inlineStr">
        <is>
          <t>Yes</t>
        </is>
      </c>
      <c r="AB1099" t="inlineStr"/>
      <c r="AC1099" t="inlineStr"/>
    </row>
    <row r="1100">
      <c r="A1100" t="inlineStr">
        <is>
          <t>1099</t>
        </is>
      </c>
      <c r="B1100" t="inlineStr">
        <is>
          <t>Windshield Wiper Motor</t>
        </is>
      </c>
      <c r="C1100" t="inlineStr">
        <is>
          <t>43-4817</t>
        </is>
      </c>
      <c r="D1100" t="inlineStr">
        <is>
          <t>Windshield Wiper Motor - 43-4817</t>
        </is>
      </c>
      <c r="E1100" t="inlineStr">
        <is>
          <t>CARDONE Reman</t>
        </is>
      </c>
      <c r="F1100" t="inlineStr">
        <is>
          <t>86938480;8693848;86938487</t>
        </is>
      </c>
      <c r="G1100" t="inlineStr">
        <is>
          <t>Volvo XC90 2004-2014</t>
        </is>
      </c>
      <c r="H1100" t="inlineStr">
        <is>
          <t>Volvo XC90 2004-2006 2.5L L5 2521cc
Volvo XC90 2004-2006 2.9L L6 2917cc
Volvo XC90 2004-2014 2.5L L5 154cid
Volvo XC90 2005-2011 4.4L V8 269cid
Volvo XC90 2007-2014 3.2L L6 3192cc</t>
        </is>
      </c>
      <c r="I1100" t="inlineStr">
        <is>
          <t>{"0": {"productDeskExternalKey": "CPCX|43-4817"}, "1": {"Package Contents": "Wiper Motor; Instruction Sheet"}, "2": {"E-Waste": "Yes"}, "3": {"Product Condition": "Remanufactured"}, "4": {"Mounting Hole Quantity": "3"}, "5": {"Terminal Type": "Blade"}, "6": {"Mounting Type": "Direct Bolt"}, "7": {"Weight PG": "2.8000"}, "8": {"Washer Pump Included": "No"}, "9": {"Part Type": "Windshield Wiper Motor"}, "10": {"Warranty Info": "1 Year/18,000 Mile"}, "11": {"Sustainable Choice": "Yes"}, "12": {"Lifecycle Status": "Available to Order"}, "13": {"Application Summary": "Volvo XC90 2014-04"}, "14": {"ItemLevelGTIN": "00082617822282"}, "15": {"_addonCardone": "43-4817::98353:90953:225"}, "16": {"Eligible for R&amp;R Service": "Yes"}}</t>
        </is>
      </c>
      <c r="J1100" t="inlineStr">
        <is>
          <t>https://www.cardone.com/product/windshield-wiper-motor-43-4817</t>
        </is>
      </c>
      <c r="K1100">
        <f>DISPIMG("ID_08BBE7D285564B2885CD1A8E29E654D5",1)</f>
        <v/>
      </c>
      <c r="L1100" t="inlineStr">
        <is>
          <t>CPCX|43-4817</t>
        </is>
      </c>
      <c r="M1100" t="inlineStr">
        <is>
          <t>Wiper Motor; Instruction Sheet</t>
        </is>
      </c>
      <c r="N1100" t="inlineStr">
        <is>
          <t>Yes</t>
        </is>
      </c>
      <c r="O1100" t="inlineStr">
        <is>
          <t>Remanufactured</t>
        </is>
      </c>
      <c r="P1100" t="inlineStr">
        <is>
          <t>3</t>
        </is>
      </c>
      <c r="Q1100" t="inlineStr">
        <is>
          <t>Blade</t>
        </is>
      </c>
      <c r="R1100" t="inlineStr">
        <is>
          <t>Direct Bolt</t>
        </is>
      </c>
      <c r="S1100" t="inlineStr">
        <is>
          <t>2.8000</t>
        </is>
      </c>
      <c r="T1100" t="inlineStr">
        <is>
          <t>No</t>
        </is>
      </c>
      <c r="U1100" t="inlineStr">
        <is>
          <t>1 Year/18,000 Mile</t>
        </is>
      </c>
      <c r="V1100" t="inlineStr">
        <is>
          <t>Yes</t>
        </is>
      </c>
      <c r="W1100" t="inlineStr">
        <is>
          <t>Available to Order</t>
        </is>
      </c>
      <c r="X1100" t="inlineStr">
        <is>
          <t>Volvo XC90 2014-04</t>
        </is>
      </c>
      <c r="Y1100" t="inlineStr">
        <is>
          <t>00082617822282</t>
        </is>
      </c>
      <c r="Z1100" t="inlineStr">
        <is>
          <t>43-4817::98353:90953:225</t>
        </is>
      </c>
      <c r="AA1100" t="inlineStr">
        <is>
          <t>Yes</t>
        </is>
      </c>
      <c r="AB1100" t="inlineStr"/>
      <c r="AC1100" t="inlineStr"/>
    </row>
    <row r="1101">
      <c r="A1101" t="inlineStr">
        <is>
          <t>1100</t>
        </is>
      </c>
      <c r="B1101" t="inlineStr">
        <is>
          <t>Windshield Wiper Motor</t>
        </is>
      </c>
      <c r="C1101" t="inlineStr">
        <is>
          <t>43-4819</t>
        </is>
      </c>
      <c r="D1101" t="inlineStr">
        <is>
          <t>Windshield Wiper Motor - 43-4819</t>
        </is>
      </c>
      <c r="E1101" t="inlineStr">
        <is>
          <t>CARDONE Reman</t>
        </is>
      </c>
      <c r="F1101" t="inlineStr">
        <is>
          <t>30796358;307963580</t>
        </is>
      </c>
      <c r="G1101" t="inlineStr">
        <is>
          <t>Volvo S80 2008-2016
Volvo V70 2008-2010
Volvo XC70 2009-2016</t>
        </is>
      </c>
      <c r="H1101" t="inlineStr">
        <is>
          <t>Volvo S80 2008-2010 4.4L V8 269cid
Volvo S80 2008-2014 3.2L L6 3192cc
Volvo S80 2008-2015 3L L6 2953cc
Volvo S80 2010-2015 3L L6 180cid
Volvo S80 2012-2013 2L L4 122cid
Volvo S80 2015-2016 2L L4 1969cc
Volvo V70 2008-2010 3.2L L6 3192cc
Volvo XC70 2009-2015 3.2L L6 3192cc
Volvo XC70 2009-2015 3L L6 2953cc
Volvo XC70 2015-2016 2L L4 1969cc
Volvo XC70 2016 2.5L L5 2521cc</t>
        </is>
      </c>
      <c r="I1101" t="inlineStr">
        <is>
          <t>{"0": {"productDeskExternalKey": "CPCX|43-4819"}, "1": {"E-Waste": "Yes"}, "2": {"Product Condition": "Remanufactured"}, "3": {"Weight PG": "2.7500"}, "4": {"Part Type": "Windshield Wiper Motor"}, "5": {"Warranty Info": "1 Year/18,000 Mile"}, "6": {"Sustainable Choice": "Yes"}, "7": {"Lifecycle Status": "Available to Order"}, "8": {"Application Summary": "Volvo S80 2016-08, V70 2010-08, XC70 2016-09"}, "9": {"ItemLevelGTIN": "00082617834353"}, "10": {"_addonCardone": "43-4819::98353:90962:225"}, "11": {"Eligible for R&amp;R Service": "Yes"}}</t>
        </is>
      </c>
      <c r="J1101" t="inlineStr">
        <is>
          <t>https://www.cardone.com/product/windshield-wiper-motor-43-4819</t>
        </is>
      </c>
      <c r="K1101">
        <f>DISPIMG("ID_CAE41D46ED9C47AE81984A7E114135CC",1)</f>
        <v/>
      </c>
      <c r="L1101" t="inlineStr">
        <is>
          <t>CPCX|43-4819</t>
        </is>
      </c>
      <c r="M1101" t="inlineStr"/>
      <c r="N1101" t="inlineStr">
        <is>
          <t>Yes</t>
        </is>
      </c>
      <c r="O1101" t="inlineStr">
        <is>
          <t>Remanufactured</t>
        </is>
      </c>
      <c r="P1101" t="inlineStr"/>
      <c r="Q1101" t="inlineStr"/>
      <c r="R1101" t="inlineStr"/>
      <c r="S1101" t="inlineStr">
        <is>
          <t>2.7500</t>
        </is>
      </c>
      <c r="T1101" t="inlineStr"/>
      <c r="U1101" t="inlineStr">
        <is>
          <t>1 Year/18,000 Mile</t>
        </is>
      </c>
      <c r="V1101" t="inlineStr">
        <is>
          <t>Yes</t>
        </is>
      </c>
      <c r="W1101" t="inlineStr">
        <is>
          <t>Available to Order</t>
        </is>
      </c>
      <c r="X1101" t="inlineStr">
        <is>
          <t>Volvo S80 2016-08, V70 2010-08, XC70 2016-09</t>
        </is>
      </c>
      <c r="Y1101" t="inlineStr">
        <is>
          <t>00082617834353</t>
        </is>
      </c>
      <c r="Z1101" t="inlineStr">
        <is>
          <t>43-4819::98353:90962:225</t>
        </is>
      </c>
      <c r="AA1101" t="inlineStr">
        <is>
          <t>Yes</t>
        </is>
      </c>
      <c r="AB1101" t="inlineStr"/>
      <c r="AC1101" t="inlineStr"/>
    </row>
    <row r="1102">
      <c r="A1102" t="inlineStr">
        <is>
          <t>1101</t>
        </is>
      </c>
      <c r="B1102" t="inlineStr">
        <is>
          <t>Windshield Wiper Motor</t>
        </is>
      </c>
      <c r="C1102" t="inlineStr">
        <is>
          <t>43-4821</t>
        </is>
      </c>
      <c r="D1102" t="inlineStr">
        <is>
          <t>Windshield Wiper Motor - 43-4821</t>
        </is>
      </c>
      <c r="E1102" t="inlineStr">
        <is>
          <t>CARDONE Reman</t>
        </is>
      </c>
      <c r="F1102" t="inlineStr">
        <is>
          <t>31253518;312535180;307849820;30784982;30698233;306993440;30699344;8648002</t>
        </is>
      </c>
      <c r="G1102" t="inlineStr">
        <is>
          <t>Volvo C30 2008-2012
Volvo C70 2006-2012
Volvo S40 2006-2011
Volvo V50 2005-2011</t>
        </is>
      </c>
      <c r="H1102" t="inlineStr">
        <is>
          <t>Volvo C30 2008-2011 2.4L L5 2435cc
Volvo C30 2008-2012 2.5L L5 154cid
Volvo C30 2008-2012 2.5L L5 2521cc
Volvo C30 2011-2012 1.6L L4 95cid
Volvo C70 2006-2012 2.5L L5 154cid
Volvo C70 2006-2012 2.5L L5 2521cc
Volvo S40 2006-2010 2.4L L5 2435cc
Volvo S40 2006-2011 2.5L L5 154cid
Volvo S40 2006-2011 2.5L L5 2521cc
Volvo S40 2011 2L L4 122cid
Volvo V50 2005-2007 2.5L L5 154cid
Volvo V50 2005-2010 2.4L L5 2435cc
Volvo V50 2005-2011 2.5L L5 2521cc</t>
        </is>
      </c>
      <c r="I1102" t="inlineStr">
        <is>
          <t>{"0": {"productDeskExternalKey": "CPCX|43-4821"}, "1": {"E-Waste": "Yes"}, "2": {"Product Condition": "Remanufactured"}, "3": {"Weight PG": "2.7500"}, "4": {"Part Type": "Windshield Wiper Motor"}, "5": {"Warranty Info": "1 Year/18,000 Mile"}, "6": {"Sustainable Choice": "Yes"}, "7": {"Lifecycle Status": "Available to Order"}, "8": {"Application Summary": "Volvo C30 2012-08, C70 2012-06, S40 2011-06, V50 2011-05"}, "9": {"ItemLevelGTIN": "00082617838450"}, "10": {"_addonCardone": "43-4821::98353:90974:225"}, "11": {"Eligible for R&amp;R Service": "Yes"}}</t>
        </is>
      </c>
      <c r="J1102" t="inlineStr">
        <is>
          <t>https://www.cardone.com/product/windshield-wiper-motor-43-4821</t>
        </is>
      </c>
      <c r="K1102">
        <f>DISPIMG("ID_136C17673B83411B83620C216D58EF0F",1)</f>
        <v/>
      </c>
      <c r="L1102" t="inlineStr">
        <is>
          <t>CPCX|43-4821</t>
        </is>
      </c>
      <c r="M1102" t="inlineStr"/>
      <c r="N1102" t="inlineStr">
        <is>
          <t>Yes</t>
        </is>
      </c>
      <c r="O1102" t="inlineStr">
        <is>
          <t>Remanufactured</t>
        </is>
      </c>
      <c r="P1102" t="inlineStr"/>
      <c r="Q1102" t="inlineStr"/>
      <c r="R1102" t="inlineStr"/>
      <c r="S1102" t="inlineStr">
        <is>
          <t>2.7500</t>
        </is>
      </c>
      <c r="T1102" t="inlineStr"/>
      <c r="U1102" t="inlineStr">
        <is>
          <t>1 Year/18,000 Mile</t>
        </is>
      </c>
      <c r="V1102" t="inlineStr">
        <is>
          <t>Yes</t>
        </is>
      </c>
      <c r="W1102" t="inlineStr">
        <is>
          <t>Available to Order</t>
        </is>
      </c>
      <c r="X1102" t="inlineStr">
        <is>
          <t>Volvo C30 2012-08, C70 2012-06, S40 2011-06, V50 2011-05</t>
        </is>
      </c>
      <c r="Y1102" t="inlineStr">
        <is>
          <t>00082617838450</t>
        </is>
      </c>
      <c r="Z1102" t="inlineStr">
        <is>
          <t>43-4821::98353:90974:225</t>
        </is>
      </c>
      <c r="AA1102" t="inlineStr">
        <is>
          <t>Yes</t>
        </is>
      </c>
      <c r="AB1102" t="inlineStr"/>
      <c r="AC1102" t="inlineStr"/>
    </row>
    <row r="1103">
      <c r="A1103" t="inlineStr">
        <is>
          <t>1102</t>
        </is>
      </c>
      <c r="B1103" t="inlineStr">
        <is>
          <t>Windshield Wiper Motor</t>
        </is>
      </c>
      <c r="C1103" t="inlineStr">
        <is>
          <t>43-4822</t>
        </is>
      </c>
      <c r="D1103" t="inlineStr">
        <is>
          <t>Windshield Wiper Motor - 43-4822</t>
        </is>
      </c>
      <c r="E1103" t="inlineStr">
        <is>
          <t>CARDONE Reman</t>
        </is>
      </c>
      <c r="F1103" t="inlineStr">
        <is>
          <t>30663891;306638910;31290787</t>
        </is>
      </c>
      <c r="G1103" t="inlineStr">
        <is>
          <t>Volvo V70 2008-2010
Volvo XC60 2010-2016
Volvo XC70 2009-2016</t>
        </is>
      </c>
      <c r="H1103" t="inlineStr">
        <is>
          <t>Volvo V70 2008-2010 3.2L L6 3192cc
Volvo XC60 2010-2015 3.2L L6 3192cc
Volvo XC60 2010-2015 3L L6 180cid
Volvo XC60 2010-2016 3L L6 2953cc
Volvo XC60 2012-2014 2L L4 122cid
Volvo XC60 2014-2016 2L L4 1969cc
Volvo XC60 2015-2016 2.5L L5 2521cc
Volvo XC70 2009-2015 3.2L L6 3192cc
Volvo XC70 2009-2015 3L L6 2953cc
Volvo XC70 2015-2016 2L L4 1969cc
Volvo XC70 2016 2.5L L5 2521cc</t>
        </is>
      </c>
      <c r="I1103" t="inlineStr">
        <is>
          <t>{"0": {"productDeskExternalKey": "CPCX|43-4822"}, "1": {"Package Contents": "Wiper Motor; Instruction Sheet"}, "2": {"E-Waste": "Yes"}, "3": {"Product Condition": "Remanufactured"}, "4": {"Mounting Hole Quantity": "3"}, "5": {"Terminal Type": "Blade"}, "6": {"Mounting Type": "Eyelet; Grommet"}, "7": {"Weight PG": "2.5000"}, "8": {"Washer Pump Included": "No"}, "9": {"Part Type": "Windshield Wiper Motor"}, "10": {"Warranty Info": "1 Year/18,000 Mile"}, "11": {"Sustainable Choice": "Yes"}, "12": {"Lifecycle Status": "Available to Order"}, "13": {"Application Summary": "Volvo V70 2010-08, XC60 2016-10, XC70 2016-09"}, "14": {"ItemLevelGTIN": "00082617864817"}, "15": {"_addonCardone": "43-4822::98353:90986:225"}, "16": {"Eligible for R&amp;R Service": "Yes"}}</t>
        </is>
      </c>
      <c r="J1103" t="inlineStr">
        <is>
          <t>https://www.cardone.com/product/windshield-wiper-motor-43-4822</t>
        </is>
      </c>
      <c r="K1103">
        <f>DISPIMG("ID_E7BBE43857404AC989A4398805A7C542",1)</f>
        <v/>
      </c>
      <c r="L1103" t="inlineStr">
        <is>
          <t>CPCX|43-4822</t>
        </is>
      </c>
      <c r="M1103" t="inlineStr">
        <is>
          <t>Wiper Motor; Instruction Sheet</t>
        </is>
      </c>
      <c r="N1103" t="inlineStr">
        <is>
          <t>Yes</t>
        </is>
      </c>
      <c r="O1103" t="inlineStr">
        <is>
          <t>Remanufactured</t>
        </is>
      </c>
      <c r="P1103" t="inlineStr">
        <is>
          <t>3</t>
        </is>
      </c>
      <c r="Q1103" t="inlineStr">
        <is>
          <t>Blade</t>
        </is>
      </c>
      <c r="R1103" t="inlineStr">
        <is>
          <t>Eyelet; Grommet</t>
        </is>
      </c>
      <c r="S1103" t="inlineStr">
        <is>
          <t>2.5000</t>
        </is>
      </c>
      <c r="T1103" t="inlineStr">
        <is>
          <t>No</t>
        </is>
      </c>
      <c r="U1103" t="inlineStr">
        <is>
          <t>1 Year/18,000 Mile</t>
        </is>
      </c>
      <c r="V1103" t="inlineStr">
        <is>
          <t>Yes</t>
        </is>
      </c>
      <c r="W1103" t="inlineStr">
        <is>
          <t>Available to Order</t>
        </is>
      </c>
      <c r="X1103" t="inlineStr">
        <is>
          <t>Volvo V70 2010-08, XC60 2016-10, XC70 2016-09</t>
        </is>
      </c>
      <c r="Y1103" t="inlineStr">
        <is>
          <t>00082617864817</t>
        </is>
      </c>
      <c r="Z1103" t="inlineStr">
        <is>
          <t>43-4822::98353:90986:225</t>
        </is>
      </c>
      <c r="AA1103" t="inlineStr">
        <is>
          <t>Yes</t>
        </is>
      </c>
      <c r="AB1103" t="inlineStr"/>
      <c r="AC1103" t="inlineStr"/>
    </row>
    <row r="1104">
      <c r="A1104" t="inlineStr">
        <is>
          <t>1103</t>
        </is>
      </c>
      <c r="B1104" t="inlineStr">
        <is>
          <t>Windshield Wiper Motor</t>
        </is>
      </c>
      <c r="C1104" t="inlineStr">
        <is>
          <t>85-10005</t>
        </is>
      </c>
      <c r="D1104" t="inlineStr">
        <is>
          <t>Windshield Wiper Motor - 85-10005</t>
        </is>
      </c>
      <c r="E1104" t="inlineStr">
        <is>
          <t>CARDONE New</t>
        </is>
      </c>
      <c r="F1104" t="inlineStr">
        <is>
          <t>25877338</t>
        </is>
      </c>
      <c r="G1104" t="inlineStr">
        <is>
          <t>Cadillac CTS 2008-2015
Cadillac Escalade 2015-2022
Cadillac Escalade ESV 2015-2022
Chevrolet Silverado 1500 2007-2010
Chevrolet Silverado 2500 HD 2007-2010
Chevrolet Silverado 3500 HD 2007-2010
Chevrolet Suburban 2015-2022
Chevrolet Suburban 3500 HD 2016-2018
Chevrolet Tahoe 2015-2022
GMC Sierra 1500 2008-2010
GMC Sierra 2500 HD 2008-2010
GMC Sierra 3500 HD 2008-2010
GMC Yukon 2015-2022
GMC Yukon XL 2015-2022</t>
        </is>
      </c>
      <c r="H1104" t="inlineStr">
        <is>
          <t>Cadillac CTS 2008-2014 3.6L V6 217cid
Cadillac CTS 2009-2015 6.2L V8 376cid
Cadillac CTS 2010-2014 3L V6 182cid
Cadillac CTS 2014 2L L4 122cid
Cadillac Escalade 2015-2022 6.2L V8 376cid
Cadillac Escalade 2021-2022 3L L6 183cid
Cadillac Escalade ESV 2015-2022 6.2L V8 376cid
Cadillac Escalade ESV 2021-2022 3L L6 183cid
Chevrolet Silverado 1500 2007-2010 4.3L V6 262cid
Chevrolet Silverado 1500 2007-2010 4.8L V8 294cid
Chevrolet Silverado 1500 2007-2010 5.3L V8 325cid
Chevrolet Silverado 1500 2007-2010 6L V8 364cid
Chevrolet Silverado 1500 2009-2010 6.2L V8 376cid
Chevrolet Silverado 2500 HD 2007-2010 6.6L V8 403cid
Chevrolet Silverado 2500 HD 2007-2010 6L V8 364cid
Chevrolet Silverado 3500 HD 2007-2010 6.6L V8 403cid
Chevrolet Silverado 3500 HD 2007-2010 6L V8 364cid
Chevrolet Suburban 2015-2022 5.3L V8 325cid
Chevrolet Suburban 2016-2018 6L V8 364cid
Chevrolet Suburban 2019-2022 6.2L V8 376cid
Chevrolet Suburban 2021-2022 3L L6 183cid
Chevrolet Suburban 3500 HD 2016-2018 6L V8 364cid
Chevrolet Tahoe 2015-2022 5.3L V8 325cid
Chevrolet Tahoe 2018-2022 6.2L V8 376cid
Chevrolet Tahoe 2021-2022 3L L6 183cid
GMC Sierra 1500 2008-2010 4.3L V6 262cid
GMC Sierra 1500 2008-2010 4.8L V8 294cid
GMC Sierra 1500 2008-2010 5.3L V8 325cid
GMC Sierra 1500 2008-2010 6.2L V8 376cid
GMC Sierra 1500 2008-2010 6L V8 364cid
GMC Sierra 2500 HD 2008-2010 6.6L V8 403cid
GMC Sierra 2500 HD 2008-2010 6L V8 364cid
GMC Sierra 3500 HD 2008-2010 6.6L V8 403cid
GMC Sierra 3500 HD 2008-2010 6L V8 364cid
GMC Yukon 2015-2022 5.3L V8 325cid
GMC Yukon 2015-2022 6.2L V8 376cid
GMC Yukon 2021-2022 3L L6 183cid
GMC Yukon XL 2015-2022 5.3L V8 325cid
GMC Yukon XL 2015-2022 6.2L V8 376cid
GMC Yukon XL 2021-2022 3L L6 183cid</t>
        </is>
      </c>
      <c r="I1104" t="inlineStr">
        <is>
          <t>{"0": {"productDeskExternalKey": "CNRD|85-10005"},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{"ItemLevelGTIN": "00884548166547"}}</t>
        </is>
      </c>
      <c r="J1104" t="inlineStr">
        <is>
          <t>https://www.cardone.com/product/windshield-wiper-motor-85-10005</t>
        </is>
      </c>
      <c r="K1104">
        <f>DISPIMG("ID_D209ECF389734A62A7EC817F8D71DB89",1)</f>
        <v/>
      </c>
      <c r="L1104" t="inlineStr">
        <is>
          <t>CNRD|85-10005</t>
        </is>
      </c>
      <c r="M1104" t="inlineStr">
        <is>
          <t>Wiper Motor; Instruction Manual</t>
        </is>
      </c>
      <c r="N1104" t="inlineStr">
        <is>
          <t>Yes</t>
        </is>
      </c>
      <c r="O1104" t="inlineStr">
        <is>
          <t>New</t>
        </is>
      </c>
      <c r="P1104" t="inlineStr"/>
      <c r="Q1104" t="inlineStr">
        <is>
          <t>Blade</t>
        </is>
      </c>
      <c r="R1104" t="inlineStr">
        <is>
          <t>Direct Bolt</t>
        </is>
      </c>
      <c r="S1104" t="inlineStr">
        <is>
          <t>3.0000</t>
        </is>
      </c>
      <c r="T1104" t="inlineStr">
        <is>
          <t>No</t>
        </is>
      </c>
      <c r="U1104" t="inlineStr">
        <is>
          <t>Limited Lifetime</t>
        </is>
      </c>
      <c r="V1104" t="inlineStr"/>
      <c r="W1104" t="inlineStr">
        <is>
          <t>Available to Order</t>
        </is>
      </c>
      <c r="X1104" t="inlineStr"/>
      <c r="Y1104" t="inlineStr">
        <is>
          <t>00884548166547</t>
        </is>
      </c>
      <c r="Z1104" t="inlineStr"/>
      <c r="AA1104" t="inlineStr"/>
      <c r="AB1104" t="inlineStr"/>
      <c r="AC1104" t="inlineStr">
        <is>
          <t>Yes</t>
        </is>
      </c>
    </row>
    <row r="1105">
      <c r="A1105" t="inlineStr">
        <is>
          <t>1104</t>
        </is>
      </c>
      <c r="B1105" t="inlineStr">
        <is>
          <t>Windshield Wiper Motor</t>
        </is>
      </c>
      <c r="C1105" t="inlineStr">
        <is>
          <t>85-10006</t>
        </is>
      </c>
      <c r="D1105" t="inlineStr">
        <is>
          <t>Windshield Wiper Motor - 85-10006</t>
        </is>
      </c>
      <c r="E1105" t="inlineStr">
        <is>
          <t>CARDONE New</t>
        </is>
      </c>
      <c r="F1105" t="inlineStr">
        <is>
          <t>25864153;25795300</t>
        </is>
      </c>
      <c r="G1105" t="inlineStr">
        <is>
          <t>Buick Enclave 2008-2017</t>
        </is>
      </c>
      <c r="H1105" t="inlineStr">
        <is>
          <t>Buick Enclave 2008-2017 3.6L V6 217cid</t>
        </is>
      </c>
      <c r="I1105" t="inlineStr">
        <is>
          <t>{"0": {"productDeskExternalKey": "CNRD|85-10006"}, "1": {"Package Contents": "Wiper Motor; Instruction Manual"}, "2": {"E-Waste": "Yes"}, "3": {"Product Condition": "New"}, "4": {"Terminal Type": "Blade"}, "5": {"Mounting Type": "Grommet"}, "6": {"Weight PG": "2.4000"}, "7": {"Washer Pump Included": "No"}, "8": {"Part Type": "Windshield Wiper Motor"}, "9": {"Warranty Info": "Limited Lifetime"}, "10": {"Lifetime Warranty": "Yes"}, "11": {"Lifecycle Status": "Available to Order"}, "12": {"Application Summary": "Buick Enclave 2017-08"}, "13": {"ItemLevelGTIN": "00884548291942"}}</t>
        </is>
      </c>
      <c r="J1105" t="inlineStr">
        <is>
          <t>https://www.cardone.com/product/windshield-wiper-motor-85-10006</t>
        </is>
      </c>
      <c r="K1105">
        <f>DISPIMG("ID_5E7D12CF9D4D4F7E8A27678DA95D2075",1)</f>
        <v/>
      </c>
      <c r="L1105" t="inlineStr">
        <is>
          <t>CNRD|85-10006</t>
        </is>
      </c>
      <c r="M1105" t="inlineStr">
        <is>
          <t>Wiper Motor; Instruction Manual</t>
        </is>
      </c>
      <c r="N1105" t="inlineStr">
        <is>
          <t>Yes</t>
        </is>
      </c>
      <c r="O1105" t="inlineStr">
        <is>
          <t>New</t>
        </is>
      </c>
      <c r="P1105" t="inlineStr"/>
      <c r="Q1105" t="inlineStr">
        <is>
          <t>Blade</t>
        </is>
      </c>
      <c r="R1105" t="inlineStr">
        <is>
          <t>Grommet</t>
        </is>
      </c>
      <c r="S1105" t="inlineStr">
        <is>
          <t>2.4000</t>
        </is>
      </c>
      <c r="T1105" t="inlineStr">
        <is>
          <t>No</t>
        </is>
      </c>
      <c r="U1105" t="inlineStr">
        <is>
          <t>Limited Lifetime</t>
        </is>
      </c>
      <c r="V1105" t="inlineStr"/>
      <c r="W1105" t="inlineStr">
        <is>
          <t>Available to Order</t>
        </is>
      </c>
      <c r="X1105" t="inlineStr">
        <is>
          <t>Buick Enclave 2017-08</t>
        </is>
      </c>
      <c r="Y1105" t="inlineStr">
        <is>
          <t>00884548291942</t>
        </is>
      </c>
      <c r="Z1105" t="inlineStr"/>
      <c r="AA1105" t="inlineStr"/>
      <c r="AB1105" t="inlineStr"/>
      <c r="AC1105" t="inlineStr">
        <is>
          <t>Yes</t>
        </is>
      </c>
    </row>
    <row r="1106">
      <c r="A1106" t="inlineStr">
        <is>
          <t>1105</t>
        </is>
      </c>
      <c r="B1106" t="inlineStr">
        <is>
          <t>Windshield Wiper Motor</t>
        </is>
      </c>
      <c r="C1106" t="inlineStr">
        <is>
          <t>85-10013</t>
        </is>
      </c>
      <c r="D1106" t="inlineStr">
        <is>
          <t>Windshield Wiper Motor - 85-10013</t>
        </is>
      </c>
      <c r="E1106" t="inlineStr">
        <is>
          <t>CARDONE New</t>
        </is>
      </c>
      <c r="F1106" t="inlineStr">
        <is>
          <t>20829042;96673024;25918738</t>
        </is>
      </c>
      <c r="G1106" t="inlineStr">
        <is>
          <t>Chevrolet Captiva Sport 2008-2015
Saturn Vue 2008-2010</t>
        </is>
      </c>
      <c r="H1106" t="inlineStr">
        <is>
          <t>Chevrolet Captiva Sport 2008-2010 2.4L L4 147cid
Chevrolet Captiva Sport 2008-2010 3.6L V6 217cid
Chevrolet Captiva Sport 2011-2015 2.4L L4 145cid
Chevrolet Captiva Sport 2011-2015 3L V6 182cid
Chevrolet Captiva Sport 2014 3L L6 2985cc
Saturn Vue 2008-2010 2.4L L4 145cid
Saturn Vue 2008-2010 3.5L V6 213cid
Saturn Vue 2008-2010 3.6L V6 217cid</t>
        </is>
      </c>
      <c r="I1106" t="inlineStr">
        <is>
          <t>{"0": {"productDeskExternalKey": "CNRD|85-10013"}, "1": {"Package Contents": "Wiper Motor; Instruction Manual"}, "2": {"E-Waste": "Yes"}, "3": {"Product Condition": "New"}, "4": {"Terminal Type": "Blade"}, "5": {"Mounting Type": "Direct Bolt; Grommet"}, "6": {"Weight PG": "3.8000"}, "7": {"Washer Pump Included": "No"}, "8": {"Part Type": "Windshield Wiper Motor"}, "9": {"Warranty Info": "Limited Lifetime"}, "10": {"Lifetime Warranty": "Yes"}, "11": {"Lifecycle Status": "Available to Order"}, "12": {"Application Summary": "Chevrolet Captiva Sport 2015-08; Saturn Vue 2010-08"}, "13": {"ItemLevelGTIN": "00884548192744"}}</t>
        </is>
      </c>
      <c r="J1106" t="inlineStr">
        <is>
          <t>https://www.cardone.com/product/windshield-wiper-motor-85-10013</t>
        </is>
      </c>
      <c r="K1106">
        <f>DISPIMG("ID_8FF1E2FDD94445CC88524CFEFDC099D2",1)</f>
        <v/>
      </c>
      <c r="L1106" t="inlineStr">
        <is>
          <t>CNRD|85-10013</t>
        </is>
      </c>
      <c r="M1106" t="inlineStr">
        <is>
          <t>Wiper Motor; Instruction Manual</t>
        </is>
      </c>
      <c r="N1106" t="inlineStr">
        <is>
          <t>Yes</t>
        </is>
      </c>
      <c r="O1106" t="inlineStr">
        <is>
          <t>New</t>
        </is>
      </c>
      <c r="P1106" t="inlineStr"/>
      <c r="Q1106" t="inlineStr">
        <is>
          <t>Blade</t>
        </is>
      </c>
      <c r="R1106" t="inlineStr">
        <is>
          <t>Direct Bolt; Grommet</t>
        </is>
      </c>
      <c r="S1106" t="inlineStr">
        <is>
          <t>3.8000</t>
        </is>
      </c>
      <c r="T1106" t="inlineStr">
        <is>
          <t>No</t>
        </is>
      </c>
      <c r="U1106" t="inlineStr">
        <is>
          <t>Limited Lifetime</t>
        </is>
      </c>
      <c r="V1106" t="inlineStr"/>
      <c r="W1106" t="inlineStr">
        <is>
          <t>Available to Order</t>
        </is>
      </c>
      <c r="X1106" t="inlineStr">
        <is>
          <t>Chevrolet Captiva Sport 2015-08; Saturn Vue 2010-08</t>
        </is>
      </c>
      <c r="Y1106" t="inlineStr">
        <is>
          <t>00884548192744</t>
        </is>
      </c>
      <c r="Z1106" t="inlineStr"/>
      <c r="AA1106" t="inlineStr"/>
      <c r="AB1106" t="inlineStr"/>
      <c r="AC1106" t="inlineStr">
        <is>
          <t>Yes</t>
        </is>
      </c>
    </row>
    <row r="1107">
      <c r="A1107" t="inlineStr">
        <is>
          <t>1106</t>
        </is>
      </c>
      <c r="B1107" t="inlineStr">
        <is>
          <t>Windshield Wiper Motor</t>
        </is>
      </c>
      <c r="C1107" t="inlineStr">
        <is>
          <t>85-10016</t>
        </is>
      </c>
      <c r="D1107" t="inlineStr">
        <is>
          <t>Windshield Wiper Motor - 85-10016</t>
        </is>
      </c>
      <c r="E1107" t="inlineStr">
        <is>
          <t>CARDONE New</t>
        </is>
      </c>
      <c r="F1107" t="inlineStr">
        <is>
          <t>88958406</t>
        </is>
      </c>
      <c r="G1107" t="inlineStr">
        <is>
          <t>Cadillac Escalade 2005-2007
Cadillac Escalade ESV 2005-2007
Cadillac Escalade EXT 2005-2007
Chevrolet Avalanche 1500 2005-2006
Chevrolet Avalanche 2007
Chevrolet Avalanche 2500 2005-2006
Chevrolet Silverado 1500 2005-2006
Chevrolet Silverado 1500 Classic 2007
Chevrolet Silverado 1500 HD 2005-2006
Chevrolet Silverado 1500 HD Classic 2007
Chevrolet Silverado 2500 HD 2005-2006
Chevrolet Silverado 2500 HD Classic 2007
Chevrolet Silverado 3500 2005-2006
Chevrolet Silverado 3500 Classic 2007
Chevrolet Suburban 1500 2005-2007
Chevrolet Suburban 2500 2005-2007
Chevrolet Tahoe 2005-2007
GMC Sierra 1500 2005-2007
GMC Sierra 1500 Classic 2007
GMC Sierra 1500 HD 2005-2006
GMC Sierra 1500 HD Classic 2007
GMC Sierra 2500 HD 2005-2007
GMC Sierra 2500 HD Classic 2007
GMC Sierra 3500 2005-2006
GMC Sierra 3500 Classic 2007
GMC Sierra 3500 HD 2007
GMC Yukon 2005-2007
GMC Yukon XL 1500 2005-2007
GMC Yukon XL 2500 2005-2007</t>
        </is>
      </c>
      <c r="H1107" t="inlineStr">
        <is>
          <t>Cadillac Escalade 2005 5.3L V8 325cid
Cadillac Escalade 2005-2006 6L V8 364cid
Cadillac Escalade 2007 6.2L V8 376cid
Cadillac Escalade ESV 2005-2006 6L V8 364cid
Cadillac Escalade ESV 2007 6.2L V8 376cid
Cadillac Escalade EXT 2005-2006 6L V8 364cid
Cadillac Escalade EXT 2007 6.2L V8 376cid
Chevrolet Avalanche 1500 2005-2006 5.3L V8 325cid
Chevrolet Avalanche 2007 5.3L V8 325cid
Chevrolet Avalanche 2007 6L V8 364cid
Chevrolet Avalanche 2500 2005-2006 8.1L V8 496cid
Chevrolet Silverado 1500 2005-2006 4.3L V6 262cid
Chevrolet Silverado 1500 2005-2006 4.8L V8 294cid
Chevrolet Silverado 1500 2005-2006 5.3L V8 325cid
Chevrolet Silverado 1500 2005-2006 6L V8 364cid
Chevrolet Silverado 1500 Classic 2007 4.3L V6 262cid
Chevrolet Silverado 1500 Classic 2007 4.8L V8 294cid
Chevrolet Silverado 1500 Classic 2007 5.3L V8 325cid
Chevrolet Silverado 1500 Classic 2007 6L V8 364cid
Chevrolet Silverado 1500 HD 2005-2006 6L V8 364cid
Chevrolet Silverado 1500 HD Classic 2007 6L V8 364cid
Chevrolet Silverado 2500 HD 2005-2006 6.6L V8 403cid
Chevrolet Silverado 2500 HD 2005-2006 6L V8 364cid
Chevrolet Silverado 2500 HD 2005-2006 8.1L V8 496cid
Chevrolet Silverado 2500 HD Classic 2007 6.6L V8 403cid
Chevrolet Silverado 2500 HD Classic 2007 6L V8 364cid
Chevrolet Silverado 2500 HD Classic 2007 8.1L V8 496cid
Chevrolet Silverado 3500 2005-2006 5.7L V8 350cid
Chevrolet Silverado 3500 2005-2006 6.6L V8 403cid
Chevrolet Silverado 3500 2005-2006 6L V8 364cid
Chevrolet Silverado 3500 2005-2006 8.1L V8 496cid
Chevrolet Silverado 3500 Classic 2007 6.6L V8 403cid
Chevrolet Silverado 3500 Classic 2007 6L V8 364cid
Chevrolet Silverado 3500 Classic 2007 8.1L V8 496cid
Chevrolet Suburban 1500 2005-2007 5.3L V8 325cid
Chevrolet Suburban 1500 2006-2007 6L V8 364cid
Chevrolet Suburban 2500 2005-2006 8.1L V8 496cid
Chevrolet Suburban 2500 2005-2007 6L V8 364cid
Chevrolet Tahoe 2005-2007 4.8L V8 294cid
Chevrolet Tahoe 2005-2007 5.3L V8 325cid
GMC Sierra 1500 2005-2007 4.3L V6 262cid
GMC Sierra 1500 2005-2007 4.8L V8 294cid
GMC Sierra 1500 2005-2007 5.3L V8 325cid
GMC Sierra 1500 2005-2007 6L V8 364cid
GMC Sierra 1500 2007 6.2L V8 376cid
GMC Sierra 1500 Classic 2007 4.3L V6 262cid
GMC Sierra 1500 Classic 2007 4.8L V8 294cid
GMC Sierra 1500 Classic 2007 5.3L V8 325cid
GMC Sierra 1500 Classic 2007 6L V8 364cid
GMC Sierra 1500 HD 2005-2006 6L V8 364cid
GMC Sierra 1500 HD Classic 2007 6L V8 364cid
GMC Sierra 2500 HD 2005-2006 8.1L V8 496cid
GMC Sierra 2500 HD 2005-2007 6.6L V8 403cid
GMC Sierra 2500 HD 2005-2007 6L V8 364cid
GMC Sierra 2500 HD Classic 2007 6.6L V8 403cid
GMC Sierra 2500 HD Classic 2007 6L V8 364cid
GMC Sierra 2500 HD Classic 2007 8.1L V8 496cid
GMC Sierra 3500 2005-2006 6.6L V8 403cid
GMC Sierra 3500 2005-2006 6L V8 364cid
GMC Sierra 3500 2005-2006 8.1L V8 496cid
GMC Sierra 3500 Classic 2007 6.6L V8 403cid
GMC Sierra 3500 Classic 2007 6L V8 364cid
GMC Sierra 3500 Classic 2007 8.1L V8 496cid
GMC Sierra 3500 HD 2007 6.6L V8 403cid
GMC Sierra 3500 HD 2007 6L V8 364cid
GMC Yukon 2005-2006 6L V8 364cid
GMC Yukon 2005-2007 4.8L V8 294cid
GMC Yukon 2005-2007 5.3L V8 325cid
GMC Yukon 2007 6.2L V8 376cid
GMC Yukon XL 1500 2005-2007 5.3L V8 325cid
GMC Yukon XL 1500 2005-2007 6L V8 364cid
GMC Yukon XL 1500 2007 6.2L V8 376cid
GMC Yukon XL 2500 2005-2006 8.1L V8 496cid
GMC Yukon XL 2500 2005-2007 6L V8 364cid</t>
        </is>
      </c>
      <c r="I1107" t="inlineStr">
        <is>
          <t>{"0": {"productDeskExternalKey": "CNRD|85-10016"}, "1": {"Package Contents": "Wiper Motor; Instruction Manual"}, "2": {"E-Waste": "Yes"}, "3": {"Product Condition": "New"}, "4": {"Terminal Type": "Blade"}, "5": {"Mounting Type": "Direct Bolt; Grommet"}, "6": {"Weight PG": "3.4000"}, "7": {"Washer Pump Included": "No"}, "8": {"Part Type": "Windshield Wiper Motor"}, "9": {"Warranty Info": "Limited Lifetime"}, "10": {"Lifetime Warranty": "Yes"}, "11": {"Lifecycle Status": "Available to Order"}, "12": {"ItemLevelGTIN": "00884548075467"}}</t>
        </is>
      </c>
      <c r="J1107" t="inlineStr">
        <is>
          <t>https://www.cardone.com/product/windshield-wiper-motor-85-10016</t>
        </is>
      </c>
      <c r="K1107">
        <f>DISPIMG("ID_F1DCDC15F57948799C22A8AD57ECF452",1)</f>
        <v/>
      </c>
      <c r="L1107" t="inlineStr">
        <is>
          <t>CNRD|85-10016</t>
        </is>
      </c>
      <c r="M1107" t="inlineStr">
        <is>
          <t>Wiper Motor; Instruction Manual</t>
        </is>
      </c>
      <c r="N1107" t="inlineStr">
        <is>
          <t>Yes</t>
        </is>
      </c>
      <c r="O1107" t="inlineStr">
        <is>
          <t>New</t>
        </is>
      </c>
      <c r="P1107" t="inlineStr"/>
      <c r="Q1107" t="inlineStr">
        <is>
          <t>Blade</t>
        </is>
      </c>
      <c r="R1107" t="inlineStr">
        <is>
          <t>Direct Bolt; Grommet</t>
        </is>
      </c>
      <c r="S1107" t="inlineStr">
        <is>
          <t>3.4000</t>
        </is>
      </c>
      <c r="T1107" t="inlineStr">
        <is>
          <t>No</t>
        </is>
      </c>
      <c r="U1107" t="inlineStr">
        <is>
          <t>Limited Lifetime</t>
        </is>
      </c>
      <c r="V1107" t="inlineStr"/>
      <c r="W1107" t="inlineStr">
        <is>
          <t>Available to Order</t>
        </is>
      </c>
      <c r="X1107" t="inlineStr"/>
      <c r="Y1107" t="inlineStr">
        <is>
          <t>00884548075467</t>
        </is>
      </c>
      <c r="Z1107" t="inlineStr"/>
      <c r="AA1107" t="inlineStr"/>
      <c r="AB1107" t="inlineStr"/>
      <c r="AC1107" t="inlineStr">
        <is>
          <t>Yes</t>
        </is>
      </c>
    </row>
    <row r="1108">
      <c r="A1108" t="inlineStr">
        <is>
          <t>1107</t>
        </is>
      </c>
      <c r="B1108" t="inlineStr">
        <is>
          <t>Windshield Wiper Motor</t>
        </is>
      </c>
      <c r="C1108" t="inlineStr">
        <is>
          <t>85-10020</t>
        </is>
      </c>
      <c r="D1108" t="inlineStr">
        <is>
          <t>Windshield Wiper Motor - 85-10020</t>
        </is>
      </c>
      <c r="E1108" t="inlineStr">
        <is>
          <t>CARDONE New</t>
        </is>
      </c>
      <c r="F1108" t="inlineStr">
        <is>
          <t>92273050;92293743;92164383</t>
        </is>
      </c>
      <c r="G1108" t="inlineStr">
        <is>
          <t>Chevrolet Caprice 2013-2017
Chevrolet SS 2014-2017
Pontiac G8 2008-2009</t>
        </is>
      </c>
      <c r="H1108" t="inlineStr">
        <is>
          <t>Chevrolet Caprice 2013-2017 3.6L V6 217cid
Chevrolet Caprice 2013-2017 6L V8 364cid
Chevrolet SS 2014-2017 6.2L V8 376cid
Pontiac G8 2008-2009 3.6L V6 217cid
Pontiac G8 2008-2009 6L V8 364cid
Pontiac G8 2009 6.2L V8 376cid</t>
        </is>
      </c>
      <c r="I1108" t="inlineStr">
        <is>
          <t>{"0": {"productDeskExternalKey": "CNRD|85-10020"}, "1": {"Package Contents": "Wiper Motor; Instruction Sheet"}, "2": {"E-Waste": "Yes"}, "3": {"Product Condition": "New"}, "4": {"Terminal Type": "Blade"}, "5": {"Mounting Type": "Direct Bolt"}, "6": {"Weight PG": "3.0900"}, "7": {"Washer Pump Included": "No"}, "8": {"Part Type": "Windshield Wiper Motor"}, "9": {"Warranty Info": "Limited Lifetime"}, "10": {"Lifetime Warranty": "Yes"}, "11": {"Lifecycle Status": "Available to Order"}, "12": {"Application Summary": "Chevrolet Caprice 2017-13, SS 2017-14; Pontiac G8 2009-08"}, "13": {"ItemLevelGTIN": "00884548309432"}, "14": {"Mounting Hole Quantity": "3"}}</t>
        </is>
      </c>
      <c r="J1108" t="inlineStr">
        <is>
          <t>https://www.cardone.com/product/windshield-wiper-motor-85-10020</t>
        </is>
      </c>
      <c r="K1108">
        <f>DISPIMG("ID_A741D8A01FF8437C8BA00591D3F97D11",1)</f>
        <v/>
      </c>
      <c r="L1108" t="inlineStr">
        <is>
          <t>CNRD|85-10020</t>
        </is>
      </c>
      <c r="M1108" t="inlineStr">
        <is>
          <t>Wiper Motor; Instruction Sheet</t>
        </is>
      </c>
      <c r="N1108" t="inlineStr">
        <is>
          <t>Yes</t>
        </is>
      </c>
      <c r="O1108" t="inlineStr">
        <is>
          <t>New</t>
        </is>
      </c>
      <c r="P1108" t="inlineStr">
        <is>
          <t>3</t>
        </is>
      </c>
      <c r="Q1108" t="inlineStr">
        <is>
          <t>Blade</t>
        </is>
      </c>
      <c r="R1108" t="inlineStr">
        <is>
          <t>Direct Bolt</t>
        </is>
      </c>
      <c r="S1108" t="inlineStr">
        <is>
          <t>3.0900</t>
        </is>
      </c>
      <c r="T1108" t="inlineStr">
        <is>
          <t>No</t>
        </is>
      </c>
      <c r="U1108" t="inlineStr">
        <is>
          <t>Limited Lifetime</t>
        </is>
      </c>
      <c r="V1108" t="inlineStr"/>
      <c r="W1108" t="inlineStr">
        <is>
          <t>Available to Order</t>
        </is>
      </c>
      <c r="X1108" t="inlineStr">
        <is>
          <t>Chevrolet Caprice 2017-13, SS 2017-14; Pontiac G8 2009-08</t>
        </is>
      </c>
      <c r="Y1108" t="inlineStr">
        <is>
          <t>00884548309432</t>
        </is>
      </c>
      <c r="Z1108" t="inlineStr"/>
      <c r="AA1108" t="inlineStr"/>
      <c r="AB1108" t="inlineStr"/>
      <c r="AC1108" t="inlineStr">
        <is>
          <t>Yes</t>
        </is>
      </c>
    </row>
    <row r="1109">
      <c r="A1109" t="inlineStr">
        <is>
          <t>1108</t>
        </is>
      </c>
      <c r="B1109" t="inlineStr">
        <is>
          <t>Windshield Wiper Motor</t>
        </is>
      </c>
      <c r="C1109" t="inlineStr">
        <is>
          <t>85-1003</t>
        </is>
      </c>
      <c r="D1109" t="inlineStr">
        <is>
          <t>Windshield Wiper Motor - 85-1003</t>
        </is>
      </c>
      <c r="E1109" t="inlineStr">
        <is>
          <t>CARDONE New</t>
        </is>
      </c>
      <c r="F1109" t="inlineStr">
        <is>
          <t>12494840;22121186;15746784</t>
        </is>
      </c>
      <c r="G1109" t="inlineStr">
        <is>
          <t>Chevrolet Astro 1994-2005
GMC Safari 1994-2005</t>
        </is>
      </c>
      <c r="H1109" t="inlineStr">
        <is>
          <t>Chevrolet Astro 1994-2005 4.3L V6 262cid
GMC Safari 1994-2005 4.3L V6 262cid</t>
        </is>
      </c>
      <c r="I1109" t="inlineStr">
        <is>
          <t>{"0": {"productDeskExternalKey": "CNRD|85-1003"}, "1": {"Package Contents": "Wiper Motor; Instruction Manual"}, "2": {"E-Waste": "Yes"}, "3": {"Product Condition": "New"}, "4": {"Mounting Hole Quantity": "3"}, "5": {"Terminal Type": "Blade"}, "6": {"Mounting Type": "Direct Bolt"}, "7": {"Weight PG": "4.4000"}, "8": {"Washer Pump Included": "No"}, "9": {"Part Type": "Windshield Wiper Motor"}, "10": {"Warranty Info": "Limited Lifetime"}, "11": {"Lifetime Warranty": "Yes"}, "12": {"Lifecycle Status": "Available to Order"}, "13": {"Application Summary": "Chevrolet Astro 2005-94; GMC Safari 2005-94"}, "14": {"ItemLevelGTIN": "00082617657747"}}</t>
        </is>
      </c>
      <c r="J1109" t="inlineStr">
        <is>
          <t>https://www.cardone.com/product/windshield-wiper-motor-85-1003</t>
        </is>
      </c>
      <c r="K1109">
        <f>DISPIMG("ID_089907CB9DE64F37BF59F0850BB534DF",1)</f>
        <v/>
      </c>
      <c r="L1109" t="inlineStr">
        <is>
          <t>CNRD|85-1003</t>
        </is>
      </c>
      <c r="M1109" t="inlineStr">
        <is>
          <t>Wiper Motor; Instruction Manual</t>
        </is>
      </c>
      <c r="N1109" t="inlineStr">
        <is>
          <t>Yes</t>
        </is>
      </c>
      <c r="O1109" t="inlineStr">
        <is>
          <t>New</t>
        </is>
      </c>
      <c r="P1109" t="inlineStr">
        <is>
          <t>3</t>
        </is>
      </c>
      <c r="Q1109" t="inlineStr">
        <is>
          <t>Blade</t>
        </is>
      </c>
      <c r="R1109" t="inlineStr">
        <is>
          <t>Direct Bolt</t>
        </is>
      </c>
      <c r="S1109" t="inlineStr">
        <is>
          <t>4.4000</t>
        </is>
      </c>
      <c r="T1109" t="inlineStr">
        <is>
          <t>No</t>
        </is>
      </c>
      <c r="U1109" t="inlineStr">
        <is>
          <t>Limited Lifetime</t>
        </is>
      </c>
      <c r="V1109" t="inlineStr"/>
      <c r="W1109" t="inlineStr">
        <is>
          <t>Available to Order</t>
        </is>
      </c>
      <c r="X1109" t="inlineStr">
        <is>
          <t>Chevrolet Astro 2005-94; GMC Safari 2005-94</t>
        </is>
      </c>
      <c r="Y1109" t="inlineStr">
        <is>
          <t>00082617657747</t>
        </is>
      </c>
      <c r="Z1109" t="inlineStr"/>
      <c r="AA1109" t="inlineStr"/>
      <c r="AB1109" t="inlineStr"/>
      <c r="AC1109" t="inlineStr">
        <is>
          <t>Yes</t>
        </is>
      </c>
    </row>
    <row r="1110">
      <c r="A1110" t="inlineStr">
        <is>
          <t>1109</t>
        </is>
      </c>
      <c r="B1110" t="inlineStr">
        <is>
          <t>Windshield Wiper Motor</t>
        </is>
      </c>
      <c r="C1110" t="inlineStr">
        <is>
          <t>85-10037</t>
        </is>
      </c>
      <c r="D1110" t="inlineStr">
        <is>
          <t>Windshield Wiper Motor - 85-10037</t>
        </is>
      </c>
      <c r="E1110" t="inlineStr">
        <is>
          <t>CARDONE New</t>
        </is>
      </c>
      <c r="F1110" t="inlineStr">
        <is>
          <t>22085493</t>
        </is>
      </c>
      <c r="G1110" t="inlineStr">
        <is>
          <t>Chevrolet Chevy 1996-2012</t>
        </is>
      </c>
      <c r="H1110" t="inlineStr">
        <is>
          <t>Chevrolet Chevy 1996-2002 1.4L L4 85cid
Chevrolet Chevy 1996-2012 1.6L L4 98cid</t>
        </is>
      </c>
      <c r="I1110" t="inlineStr">
        <is>
          <t>{"0": {"productDeskExternalKey": "CNRD|85-10037"}, "1": {"Package Contents": "Wiper Motor; Instruction Manual"}, "2": {"E-Waste": "Yes"}, "3": {"Product Condition": "New"}, "4": {"Terminal Type": "Blade"}, "5": {"Mounting Type": "Direct Bolt"}, "6": {"Weight PG": "2.6800"}, "7": {"Washer Pump Included": "No"}, "8": {"Part Type": "Windshield Wiper Motor"}, "9": {"Warranty Info": "Limited Lifetime"}, "10": {"Lifetime Warranty": "Yes"}, "11": {"Lifecycle Status": "Available to Order"}, "12": {"Application Summary": "Chevrolet Chevy 2012-96"}, "13": {"ItemLevelGTIN": "00884548309685"}}</t>
        </is>
      </c>
      <c r="J1110" t="inlineStr">
        <is>
          <t>https://www.cardone.com/product/windshield-wiper-motor-85-10037</t>
        </is>
      </c>
      <c r="K1110">
        <f>DISPIMG("ID_AB2C5336C24E4C7F9A12D744CA636D71",1)</f>
        <v/>
      </c>
      <c r="L1110" t="inlineStr">
        <is>
          <t>CNRD|85-10037</t>
        </is>
      </c>
      <c r="M1110" t="inlineStr">
        <is>
          <t>Wiper Motor; Instruction Manual</t>
        </is>
      </c>
      <c r="N1110" t="inlineStr">
        <is>
          <t>Yes</t>
        </is>
      </c>
      <c r="O1110" t="inlineStr">
        <is>
          <t>New</t>
        </is>
      </c>
      <c r="P1110" t="inlineStr"/>
      <c r="Q1110" t="inlineStr">
        <is>
          <t>Blade</t>
        </is>
      </c>
      <c r="R1110" t="inlineStr">
        <is>
          <t>Direct Bolt</t>
        </is>
      </c>
      <c r="S1110" t="inlineStr">
        <is>
          <t>2.6800</t>
        </is>
      </c>
      <c r="T1110" t="inlineStr">
        <is>
          <t>No</t>
        </is>
      </c>
      <c r="U1110" t="inlineStr">
        <is>
          <t>Limited Lifetime</t>
        </is>
      </c>
      <c r="V1110" t="inlineStr"/>
      <c r="W1110" t="inlineStr">
        <is>
          <t>Available to Order</t>
        </is>
      </c>
      <c r="X1110" t="inlineStr">
        <is>
          <t>Chevrolet Chevy 2012-96</t>
        </is>
      </c>
      <c r="Y1110" t="inlineStr">
        <is>
          <t>00884548309685</t>
        </is>
      </c>
      <c r="Z1110" t="inlineStr"/>
      <c r="AA1110" t="inlineStr"/>
      <c r="AB1110" t="inlineStr"/>
      <c r="AC1110" t="inlineStr">
        <is>
          <t>Yes</t>
        </is>
      </c>
    </row>
    <row r="1111">
      <c r="A1111" t="inlineStr">
        <is>
          <t>1110</t>
        </is>
      </c>
      <c r="B1111" t="inlineStr">
        <is>
          <t>Windshield Wiper Motor</t>
        </is>
      </c>
      <c r="C1111" t="inlineStr">
        <is>
          <t>85-1004</t>
        </is>
      </c>
      <c r="D1111" t="inlineStr">
        <is>
          <t>Windshield Wiper Motor - 85-1004</t>
        </is>
      </c>
      <c r="E1111" t="inlineStr">
        <is>
          <t>CARDONE New</t>
        </is>
      </c>
      <c r="F1111" t="inlineStr">
        <is>
          <t>8221219670</t>
        </is>
      </c>
      <c r="G1111" t="inlineStr">
        <is>
          <t>Chevrolet Blazer 1995-1997
Chevrolet S10 1994-1997
GMC Jimmy 1995-1997
GMC Sonoma 1994-1997
Isuzu Hombre 1996-1997
Oldsmobile Bravada 1996-1997</t>
        </is>
      </c>
      <c r="H1111" t="inlineStr">
        <is>
          <t>Chevrolet Blazer 1995-1997 4.3L V6 262cid
Chevrolet S10 1994-1997 2.2L L4 134cid
Chevrolet S10 1994-1997 4.3L V6 262cid
Chevrolet S10 1997
GMC Jimmy 1995-1997 4.3L V6 262cid
GMC Sonoma 1994-1997 2.2L L4 134cid
GMC Sonoma 1994-1997 4.3L V6 262cid
Isuzu Hombre 1996-1997 2.2L L4 134cid
Isuzu Hombre 1997 4.3L V6 4294cc
Oldsmobile Bravada 1996-1997 4.3L V6 262cid</t>
        </is>
      </c>
      <c r="I1111" t="inlineStr">
        <is>
          <t>{"0": {"productDeskExternalKey": "CNRD|85-1004"}, "1": {"Package Contents": "Wiper Motor; Instruction Manual"}, "2": {"E-Waste": "Yes"}, "3": {"Product Condition": "New"}, "4": {"Terminal Type": "Blade"}, "5": {"Mounting Type": "Grommet"}, "6": {"Weight PG": "3.2000"}, "7": {"Washer Pump Included": "No"}, "8": {"Part Type": "Windshield Wiper Motor"}, "9": {"Warranty Info": "Limited Lifetime"}, "10": {"Lifetime Warranty": "Yes"}, "11": {"Lifecycle Status": "Available to Order"}, "12": {"Application Summary": "Chevrolet Blazer 1997-95, S10 1997-94; GMC Jimmy 1997-95, Sonoma 1997-94; Isuzu Hombre 1997-96; Oldsmobile Bravada 1997-96"}, "13": {"ItemLevelGTIN": "00082617657778"}}</t>
        </is>
      </c>
      <c r="J1111" t="inlineStr">
        <is>
          <t>https://www.cardone.com/product/windshield-wiper-motor-85-1004</t>
        </is>
      </c>
      <c r="K1111">
        <f>DISPIMG("ID_70782C2706EC4BDCBA32B7B8B6DAF574",1)</f>
        <v/>
      </c>
      <c r="L1111" t="inlineStr">
        <is>
          <t>CNRD|85-1004</t>
        </is>
      </c>
      <c r="M1111" t="inlineStr">
        <is>
          <t>Wiper Motor; Instruction Manual</t>
        </is>
      </c>
      <c r="N1111" t="inlineStr">
        <is>
          <t>Yes</t>
        </is>
      </c>
      <c r="O1111" t="inlineStr">
        <is>
          <t>New</t>
        </is>
      </c>
      <c r="P1111" t="inlineStr"/>
      <c r="Q1111" t="inlineStr">
        <is>
          <t>Blade</t>
        </is>
      </c>
      <c r="R1111" t="inlineStr">
        <is>
          <t>Grommet</t>
        </is>
      </c>
      <c r="S1111" t="inlineStr">
        <is>
          <t>3.2000</t>
        </is>
      </c>
      <c r="T1111" t="inlineStr">
        <is>
          <t>No</t>
        </is>
      </c>
      <c r="U1111" t="inlineStr">
        <is>
          <t>Limited Lifetime</t>
        </is>
      </c>
      <c r="V1111" t="inlineStr"/>
      <c r="W1111" t="inlineStr">
        <is>
          <t>Available to Order</t>
        </is>
      </c>
      <c r="X1111" t="inlineStr">
        <is>
          <t>Chevrolet Blazer 1997-95, S10 1997-94; GMC Jimmy 1997-95, Sonoma 1997-94; Isuzu Hombre 1997-96; Oldsmobile Bravada 1997-96</t>
        </is>
      </c>
      <c r="Y1111" t="inlineStr">
        <is>
          <t>00082617657778</t>
        </is>
      </c>
      <c r="Z1111" t="inlineStr"/>
      <c r="AA1111" t="inlineStr"/>
      <c r="AB1111" t="inlineStr"/>
      <c r="AC1111" t="inlineStr">
        <is>
          <t>Yes</t>
        </is>
      </c>
    </row>
    <row r="1112">
      <c r="A1112" t="inlineStr">
        <is>
          <t>1111</t>
        </is>
      </c>
      <c r="B1112" t="inlineStr">
        <is>
          <t>Windshield Wiper Motor</t>
        </is>
      </c>
      <c r="C1112" t="inlineStr">
        <is>
          <t>85-1005</t>
        </is>
      </c>
      <c r="D1112" t="inlineStr">
        <is>
          <t>Windshield Wiper Motor - 85-1005</t>
        </is>
      </c>
      <c r="E1112" t="inlineStr">
        <is>
          <t>CARDONE New</t>
        </is>
      </c>
      <c r="F1112" t="inlineStr">
        <is>
          <t>12365368;12494790;15053983;22154965</t>
        </is>
      </c>
      <c r="G1112" t="inlineStr">
        <is>
          <t>Chevrolet Blazer 1995-2005
GMC Jimmy 1995-2005
Oldsmobile Bravada 1996-2001</t>
        </is>
      </c>
      <c r="H1112" t="inlineStr">
        <is>
          <t>Chevrolet Blazer 1995-2005 4.3L V6 262cid
Chevrolet Blazer 2002 4.2L L6 256cid
GMC Jimmy 1995-2003 4.3L V6 262cid
GMC Jimmy 2004-2005 4.3L V6 4294cc
Oldsmobile Bravada 1996-2001 4.3L V6 262cid</t>
        </is>
      </c>
      <c r="I1112" t="inlineStr">
        <is>
          <t>{"0": {"productDeskExternalKey": "CNRD|85-1005"}, "1": {"Package Contents": "Wiper Motor; Instruction Manual"}, "2": {"E-Waste": "Yes"}, "3": {"Product Condition": "New"}, "4": {"Terminal Type": "Blade"}, "5": {"Mounting Type": "Direct Bolt"}, "6": {"Weight PG": "4.0000"}, "7": {"Washer Pump Included": "No"}, "8": {"Part Type": "Windshield Wiper Motor"}, "9": {"Warranty Info": "Limited Lifetime"}, "10": {"Lifetime Warranty": "Yes"}, "11": {"Lifecycle Status": "Available to Order"}, "12": {"Application Summary": "Chevrolet Blazer 2005-95; GMC Jimmy 2005-95; Oldsmobile Bravada 2001-96"}, "13": {"ItemLevelGTIN": "00082617657785"}}</t>
        </is>
      </c>
      <c r="J1112" t="inlineStr">
        <is>
          <t>https://www.cardone.com/product/windshield-wiper-motor-85-1005</t>
        </is>
      </c>
      <c r="K1112">
        <f>DISPIMG("ID_02C81D23EB294184894A343E0D80FD1E",1)</f>
        <v/>
      </c>
      <c r="L1112" t="inlineStr">
        <is>
          <t>CNRD|85-1005</t>
        </is>
      </c>
      <c r="M1112" t="inlineStr">
        <is>
          <t>Wiper Motor; Instruction Manual</t>
        </is>
      </c>
      <c r="N1112" t="inlineStr">
        <is>
          <t>Yes</t>
        </is>
      </c>
      <c r="O1112" t="inlineStr">
        <is>
          <t>New</t>
        </is>
      </c>
      <c r="P1112" t="inlineStr"/>
      <c r="Q1112" t="inlineStr">
        <is>
          <t>Blade</t>
        </is>
      </c>
      <c r="R1112" t="inlineStr">
        <is>
          <t>Direct Bolt</t>
        </is>
      </c>
      <c r="S1112" t="inlineStr">
        <is>
          <t>4.0000</t>
        </is>
      </c>
      <c r="T1112" t="inlineStr">
        <is>
          <t>No</t>
        </is>
      </c>
      <c r="U1112" t="inlineStr">
        <is>
          <t>Limited Lifetime</t>
        </is>
      </c>
      <c r="V1112" t="inlineStr"/>
      <c r="W1112" t="inlineStr">
        <is>
          <t>Available to Order</t>
        </is>
      </c>
      <c r="X1112" t="inlineStr">
        <is>
          <t>Chevrolet Blazer 2005-95; GMC Jimmy 2005-95; Oldsmobile Bravada 2001-96</t>
        </is>
      </c>
      <c r="Y1112" t="inlineStr">
        <is>
          <t>00082617657785</t>
        </is>
      </c>
      <c r="Z1112" t="inlineStr"/>
      <c r="AA1112" t="inlineStr"/>
      <c r="AB1112" t="inlineStr"/>
      <c r="AC1112" t="inlineStr">
        <is>
          <t>Yes</t>
        </is>
      </c>
    </row>
    <row r="1113">
      <c r="A1113" t="inlineStr">
        <is>
          <t>1112</t>
        </is>
      </c>
      <c r="B1113" t="inlineStr">
        <is>
          <t>Windshield Wiper Motor</t>
        </is>
      </c>
      <c r="C1113" t="inlineStr">
        <is>
          <t>85-1010</t>
        </is>
      </c>
      <c r="D1113" t="inlineStr">
        <is>
          <t>Windshield Wiper Motor - 85-1010</t>
        </is>
      </c>
      <c r="E1113" t="inlineStr">
        <is>
          <t>CARDONE New</t>
        </is>
      </c>
      <c r="F1113" t="inlineStr">
        <is>
          <t>12363317</t>
        </is>
      </c>
      <c r="G1113" t="inlineStr">
        <is>
          <t>Chevrolet Cavalier 1995-1997
Pontiac Sunfire 1995-1997</t>
        </is>
      </c>
      <c r="H1113" t="inlineStr">
        <is>
          <t>Chevrolet Cavalier 1995 2.3L L4 138cid
Chevrolet Cavalier 1995-1997 2.2L L4 134cid
Chevrolet Cavalier 1995-1997 2.4L L4 146cid
Pontiac Sunfire 1995 2.3L L4 138cid
Pontiac Sunfire 1995-1997 2.2L L4 134cid
Pontiac Sunfire 1996-1997 2.4L L4 146cid</t>
        </is>
      </c>
      <c r="I1113" t="inlineStr">
        <is>
          <t>{"0": {"productDeskExternalKey": "CNRD|85-1010"}, "1": {"Package Contents": "Wiper Motor; Instruction Manual"}, "2": {"E-Waste": "Yes"}, "3": {"Product Condition": "New"}, "4": {"Terminal Type": "Pin; Blade"}, "5": {"Mounting Type": "Direct Bolt"}, "6": {"Weight PG": "3.6000"}, "7": {"Washer Pump Included": "No"}, "8": {"Part Type": "Windshield Wiper Motor"}, "9": {"Warranty Info": "Limited Lifetime"}, "10": {"Lifetime Warranty": "Yes"}, "11": {"Lifecycle Status": "Available to Order"}, "12": {"Application Summary": "Chevrolet Cavalier 1997-95; Pontiac Sunfire 1997-95"}, "13": {"ItemLevelGTIN": "00884548015159"}}</t>
        </is>
      </c>
      <c r="J1113" t="inlineStr">
        <is>
          <t>https://www.cardone.com/product/windshield-wiper-motor-85-1010</t>
        </is>
      </c>
      <c r="K1113">
        <f>DISPIMG("ID_EDD963EE138E493CB3385A8412E17C86",1)</f>
        <v/>
      </c>
      <c r="L1113" t="inlineStr">
        <is>
          <t>CNRD|85-1010</t>
        </is>
      </c>
      <c r="M1113" t="inlineStr">
        <is>
          <t>Wiper Motor; Instruction Manual</t>
        </is>
      </c>
      <c r="N1113" t="inlineStr">
        <is>
          <t>Yes</t>
        </is>
      </c>
      <c r="O1113" t="inlineStr">
        <is>
          <t>New</t>
        </is>
      </c>
      <c r="P1113" t="inlineStr"/>
      <c r="Q1113" t="inlineStr">
        <is>
          <t>Pin; Blade</t>
        </is>
      </c>
      <c r="R1113" t="inlineStr">
        <is>
          <t>Direct Bolt</t>
        </is>
      </c>
      <c r="S1113" t="inlineStr">
        <is>
          <t>3.6000</t>
        </is>
      </c>
      <c r="T1113" t="inlineStr">
        <is>
          <t>No</t>
        </is>
      </c>
      <c r="U1113" t="inlineStr">
        <is>
          <t>Limited Lifetime</t>
        </is>
      </c>
      <c r="V1113" t="inlineStr"/>
      <c r="W1113" t="inlineStr">
        <is>
          <t>Available to Order</t>
        </is>
      </c>
      <c r="X1113" t="inlineStr">
        <is>
          <t>Chevrolet Cavalier 1997-95; Pontiac Sunfire 1997-95</t>
        </is>
      </c>
      <c r="Y1113" t="inlineStr">
        <is>
          <t>00884548015159</t>
        </is>
      </c>
      <c r="Z1113" t="inlineStr"/>
      <c r="AA1113" t="inlineStr"/>
      <c r="AB1113" t="inlineStr"/>
      <c r="AC1113" t="inlineStr">
        <is>
          <t>Yes</t>
        </is>
      </c>
    </row>
    <row r="1114">
      <c r="A1114" t="inlineStr">
        <is>
          <t>1113</t>
        </is>
      </c>
      <c r="B1114" t="inlineStr">
        <is>
          <t>Windshield Wiper Motor</t>
        </is>
      </c>
      <c r="C1114" t="inlineStr">
        <is>
          <t>85-10100</t>
        </is>
      </c>
      <c r="D1114" t="inlineStr">
        <is>
          <t>Windshield Wiper Motor - 85-10100</t>
        </is>
      </c>
      <c r="E1114" t="inlineStr">
        <is>
          <t>CARDONE New</t>
        </is>
      </c>
      <c r="F1114" t="inlineStr">
        <is>
          <t>21049032;21055768</t>
        </is>
      </c>
      <c r="G1114" t="inlineStr">
        <is>
          <t>Saturn SC 1991-1992
Saturn SC1 1993-2000
Saturn SC2 1993-2000
Saturn SL 1991-2000
Saturn SL1 1991-2000
Saturn SL2 1991-2000
Saturn SW1 1993-1999
Saturn SW2 1993-2000</t>
        </is>
      </c>
      <c r="H1114" t="inlineStr">
        <is>
          <t>Saturn SC 1991-1992 1.9L L4 116cid
Saturn SC1 1993-2000 1.9L L4 116cid
Saturn SC2 1993-2000 1.9L L4 116cid
Saturn SL 1991-2000 1.9L L4 116cid
Saturn SL1 1991-2000 1.9L L4 116cid
Saturn SL2 1991-2000 1.9L L4 116cid
Saturn SW1 1993-1999 1.9L L4 116cid
Saturn SW2 1993-2000 1.9L L4 116cid</t>
        </is>
      </c>
      <c r="I1114" t="inlineStr">
        <is>
          <t>{"0": {"productDeskExternalKey": "CNRD|85-10100"},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"Saturn SC 1992-91, SC1 2000-93, SC2 2000-93, SL 2000-91, SL1 2000-91, SL2 2000-91, SW1 1999-93, SW2 2000-93"}, "13": {"ItemLevelGTIN": "00884548158672"}}</t>
        </is>
      </c>
      <c r="J1114" t="inlineStr">
        <is>
          <t>https://www.cardone.com/product/windshield-wiper-motor-85-10100</t>
        </is>
      </c>
      <c r="K1114">
        <f>DISPIMG("ID_DD04283320404F7D9C2A5972747349BA",1)</f>
        <v/>
      </c>
      <c r="L1114" t="inlineStr">
        <is>
          <t>CNRD|85-10100</t>
        </is>
      </c>
      <c r="M1114" t="inlineStr">
        <is>
          <t>Wiper Motor; Instruction Manual</t>
        </is>
      </c>
      <c r="N1114" t="inlineStr">
        <is>
          <t>Yes</t>
        </is>
      </c>
      <c r="O1114" t="inlineStr">
        <is>
          <t>New</t>
        </is>
      </c>
      <c r="P1114" t="inlineStr"/>
      <c r="Q1114" t="inlineStr">
        <is>
          <t>Blade</t>
        </is>
      </c>
      <c r="R1114" t="inlineStr">
        <is>
          <t>Direct Bolt</t>
        </is>
      </c>
      <c r="S1114" t="inlineStr">
        <is>
          <t>3.0000</t>
        </is>
      </c>
      <c r="T1114" t="inlineStr">
        <is>
          <t>No</t>
        </is>
      </c>
      <c r="U1114" t="inlineStr">
        <is>
          <t>Limited Lifetime</t>
        </is>
      </c>
      <c r="V1114" t="inlineStr"/>
      <c r="W1114" t="inlineStr">
        <is>
          <t>Available to Order</t>
        </is>
      </c>
      <c r="X1114" t="inlineStr">
        <is>
          <t>Saturn SC 1992-91, SC1 2000-93, SC2 2000-93, SL 2000-91, SL1 2000-91, SL2 2000-91, SW1 1999-93, SW2 2000-93</t>
        </is>
      </c>
      <c r="Y1114" t="inlineStr">
        <is>
          <t>00884548158672</t>
        </is>
      </c>
      <c r="Z1114" t="inlineStr"/>
      <c r="AA1114" t="inlineStr"/>
      <c r="AB1114" t="inlineStr"/>
      <c r="AC1114" t="inlineStr">
        <is>
          <t>Yes</t>
        </is>
      </c>
    </row>
    <row r="1115">
      <c r="A1115" t="inlineStr">
        <is>
          <t>1114</t>
        </is>
      </c>
      <c r="B1115" t="inlineStr">
        <is>
          <t>Windshield Wiper Motor</t>
        </is>
      </c>
      <c r="C1115" t="inlineStr">
        <is>
          <t>85-1012</t>
        </is>
      </c>
      <c r="D1115" t="inlineStr">
        <is>
          <t>Windshield Wiper Motor - 85-1012</t>
        </is>
      </c>
      <c r="E1115" t="inlineStr">
        <is>
          <t>CARDONE New</t>
        </is>
      </c>
      <c r="F1115" t="inlineStr">
        <is>
          <t>22144097;12494761</t>
        </is>
      </c>
      <c r="G1115" t="inlineStr">
        <is>
          <t>Buick Century 1997-2005
Buick Regal 1997-2004
Chevrolet Impala 2000-2005
Chevrolet Monte Carlo 2000-2005
Oldsmobile Intrigue 1998-2002
Pontiac Grand Prix 1997-2003</t>
        </is>
      </c>
      <c r="H1115" t="inlineStr">
        <is>
          <t>Buick Century 1997-2005 3.1L V6 189cid
Buick Regal 1997-2004 3.8L V6 231cid
Chevrolet Impala 2000-2005 3.4L V6 207cid
Chevrolet Impala 2000-2005 3.8L V6 231cid
Chevrolet Monte Carlo 2000-2005 3.4L V6 207cid
Chevrolet Monte Carlo 2000-2005 3.8L V6 231cid
Oldsmobile Intrigue 1998-1999 3.8L V6 231cid
Oldsmobile Intrigue 1999-2002 3.5L V6 214cid
Pontiac Grand Prix 1997-2003 3.1L V6 189cid
Pontiac Grand Prix 1997-2003 3.8L V6 231cid</t>
        </is>
      </c>
      <c r="I1115" t="inlineStr">
        <is>
          <t>{"0": {"productDeskExternalKey": "CNRD|85-1012"}, "1": {"Package Contents": "Wiper Motor; Instruction Manual"}, "2": {"E-Waste": "Yes"}, "3": {"Product Condition": "New"}, "4": {"Mounting Hole Quantity": "3"}, "5": {"Terminal Type": "Blade"}, "6": {"Mounting Type": "Direct Bolt"}, "7": {"Weight PG": "3.4500"}, "8": {"Washer Pump Included": "No"}, "9": {"Part Type": "Windshield Wiper Motor"}, "10": {"Warranty Info": "Limited Lifetime"}, "11": {"Lifetime Warranty": "Yes"}, "12": {"Lifecycle Status": "Available to Order"}, "13": {"Application Summary": "Buick Century 2005-97, Regal 2004-97; Chevrolet Impala 2005-00, Monte Carlo 2005-00; Oldsmobile Intrigue 2002-98; Pontiac Grand Prix 2003-97"}, "14": {"ItemLevelGTIN": "00082617657792"}}</t>
        </is>
      </c>
      <c r="J1115" t="inlineStr">
        <is>
          <t>https://www.cardone.com/product/windshield-wiper-motor-85-1012</t>
        </is>
      </c>
      <c r="K1115">
        <f>DISPIMG("ID_94010C0EB3A74709ACE2BE7208B0DBE0",1)</f>
        <v/>
      </c>
      <c r="L1115" t="inlineStr">
        <is>
          <t>CNRD|85-1012</t>
        </is>
      </c>
      <c r="M1115" t="inlineStr">
        <is>
          <t>Wiper Motor; Instruction Manual</t>
        </is>
      </c>
      <c r="N1115" t="inlineStr">
        <is>
          <t>Yes</t>
        </is>
      </c>
      <c r="O1115" t="inlineStr">
        <is>
          <t>New</t>
        </is>
      </c>
      <c r="P1115" t="inlineStr">
        <is>
          <t>3</t>
        </is>
      </c>
      <c r="Q1115" t="inlineStr">
        <is>
          <t>Blade</t>
        </is>
      </c>
      <c r="R1115" t="inlineStr">
        <is>
          <t>Direct Bolt</t>
        </is>
      </c>
      <c r="S1115" t="inlineStr">
        <is>
          <t>3.4500</t>
        </is>
      </c>
      <c r="T1115" t="inlineStr">
        <is>
          <t>No</t>
        </is>
      </c>
      <c r="U1115" t="inlineStr">
        <is>
          <t>Limited Lifetime</t>
        </is>
      </c>
      <c r="V1115" t="inlineStr"/>
      <c r="W1115" t="inlineStr">
        <is>
          <t>Available to Order</t>
        </is>
      </c>
      <c r="X1115" t="inlineStr">
        <is>
          <t>Buick Century 2005-97, Regal 2004-97; Chevrolet Impala 2005-00, Monte Carlo 2005-00; Oldsmobile Intrigue 2002-98; Pontiac Grand Prix 2003-97</t>
        </is>
      </c>
      <c r="Y1115" t="inlineStr">
        <is>
          <t>00082617657792</t>
        </is>
      </c>
      <c r="Z1115" t="inlineStr"/>
      <c r="AA1115" t="inlineStr"/>
      <c r="AB1115" t="inlineStr"/>
      <c r="AC1115" t="inlineStr">
        <is>
          <t>Yes</t>
        </is>
      </c>
    </row>
    <row r="1116">
      <c r="A1116" t="inlineStr">
        <is>
          <t>1115</t>
        </is>
      </c>
      <c r="B1116" t="inlineStr">
        <is>
          <t>Windshield Wiper Motor</t>
        </is>
      </c>
      <c r="C1116" t="inlineStr">
        <is>
          <t>85-1013</t>
        </is>
      </c>
      <c r="D1116" t="inlineStr">
        <is>
          <t>Windshield Wiper Motor - 85-1013</t>
        </is>
      </c>
      <c r="E1116" t="inlineStr">
        <is>
          <t>CARDONE New</t>
        </is>
      </c>
      <c r="F1116" t="inlineStr">
        <is>
          <t>22144497;8124875860;81248758;12487586</t>
        </is>
      </c>
      <c r="G1116" t="inlineStr">
        <is>
          <t>Chevrolet C4500 Kodiak 2003-2009
Chevrolet C5500 Kodiak 2003-2009
Chevrolet C6500 Kodiak 2003-2009
Chevrolet C7500 Kodiak 2003-2009
Chevrolet C8500 2003-2009
Chevrolet Express 1500 1996-2002
Chevrolet Express 2500 1996-2002
Chevrolet Express 3500 1996-2002
GMC C4500 Topkick 2003-2009
GMC C5500 Topkick 2003-2009
GMC C6500 Topkick 2003-2009
GMC C7500 Topkick 2003-2009
GMC C8500 Topkick 2003-2009
GMC Savana 1500 1996-2002
GMC Savana 2500 1996-2002
GMC Savana 3500 1996-2002
Isuzu HXR 2006</t>
        </is>
      </c>
      <c r="H1116" t="inlineStr">
        <is>
          <t>Chevrolet C4500 Kodiak 2003-2009 6.6L V8 403cid
Chevrolet C4500 Kodiak 2003-2009 8.1L V8 496cid
Chevrolet C5500 Kodiak 2003-2009 6.6L V8 403cid
Chevrolet C5500 Kodiak 2003-2009 8.1L V8 496cid
Chevrolet C6500 Kodiak 2003-2009 7.2L L6 441cid
Chevrolet C6500 Kodiak 2003-2009 7.8L L6 475cid
Chevrolet C6500 Kodiak 2003-2009 8.1L V8 496cid
Chevrolet C6500 Kodiak 2005-2007
Chevrolet C7500 Kodiak 2003-2009 7.2L L6 441cid
Chevrolet C7500 Kodiak 2003-2009 7.8L L6 475cid
Chevrolet C7500 Kodiak 2003-2009 8.1L V8 496cid
Chevrolet C8500 2003-2008 7.2L L6 441cid
Chevrolet C8500 2003-2009 7.8L L6 475cid
Chevrolet C8500 2003-2009 8.1L V8 496cid
Chevrolet Express 1500 1996-2002 4.3L V6 262cid
Chevrolet Express 1500 1996-2002 5.7L V8 350cid
Chevrolet Express 1500 1996-2002 5L V8 305cid
Chevrolet Express 2500 1996-2002 4.3L V6 262cid
Chevrolet Express 2500 1996-2002 5.7L V8 350cid
Chevrolet Express 2500 1996-2002 5L V8 305cid
Chevrolet Express 2500 1996-2002 6.5L V8 395cid
Chevrolet Express 3500 1996-2000 7.4L V8 454cid
Chevrolet Express 3500 1996-2002 5.7L V8 350cid
Chevrolet Express 3500 1996-2002 6.5L V8 395cid
Chevrolet Express 3500 1997-1998 4.3L V6 262cid
Chevrolet Express 3500 2001-2002 8.1L V8 496cid
GMC C4500 Topkick 2003-2009 6.6L V8 403cid
GMC C4500 Topkick 2003-2009 8.1L V8 496cid
GMC C5500 Topkick 2003-2009 6.6L V8 403cid
GMC C5500 Topkick 2003-2009 8.1L V8 496cid
GMC C6500 Topkick 2003-2009 7.2L L6 441cid
GMC C6500 Topkick 2003-2009 7.8L L6 475cid
GMC C6500 Topkick 2003-2009 8.1L V8 496cid
GMC C7500 Topkick 2003-2009 7.2L L6 441cid
GMC C7500 Topkick 2003-2009 7.8L L6 475cid
GMC C7500 Topkick 2003-2009 8.1L V8 496cid
GMC C7500 Topkick 2007 4.8L V8 294cid
GMC C8500 Topkick 2003-2009 7.2L L6 441cid
GMC C8500 Topkick 2003-2009 7.8L L6 475cid
GMC C8500 Topkick 2003-2009 8.1L V8 496cid
GMC C8500 Topkick 2007 4.8L V8 294cid
GMC C8500 Topkick 2007 5.3L V8 325cid
GMC Savana 1500 1996-2002 4.3L V6 262cid
GMC Savana 1500 1996-2002 5.7L V8 350cid
GMC Savana 1500 1996-2002 5L V8 305cid
GMC Savana 2500 1996-2002 4.3L V6 262cid
GMC Savana 2500 1996-2002 5.7L V8 350cid
GMC Savana 2500 1996-2002 5L V8 305cid
GMC Savana 2500 1996-2002 6.5L V8 395cid
GMC Savana 3500 1996-2000 7.4L V8 454cid
GMC Savana 3500 1996-2002 5.7L V8 350cid
GMC Savana 3500 1996-2002 6.5L V8 395cid
GMC Savana 3500 1997-2002 4.3L V6 262cid
GMC Savana 3500 2001-2002 8.1L V8 496cid
Isuzu HXR 2006 7.8L L6 475cid</t>
        </is>
      </c>
      <c r="I1116" t="inlineStr">
        <is>
          <t>{"0": {"productDeskExternalKey": "CNRD|85-1013"}, "1": {"Package Contents": "Wiper Motor; Instruction Manual"}, "2": {"E-Waste": "Yes"}, "3": {"Product Condition": "New"}, "4": {"Terminal Type": "Blade"}, "5": {"Mounting Type": "Direct Bolt; Grommet"}, "6": {"Weight PG": "4.0000"}, "7": {"Washer Pump Included": "No"}, "8": {"Part Type": "Windshield Wiper Motor"}, "9": {"Warranty Info": "Limited Lifetime"}, "10": {"Lifetime Warranty": "Yes"}, "11": {"Lifecycle Status": "Available to Order"}, "12": {"ItemLevelGTIN": "00884548138766"}}</t>
        </is>
      </c>
      <c r="J1116" t="inlineStr">
        <is>
          <t>https://www.cardone.com/product/windshield-wiper-motor-85-1013</t>
        </is>
      </c>
      <c r="K1116">
        <f>DISPIMG("ID_AD14C79C59AC4A7CA7C39D8A5F0104FB",1)</f>
        <v/>
      </c>
      <c r="L1116" t="inlineStr">
        <is>
          <t>CNRD|85-1013</t>
        </is>
      </c>
      <c r="M1116" t="inlineStr">
        <is>
          <t>Wiper Motor; Instruction Manual</t>
        </is>
      </c>
      <c r="N1116" t="inlineStr">
        <is>
          <t>Yes</t>
        </is>
      </c>
      <c r="O1116" t="inlineStr">
        <is>
          <t>New</t>
        </is>
      </c>
      <c r="P1116" t="inlineStr"/>
      <c r="Q1116" t="inlineStr">
        <is>
          <t>Blade</t>
        </is>
      </c>
      <c r="R1116" t="inlineStr">
        <is>
          <t>Direct Bolt; Grommet</t>
        </is>
      </c>
      <c r="S1116" t="inlineStr">
        <is>
          <t>4.0000</t>
        </is>
      </c>
      <c r="T1116" t="inlineStr">
        <is>
          <t>No</t>
        </is>
      </c>
      <c r="U1116" t="inlineStr">
        <is>
          <t>Limited Lifetime</t>
        </is>
      </c>
      <c r="V1116" t="inlineStr"/>
      <c r="W1116" t="inlineStr">
        <is>
          <t>Available to Order</t>
        </is>
      </c>
      <c r="X1116" t="inlineStr"/>
      <c r="Y1116" t="inlineStr">
        <is>
          <t>00884548138766</t>
        </is>
      </c>
      <c r="Z1116" t="inlineStr"/>
      <c r="AA1116" t="inlineStr"/>
      <c r="AB1116" t="inlineStr"/>
      <c r="AC1116" t="inlineStr">
        <is>
          <t>Yes</t>
        </is>
      </c>
    </row>
    <row r="1117">
      <c r="A1117" t="inlineStr">
        <is>
          <t>1116</t>
        </is>
      </c>
      <c r="B1117" t="inlineStr">
        <is>
          <t>Windshield Wiper Motor</t>
        </is>
      </c>
      <c r="C1117" t="inlineStr">
        <is>
          <t>85-10140</t>
        </is>
      </c>
      <c r="D1117" t="inlineStr">
        <is>
          <t>Windshield Wiper Motor - 85-10140</t>
        </is>
      </c>
      <c r="E1117" t="inlineStr">
        <is>
          <t>CARDONE New</t>
        </is>
      </c>
      <c r="F1117" t="inlineStr">
        <is>
          <t>12463095;22154405</t>
        </is>
      </c>
      <c r="G1117" t="inlineStr">
        <is>
          <t>Chevrolet Classic 2004-2005
Chevrolet Malibu 1997-2003
Oldsmobile Cutlass 1997-1999</t>
        </is>
      </c>
      <c r="H1117" t="inlineStr">
        <is>
          <t>Chevrolet Classic 2004-2005 2.2L L4 134cid
Chevrolet Malibu 1997-1999 2.4L L4 146cid
Chevrolet Malibu 1997-2003 3.1L V6 189cid
Oldsmobile Cutlass 1997-1999 3.1L V6 189cid</t>
        </is>
      </c>
      <c r="I1117" t="inlineStr">
        <is>
          <t>{"0": {"productDeskExternalKey": "CNRD|85-10140"}, "1": {"Package Contents": "Wiper Motor; Instruction Manual"}, "2": {"E-Waste": "Yes"}, "3": {"Product Condition": "New"}, "4": {"Terminal Type": "Pin; Blade"}, "5": {"Mounting Type": "Direct Bolt; Grommet"}, "6": {"Weight PG": "3.2000"}, "7": {"Washer Pump Included": "No"}, "8": {"Part Type": "Windshield Wiper Motor"}, "9": {"Warranty Info": "Limited Lifetime"}, "10": {"Lifetime Warranty": "Yes"}, "11": {"Lifecycle Status": "Available to Order"}, "12": {"Application Summary": "Chevrolet Classic 2005-04, Malibu 2003-97; Oldsmobile Cutlass 1999-97"}, "13": {"ItemLevelGTIN": "00884548159853"}}</t>
        </is>
      </c>
      <c r="J1117" t="inlineStr">
        <is>
          <t>https://www.cardone.com/product/windshield-wiper-motor-85-10140</t>
        </is>
      </c>
      <c r="K1117">
        <f>DISPIMG("ID_369FFBF0909B4358A3BAA9DC21AD7511",1)</f>
        <v/>
      </c>
      <c r="L1117" t="inlineStr">
        <is>
          <t>CNRD|85-10140</t>
        </is>
      </c>
      <c r="M1117" t="inlineStr">
        <is>
          <t>Wiper Motor; Instruction Manual</t>
        </is>
      </c>
      <c r="N1117" t="inlineStr">
        <is>
          <t>Yes</t>
        </is>
      </c>
      <c r="O1117" t="inlineStr">
        <is>
          <t>New</t>
        </is>
      </c>
      <c r="P1117" t="inlineStr"/>
      <c r="Q1117" t="inlineStr">
        <is>
          <t>Pin; Blade</t>
        </is>
      </c>
      <c r="R1117" t="inlineStr">
        <is>
          <t>Direct Bolt; Grommet</t>
        </is>
      </c>
      <c r="S1117" t="inlineStr">
        <is>
          <t>3.2000</t>
        </is>
      </c>
      <c r="T1117" t="inlineStr">
        <is>
          <t>No</t>
        </is>
      </c>
      <c r="U1117" t="inlineStr">
        <is>
          <t>Limited Lifetime</t>
        </is>
      </c>
      <c r="V1117" t="inlineStr"/>
      <c r="W1117" t="inlineStr">
        <is>
          <t>Available to Order</t>
        </is>
      </c>
      <c r="X1117" t="inlineStr">
        <is>
          <t>Chevrolet Classic 2005-04, Malibu 2003-97; Oldsmobile Cutlass 1999-97</t>
        </is>
      </c>
      <c r="Y1117" t="inlineStr">
        <is>
          <t>00884548159853</t>
        </is>
      </c>
      <c r="Z1117" t="inlineStr"/>
      <c r="AA1117" t="inlineStr"/>
      <c r="AB1117" t="inlineStr"/>
      <c r="AC1117" t="inlineStr">
        <is>
          <t>Yes</t>
        </is>
      </c>
    </row>
    <row r="1118">
      <c r="A1118" t="inlineStr">
        <is>
          <t>1117</t>
        </is>
      </c>
      <c r="B1118" t="inlineStr">
        <is>
          <t>Windshield Wiper Motor</t>
        </is>
      </c>
      <c r="C1118" t="inlineStr">
        <is>
          <t>85-1015</t>
        </is>
      </c>
      <c r="D1118" t="inlineStr">
        <is>
          <t>Windshield Wiper Motor - 85-1015</t>
        </is>
      </c>
      <c r="E1118" t="inlineStr">
        <is>
          <t>CARDONE New</t>
        </is>
      </c>
      <c r="F1118" t="inlineStr">
        <is>
          <t>12365366</t>
        </is>
      </c>
      <c r="G1118" t="inlineStr">
        <is>
          <t>Chevrolet Cavalier 1998-2003
Oldsmobile Alero 1999-2003
Pontiac Grand Am 1999-2003
Pontiac Sunfire 1998-2003</t>
        </is>
      </c>
      <c r="H1118" t="inlineStr">
        <is>
          <t>Chevrolet Cavalier 1998-2002 2.4L L4 146cid
Chevrolet Cavalier 1998-2003 2.2L L4 134cid
Oldsmobile Alero 1999-2001 2.4L L4 146cid
Oldsmobile Alero 1999-2003 3.4L V6 207cid
Oldsmobile Alero 2002-2003 2.2L L4 134cid
Pontiac Grand Am 1999-2001 2.4L L4 146cid
Pontiac Grand Am 1999-2003 3.4L V6 207cid
Pontiac Grand Am 2002-2003 2.2L L4 134cid
Pontiac Sunfire 1998-2002 2.4L L4 146cid
Pontiac Sunfire 1998-2003 2.2L L4 134cid</t>
        </is>
      </c>
      <c r="I1118" t="inlineStr">
        <is>
          <t>{"0": {"productDeskExternalKey": "CNRD|85-1015"}, "1": {"Package Contents": "Wiper Motor; Instruction Manual"}, "2": {"E-Waste": "Yes"}, "3": {"Product Condition": "New"}, "4": {"Terminal Type": "Blade"}, "5": {"Mounting Type": "Direct Bolt"}, "6": {"Weight PG": "2.4800"}, "7": {"Washer Pump Included": "No"}, "8": {"Part Type": "Windshield Wiper Motor"}, "9": {"Warranty Info": "Limited Lifetime"}, "10": {"Lifetime Warranty": "Yes"}, "11": {"Lifecycle Status": "Available to Order"}, "12": {"Application Summary": "Chevrolet Cavalier 2003-98; Oldsmobile Alero 2003-99; Pontiac Grand Am 2003-99, Sunfire 2003-98"}, "13": {"ItemLevelGTIN": "00082617797948"}}</t>
        </is>
      </c>
      <c r="J1118" t="inlineStr">
        <is>
          <t>https://www.cardone.com/product/windshield-wiper-motor-85-1015</t>
        </is>
      </c>
      <c r="K1118">
        <f>DISPIMG("ID_CB56776FE16A49C6A9226036F7F38C9D",1)</f>
        <v/>
      </c>
      <c r="L1118" t="inlineStr">
        <is>
          <t>CNRD|85-1015</t>
        </is>
      </c>
      <c r="M1118" t="inlineStr">
        <is>
          <t>Wiper Motor; Instruction Manual</t>
        </is>
      </c>
      <c r="N1118" t="inlineStr">
        <is>
          <t>Yes</t>
        </is>
      </c>
      <c r="O1118" t="inlineStr">
        <is>
          <t>New</t>
        </is>
      </c>
      <c r="P1118" t="inlineStr"/>
      <c r="Q1118" t="inlineStr">
        <is>
          <t>Blade</t>
        </is>
      </c>
      <c r="R1118" t="inlineStr">
        <is>
          <t>Direct Bolt</t>
        </is>
      </c>
      <c r="S1118" t="inlineStr">
        <is>
          <t>2.4800</t>
        </is>
      </c>
      <c r="T1118" t="inlineStr">
        <is>
          <t>No</t>
        </is>
      </c>
      <c r="U1118" t="inlineStr">
        <is>
          <t>Limited Lifetime</t>
        </is>
      </c>
      <c r="V1118" t="inlineStr"/>
      <c r="W1118" t="inlineStr">
        <is>
          <t>Available to Order</t>
        </is>
      </c>
      <c r="X1118" t="inlineStr">
        <is>
          <t>Chevrolet Cavalier 2003-98; Oldsmobile Alero 2003-99; Pontiac Grand Am 2003-99, Sunfire 2003-98</t>
        </is>
      </c>
      <c r="Y1118" t="inlineStr">
        <is>
          <t>00082617797948</t>
        </is>
      </c>
      <c r="Z1118" t="inlineStr"/>
      <c r="AA1118" t="inlineStr"/>
      <c r="AB1118" t="inlineStr"/>
      <c r="AC1118" t="inlineStr">
        <is>
          <t>Yes</t>
        </is>
      </c>
    </row>
    <row r="1119">
      <c r="A1119" t="inlineStr">
        <is>
          <t>1118</t>
        </is>
      </c>
      <c r="B1119" t="inlineStr">
        <is>
          <t>Windshield Wiper Motor</t>
        </is>
      </c>
      <c r="C1119" t="inlineStr">
        <is>
          <t>85-10190</t>
        </is>
      </c>
      <c r="D1119" t="inlineStr">
        <is>
          <t>Windshield Wiper Motor - 85-10190</t>
        </is>
      </c>
      <c r="E1119" t="inlineStr">
        <is>
          <t>CARDONE New</t>
        </is>
      </c>
      <c r="F1119" t="inlineStr">
        <is>
          <t>12363318;12494759</t>
        </is>
      </c>
      <c r="G1119" t="inlineStr">
        <is>
          <t>Chevrolet Corvette 1997-2004</t>
        </is>
      </c>
      <c r="H1119" t="inlineStr">
        <is>
          <t>Chevrolet Corvette 1997-2004 5.7L V8 350cid</t>
        </is>
      </c>
      <c r="I1119" t="inlineStr">
        <is>
          <t>{"0": {"productDeskExternalKey": "CNRD|85-10190"}, "1": {"Package Contents": "Wiper Motor; Instruction Manual"}, "2": {"E-Waste": "Yes"}, "3": {"Product Condition": "New"}, "4": {"Terminal Type": "Blade"}, "5": {"Mounting Type": "Direct Bolt"}, "6": {"Weight PG": "3.8000"}, "7": {"Washer Pump Included": "No"}, "8": {"Part Type": "Windshield Wiper Motor"}, "9": {"Warranty Info": "Limited Lifetime"}, "10": {"Lifetime Warranty": "Yes"}, "11": {"Lifecycle Status": "Available to Order"}, "12": {"Application Summary": "Chevrolet Corvette 2004-97"}, "13": {"ItemLevelGTIN": "00884548163812"}}</t>
        </is>
      </c>
      <c r="J1119" t="inlineStr">
        <is>
          <t>https://www.cardone.com/product/windshield-wiper-motor-85-10190</t>
        </is>
      </c>
      <c r="K1119">
        <f>DISPIMG("ID_025FD9CC58A548A0B031A2F087DCC9B9",1)</f>
        <v/>
      </c>
      <c r="L1119" t="inlineStr">
        <is>
          <t>CNRD|85-10190</t>
        </is>
      </c>
      <c r="M1119" t="inlineStr">
        <is>
          <t>Wiper Motor; Instruction Manual</t>
        </is>
      </c>
      <c r="N1119" t="inlineStr">
        <is>
          <t>Yes</t>
        </is>
      </c>
      <c r="O1119" t="inlineStr">
        <is>
          <t>New</t>
        </is>
      </c>
      <c r="P1119" t="inlineStr"/>
      <c r="Q1119" t="inlineStr">
        <is>
          <t>Blade</t>
        </is>
      </c>
      <c r="R1119" t="inlineStr">
        <is>
          <t>Direct Bolt</t>
        </is>
      </c>
      <c r="S1119" t="inlineStr">
        <is>
          <t>3.8000</t>
        </is>
      </c>
      <c r="T1119" t="inlineStr">
        <is>
          <t>No</t>
        </is>
      </c>
      <c r="U1119" t="inlineStr">
        <is>
          <t>Limited Lifetime</t>
        </is>
      </c>
      <c r="V1119" t="inlineStr"/>
      <c r="W1119" t="inlineStr">
        <is>
          <t>Available to Order</t>
        </is>
      </c>
      <c r="X1119" t="inlineStr">
        <is>
          <t>Chevrolet Corvette 2004-97</t>
        </is>
      </c>
      <c r="Y1119" t="inlineStr">
        <is>
          <t>00884548163812</t>
        </is>
      </c>
      <c r="Z1119" t="inlineStr"/>
      <c r="AA1119" t="inlineStr"/>
      <c r="AB1119" t="inlineStr"/>
      <c r="AC1119" t="inlineStr">
        <is>
          <t>Yes</t>
        </is>
      </c>
    </row>
    <row r="1120">
      <c r="A1120" t="inlineStr">
        <is>
          <t>1119</t>
        </is>
      </c>
      <c r="B1120" t="inlineStr">
        <is>
          <t>Windshield Wiper Motor</t>
        </is>
      </c>
      <c r="C1120" t="inlineStr">
        <is>
          <t>85-1020</t>
        </is>
      </c>
      <c r="D1120" t="inlineStr">
        <is>
          <t>Windshield Wiper Motor - 85-1020</t>
        </is>
      </c>
      <c r="E1120" t="inlineStr">
        <is>
          <t>CARDONE New</t>
        </is>
      </c>
      <c r="F1120" t="inlineStr">
        <is>
          <t>12487674;12365399</t>
        </is>
      </c>
      <c r="G1120" t="inlineStr">
        <is>
          <t>Buick Park Avenue 1997-2005</t>
        </is>
      </c>
      <c r="H1120" t="inlineStr">
        <is>
          <t>Buick Park Avenue 1997-2005 3.8L V6 231cid</t>
        </is>
      </c>
      <c r="I1120" t="inlineStr">
        <is>
          <t>{"0": {"productDeskExternalKey": "CNRD|85-1020"}, "1": {"Package Contents": "Wiper Motor; Instruction Manual"}, "2": {"E-Waste": "Yes"}, "3": {"Product Condition": "New"}, "4": {"Mounting Hole Quantity": "3"}, "5": {"Terminal Type": "Blade"}, "6": {"Mounting Type": "Eyelet; Grommet"}, "7": {"Weight PG": "4.8000"}, "8": {"Washer Pump Included": "No"}, "9": {"Part Type": "Windshield Wiper Motor"}, "10": {"Warranty Info": "Limited Lifetime"}, "11": {"Lifetime Warranty": "Yes"}, "12": {"Lifecycle Status": "Available to Order"}, "13": {"Application Summary": "Buick Park Avenue 2005-97"}, "14": {"ItemLevelGTIN": "00082617935289"}}</t>
        </is>
      </c>
      <c r="J1120" t="inlineStr">
        <is>
          <t>https://www.cardone.com/product/windshield-wiper-motor-85-1020</t>
        </is>
      </c>
      <c r="K1120">
        <f>DISPIMG("ID_DE08E36FC6AC4608A4EE0AC77FCC1A0B",1)</f>
        <v/>
      </c>
      <c r="L1120" t="inlineStr">
        <is>
          <t>CNRD|85-1020</t>
        </is>
      </c>
      <c r="M1120" t="inlineStr">
        <is>
          <t>Wiper Motor; Instruction Manual</t>
        </is>
      </c>
      <c r="N1120" t="inlineStr">
        <is>
          <t>Yes</t>
        </is>
      </c>
      <c r="O1120" t="inlineStr">
        <is>
          <t>New</t>
        </is>
      </c>
      <c r="P1120" t="inlineStr">
        <is>
          <t>3</t>
        </is>
      </c>
      <c r="Q1120" t="inlineStr">
        <is>
          <t>Blade</t>
        </is>
      </c>
      <c r="R1120" t="inlineStr">
        <is>
          <t>Eyelet; Grommet</t>
        </is>
      </c>
      <c r="S1120" t="inlineStr">
        <is>
          <t>4.8000</t>
        </is>
      </c>
      <c r="T1120" t="inlineStr">
        <is>
          <t>No</t>
        </is>
      </c>
      <c r="U1120" t="inlineStr">
        <is>
          <t>Limited Lifetime</t>
        </is>
      </c>
      <c r="V1120" t="inlineStr"/>
      <c r="W1120" t="inlineStr">
        <is>
          <t>Available to Order</t>
        </is>
      </c>
      <c r="X1120" t="inlineStr">
        <is>
          <t>Buick Park Avenue 2005-97</t>
        </is>
      </c>
      <c r="Y1120" t="inlineStr">
        <is>
          <t>00082617935289</t>
        </is>
      </c>
      <c r="Z1120" t="inlineStr"/>
      <c r="AA1120" t="inlineStr"/>
      <c r="AB1120" t="inlineStr"/>
      <c r="AC1120" t="inlineStr">
        <is>
          <t>Yes</t>
        </is>
      </c>
    </row>
    <row r="1121">
      <c r="A1121" t="inlineStr">
        <is>
          <t>1120</t>
        </is>
      </c>
      <c r="B1121" t="inlineStr">
        <is>
          <t>Windshield Wiper Motor</t>
        </is>
      </c>
      <c r="C1121" t="inlineStr">
        <is>
          <t>85-1025</t>
        </is>
      </c>
      <c r="D1121" t="inlineStr">
        <is>
          <t>Windshield Wiper Motor - 85-1025</t>
        </is>
      </c>
      <c r="E1121" t="inlineStr">
        <is>
          <t>CARDONE New</t>
        </is>
      </c>
      <c r="F1121" t="inlineStr">
        <is>
          <t>12365393</t>
        </is>
      </c>
      <c r="G1121" t="inlineStr">
        <is>
          <t>Chevrolet Venture 1997-2005
Oldsmobile Silhouette 1997-2004
Pontiac Montana 1999-2005
Pontiac Trans Sport 1997-1998</t>
        </is>
      </c>
      <c r="H1121" t="inlineStr">
        <is>
          <t>Chevrolet Venture 1997-2005 3.4L V6 207cid
Oldsmobile Silhouette 1997-2004 3.4L V6 207cid
Pontiac Montana 1999-2005 3.4L V6 207cid
Pontiac Trans Sport 1997-1998 3.4L V6 207cid</t>
        </is>
      </c>
      <c r="I1121" t="inlineStr">
        <is>
          <t>{"0": {"productDeskExternalKey": "CNRD|85-1025"}, "1": {"Package Contents": "Wiper Motor; Instruction Manual"}, "2": {"E-Waste": "Yes"}, "3": {"Product Condition": "New"}, "4": {"Mounting Hole Quantity": "3"}, "5": {"Terminal Type": "Blade"}, "6": {"Mounting Type": "Direct Bolt"}, "7": {"Weight PG": "4.0000"}, "8": {"Washer Pump Included": "No"}, "9": {"Part Type": "Windshield Wiper Motor"}, "10": {"Warranty Info": "Limited Lifetime"}, "11": {"Lifetime Warranty": "Yes"}, "12": {"Lifecycle Status": "Available to Order"}, "13": {"Application Summary": "Chevrolet Venture 2005-97; Oldsmobile Silhouette 2004-97; Pontiac Montana 2005-99, Trans Sport 1998-97"}, "14": {"ItemLevelGTIN": "00082617657808"}}</t>
        </is>
      </c>
      <c r="J1121" t="inlineStr">
        <is>
          <t>https://www.cardone.com/product/windshield-wiper-motor-85-1025</t>
        </is>
      </c>
      <c r="K1121">
        <f>DISPIMG("ID_09110BFE579E49348CDA1F62693CB164",1)</f>
        <v/>
      </c>
      <c r="L1121" t="inlineStr">
        <is>
          <t>CNRD|85-1025</t>
        </is>
      </c>
      <c r="M1121" t="inlineStr">
        <is>
          <t>Wiper Motor; Instruction Manual</t>
        </is>
      </c>
      <c r="N1121" t="inlineStr">
        <is>
          <t>Yes</t>
        </is>
      </c>
      <c r="O1121" t="inlineStr">
        <is>
          <t>New</t>
        </is>
      </c>
      <c r="P1121" t="inlineStr">
        <is>
          <t>3</t>
        </is>
      </c>
      <c r="Q1121" t="inlineStr">
        <is>
          <t>Blade</t>
        </is>
      </c>
      <c r="R1121" t="inlineStr">
        <is>
          <t>Direct Bolt</t>
        </is>
      </c>
      <c r="S1121" t="inlineStr">
        <is>
          <t>4.0000</t>
        </is>
      </c>
      <c r="T1121" t="inlineStr">
        <is>
          <t>No</t>
        </is>
      </c>
      <c r="U1121" t="inlineStr">
        <is>
          <t>Limited Lifetime</t>
        </is>
      </c>
      <c r="V1121" t="inlineStr"/>
      <c r="W1121" t="inlineStr">
        <is>
          <t>Available to Order</t>
        </is>
      </c>
      <c r="X1121" t="inlineStr">
        <is>
          <t>Chevrolet Venture 2005-97; Oldsmobile Silhouette 2004-97; Pontiac Montana 2005-99, Trans Sport 1998-97</t>
        </is>
      </c>
      <c r="Y1121" t="inlineStr">
        <is>
          <t>00082617657808</t>
        </is>
      </c>
      <c r="Z1121" t="inlineStr"/>
      <c r="AA1121" t="inlineStr"/>
      <c r="AB1121" t="inlineStr"/>
      <c r="AC1121" t="inlineStr">
        <is>
          <t>Yes</t>
        </is>
      </c>
    </row>
    <row r="1122">
      <c r="A1122" t="inlineStr">
        <is>
          <t>1121</t>
        </is>
      </c>
      <c r="B1122" t="inlineStr">
        <is>
          <t>Windshield Wiper Motor</t>
        </is>
      </c>
      <c r="C1122" t="inlineStr">
        <is>
          <t>85-1026</t>
        </is>
      </c>
      <c r="D1122" t="inlineStr">
        <is>
          <t>Windshield Wiper Motor - 85-1026</t>
        </is>
      </c>
      <c r="E1122" t="inlineStr">
        <is>
          <t>CARDONE New</t>
        </is>
      </c>
      <c r="F1122" t="inlineStr">
        <is>
          <t>12363350;12494791</t>
        </is>
      </c>
      <c r="G1122" t="inlineStr">
        <is>
          <t>Chevrolet Venture 1997-2005
Oldsmobile Silhouette 1997-2004
Pontiac Montana 1999-2005
Pontiac Trans Sport 1997-1998</t>
        </is>
      </c>
      <c r="H1122" t="inlineStr">
        <is>
          <t>Chevrolet Venture 1997-2005 3.4L V6 207cid
Oldsmobile Silhouette 1997-2004 3.4L V6 207cid
Pontiac Montana 1999-2005 3.4L V6 207cid
Pontiac Trans Sport 1997-1998 3.4L V6 207cid</t>
        </is>
      </c>
      <c r="I1122" t="inlineStr">
        <is>
          <t>{"0": {"productDeskExternalKey": "CNRD|85-1026"}, "1": {"Package Contents": "Wiper Motor; Instruction Manual"}, "2": {"E-Waste": "Yes"}, "3": {"Product Condition": "New"}, "4": {"Terminal Type": "Blade"}, "5": {"Mounting Type": "Direct Bolt"}, "6": {"Weight PG": "3.4000"}, "7": {"Washer Pump Included": "No"}, "8": {"Part Type": "Windshield Wiper Motor"}, "9": {"Warranty Info": "Limited Lifetime"}, "10": {"Lifetime Warranty": "Yes"}, "11": {"Lifecycle Status": "Available to Order"}, "12": {"Application Summary": "Chevrolet Venture 2005-97; Oldsmobile Silhouette 2004-97; Pontiac Montana 2005-99, Trans Sport 1998-97"}, "13": {"ItemLevelGTIN": "00082617657815"}}</t>
        </is>
      </c>
      <c r="J1122" t="inlineStr">
        <is>
          <t>https://www.cardone.com/product/windshield-wiper-motor-85-1026</t>
        </is>
      </c>
      <c r="K1122">
        <f>DISPIMG("ID_BBEEDCB26A904C8F9E0059264252AF45",1)</f>
        <v/>
      </c>
      <c r="L1122" t="inlineStr">
        <is>
          <t>CNRD|85-1026</t>
        </is>
      </c>
      <c r="M1122" t="inlineStr">
        <is>
          <t>Wiper Motor; Instruction Manual</t>
        </is>
      </c>
      <c r="N1122" t="inlineStr">
        <is>
          <t>Yes</t>
        </is>
      </c>
      <c r="O1122" t="inlineStr">
        <is>
          <t>New</t>
        </is>
      </c>
      <c r="P1122" t="inlineStr"/>
      <c r="Q1122" t="inlineStr">
        <is>
          <t>Blade</t>
        </is>
      </c>
      <c r="R1122" t="inlineStr">
        <is>
          <t>Direct Bolt</t>
        </is>
      </c>
      <c r="S1122" t="inlineStr">
        <is>
          <t>3.4000</t>
        </is>
      </c>
      <c r="T1122" t="inlineStr">
        <is>
          <t>No</t>
        </is>
      </c>
      <c r="U1122" t="inlineStr">
        <is>
          <t>Limited Lifetime</t>
        </is>
      </c>
      <c r="V1122" t="inlineStr"/>
      <c r="W1122" t="inlineStr">
        <is>
          <t>Available to Order</t>
        </is>
      </c>
      <c r="X1122" t="inlineStr">
        <is>
          <t>Chevrolet Venture 2005-97; Oldsmobile Silhouette 2004-97; Pontiac Montana 2005-99, Trans Sport 1998-97</t>
        </is>
      </c>
      <c r="Y1122" t="inlineStr">
        <is>
          <t>00082617657815</t>
        </is>
      </c>
      <c r="Z1122" t="inlineStr"/>
      <c r="AA1122" t="inlineStr"/>
      <c r="AB1122" t="inlineStr"/>
      <c r="AC1122" t="inlineStr">
        <is>
          <t>Yes</t>
        </is>
      </c>
    </row>
    <row r="1123">
      <c r="A1123" t="inlineStr">
        <is>
          <t>1122</t>
        </is>
      </c>
      <c r="B1123" t="inlineStr">
        <is>
          <t>Windshield Wiper Motor</t>
        </is>
      </c>
      <c r="C1123" t="inlineStr">
        <is>
          <t>85-1027</t>
        </is>
      </c>
      <c r="D1123" t="inlineStr">
        <is>
          <t>Windshield Wiper Motor - 85-1027</t>
        </is>
      </c>
      <c r="E1123" t="inlineStr">
        <is>
          <t>CARDONE New</t>
        </is>
      </c>
      <c r="F1123" t="inlineStr">
        <is>
          <t>12365360;12494772</t>
        </is>
      </c>
      <c r="G1123" t="inlineStr">
        <is>
          <t>Cadillac Escalade 2002
Cadillac Escalade EXT 2002
Chevrolet Avalanche 1500 2002
Chevrolet Avalanche 2500 2002
Chevrolet Silverado 1500 1999-2002
Chevrolet Silverado 1500 HD 2001-2002
Chevrolet Silverado 2500 1999-2002
Chevrolet Silverado 2500 HD 2001-2002
Chevrolet Silverado 3500 2001-2002
Chevrolet Suburban 1500 2000-2002
Chevrolet Suburban 2500 2000-2002
Chevrolet Tahoe 2000-2002
GMC Sierra 1500 1999-2002
GMC Sierra 1500 HD 2001-2002
GMC Sierra 2500 1999-2002
GMC Sierra 2500 HD 2001-2002
GMC Sierra 3500 2001-2002
GMC Yukon 2000-2002
GMC Yukon XL 1500 2000-2002
GMC Yukon XL 2500 2000-2002</t>
        </is>
      </c>
      <c r="H1123" t="inlineStr">
        <is>
          <t>Cadillac Escalade 2002 5.3L V8 325cid
Cadillac Escalade 2002 6L V8 364cid
Cadillac Escalade EXT 2002 6L V8 364cid
Chevrolet Avalanche 1500 2002 5.3L V8 325cid
Chevrolet Avalanche 2500 2002 8.1L V8 496cid
Chevrolet Silverado 1500 1999-2002 4.3L V6 262cid
Chevrolet Silverado 1500 1999-2002 4.8L V8 294cid
Chevrolet Silverado 1500 1999-2002 5.3L V8 325cid
Chevrolet Silverado 1500 HD 2001-2002 6L V8 364cid
Chevrolet Silverado 2500 1999-2002 5.3L V8 325cid
Chevrolet Silverado 2500 1999-2002 6L V8 364cid
Chevrolet Silverado 2500 2000-2002 5.7L V8 350cid
Chevrolet Silverado 2500 HD 2001-2002 6.6L V8 403cid
Chevrolet Silverado 2500 HD 2001-2002 6L V8 364cid
Chevrolet Silverado 2500 HD 2001-2002 8.1L V8 496cid
Chevrolet Silverado 3500 2001-2002 5.7L V8 350cid
Chevrolet Silverado 3500 2001-2002 6.6L V8 403cid
Chevrolet Silverado 3500 2001-2002 6L V8 364cid
Chevrolet Silverado 3500 2001-2002 8.1L V8 496cid
Chevrolet Suburban 1500 2000-2002 5.3L V8 325cid
Chevrolet Suburban 1500 2000-2002 5.7L V8 350cid
Chevrolet Suburban 2500 2000-2002 6L V8 364cid
Chevrolet Suburban 2500 2001-2002 8.1L V8 496cid
Chevrolet Tahoe 2000-2002 4.8L V8 294cid
Chevrolet Tahoe 2000-2002 5.3L V8 325cid
GMC Sierra 1500 1999-2002 4.3L V6 262cid
GMC Sierra 1500 1999-2002 4.8L V8 294cid
GMC Sierra 1500 1999-2002 5.3L V8 325cid
GMC Sierra 1500 2001-2002 6L V8 364cid
GMC Sierra 1500 HD 2001-2002 6L V8 364cid
GMC Sierra 2500 1999-2000 5.3L V8 325cid
GMC Sierra 2500 1999-2002 6L V8 364cid
GMC Sierra 2500 HD 2001-2002 6.6L V8 403cid
GMC Sierra 2500 HD 2001-2002 6L V8 364cid
GMC Sierra 2500 HD 2001-2002 8.1L V8 496cid
GMC Sierra 3500 2001-2002 6.6L V8 403cid
GMC Sierra 3500 2001-2002 6L V8 364cid
GMC Sierra 3500 2001-2002 8.1L V8 496cid
GMC Yukon 2000-2002 4.8L V8 294cid
GMC Yukon 2000-2002 5.3L V8 325cid
GMC Yukon 2001-2002 6L V8 364cid
GMC Yukon XL 1500 2000-2002 5.3L V8 325cid
GMC Yukon XL 1500 2001-2002 6L V8 364cid
GMC Yukon XL 2500 2000-2002 6L V8 364cid
GMC Yukon XL 2500 2001-2002 8.1L V8 496cid</t>
        </is>
      </c>
      <c r="I1123" t="inlineStr">
        <is>
          <t>{"0": {"productDeskExternalKey": "CNRD|85-1027"}, "1": {"Package Contents": "Wiper Motor; Instruction Manual"}, "2": {"E-Waste": "Yes"}, "3": {"Product Condition": "New"}, "4": {"Mounting Hole Quantity": "3"}, "5": {"Terminal Type": "Blade"}, "6": {"Mounting Type": "Direct Bolt; Grommet"}, "7": {"Weight PG": "3.8000"}, "8": {"Washer Pump Included": "No"}, "9": {"Part Type": "Windshield Wiper Motor"}, "10": {"Warranty Info": "Limited Lifetime"}, "11": {"Lifetime Warranty": "Yes"}, "12": {"Lifecycle Status": "Available to Order"}, "13": {"ItemLevelGTIN": "00082617718806"}}</t>
        </is>
      </c>
      <c r="J1123" t="inlineStr">
        <is>
          <t>https://www.cardone.com/product/windshield-wiper-motor-85-1027</t>
        </is>
      </c>
      <c r="K1123">
        <f>DISPIMG("ID_FCA9354A1F884DE7B0DB49C165400647",1)</f>
        <v/>
      </c>
      <c r="L1123" t="inlineStr">
        <is>
          <t>CNRD|85-1027</t>
        </is>
      </c>
      <c r="M1123" t="inlineStr">
        <is>
          <t>Wiper Motor; Instruction Manual</t>
        </is>
      </c>
      <c r="N1123" t="inlineStr">
        <is>
          <t>Yes</t>
        </is>
      </c>
      <c r="O1123" t="inlineStr">
        <is>
          <t>New</t>
        </is>
      </c>
      <c r="P1123" t="inlineStr">
        <is>
          <t>3</t>
        </is>
      </c>
      <c r="Q1123" t="inlineStr">
        <is>
          <t>Blade</t>
        </is>
      </c>
      <c r="R1123" t="inlineStr">
        <is>
          <t>Direct Bolt; Grommet</t>
        </is>
      </c>
      <c r="S1123" t="inlineStr">
        <is>
          <t>3.8000</t>
        </is>
      </c>
      <c r="T1123" t="inlineStr">
        <is>
          <t>No</t>
        </is>
      </c>
      <c r="U1123" t="inlineStr">
        <is>
          <t>Limited Lifetime</t>
        </is>
      </c>
      <c r="V1123" t="inlineStr"/>
      <c r="W1123" t="inlineStr">
        <is>
          <t>Available to Order</t>
        </is>
      </c>
      <c r="X1123" t="inlineStr"/>
      <c r="Y1123" t="inlineStr">
        <is>
          <t>00082617718806</t>
        </is>
      </c>
      <c r="Z1123" t="inlineStr"/>
      <c r="AA1123" t="inlineStr"/>
      <c r="AB1123" t="inlineStr"/>
      <c r="AC1123" t="inlineStr">
        <is>
          <t>Yes</t>
        </is>
      </c>
    </row>
    <row r="1124">
      <c r="A1124" t="inlineStr">
        <is>
          <t>1123</t>
        </is>
      </c>
      <c r="B1124" t="inlineStr">
        <is>
          <t>Windshield Wiper Motor</t>
        </is>
      </c>
      <c r="C1124" t="inlineStr">
        <is>
          <t>85-1029</t>
        </is>
      </c>
      <c r="D1124" t="inlineStr">
        <is>
          <t>Windshield Wiper Motor - 85-1029</t>
        </is>
      </c>
      <c r="E1124" t="inlineStr">
        <is>
          <t>CARDONE New</t>
        </is>
      </c>
      <c r="F1124" t="inlineStr">
        <is>
          <t>12487681;12487679;88958170;12487617;12463070;12487618;12494827;88958171</t>
        </is>
      </c>
      <c r="G1124" t="inlineStr">
        <is>
          <t>Buick LeSabre 2000-2005
Cadillac DeVille 2000-2005
Oldsmobile Aurora 2001-2003
Pontiac Bonneville 2000-2005</t>
        </is>
      </c>
      <c r="H1124" t="inlineStr">
        <is>
          <t>Buick LeSabre 2000-2005 3.8L V6 231cid
Cadillac DeVille 2000-2005 4.6L V8 281cid
Oldsmobile Aurora 2001-2002 3.5L V6 214cid
Oldsmobile Aurora 2001-2003 4L V8 244cid
Pontiac Bonneville 2000-2005 3.8L V6 231cid
Pontiac Bonneville 2004-2005 4.6L V8 281cid</t>
        </is>
      </c>
      <c r="I1124" t="inlineStr">
        <is>
          <t>{"0": {"productDeskExternalKey": "CNRD|85-1029"}, "1": {"Package Contents": "Wiper Motor; Instruction Manual"}, "2": {"E-Waste": "Yes"}, "3": {"Product Condition": "New"}, "4": {"Mounting Hole Quantity": "3"}, "5": {"Terminal Type": "Blade"}, "6": {"Mounting Type": "Direct Bolt"}, "7": {"Weight PG": "3.4500"}, "8": {"Washer Pump Included": "No"}, "9": {"Part Type": "Windshield Wiper Motor"}, "10": {"Warranty Info": "Limited Lifetime"}, "11": {"Lifetime Warranty": "Yes"}, "12": {"Lifecycle Status": "Available to Order"}, "13": {"Application Summary": "Buick LeSabre 2005-00; Cadillac DeVille 2005-00; Oldsmobile Aurora 2003-01; Pontiac Bonneville 2005-00"}, "14": {"ItemLevelGTIN": "00082617812719"}}</t>
        </is>
      </c>
      <c r="J1124" t="inlineStr">
        <is>
          <t>https://www.cardone.com/product/windshield-wiper-motor-85-1029</t>
        </is>
      </c>
      <c r="K1124">
        <f>DISPIMG("ID_F6ECAE2A6DBD47F0B941043FE522D34F",1)</f>
        <v/>
      </c>
      <c r="L1124" t="inlineStr">
        <is>
          <t>CNRD|85-1029</t>
        </is>
      </c>
      <c r="M1124" t="inlineStr">
        <is>
          <t>Wiper Motor; Instruction Manual</t>
        </is>
      </c>
      <c r="N1124" t="inlineStr">
        <is>
          <t>Yes</t>
        </is>
      </c>
      <c r="O1124" t="inlineStr">
        <is>
          <t>New</t>
        </is>
      </c>
      <c r="P1124" t="inlineStr">
        <is>
          <t>3</t>
        </is>
      </c>
      <c r="Q1124" t="inlineStr">
        <is>
          <t>Blade</t>
        </is>
      </c>
      <c r="R1124" t="inlineStr">
        <is>
          <t>Direct Bolt</t>
        </is>
      </c>
      <c r="S1124" t="inlineStr">
        <is>
          <t>3.4500</t>
        </is>
      </c>
      <c r="T1124" t="inlineStr">
        <is>
          <t>No</t>
        </is>
      </c>
      <c r="U1124" t="inlineStr">
        <is>
          <t>Limited Lifetime</t>
        </is>
      </c>
      <c r="V1124" t="inlineStr"/>
      <c r="W1124" t="inlineStr">
        <is>
          <t>Available to Order</t>
        </is>
      </c>
      <c r="X1124" t="inlineStr">
        <is>
          <t>Buick LeSabre 2005-00; Cadillac DeVille 2005-00; Oldsmobile Aurora 2003-01; Pontiac Bonneville 2005-00</t>
        </is>
      </c>
      <c r="Y1124" t="inlineStr">
        <is>
          <t>00082617812719</t>
        </is>
      </c>
      <c r="Z1124" t="inlineStr"/>
      <c r="AA1124" t="inlineStr"/>
      <c r="AB1124" t="inlineStr"/>
      <c r="AC1124" t="inlineStr">
        <is>
          <t>Yes</t>
        </is>
      </c>
    </row>
    <row r="1125">
      <c r="A1125" t="inlineStr">
        <is>
          <t>1124</t>
        </is>
      </c>
      <c r="B1125" t="inlineStr">
        <is>
          <t>Windshield Wiper Motor</t>
        </is>
      </c>
      <c r="C1125" t="inlineStr">
        <is>
          <t>85-1030</t>
        </is>
      </c>
      <c r="D1125" t="inlineStr">
        <is>
          <t>Windshield Wiper Motor - 85-1030</t>
        </is>
      </c>
      <c r="E1125" t="inlineStr">
        <is>
          <t>CARDONE New</t>
        </is>
      </c>
      <c r="F1125" t="inlineStr">
        <is>
          <t>8150360080;8123653190</t>
        </is>
      </c>
      <c r="G1125" t="inlineStr">
        <is>
          <t>Chevrolet Blazer 1998-2004
Chevrolet S10 1998-2004
GMC Jimmy 1998-2004
GMC Sonoma 1998-2004
Isuzu Hombre 1998-2000
Oldsmobile Bravada 1998-2001</t>
        </is>
      </c>
      <c r="H1125" t="inlineStr">
        <is>
          <t>Chevrolet Blazer 1998-2004 4.3L V6 262cid
Chevrolet Blazer 2002 4.2L L6 256cid
Chevrolet S10 1998-2000
Chevrolet S10 1998-2003 2.2L L4 134cid
Chevrolet S10 1998-2004 4.3L V6 262cid
GMC Jimmy 1998-2003 4.3L V6 262cid
GMC Jimmy 2004 4.3L V6 4294cc
GMC Sonoma 1998-2003 2.2L L4 134cid
GMC Sonoma 1998-2004 4.3L V6 262cid
Isuzu Hombre 1998-1999 4.3L V6 4294cc
Isuzu Hombre 1998-2000 2.2L L4 134cid
Isuzu Hombre 2000 4.3L V6 262cid
Oldsmobile Bravada 1998-2001 4.3L V6 262cid</t>
        </is>
      </c>
      <c r="I1125" t="inlineStr">
        <is>
          <t>{"0": {"productDeskExternalKey": "CNRD|85-1030"}, "1": {"Package Contents": "Wiper Motor; Instruction Manual"}, "2": {"E-Waste": "Yes"}, "3": {"Product Condition": "New"}, "4": {"Mounting Hole Quantity": "3"}, "5": {"Terminal Type": "Blade"}, "6": {"Mounting Type": "Grommet"}, "7": {"Weight PG": "3.5000"}, "8": {"Washer Pump Included": "No"}, "9": {"Part Type": "Windshield Wiper Motor"}, "10": {"Warranty Info": "Limited Lifetime"}, "11": {"Lifetime Warranty": "Yes"}, "12": {"Lifecycle Status": "Available to Order"}, "13": {"Application Summary": "Chevrolet Blazer 2004-98, S10 2004-98; GMC Jimmy 2004-98, Sonoma 2004-98; Isuzu Hombre 2000-98; Oldsmobile Bravada 2001-98"}, "14": {"ItemLevelGTIN": "00082617657822"}}</t>
        </is>
      </c>
      <c r="J1125" t="inlineStr">
        <is>
          <t>https://www.cardone.com/product/windshield-wiper-motor-85-1030</t>
        </is>
      </c>
      <c r="K1125">
        <f>DISPIMG("ID_B87F5E2F60574FF38466B7FA8FAD7FD5",1)</f>
        <v/>
      </c>
      <c r="L1125" t="inlineStr">
        <is>
          <t>CNRD|85-1030</t>
        </is>
      </c>
      <c r="M1125" t="inlineStr">
        <is>
          <t>Wiper Motor; Instruction Manual</t>
        </is>
      </c>
      <c r="N1125" t="inlineStr">
        <is>
          <t>Yes</t>
        </is>
      </c>
      <c r="O1125" t="inlineStr">
        <is>
          <t>New</t>
        </is>
      </c>
      <c r="P1125" t="inlineStr">
        <is>
          <t>3</t>
        </is>
      </c>
      <c r="Q1125" t="inlineStr">
        <is>
          <t>Blade</t>
        </is>
      </c>
      <c r="R1125" t="inlineStr">
        <is>
          <t>Grommet</t>
        </is>
      </c>
      <c r="S1125" t="inlineStr">
        <is>
          <t>3.5000</t>
        </is>
      </c>
      <c r="T1125" t="inlineStr">
        <is>
          <t>No</t>
        </is>
      </c>
      <c r="U1125" t="inlineStr">
        <is>
          <t>Limited Lifetime</t>
        </is>
      </c>
      <c r="V1125" t="inlineStr"/>
      <c r="W1125" t="inlineStr">
        <is>
          <t>Available to Order</t>
        </is>
      </c>
      <c r="X1125" t="inlineStr">
        <is>
          <t>Chevrolet Blazer 2004-98, S10 2004-98; GMC Jimmy 2004-98, Sonoma 2004-98; Isuzu Hombre 2000-98; Oldsmobile Bravada 2001-98</t>
        </is>
      </c>
      <c r="Y1125" t="inlineStr">
        <is>
          <t>00082617657822</t>
        </is>
      </c>
      <c r="Z1125" t="inlineStr"/>
      <c r="AA1125" t="inlineStr"/>
      <c r="AB1125" t="inlineStr"/>
      <c r="AC1125" t="inlineStr">
        <is>
          <t>Yes</t>
        </is>
      </c>
    </row>
    <row r="1126">
      <c r="A1126" t="inlineStr">
        <is>
          <t>1125</t>
        </is>
      </c>
      <c r="B1126" t="inlineStr">
        <is>
          <t>Windshield Wiper Motor</t>
        </is>
      </c>
      <c r="C1126" t="inlineStr">
        <is>
          <t>85-1035</t>
        </is>
      </c>
      <c r="D1126" t="inlineStr">
        <is>
          <t>Windshield Wiper Motor - 85-1035</t>
        </is>
      </c>
      <c r="E1126" t="inlineStr">
        <is>
          <t>CARDONE New</t>
        </is>
      </c>
      <c r="F1126" t="inlineStr">
        <is>
          <t>21019798;21019036;22699805</t>
        </is>
      </c>
      <c r="G1126" t="inlineStr">
        <is>
          <t>Saturn L100 2001-2002
Saturn L200 2001-2003
Saturn L300 2001-2005
Saturn LS 2000
Saturn LS1 2000
Saturn LS2 2000
Saturn LW1 2000
Saturn LW2 2000
Saturn LW200 2001-2003
Saturn LW300 2001-2003</t>
        </is>
      </c>
      <c r="H1126" t="inlineStr">
        <is>
          <t>Saturn L100 2001-2002 2.2L L4 134cid
Saturn L200 2001-2003 2.2L L4 134cid
Saturn L300 2001-2005 3L V6 181cid
Saturn L300 2004 2.2L L4 134cid
Saturn LS 2000 2.2L L4 134cid
Saturn LS1 2000 2.2L L4 134cid
Saturn LS2 2000 3L V6 181cid
Saturn LW1 2000 2.2L L4 134cid
Saturn LW2 2000 3L V6 181cid
Saturn LW200 2001-2003 2.2L L4 134cid
Saturn LW300 2001-2003 3L V6 181cid</t>
        </is>
      </c>
      <c r="I1126" t="inlineStr">
        <is>
          <t>{"0": {"productDeskExternalKey": "CNRD|85-1035"}, "1": {"Package Contents": "Wiper Motor; Instruction Manual"}, "2": {"E-Waste": "Yes"}, "3": {"Product Condition": "New"}, "4": {"Mounting Hole Quantity": "3"}, "5": {"Terminal Type": "Blade"}, "6": {"Mounting Type": "Direct Bolt"}, "7": {"Weight PG": "2.7500"}, "8": {"Washer Pump Included": "No"}, "9": {"Part Type": "Windshield Wiper Motor"}, "10": {"Warranty Info": "Limited Lifetime"}, "11": {"Lifetime Warranty": "Yes"}, "12": {"Lifecycle Status": "Available to Order"}, "13": {"Application Summary": "Saturn L100 2002-01, L200 2003-01, L300 2005-01, LS 2000, LS1 2000, LS2 2000, LW1 2000, LW2 2000, LW200 2003-01, LW300 2003-01"}, "14": {"ItemLevelGTIN": "00082617814669"}}</t>
        </is>
      </c>
      <c r="J1126" t="inlineStr">
        <is>
          <t>https://www.cardone.com/product/windshield-wiper-motor-85-1035</t>
        </is>
      </c>
      <c r="K1126">
        <f>DISPIMG("ID_A79AC914DB14469B85F6E8DEBC8E2DCD",1)</f>
        <v/>
      </c>
      <c r="L1126" t="inlineStr">
        <is>
          <t>CNRD|85-1035</t>
        </is>
      </c>
      <c r="M1126" t="inlineStr">
        <is>
          <t>Wiper Motor; Instruction Manual</t>
        </is>
      </c>
      <c r="N1126" t="inlineStr">
        <is>
          <t>Yes</t>
        </is>
      </c>
      <c r="O1126" t="inlineStr">
        <is>
          <t>New</t>
        </is>
      </c>
      <c r="P1126" t="inlineStr">
        <is>
          <t>3</t>
        </is>
      </c>
      <c r="Q1126" t="inlineStr">
        <is>
          <t>Blade</t>
        </is>
      </c>
      <c r="R1126" t="inlineStr">
        <is>
          <t>Direct Bolt</t>
        </is>
      </c>
      <c r="S1126" t="inlineStr">
        <is>
          <t>2.7500</t>
        </is>
      </c>
      <c r="T1126" t="inlineStr">
        <is>
          <t>No</t>
        </is>
      </c>
      <c r="U1126" t="inlineStr">
        <is>
          <t>Limited Lifetime</t>
        </is>
      </c>
      <c r="V1126" t="inlineStr"/>
      <c r="W1126" t="inlineStr">
        <is>
          <t>Available to Order</t>
        </is>
      </c>
      <c r="X1126" t="inlineStr">
        <is>
          <t>Saturn L100 2002-01, L200 2003-01, L300 2005-01, LS 2000, LS1 2000, LS2 2000, LW1 2000, LW2 2000, LW200 2003-01, LW300 2003-01</t>
        </is>
      </c>
      <c r="Y1126" t="inlineStr">
        <is>
          <t>00082617814669</t>
        </is>
      </c>
      <c r="Z1126" t="inlineStr"/>
      <c r="AA1126" t="inlineStr"/>
      <c r="AB1126" t="inlineStr"/>
      <c r="AC1126" t="inlineStr">
        <is>
          <t>Yes</t>
        </is>
      </c>
    </row>
    <row r="1127">
      <c r="A1127" t="inlineStr">
        <is>
          <t>1126</t>
        </is>
      </c>
      <c r="B1127" t="inlineStr">
        <is>
          <t>Windshield Wiper Motor</t>
        </is>
      </c>
      <c r="C1127" t="inlineStr">
        <is>
          <t>85-1043</t>
        </is>
      </c>
      <c r="D1127" t="inlineStr">
        <is>
          <t>Windshield Wiper Motor - 85-1043</t>
        </is>
      </c>
      <c r="E1127" t="inlineStr">
        <is>
          <t>CARDONE New</t>
        </is>
      </c>
      <c r="F1127" t="inlineStr">
        <is>
          <t>22711473</t>
        </is>
      </c>
      <c r="G1127" t="inlineStr">
        <is>
          <t>Chevrolet Cavalier 2003-2005
Oldsmobile Alero 2003-2004
Pontiac Grand Am 2003-2005
Pontiac Sunfire 2003-2005</t>
        </is>
      </c>
      <c r="H1127" t="inlineStr">
        <is>
          <t>Chevrolet Cavalier 2003-2005 2.2L L4 134cid
Oldsmobile Alero 2003-2004 2.2L L4 134cid
Oldsmobile Alero 2003-2004 3.4L V6 207cid
Pontiac Grand Am 2003-2005 2.2L L4 134cid
Pontiac Grand Am 2003-2005 3.4L V6 207cid
Pontiac Sunfire 2003-2005 2.2L L4 134cid</t>
        </is>
      </c>
      <c r="I1127" t="inlineStr">
        <is>
          <t>{"0": {"productDeskExternalKey": "CNRD|85-1043"}, "1": {"Package Contents": "Wiper Motor; Instruction Manual"}, "2": {"E-Waste": "Yes"}, "3": {"Product Condition": "New"}, "4": {"Terminal Type": "Blade"}, "5": {"Mounting Type": "Direct Bolt; Grommet"}, "6": {"Weight PG": "3.4000"}, "7": {"Washer Pump Included": "No"}, "8": {"Part Type": "Windshield Wiper Motor"}, "9": {"Warranty Info": "Limited Lifetime"}, "10": {"Lifetime Warranty": "Yes"}, "11": {"Lifecycle Status": "Available to Order"}, "12": {"Application Summary": "Chevrolet Cavalier 2005-03; Oldsmobile Alero 2004-03; Pontiac Grand Am 2005-03, Sunfire 2005-03"}, "13": {"ItemLevelGTIN": "00884548284173"}}</t>
        </is>
      </c>
      <c r="J1127" t="inlineStr">
        <is>
          <t>https://www.cardone.com/product/windshield-wiper-motor-85-1043</t>
        </is>
      </c>
      <c r="K1127">
        <f>DISPIMG("ID_430C6D1210B2472DB17EA9EA7DE6DCA1",1)</f>
        <v/>
      </c>
      <c r="L1127" t="inlineStr">
        <is>
          <t>CNRD|85-1043</t>
        </is>
      </c>
      <c r="M1127" t="inlineStr">
        <is>
          <t>Wiper Motor; Instruction Manual</t>
        </is>
      </c>
      <c r="N1127" t="inlineStr">
        <is>
          <t>Yes</t>
        </is>
      </c>
      <c r="O1127" t="inlineStr">
        <is>
          <t>New</t>
        </is>
      </c>
      <c r="P1127" t="inlineStr"/>
      <c r="Q1127" t="inlineStr">
        <is>
          <t>Blade</t>
        </is>
      </c>
      <c r="R1127" t="inlineStr">
        <is>
          <t>Direct Bolt; Grommet</t>
        </is>
      </c>
      <c r="S1127" t="inlineStr">
        <is>
          <t>3.4000</t>
        </is>
      </c>
      <c r="T1127" t="inlineStr">
        <is>
          <t>No</t>
        </is>
      </c>
      <c r="U1127" t="inlineStr">
        <is>
          <t>Limited Lifetime</t>
        </is>
      </c>
      <c r="V1127" t="inlineStr"/>
      <c r="W1127" t="inlineStr">
        <is>
          <t>Available to Order</t>
        </is>
      </c>
      <c r="X1127" t="inlineStr">
        <is>
          <t>Chevrolet Cavalier 2005-03; Oldsmobile Alero 2004-03; Pontiac Grand Am 2005-03, Sunfire 2005-03</t>
        </is>
      </c>
      <c r="Y1127" t="inlineStr">
        <is>
          <t>00884548284173</t>
        </is>
      </c>
      <c r="Z1127" t="inlineStr"/>
      <c r="AA1127" t="inlineStr"/>
      <c r="AB1127" t="inlineStr"/>
      <c r="AC1127" t="inlineStr">
        <is>
          <t>Yes</t>
        </is>
      </c>
    </row>
    <row r="1128">
      <c r="A1128" t="inlineStr">
        <is>
          <t>1127</t>
        </is>
      </c>
      <c r="B1128" t="inlineStr">
        <is>
          <t>Windshield Wiper Motor</t>
        </is>
      </c>
      <c r="C1128" t="inlineStr">
        <is>
          <t>85-1045</t>
        </is>
      </c>
      <c r="D1128" t="inlineStr">
        <is>
          <t>Windshield Wiper Motor - 85-1045</t>
        </is>
      </c>
      <c r="E1128" t="inlineStr">
        <is>
          <t>CARDONE New</t>
        </is>
      </c>
      <c r="F1128" t="inlineStr">
        <is>
          <t>25805561;15198956</t>
        </is>
      </c>
      <c r="G1128" t="inlineStr">
        <is>
          <t>Buick Rainier 2004-2007
Chevrolet Trailblazer 2003-2009
Chevrolet Trailblazer EXT 2003-2006
GMC Envoy 2003-2009
GMC Envoy XL 2003-2006
GMC Envoy XUV 2004-2005
Isuzu Ascender 2003-2008
Oldsmobile Bravada 2004
Saab 9-7x 2005-2009</t>
        </is>
      </c>
      <c r="H1128" t="inlineStr">
        <is>
          <t>Buick Rainier 2004-2007 4.2L L6 256cid
Buick Rainier 2004-2007 5.3L V8 325cid
Chevrolet Trailblazer 2003-2009 4.2L L6 256cid
Chevrolet Trailblazer 2006-2008 5.3L V8 325cid
Chevrolet Trailblazer 2006-2009 6L V8 364cid
Chevrolet Trailblazer EXT 2003-2006 4.2L L6 256cid
Chevrolet Trailblazer EXT 2003-2006 5.3L V8 325cid
GMC Envoy 2003-2009 4.2L L6 256cid
GMC Envoy 2005-2009 5.3L V8 325cid
GMC Envoy XL 2003-2006 4.2L L6 256cid
GMC Envoy XL 2003-2006 5.3L V8 325cid
GMC Envoy XUV 2004-2005 4.2L L6 256cid
GMC Envoy XUV 2004-2005 5.3L V8 325cid
Isuzu Ascender 2003-2006 5.3L V8 325cid
Isuzu Ascender 2003-2008 4.2L L6 256cid
Oldsmobile Bravada 2004 4.2L L6 256cid
Saab 9-7x 2005-2009 4.2L L6 256cid
Saab 9-7x 2005-2009 5.3L V8 325cid
Saab 9-7x 2008-2009 6L V8 364cid</t>
        </is>
      </c>
      <c r="I1128" t="inlineStr">
        <is>
          <t>{"0": {"productDeskExternalKey": "CNRD|85-1045"}, "1": {"Package Contents": "Wiper Motor; Instruction Manual"}, "2": {"E-Waste": "Yes"}, "3": {"Product Condition": "New"}, "4": {"Mounting Hole Quantity": "2"}, "5": {"Terminal Type": "Blade"}, "6": {"Mounting Type": "Direct Bolt"}, "7": {"Weight PG": "2.5000"}, "8": {"Washer Pump Included": "No"}, "9": {"Part Type": "Windshield Wiper Motor"}, "10": {"Warranty Info": "Limited Lifetime"}, "11": {"Lifetime Warranty": "Yes"}, "12": {"Lifecycle Status": "Available to Order"}, "13": {"Application Summary": "Buick Rainier 2007-04; Chevrolet Trailblazer 2009-03, Trailblazer EXT 2006-03; GMC Envoy 2009-03, Envoy XL 2006-03, Envoy XUV 2005-04; Isuzu Ascender 2008-03; Oldsmobile Bravada 2004; Saab 9-7x 2009-05"}, "14": {"ItemLevelGTIN": "00884548016958"}}</t>
        </is>
      </c>
      <c r="J1128" t="inlineStr">
        <is>
          <t>https://www.cardone.com/product/windshield-wiper-motor-85-1045</t>
        </is>
      </c>
      <c r="K1128">
        <f>DISPIMG("ID_14BE0EA8D5B04EAE8C9C70C38C085F16",1)</f>
        <v/>
      </c>
      <c r="L1128" t="inlineStr">
        <is>
          <t>CNRD|85-1045</t>
        </is>
      </c>
      <c r="M1128" t="inlineStr">
        <is>
          <t>Wiper Motor; Instruction Manual</t>
        </is>
      </c>
      <c r="N1128" t="inlineStr">
        <is>
          <t>Yes</t>
        </is>
      </c>
      <c r="O1128" t="inlineStr">
        <is>
          <t>New</t>
        </is>
      </c>
      <c r="P1128" t="inlineStr">
        <is>
          <t>2</t>
        </is>
      </c>
      <c r="Q1128" t="inlineStr">
        <is>
          <t>Blade</t>
        </is>
      </c>
      <c r="R1128" t="inlineStr">
        <is>
          <t>Direct Bolt</t>
        </is>
      </c>
      <c r="S1128" t="inlineStr">
        <is>
          <t>2.5000</t>
        </is>
      </c>
      <c r="T1128" t="inlineStr">
        <is>
          <t>No</t>
        </is>
      </c>
      <c r="U1128" t="inlineStr">
        <is>
          <t>Limited Lifetime</t>
        </is>
      </c>
      <c r="V1128" t="inlineStr"/>
      <c r="W1128" t="inlineStr">
        <is>
          <t>Available to Order</t>
        </is>
      </c>
      <c r="X1128" t="inlineStr">
        <is>
          <t>Buick Rainier 2007-04; Chevrolet Trailblazer 2009-03, Trailblazer EXT 2006-03; GMC Envoy 2009-03, Envoy XL 2006-03, Envoy XUV 2005-04; Isuzu Ascender 2008-03; Oldsmobile Bravada 2004; Saab 9-7x 2009-05</t>
        </is>
      </c>
      <c r="Y1128" t="inlineStr">
        <is>
          <t>00884548016958</t>
        </is>
      </c>
      <c r="Z1128" t="inlineStr"/>
      <c r="AA1128" t="inlineStr"/>
      <c r="AB1128" t="inlineStr"/>
      <c r="AC1128" t="inlineStr">
        <is>
          <t>Yes</t>
        </is>
      </c>
    </row>
    <row r="1129">
      <c r="A1129" t="inlineStr">
        <is>
          <t>1128</t>
        </is>
      </c>
      <c r="B1129" t="inlineStr">
        <is>
          <t>Windshield Wiper Motor</t>
        </is>
      </c>
      <c r="C1129" t="inlineStr">
        <is>
          <t>85-1046</t>
        </is>
      </c>
      <c r="D1129" t="inlineStr">
        <is>
          <t>Windshield Wiper Motor - 85-1046</t>
        </is>
      </c>
      <c r="E1129" t="inlineStr">
        <is>
          <t>CARDONE New</t>
        </is>
      </c>
      <c r="F1129" t="inlineStr">
        <is>
          <t>88958144</t>
        </is>
      </c>
      <c r="G1129" t="inlineStr">
        <is>
          <t>Cadillac Escalade 2003
Cadillac Escalade ESV 2003
Cadillac Escalade EXT 2003
Chevrolet Avalanche 1500 2003
Chevrolet Avalanche 2500 2003
Chevrolet Silverado 1500 2003
Chevrolet Silverado 1500 HD 2003
Chevrolet Silverado 2500 2003
Chevrolet Silverado 2500 HD 2003
Chevrolet Silverado 3500 2003
Chevrolet Suburban 1500 2003
Chevrolet Suburban 2500 2003
Chevrolet Tahoe 2003
GMC Sierra 1500 2003
GMC Sierra 1500 HD 2003
GMC Sierra 2500 2003
GMC Sierra 2500 HD 2003
GMC Sierra 3500 2003
GMC Yukon 2003
GMC Yukon XL 1500 2003
GMC Yukon XL 2500 2003</t>
        </is>
      </c>
      <c r="H1129" t="inlineStr">
        <is>
          <t>Cadillac Escalade 2003 5.3L V8 325cid
Cadillac Escalade 2003 6L V8 364cid
Cadillac Escalade ESV 2003 6L V8 364cid
Cadillac Escalade EXT 2003 6L V8 364cid
Chevrolet Avalanche 1500 2003 5.3L V8 325cid
Chevrolet Avalanche 2500 2003 8.1L V8 496cid
Chevrolet Silverado 1500 2003 4.3L V6 262cid
Chevrolet Silverado 1500 2003 4.8L V8 294cid
Chevrolet Silverado 1500 2003 5.3L V8 325cid
Chevrolet Silverado 1500 2003 6L V8 364cid
Chevrolet Silverado 1500 HD 2003 6L V8 364cid
Chevrolet Silverado 2500 2003 5.3L V8 325cid
Chevrolet Silverado 2500 2003 6L V8 364cid
Chevrolet Silverado 2500 HD 2003 6.6L V8 403cid
Chevrolet Silverado 2500 HD 2003 6L V8 364cid
Chevrolet Silverado 2500 HD 2003 8.1L V8 496cid
Chevrolet Silverado 3500 2003 5.7L V8 350cid
Chevrolet Silverado 3500 2003 6.6L V8 403cid
Chevrolet Silverado 3500 2003 6L V8 364cid
Chevrolet Silverado 3500 2003 8.1L V8 496cid
Chevrolet Suburban 1500 2003 5.3L V8 325cid
Chevrolet Suburban 2500 2003 6L V8 364cid
Chevrolet Suburban 2500 2003 8.1L V8 496cid
Chevrolet Tahoe 2003 4.8L V8 294cid
Chevrolet Tahoe 2003 5.3L V8 325cid
GMC Sierra 1500 2003 4.3L V6 262cid
GMC Sierra 1500 2003 4.8L V8 294cid
GMC Sierra 1500 2003 5.3L V8 325cid
GMC Sierra 1500 2003 6L V8 364cid
GMC Sierra 1500 HD 2003 6L V8 364cid
GMC Sierra 2500 2003 6L V8 364cid
GMC Sierra 2500 HD 2003 6.6L V8 403cid
GMC Sierra 2500 HD 2003 6L V8 364cid
GMC Sierra 2500 HD 2003 8.1L V8 496cid
GMC Sierra 3500 2003 6.6L V8 403cid
GMC Sierra 3500 2003 6L V8 364cid
GMC Sierra 3500 2003 8.1L V8 496cid
GMC Yukon 2003 4.8L V8 294cid
GMC Yukon 2003 5.3L V8 325cid
GMC Yukon 2003 6L V8 364cid
GMC Yukon XL 1500 2003 5.3L V8 325cid
GMC Yukon XL 1500 2003 6L V8 364cid
GMC Yukon XL 2500 2003 6L V8 364cid
GMC Yukon XL 2500 2003 8.1L V8 496cid</t>
        </is>
      </c>
      <c r="I1129" t="inlineStr">
        <is>
          <t>{"0": {"productDeskExternalKey": "CNRD|85-1046"}, "1": {"Package Contents": "Wiper Motor; Instruction Manual"}, "2": {"E-Waste": "Yes"}, "3": {"Product Condition": "New"}, "4": {"Mounting Hole Quantity": "3"}, "5": {"Terminal Type": "Pin; Blade"}, "6": {"Mounting Type": "Direct Bolt; Grommet"}, "7": {"Weight PG": "3.8000"}, "8": {"Washer Pump Included": "No"}, "9": {"Part Type": "Windshield Wiper Motor"}, "10": {"Warranty Info": "Limited Lifetime"}, "11": {"Lifetime Warranty": "Yes"}, "12": {"Lifecycle Status": "Available to Order"}, "13": {"ItemLevelGTIN": "00884548042865"}}</t>
        </is>
      </c>
      <c r="J1129" t="inlineStr">
        <is>
          <t>https://www.cardone.com/product/windshield-wiper-motor-85-1046</t>
        </is>
      </c>
      <c r="K1129">
        <f>DISPIMG("ID_590F733441D34681ADD2552AE32E3BF2",1)</f>
        <v/>
      </c>
      <c r="L1129" t="inlineStr">
        <is>
          <t>CNRD|85-1046</t>
        </is>
      </c>
      <c r="M1129" t="inlineStr">
        <is>
          <t>Wiper Motor; Instruction Manual</t>
        </is>
      </c>
      <c r="N1129" t="inlineStr">
        <is>
          <t>Yes</t>
        </is>
      </c>
      <c r="O1129" t="inlineStr">
        <is>
          <t>New</t>
        </is>
      </c>
      <c r="P1129" t="inlineStr">
        <is>
          <t>3</t>
        </is>
      </c>
      <c r="Q1129" t="inlineStr">
        <is>
          <t>Pin; Blade</t>
        </is>
      </c>
      <c r="R1129" t="inlineStr">
        <is>
          <t>Direct Bolt; Grommet</t>
        </is>
      </c>
      <c r="S1129" t="inlineStr">
        <is>
          <t>3.8000</t>
        </is>
      </c>
      <c r="T1129" t="inlineStr">
        <is>
          <t>No</t>
        </is>
      </c>
      <c r="U1129" t="inlineStr">
        <is>
          <t>Limited Lifetime</t>
        </is>
      </c>
      <c r="V1129" t="inlineStr"/>
      <c r="W1129" t="inlineStr">
        <is>
          <t>Available to Order</t>
        </is>
      </c>
      <c r="X1129" t="inlineStr"/>
      <c r="Y1129" t="inlineStr">
        <is>
          <t>00884548042865</t>
        </is>
      </c>
      <c r="Z1129" t="inlineStr"/>
      <c r="AA1129" t="inlineStr"/>
      <c r="AB1129" t="inlineStr"/>
      <c r="AC1129" t="inlineStr">
        <is>
          <t>Yes</t>
        </is>
      </c>
    </row>
    <row r="1130">
      <c r="A1130" t="inlineStr">
        <is>
          <t>1129</t>
        </is>
      </c>
      <c r="B1130" t="inlineStr">
        <is>
          <t>Windshield Wiper Motor</t>
        </is>
      </c>
      <c r="C1130" t="inlineStr">
        <is>
          <t>85-1047</t>
        </is>
      </c>
      <c r="D1130" t="inlineStr">
        <is>
          <t>Windshield Wiper Motor - 85-1047</t>
        </is>
      </c>
      <c r="E1130" t="inlineStr">
        <is>
          <t>CARDONE New</t>
        </is>
      </c>
      <c r="F1130" t="inlineStr">
        <is>
          <t>88958135</t>
        </is>
      </c>
      <c r="G1130" t="inlineStr">
        <is>
          <t>Chevrolet Express 1500 2003-2007
Chevrolet Express 2500 2003-2007
Chevrolet Express 3500 2003-2007
GMC Savana 1500 2003-2007
GMC Savana 2500 2003-2007
GMC Savana 3500 2003-2007</t>
        </is>
      </c>
      <c r="H1130" t="inlineStr">
        <is>
          <t>Chevrolet Express 1500 2003-2007 4.3L V6 262cid
Chevrolet Express 1500 2003-2007 5.3L V8 325cid
Chevrolet Express 2500 2003-2005 5.3L V8 325cid
Chevrolet Express 2500 2003-2006 4.3L V6 262cid
Chevrolet Express 2500 2003-2007 4.8L V8 294cid
Chevrolet Express 2500 2003-2007 6L V8 364cid
Chevrolet Express 2500 2006-2007 6.6L V8 403cid
Chevrolet Express 3500 2003-2007 4.8L V8 294cid
Chevrolet Express 3500 2003-2007 5.3L V8 325cid
Chevrolet Express 3500 2003-2007 6L V8 364cid
Chevrolet Express 3500 2006-2007 6.6L V8 403cid
GMC Savana 1500 2003-2007 4.3L V6 262cid
GMC Savana 1500 2003-2007 5.3L V8 325cid
GMC Savana 2500 2003-2005 5.3L V8 325cid
GMC Savana 2500 2003-2006 4.3L V6 262cid
GMC Savana 2500 2003-2007 4.8L V8 294cid
GMC Savana 2500 2003-2007 6L V8 364cid
GMC Savana 2500 2006-2007 6.6L V8 403cid
GMC Savana 3500 2003-2007 4.8L V8 294cid
GMC Savana 3500 2003-2007 6L V8 364cid
GMC Savana 3500 2006-2007 6.6L V8 403cid</t>
        </is>
      </c>
      <c r="I1130" t="inlineStr">
        <is>
          <t>{"0": {"productDeskExternalKey": "CNRD|85-1047"}, "1": {"Package Contents": "Wiper Motor; Instruction Manual"}, "2": {"E-Waste": "Yes"}, "3": {"Product Condition": "New"}, "4": {"Mounting Hole Quantity": "3"}, "5": {"Terminal Type": "Pin; Blade"}, "6": {"Mounting Type": "Direct Bolt"}, "7": {"Weight PG": "3.5000"}, "8": {"Washer Pump Included": "No"}, "9": {"Part Type": "Windshield Wiper Motor"}, "10": {"Warranty Info": "Limited Lifetime"}, "11": {"Lifetime Warranty": "Yes"}, "12": {"Lifecycle Status": "Available to Order"}, "13": {"Application Summary": "Chevrolet Express 1500 2007-03, Express 2500 2007-03, Express 3500 2007-03; GMC Savana 1500 2007-03, Savana 2500 2007-03, Savana 3500 2007-03"}, "14": {"ItemLevelGTIN": "00884548042889"}}</t>
        </is>
      </c>
      <c r="J1130" t="inlineStr">
        <is>
          <t>https://www.cardone.com/product/windshield-wiper-motor-85-1047</t>
        </is>
      </c>
      <c r="K1130">
        <f>DISPIMG("ID_7AA2352BD002487A958D6954D4096FD0",1)</f>
        <v/>
      </c>
      <c r="L1130" t="inlineStr">
        <is>
          <t>CNRD|85-1047</t>
        </is>
      </c>
      <c r="M1130" t="inlineStr">
        <is>
          <t>Wiper Motor; Instruction Manual</t>
        </is>
      </c>
      <c r="N1130" t="inlineStr">
        <is>
          <t>Yes</t>
        </is>
      </c>
      <c r="O1130" t="inlineStr">
        <is>
          <t>New</t>
        </is>
      </c>
      <c r="P1130" t="inlineStr">
        <is>
          <t>3</t>
        </is>
      </c>
      <c r="Q1130" t="inlineStr">
        <is>
          <t>Pin; Blade</t>
        </is>
      </c>
      <c r="R1130" t="inlineStr">
        <is>
          <t>Direct Bolt</t>
        </is>
      </c>
      <c r="S1130" t="inlineStr">
        <is>
          <t>3.5000</t>
        </is>
      </c>
      <c r="T1130" t="inlineStr">
        <is>
          <t>No</t>
        </is>
      </c>
      <c r="U1130" t="inlineStr">
        <is>
          <t>Limited Lifetime</t>
        </is>
      </c>
      <c r="V1130" t="inlineStr"/>
      <c r="W1130" t="inlineStr">
        <is>
          <t>Available to Order</t>
        </is>
      </c>
      <c r="X1130" t="inlineStr">
        <is>
          <t>Chevrolet Express 1500 2007-03, Express 2500 2007-03, Express 3500 2007-03; GMC Savana 1500 2007-03, Savana 2500 2007-03, Savana 3500 2007-03</t>
        </is>
      </c>
      <c r="Y1130" t="inlineStr">
        <is>
          <t>00884548042889</t>
        </is>
      </c>
      <c r="Z1130" t="inlineStr"/>
      <c r="AA1130" t="inlineStr"/>
      <c r="AB1130" t="inlineStr"/>
      <c r="AC1130" t="inlineStr">
        <is>
          <t>Yes</t>
        </is>
      </c>
    </row>
    <row r="1131">
      <c r="A1131" t="inlineStr">
        <is>
          <t>1130</t>
        </is>
      </c>
      <c r="B1131" t="inlineStr">
        <is>
          <t>Windshield Wiper Motor</t>
        </is>
      </c>
      <c r="C1131" t="inlineStr">
        <is>
          <t>85-10490</t>
        </is>
      </c>
      <c r="D1131" t="inlineStr">
        <is>
          <t>Windshield Wiper Motor - 85-10490</t>
        </is>
      </c>
      <c r="E1131" t="inlineStr">
        <is>
          <t>CARDONE New</t>
        </is>
      </c>
      <c r="F1131" t="inlineStr">
        <is>
          <t>12487646;15173034</t>
        </is>
      </c>
      <c r="G1131" t="inlineStr">
        <is>
          <t>Cadillac Escalade 2002-2006
Cadillac Escalade ESV 2003-2006
Chevrolet Suburban 1500 2003-2006
Chevrolet Suburban 2500 2003-2006
Chevrolet Tahoe 2003-2006
GMC Yukon 2003-2006
GMC Yukon XL 1500 2003-2006
GMC Yukon XL 2500 2003-2006</t>
        </is>
      </c>
      <c r="H1131" t="inlineStr">
        <is>
          <t>Cadillac Escalade 2002-2005 5.3L V8 325cid
Cadillac Escalade 2002-2006 6L V8 364cid
Cadillac Escalade ESV 2003-2006 6L V8 364cid
Chevrolet Suburban 1500 2003-2006 5.3L V8 325cid
Chevrolet Suburban 1500 2006 6L V8 364cid
Chevrolet Suburban 2500 2003-2006 6L V8 364cid
Chevrolet Suburban 2500 2003-2006 8.1L V8 496cid
Chevrolet Tahoe 2003-2006 4.8L V8 294cid
Chevrolet Tahoe 2003-2006 5.3L V8 325cid
GMC Yukon 2003-2006 4.8L V8 294cid
GMC Yukon 2003-2006 5.3L V8 325cid
GMC Yukon 2003-2006 6L V8 364cid
GMC Yukon XL 1500 2003-2006 5.3L V8 325cid
GMC Yukon XL 1500 2003-2006 6L V8 364cid
GMC Yukon XL 2500 2003-2006 6L V8 364cid
GMC Yukon XL 2500 2003-2006 8.1L V8 496cid</t>
        </is>
      </c>
      <c r="I1131" t="inlineStr">
        <is>
          <t>{"0": {"productDeskExternalKey": "CNRD|85-10490"}, "1": {"Package Contents": "Wiper Motor; Instruction Manual"}, "2": {"E-Waste": "Yes"}, "3": {"Product Condition": "New"}, "4": {"Terminal Type": "Blade"}, "5": {"Mounting Type": "Direct Bolt"}, "6": {"Weight PG": "3.4000"}, "7": {"Washer Pump Included": "No"}, "8": {"Part Type": "Windshield Wiper Motor"}, "9": {"Warranty Info": "Limited Lifetime"}, "10": {"Lifetime Warranty": "Yes"}, "11": {"Lifecycle Status": "Available to Order"}, "12": {"Application Summary": "Cadillac Escalade 2006-02, Escalade ESV 2006-03; Chevrolet Suburban 1500 2006-03, Suburban 2500 2006-03, Tahoe 2006-03; GMC Yukon 2006-03, Yukon XL 1500 2006-03, Yukon XL 2500 2006-03"}, "13": {"ItemLevelGTIN": "00884548198883"}}</t>
        </is>
      </c>
      <c r="J1131" t="inlineStr">
        <is>
          <t>https://www.cardone.com/product/windshield-wiper-motor-85-10490</t>
        </is>
      </c>
      <c r="K1131">
        <f>DISPIMG("ID_FF4466183F0E443C8205BFACD46C7AA2",1)</f>
        <v/>
      </c>
      <c r="L1131" t="inlineStr">
        <is>
          <t>CNRD|85-10490</t>
        </is>
      </c>
      <c r="M1131" t="inlineStr">
        <is>
          <t>Wiper Motor; Instruction Manual</t>
        </is>
      </c>
      <c r="N1131" t="inlineStr">
        <is>
          <t>Yes</t>
        </is>
      </c>
      <c r="O1131" t="inlineStr">
        <is>
          <t>New</t>
        </is>
      </c>
      <c r="P1131" t="inlineStr"/>
      <c r="Q1131" t="inlineStr">
        <is>
          <t>Blade</t>
        </is>
      </c>
      <c r="R1131" t="inlineStr">
        <is>
          <t>Direct Bolt</t>
        </is>
      </c>
      <c r="S1131" t="inlineStr">
        <is>
          <t>3.4000</t>
        </is>
      </c>
      <c r="T1131" t="inlineStr">
        <is>
          <t>No</t>
        </is>
      </c>
      <c r="U1131" t="inlineStr">
        <is>
          <t>Limited Lifetime</t>
        </is>
      </c>
      <c r="V1131" t="inlineStr"/>
      <c r="W1131" t="inlineStr">
        <is>
          <t>Available to Order</t>
        </is>
      </c>
      <c r="X1131" t="inlineStr">
        <is>
          <t>Cadillac Escalade 2006-02, Escalade ESV 2006-03; Chevrolet Suburban 1500 2006-03, Suburban 2500 2006-03, Tahoe 2006-03; GMC Yukon 2006-03, Yukon XL 1500 2006-03, Yukon XL 2500 2006-03</t>
        </is>
      </c>
      <c r="Y1131" t="inlineStr">
        <is>
          <t>00884548198883</t>
        </is>
      </c>
      <c r="Z1131" t="inlineStr"/>
      <c r="AA1131" t="inlineStr"/>
      <c r="AB1131" t="inlineStr"/>
      <c r="AC1131" t="inlineStr">
        <is>
          <t>Yes</t>
        </is>
      </c>
    </row>
    <row r="1132">
      <c r="A1132" t="inlineStr">
        <is>
          <t>1131</t>
        </is>
      </c>
      <c r="B1132" t="inlineStr">
        <is>
          <t>Windshield Wiper Motor</t>
        </is>
      </c>
      <c r="C1132" t="inlineStr">
        <is>
          <t>85-1053</t>
        </is>
      </c>
      <c r="D1132" t="inlineStr">
        <is>
          <t>Windshield Wiper Motor - 85-1053</t>
        </is>
      </c>
      <c r="E1132" t="inlineStr">
        <is>
          <t>CARDONE New</t>
        </is>
      </c>
      <c r="F1132" t="inlineStr">
        <is>
          <t>19178992;19120756;12335727</t>
        </is>
      </c>
      <c r="G1132" t="inlineStr">
        <is>
          <t>Buick Allure 2005
Buick LaCrosse 2005
Hummer H2 2008-2009
Pontiac Grand Prix 2004-2005</t>
        </is>
      </c>
      <c r="H1132" t="inlineStr">
        <is>
          <t>Buick Allure 2005 3.6L V6 217cid
Buick Allure 2005 3.8L V6 231cid
Buick LaCrosse 2005 3.6L V6 217cid
Buick LaCrosse 2005 3.8L V6 231cid
Hummer H2 2008-2009 6.2L V8 376cid
Pontiac Grand Prix 2004-2005 3.8L V6 231cid
Pontiac Grand Prix 2005 5.3L V8 325cid</t>
        </is>
      </c>
      <c r="I1132" t="inlineStr">
        <is>
          <t>{"0": {"productDeskExternalKey": "CNRD|85-1053"}, "1": {"Package Contents": "Wiper Motor; Instruction Manual"}, "2": {"E-Waste": "Yes"}, "3": {"Product Condition": "New"}, "4": {"Terminal Type": "Blade"}, "5": {"Mounting Type": "Direct Bolt"}, "6": {"Weight PG": "2.3000"}, "7": {"Washer Pump Included": "No"}, "8": {"Part Type": "Windshield Wiper Motor"}, "9": {"Warranty Info": "Limited Lifetime"}, "10": {"Lifetime Warranty": "Yes"}, "11": {"Lifecycle Status": "Available to Order"}, "12": {"Application Summary": "Buick Allure 2005, LaCrosse 2005; Hummer H2 2009-08; Pontiac Grand Prix 2005-04"}, "13": {"ItemLevelGTIN": "00082617802673"}}</t>
        </is>
      </c>
      <c r="J1132" t="inlineStr">
        <is>
          <t>https://www.cardone.com/product/windshield-wiper-motor-85-1053</t>
        </is>
      </c>
      <c r="K1132">
        <f>DISPIMG("ID_C1EBC1D06B8E428285B4B99197E7496A",1)</f>
        <v/>
      </c>
      <c r="L1132" t="inlineStr">
        <is>
          <t>CNRD|85-1053</t>
        </is>
      </c>
      <c r="M1132" t="inlineStr">
        <is>
          <t>Wiper Motor; Instruction Manual</t>
        </is>
      </c>
      <c r="N1132" t="inlineStr">
        <is>
          <t>Yes</t>
        </is>
      </c>
      <c r="O1132" t="inlineStr">
        <is>
          <t>New</t>
        </is>
      </c>
      <c r="P1132" t="inlineStr"/>
      <c r="Q1132" t="inlineStr">
        <is>
          <t>Blade</t>
        </is>
      </c>
      <c r="R1132" t="inlineStr">
        <is>
          <t>Direct Bolt</t>
        </is>
      </c>
      <c r="S1132" t="inlineStr">
        <is>
          <t>2.3000</t>
        </is>
      </c>
      <c r="T1132" t="inlineStr">
        <is>
          <t>No</t>
        </is>
      </c>
      <c r="U1132" t="inlineStr">
        <is>
          <t>Limited Lifetime</t>
        </is>
      </c>
      <c r="V1132" t="inlineStr"/>
      <c r="W1132" t="inlineStr">
        <is>
          <t>Available to Order</t>
        </is>
      </c>
      <c r="X1132" t="inlineStr">
        <is>
          <t>Buick Allure 2005, LaCrosse 2005; Hummer H2 2009-08; Pontiac Grand Prix 2005-04</t>
        </is>
      </c>
      <c r="Y1132" t="inlineStr">
        <is>
          <t>00082617802673</t>
        </is>
      </c>
      <c r="Z1132" t="inlineStr"/>
      <c r="AA1132" t="inlineStr"/>
      <c r="AB1132" t="inlineStr"/>
      <c r="AC1132" t="inlineStr">
        <is>
          <t>Yes</t>
        </is>
      </c>
    </row>
    <row r="1133">
      <c r="A1133" t="inlineStr">
        <is>
          <t>1132</t>
        </is>
      </c>
      <c r="B1133" t="inlineStr">
        <is>
          <t>Windshield Wiper Motor</t>
        </is>
      </c>
      <c r="C1133" t="inlineStr">
        <is>
          <t>85-1055</t>
        </is>
      </c>
      <c r="D1133" t="inlineStr">
        <is>
          <t>Windshield Wiper Motor - 85-1055</t>
        </is>
      </c>
      <c r="E1133" t="inlineStr">
        <is>
          <t>CARDONE New</t>
        </is>
      </c>
      <c r="F1133" t="inlineStr">
        <is>
          <t>22695045;15821045</t>
        </is>
      </c>
      <c r="G1133" t="inlineStr">
        <is>
          <t>Saturn Vue 2002-2006</t>
        </is>
      </c>
      <c r="H1133" t="inlineStr">
        <is>
          <t>Saturn Vue 2002-2003 3L V6 181cid
Saturn Vue 2002-2006 2.2L L4 134cid
Saturn Vue 2004 3.5L V6 3475cc
Saturn Vue 2004-2005 3.5L V6 3474cc
Saturn Vue 2006 3.5L V6 3471cc</t>
        </is>
      </c>
      <c r="I1133" t="inlineStr">
        <is>
          <t>{"0": {"productDeskExternalKey": "CNRD|85-1055"}, "1": {"Package Contents": "Wiper Motor; Instruction Manual"}, "2": {"E-Waste": "Yes"}, "3": {"Product Condition": "New"}, "4": {"Mounting Hole Quantity": "3"}, "5": {"Terminal Type": "Blade"}, "6": {"Mounting Type": "Eyelet; Grommet"}, "7": {"Weight PG": "3.2000"}, "8": {"Washer Pump Included": "No"}, "9": {"Part Type": "Windshield Wiper Motor"}, "10": {"Warranty Info": "Limited Lifetime"}, "11": {"Lifetime Warranty": "Yes"}, "12": {"Lifecycle Status": "Available to Order"}, "13": {"Application Summary": "Saturn Vue 2006-02"}, "14": {"ItemLevelGTIN": "00884548068087"}}</t>
        </is>
      </c>
      <c r="J1133" t="inlineStr">
        <is>
          <t>https://www.cardone.com/product/windshield-wiper-motor-85-1055</t>
        </is>
      </c>
      <c r="K1133">
        <f>DISPIMG("ID_08D8E23CB6D8470EA9880D647050ACD4",1)</f>
        <v/>
      </c>
      <c r="L1133" t="inlineStr">
        <is>
          <t>CNRD|85-1055</t>
        </is>
      </c>
      <c r="M1133" t="inlineStr">
        <is>
          <t>Wiper Motor; Instruction Manual</t>
        </is>
      </c>
      <c r="N1133" t="inlineStr">
        <is>
          <t>Yes</t>
        </is>
      </c>
      <c r="O1133" t="inlineStr">
        <is>
          <t>New</t>
        </is>
      </c>
      <c r="P1133" t="inlineStr">
        <is>
          <t>3</t>
        </is>
      </c>
      <c r="Q1133" t="inlineStr">
        <is>
          <t>Blade</t>
        </is>
      </c>
      <c r="R1133" t="inlineStr">
        <is>
          <t>Eyelet; Grommet</t>
        </is>
      </c>
      <c r="S1133" t="inlineStr">
        <is>
          <t>3.2000</t>
        </is>
      </c>
      <c r="T1133" t="inlineStr">
        <is>
          <t>No</t>
        </is>
      </c>
      <c r="U1133" t="inlineStr">
        <is>
          <t>Limited Lifetime</t>
        </is>
      </c>
      <c r="V1133" t="inlineStr"/>
      <c r="W1133" t="inlineStr">
        <is>
          <t>Available to Order</t>
        </is>
      </c>
      <c r="X1133" t="inlineStr">
        <is>
          <t>Saturn Vue 2006-02</t>
        </is>
      </c>
      <c r="Y1133" t="inlineStr">
        <is>
          <t>00884548068087</t>
        </is>
      </c>
      <c r="Z1133" t="inlineStr"/>
      <c r="AA1133" t="inlineStr"/>
      <c r="AB1133" t="inlineStr"/>
      <c r="AC1133" t="inlineStr">
        <is>
          <t>Yes</t>
        </is>
      </c>
    </row>
    <row r="1134">
      <c r="A1134" t="inlineStr">
        <is>
          <t>1133</t>
        </is>
      </c>
      <c r="B1134" t="inlineStr">
        <is>
          <t>Windshield Wiper Motor</t>
        </is>
      </c>
      <c r="C1134" t="inlineStr">
        <is>
          <t>85-1056</t>
        </is>
      </c>
      <c r="D1134" t="inlineStr">
        <is>
          <t>Windshield Wiper Motor - 85-1056</t>
        </is>
      </c>
      <c r="E1134" t="inlineStr">
        <is>
          <t>CARDONE New</t>
        </is>
      </c>
      <c r="F1134" t="inlineStr">
        <is>
          <t>96415083</t>
        </is>
      </c>
      <c r="G1134" t="inlineStr">
        <is>
          <t>Chevrolet Aveo 2004-2006
Chevrolet Aveo5 2006-2008
Pontiac Wave 2008
Pontiac Wave5 2005-2007
Suzuki Swift 2007-2008
Suzuki Swift+ 2004-2006</t>
        </is>
      </c>
      <c r="H1134" t="inlineStr">
        <is>
          <t>Chevrolet Aveo 2004-2006 1.6L L4 98cid
Chevrolet Aveo5 2006-2008 1.6L L4 98cid
Pontiac Wave 2008 1.6L L4 98cid
Pontiac Wave5 2005-2007 1.6L L4 98cid
Suzuki Swift 2007-2008 1.5L L4 91cid
Suzuki Swift+ 2004-2006 1.6L L4 98cid</t>
        </is>
      </c>
      <c r="I1134" t="inlineStr">
        <is>
          <t>{"0": {"productDeskExternalKey": "CNRD|85-1056"},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"Chevrolet Aveo 2006-04, Aveo5 2008-06; Pontiac Wave 2008, Wave5 2007-05; Suzuki Swift 2008-07, Swift+ 2006-04"}, "13": {"ItemLevelGTIN": "00884548266674"}}</t>
        </is>
      </c>
      <c r="J1134" t="inlineStr">
        <is>
          <t>https://www.cardone.com/product/windshield-wiper-motor-85-1056</t>
        </is>
      </c>
      <c r="K1134">
        <f>DISPIMG("ID_F4F85B6F310946B4ADB4734B4B8541BB",1)</f>
        <v/>
      </c>
      <c r="L1134" t="inlineStr">
        <is>
          <t>CNRD|85-1056</t>
        </is>
      </c>
      <c r="M1134" t="inlineStr">
        <is>
          <t>Wiper Motor; Instruction Manual</t>
        </is>
      </c>
      <c r="N1134" t="inlineStr">
        <is>
          <t>Yes</t>
        </is>
      </c>
      <c r="O1134" t="inlineStr">
        <is>
          <t>New</t>
        </is>
      </c>
      <c r="P1134" t="inlineStr"/>
      <c r="Q1134" t="inlineStr">
        <is>
          <t>Blade</t>
        </is>
      </c>
      <c r="R1134" t="inlineStr">
        <is>
          <t>Direct Bolt</t>
        </is>
      </c>
      <c r="S1134" t="inlineStr">
        <is>
          <t>3.0000</t>
        </is>
      </c>
      <c r="T1134" t="inlineStr">
        <is>
          <t>No</t>
        </is>
      </c>
      <c r="U1134" t="inlineStr">
        <is>
          <t>Limited Lifetime</t>
        </is>
      </c>
      <c r="V1134" t="inlineStr"/>
      <c r="W1134" t="inlineStr">
        <is>
          <t>Available to Order</t>
        </is>
      </c>
      <c r="X1134" t="inlineStr">
        <is>
          <t>Chevrolet Aveo 2006-04, Aveo5 2008-06; Pontiac Wave 2008, Wave5 2007-05; Suzuki Swift 2008-07, Swift+ 2006-04</t>
        </is>
      </c>
      <c r="Y1134" t="inlineStr">
        <is>
          <t>00884548266674</t>
        </is>
      </c>
      <c r="Z1134" t="inlineStr"/>
      <c r="AA1134" t="inlineStr"/>
      <c r="AB1134" t="inlineStr"/>
      <c r="AC1134" t="inlineStr">
        <is>
          <t>Yes</t>
        </is>
      </c>
    </row>
    <row r="1135">
      <c r="A1135" t="inlineStr">
        <is>
          <t>1134</t>
        </is>
      </c>
      <c r="B1135" t="inlineStr">
        <is>
          <t>Windshield Wiper Motor</t>
        </is>
      </c>
      <c r="C1135" t="inlineStr">
        <is>
          <t>85-1057</t>
        </is>
      </c>
      <c r="D1135" t="inlineStr">
        <is>
          <t>Windshield Wiper Motor - 85-1057</t>
        </is>
      </c>
      <c r="E1135" t="inlineStr">
        <is>
          <t>CARDONE New</t>
        </is>
      </c>
      <c r="F1135" t="inlineStr">
        <is>
          <t>61611386155;61611373385;61611386156</t>
        </is>
      </c>
      <c r="G1135" t="inlineStr">
        <is>
          <t>BMW 318i 1984-1993
BMW 318is 1991
BMW 325 1986-1988
BMW 325e 1984-1987
BMW 325es 1986-1987
BMW 325i 1987-1993
BMW 325iX 1988-1991
BMW 325is 1987-1991
BMW 524td 1985-1986
BMW 528e 1984-1988
BMW 533i 1984
BMW 535i 1985-1988
BMW 535is 1988
BMW M3 1988-1991
BMW M5 1988</t>
        </is>
      </c>
      <c r="H1135" t="inlineStr">
        <is>
          <t>BMW 318i 1984-1985 1.8L L4 107cid
BMW 318i 1991-1993 1.8L L4 1796cc
BMW 318is 1991 1.8L L4 1796cc
BMW 325 1986-1988 2.7L L6 2693cc
BMW 325e 1984-1987 2.7L L6 2693cc
BMW 325es 1986-1987 2.7L L6 2693cc
BMW 325i 1987-1993 2.5L L6 152cid
BMW 325iX 1988-1991 2.5L L6 152cid
BMW 325is 1987-1991 2.5L L6 152cid
BMW 524td 1985-1986 2.4L L6 2443cc
BMW 528e 1984-1988 2.7L L6 2693cc
BMW 533i 1984 3.2L L6 3210cc
BMW 535i 1985-1988 3.5L L6 3430cc
BMW 535is 1988 3.5L L6 3430cc
BMW M3 1988-1991 2.3L L4 2302cc
BMW M5 1988 3.5L L6 3453cc</t>
        </is>
      </c>
      <c r="I1135" t="inlineStr">
        <is>
          <t>{"0": {"productDeskExternalKey": "CNRD|85-1057"}, "1": {"Package Contents": "Wiper Motor; Instruction Manual"}, "2": {"E-Waste": "Yes"}, "3": {"Product Condition": "New"}, "4": {"Mounting Hole Quantity": "3"}, "5": {"Terminal Type": "Bullet"}, "6": {"Mounting Type": "Direct Bolt"}, "7": {"Weight PG": "2.4000"}, "8": {"Washer Pump Included": "No"}, "9": {"Part Type": "Windshield Wiper Motor"}, "10": {"Warranty Info": "Limited Lifetime"}, "11": {"Lifetime Warranty": "Yes"}, "12": {"Lifecycle Status": "Available to Order"}, "13": {"Application Summary": "BMW 318i 1993-91 1985-84, 318is 1991, 325 1988-86, 325e 1987-84, 325es 1987-86, 325i 1993-87, 325is 1991-87, 325iX 1991-88, 524td 1986-85, 528e 1988-84, 533i 1984, 535i 1988-85, 535is 1988, M3 1991-88, M5 1988"}, "14": {"ItemLevelGTIN": "00884548012141"}}</t>
        </is>
      </c>
      <c r="J1135" t="inlineStr">
        <is>
          <t>https://www.cardone.com/product/windshield-wiper-motor-85-1057</t>
        </is>
      </c>
      <c r="K1135">
        <f>DISPIMG("ID_3FF410A805834DF295D0FC4D8BF361B3",1)</f>
        <v/>
      </c>
      <c r="L1135" t="inlineStr">
        <is>
          <t>CNRD|85-1057</t>
        </is>
      </c>
      <c r="M1135" t="inlineStr">
        <is>
          <t>Wiper Motor; Instruction Manual</t>
        </is>
      </c>
      <c r="N1135" t="inlineStr">
        <is>
          <t>Yes</t>
        </is>
      </c>
      <c r="O1135" t="inlineStr">
        <is>
          <t>New</t>
        </is>
      </c>
      <c r="P1135" t="inlineStr">
        <is>
          <t>3</t>
        </is>
      </c>
      <c r="Q1135" t="inlineStr">
        <is>
          <t>Bullet</t>
        </is>
      </c>
      <c r="R1135" t="inlineStr">
        <is>
          <t>Direct Bolt</t>
        </is>
      </c>
      <c r="S1135" t="inlineStr">
        <is>
          <t>2.4000</t>
        </is>
      </c>
      <c r="T1135" t="inlineStr">
        <is>
          <t>No</t>
        </is>
      </c>
      <c r="U1135" t="inlineStr">
        <is>
          <t>Limited Lifetime</t>
        </is>
      </c>
      <c r="V1135" t="inlineStr"/>
      <c r="W1135" t="inlineStr">
        <is>
          <t>Available to Order</t>
        </is>
      </c>
      <c r="X1135" t="inlineStr">
        <is>
          <t>BMW 318i 1993-91 1985-84, 318is 1991, 325 1988-86, 325e 1987-84, 325es 1987-86, 325i 1993-87, 325is 1991-87, 325iX 1991-88, 524td 1986-85, 528e 1988-84, 533i 1984, 535i 1988-85, 535is 1988, M3 1991-88, M5 1988</t>
        </is>
      </c>
      <c r="Y1135" t="inlineStr">
        <is>
          <t>00884548012141</t>
        </is>
      </c>
      <c r="Z1135" t="inlineStr"/>
      <c r="AA1135" t="inlineStr"/>
      <c r="AB1135" t="inlineStr"/>
      <c r="AC1135" t="inlineStr">
        <is>
          <t>Yes</t>
        </is>
      </c>
    </row>
    <row r="1136">
      <c r="A1136" t="inlineStr">
        <is>
          <t>1135</t>
        </is>
      </c>
      <c r="B1136" t="inlineStr">
        <is>
          <t>Windshield Wiper Motor</t>
        </is>
      </c>
      <c r="C1136" t="inlineStr">
        <is>
          <t>85-10570</t>
        </is>
      </c>
      <c r="D1136" t="inlineStr">
        <is>
          <t>Windshield Wiper Motor - 85-10570</t>
        </is>
      </c>
      <c r="E1136" t="inlineStr">
        <is>
          <t>CARDONE New</t>
        </is>
      </c>
      <c r="F1136" t="inlineStr">
        <is>
          <t>15813769;22665038</t>
        </is>
      </c>
      <c r="G1136" t="inlineStr">
        <is>
          <t>Chevrolet Equinox 2005-2006
Pontiac Torrent 2006
Saturn Vue 2002-2007</t>
        </is>
      </c>
      <c r="H1136" t="inlineStr">
        <is>
          <t>Chevrolet Equinox 2005-2006 3.4L V6 207cid
Pontiac Torrent 2006 3.4L V6 207cid
Saturn Vue 2002-2003 3L V6 181cid
Saturn Vue 2002-2007 2.2L L4 134cid
Saturn Vue 2004 3.5L V6 3475cc
Saturn Vue 2004-2005 3.5L V6 3474cc
Saturn Vue 2006-2007 3.5L V6 3471cc
Saturn Vue 2007 2.4L L4 145cid</t>
        </is>
      </c>
      <c r="I1136" t="inlineStr">
        <is>
          <t>{"0": {"productDeskExternalKey": "CNRD|85-10570"}, "1": {"Package Contents": "Wiper Motor; Instruction Manual"}, "2": {"E-Waste": "Yes"}, "3": {"Product Condition": "New"}, "4": {"Terminal Type": "Blade"}, "5": {"Mounting Type": "Direct Bolt; Grommet"}, "6": {"Weight PG": "3.6000"}, "7": {"Washer Pump Included": "No"}, "8": {"Part Type": "Windshield Wiper Motor"}, "9": {"Warranty Info": "Limited Lifetime"}, "10": {"Lifetime Warranty": "Yes"}, "11": {"Lifecycle Status": "Available to Order"}, "12": {"Application Summary": "Chevrolet Equinox 2006-05; Pontiac Torrent 2006; Saturn Vue 2007-02"}, "13": {"ItemLevelGTIN": "00884548291959"}}</t>
        </is>
      </c>
      <c r="J1136" t="inlineStr">
        <is>
          <t>https://www.cardone.com/product/windshield-wiper-motor-85-10570</t>
        </is>
      </c>
      <c r="K1136">
        <f>DISPIMG("ID_291FE824EEEC49BAB275418FC04FEC41",1)</f>
        <v/>
      </c>
      <c r="L1136" t="inlineStr">
        <is>
          <t>CNRD|85-10570</t>
        </is>
      </c>
      <c r="M1136" t="inlineStr">
        <is>
          <t>Wiper Motor; Instruction Manual</t>
        </is>
      </c>
      <c r="N1136" t="inlineStr">
        <is>
          <t>Yes</t>
        </is>
      </c>
      <c r="O1136" t="inlineStr">
        <is>
          <t>New</t>
        </is>
      </c>
      <c r="P1136" t="inlineStr"/>
      <c r="Q1136" t="inlineStr">
        <is>
          <t>Blade</t>
        </is>
      </c>
      <c r="R1136" t="inlineStr">
        <is>
          <t>Direct Bolt; Grommet</t>
        </is>
      </c>
      <c r="S1136" t="inlineStr">
        <is>
          <t>3.6000</t>
        </is>
      </c>
      <c r="T1136" t="inlineStr">
        <is>
          <t>No</t>
        </is>
      </c>
      <c r="U1136" t="inlineStr">
        <is>
          <t>Limited Lifetime</t>
        </is>
      </c>
      <c r="V1136" t="inlineStr"/>
      <c r="W1136" t="inlineStr">
        <is>
          <t>Available to Order</t>
        </is>
      </c>
      <c r="X1136" t="inlineStr">
        <is>
          <t>Chevrolet Equinox 2006-05; Pontiac Torrent 2006; Saturn Vue 2007-02</t>
        </is>
      </c>
      <c r="Y1136" t="inlineStr">
        <is>
          <t>00884548291959</t>
        </is>
      </c>
      <c r="Z1136" t="inlineStr"/>
      <c r="AA1136" t="inlineStr"/>
      <c r="AB1136" t="inlineStr"/>
      <c r="AC1136" t="inlineStr">
        <is>
          <t>Yes</t>
        </is>
      </c>
    </row>
    <row r="1137">
      <c r="A1137" t="inlineStr">
        <is>
          <t>1136</t>
        </is>
      </c>
      <c r="B1137" t="inlineStr">
        <is>
          <t>Windshield Wiper Motor</t>
        </is>
      </c>
      <c r="C1137" t="inlineStr">
        <is>
          <t>85-1058</t>
        </is>
      </c>
      <c r="D1137" t="inlineStr">
        <is>
          <t>Windshield Wiper Motor - 85-1058</t>
        </is>
      </c>
      <c r="E1137" t="inlineStr">
        <is>
          <t>CARDONE New</t>
        </is>
      </c>
      <c r="F1137" t="inlineStr">
        <is>
          <t>15192152</t>
        </is>
      </c>
      <c r="G1137" t="inlineStr">
        <is>
          <t>Buick Terraza 2005-2007
Chevrolet Uplander 2005-2009
Pontiac Montana 2005-2009
Saturn Relay 2005-2007</t>
        </is>
      </c>
      <c r="H1137" t="inlineStr">
        <is>
          <t>Buick Terraza 2005-2006 3.5L V6 213cid
Buick Terraza 2006-2007 3.9L V6 237cid
Chevrolet Uplander 2005-2006 3.5L V6 213cid
Chevrolet Uplander 2006-2009 3.9L V6 237cid
Pontiac Montana 2005-2006 3.5L V6 213cid
Pontiac Montana 2006-2009 3.9L V6 237cid
Saturn Relay 2005-2006 3.5L V6 213cid
Saturn Relay 2006-2007 3.9L V6 237cid</t>
        </is>
      </c>
      <c r="I1137" t="inlineStr">
        <is>
          <t>{"0": {"productDeskExternalKey": "CNRD|85-1058"}, "1": {"Package Contents": "Wiper Motor; Instruction Manual"}, "2": {"E-Waste": "Yes"}, "3": {"Product Condition": "New"}, "4": {"Mounting Hole Quantity": "2"}, "5": {"Terminal Type": "Blade"}, "6": {"Mounting Type": "Eyelet; Grommet"}, "7": {"Weight PG": "3.6000"}, "8": {"Washer Pump Included": "No"}, "9": {"Part Type": "Windshield Wiper Motor"}, "10": {"Warranty Info": "Limited Lifetime"}, "11": {"Lifetime Warranty": "Yes"}, "12": {"Lifecycle Status": "Available to Order"}, "13": {"Application Summary": "Buick Terraza 2007-05; Chevrolet Uplander 2009-05; Pontiac Montana 2009-05; Saturn Relay 2007-05"}, "14": {"ItemLevelGTIN": "00884548046474"}}</t>
        </is>
      </c>
      <c r="J1137" t="inlineStr">
        <is>
          <t>https://www.cardone.com/product/windshield-wiper-motor-85-1058</t>
        </is>
      </c>
      <c r="K1137">
        <f>DISPIMG("ID_8B0A23D59FA74F5B92B685DA3EEC203F",1)</f>
        <v/>
      </c>
      <c r="L1137" t="inlineStr">
        <is>
          <t>CNRD|85-1058</t>
        </is>
      </c>
      <c r="M1137" t="inlineStr">
        <is>
          <t>Wiper Motor; Instruction Manual</t>
        </is>
      </c>
      <c r="N1137" t="inlineStr">
        <is>
          <t>Yes</t>
        </is>
      </c>
      <c r="O1137" t="inlineStr">
        <is>
          <t>New</t>
        </is>
      </c>
      <c r="P1137" t="inlineStr">
        <is>
          <t>2</t>
        </is>
      </c>
      <c r="Q1137" t="inlineStr">
        <is>
          <t>Blade</t>
        </is>
      </c>
      <c r="R1137" t="inlineStr">
        <is>
          <t>Eyelet; Grommet</t>
        </is>
      </c>
      <c r="S1137" t="inlineStr">
        <is>
          <t>3.6000</t>
        </is>
      </c>
      <c r="T1137" t="inlineStr">
        <is>
          <t>No</t>
        </is>
      </c>
      <c r="U1137" t="inlineStr">
        <is>
          <t>Limited Lifetime</t>
        </is>
      </c>
      <c r="V1137" t="inlineStr"/>
      <c r="W1137" t="inlineStr">
        <is>
          <t>Available to Order</t>
        </is>
      </c>
      <c r="X1137" t="inlineStr">
        <is>
          <t>Buick Terraza 2007-05; Chevrolet Uplander 2009-05; Pontiac Montana 2009-05; Saturn Relay 2007-05</t>
        </is>
      </c>
      <c r="Y1137" t="inlineStr">
        <is>
          <t>00884548046474</t>
        </is>
      </c>
      <c r="Z1137" t="inlineStr"/>
      <c r="AA1137" t="inlineStr"/>
      <c r="AB1137" t="inlineStr"/>
      <c r="AC1137" t="inlineStr">
        <is>
          <t>Yes</t>
        </is>
      </c>
    </row>
    <row r="1138">
      <c r="A1138" t="inlineStr">
        <is>
          <t>1137</t>
        </is>
      </c>
      <c r="B1138" t="inlineStr">
        <is>
          <t>Windshield Wiper Motor</t>
        </is>
      </c>
      <c r="C1138" t="inlineStr">
        <is>
          <t>85-1059</t>
        </is>
      </c>
      <c r="D1138" t="inlineStr">
        <is>
          <t>Windshield Wiper Motor - 85-1059</t>
        </is>
      </c>
      <c r="E1138" t="inlineStr">
        <is>
          <t>CARDONE New</t>
        </is>
      </c>
      <c r="F1138" t="inlineStr">
        <is>
          <t>22664679</t>
        </is>
      </c>
      <c r="G1138" t="inlineStr">
        <is>
          <t>Chevrolet Cobalt 2005-2010
Pontiac G4 2005-2006
Pontiac G5 2007-2010
Pontiac Pursuit 2005-2006
Saturn Ion 2003-2007</t>
        </is>
      </c>
      <c r="H1138" t="inlineStr">
        <is>
          <t>Chevrolet Cobalt 2005-2010 2.2L L4 134cid
Chevrolet Cobalt 2005-2010 2L L4 122cid
Chevrolet Cobalt 2006-2008 2.4L L4 145cid
Pontiac G4 2005-2006 2.2L L4 134cid
Pontiac G4 2006 2.4L L4 145cid
Pontiac G5 2007-2008 2.4L L4 145cid
Pontiac G5 2007-2010 2.2L L4 134cid
Pontiac Pursuit 2005-2006 2.2L L4 134cid
Pontiac Pursuit 2006 2.4L L4 145cid
Saturn Ion 2003-2007 2.2L L4 134cid
Saturn Ion 2004-2007 2L L4 122cid
Saturn Ion 2006-2007 2.4L L4 145cid</t>
        </is>
      </c>
      <c r="I1138" t="inlineStr">
        <is>
          <t>{"0": {"productDeskExternalKey": "CNRD|85-1059"}, "1": {"Package Contents": "Wiper Motor; Instruction Sheet"}, "2": {"E-Waste": "Yes"}, "3": {"Product Condition": "New"}, "4": {"Part Type": "Windshield Wiper Motor"}, "5": {"Mounting Hole Quantity": "3"}, "6": {"Terminal Type": "Blade"}, "7": {"Mounting Type": "Direct Bolt"}, "8": {"Weight PG": "2.3400"}, "9": {"Application Summary": "Chevrolet Cobalt 2010-05; Pontiac G4 2006-05, G5 2010-07, Pursuit 2006-05; Saturn Ion 2007-03"}, "10": {"Washer Pump Included": "No"}, "11": {"Warranty Info": "Limited Lifetime"}, "12": {"Lifetime Warranty": "Yes"}, "13": {"Lifecycle Status": "Available to Order"}, "14": {"ItemLevelGTIN": "00884548329133"}}</t>
        </is>
      </c>
      <c r="J1138" t="inlineStr">
        <is>
          <t>https://www.cardone.com/product/windshield-wiper-motor-85-1059</t>
        </is>
      </c>
      <c r="K1138">
        <f>DISPIMG("ID_E9D6685B3BE9411899E10EEA3400320D",1)</f>
        <v/>
      </c>
      <c r="L1138" t="inlineStr">
        <is>
          <t>CNRD|85-1059</t>
        </is>
      </c>
      <c r="M1138" t="inlineStr">
        <is>
          <t>Wiper Motor; Instruction Sheet</t>
        </is>
      </c>
      <c r="N1138" t="inlineStr">
        <is>
          <t>Yes</t>
        </is>
      </c>
      <c r="O1138" t="inlineStr">
        <is>
          <t>New</t>
        </is>
      </c>
      <c r="P1138" t="inlineStr">
        <is>
          <t>3</t>
        </is>
      </c>
      <c r="Q1138" t="inlineStr">
        <is>
          <t>Blade</t>
        </is>
      </c>
      <c r="R1138" t="inlineStr">
        <is>
          <t>Direct Bolt</t>
        </is>
      </c>
      <c r="S1138" t="inlineStr">
        <is>
          <t>2.3400</t>
        </is>
      </c>
      <c r="T1138" t="inlineStr">
        <is>
          <t>No</t>
        </is>
      </c>
      <c r="U1138" t="inlineStr">
        <is>
          <t>Limited Lifetime</t>
        </is>
      </c>
      <c r="V1138" t="inlineStr"/>
      <c r="W1138" t="inlineStr">
        <is>
          <t>Available to Order</t>
        </is>
      </c>
      <c r="X1138" t="inlineStr">
        <is>
          <t>Chevrolet Cobalt 2010-05; Pontiac G4 2006-05, G5 2010-07, Pursuit 2006-05; Saturn Ion 2007-03</t>
        </is>
      </c>
      <c r="Y1138" t="inlineStr">
        <is>
          <t>00884548329133</t>
        </is>
      </c>
      <c r="Z1138" t="inlineStr"/>
      <c r="AA1138" t="inlineStr"/>
      <c r="AB1138" t="inlineStr"/>
      <c r="AC1138" t="inlineStr">
        <is>
          <t>Yes</t>
        </is>
      </c>
    </row>
    <row r="1139">
      <c r="A1139" t="inlineStr">
        <is>
          <t>1138</t>
        </is>
      </c>
      <c r="B1139" t="inlineStr">
        <is>
          <t>Windshield Wiper Motor</t>
        </is>
      </c>
      <c r="C1139" t="inlineStr">
        <is>
          <t>85-1062</t>
        </is>
      </c>
      <c r="D1139" t="inlineStr">
        <is>
          <t>Windshield Wiper Motor - 85-1062</t>
        </is>
      </c>
      <c r="E1139" t="inlineStr">
        <is>
          <t>CARDONE New</t>
        </is>
      </c>
      <c r="F1139" t="inlineStr">
        <is>
          <t>88958223;10379535;25809218;8889582230</t>
        </is>
      </c>
      <c r="G1139" t="inlineStr">
        <is>
          <t>Chevrolet Colorado 2004-2012
GMC Canyon 2004-2012
Isuzu i-280 2006
Isuzu i-290 2007-2008
Isuzu i-350 2006
Isuzu i-370 2007-2008</t>
        </is>
      </c>
      <c r="H1139" t="inlineStr">
        <is>
          <t>Chevrolet Colorado 2004-2006 2.8L L4 169cid
Chevrolet Colorado 2004-2006 3.5L L5 211cid
Chevrolet Colorado 2007-2012 2.9L L4 178cid
Chevrolet Colorado 2007-2012 3.7L L5 223cid
Chevrolet Colorado 2009-2012 5.3L V8 325cid
GMC Canyon 2004-2006 2.8L L4 169cid
GMC Canyon 2004-2006 3.5L L5 211cid
GMC Canyon 2007-2012 2.9L L4 178cid
GMC Canyon 2007-2012 3.7L L5 223cid
GMC Canyon 2009-2012 5.3L V8 325cid
Isuzu i-280 2006 2.8L L4 169cid
Isuzu i-290 2007-2008 2.9L L4 178cid
Isuzu i-350 2006 3.5L L5 211cid
Isuzu i-370 2007-2008 3.7L L5 223cid</t>
        </is>
      </c>
      <c r="I1139" t="inlineStr">
        <is>
          <t>{"0": {"productDeskExternalKey": "CNRD|85-1062"}, "1": {"Package Contents": "Wiper Motor; Instruction Manual"}, "2": {"E-Waste": "Yes"}, "3": {"Product Condition": "New"}, "4": {"Mounting Hole Quantity": "3"}, "5": {"Terminal Type": "Blade"}, "6": {"Mounting Type": "Direct Bolt"}, "7": {"Weight PG": "3.0600"}, "8": {"Washer Pump Included": "No"}, "9": {"Part Type": "Windshield Wiper Motor"}, "10": {"Warranty Info": "Limited Lifetime"}, "11": {"Lifetime Warranty": "Yes"}, "12": {"Lifecycle Status": "Available to Order"}, "13": {"Application Summary": "Chevrolet Colorado 2012-04; GMC Canyon 2012-04; Isuzu i-280 2006, i-290 2008-07, i-350 2006, i-370 2008-07"}, "14": {"ItemLevelGTIN": "00884548244047"}}</t>
        </is>
      </c>
      <c r="J1139" t="inlineStr">
        <is>
          <t>https://www.cardone.com/product/windshield-wiper-motor-85-1062</t>
        </is>
      </c>
      <c r="K1139">
        <f>DISPIMG("ID_0916AE1A4A4B4B2FB2738D51E439E10D",1)</f>
        <v/>
      </c>
      <c r="L1139" t="inlineStr">
        <is>
          <t>CNRD|85-1062</t>
        </is>
      </c>
      <c r="M1139" t="inlineStr">
        <is>
          <t>Wiper Motor; Instruction Manual</t>
        </is>
      </c>
      <c r="N1139" t="inlineStr">
        <is>
          <t>Yes</t>
        </is>
      </c>
      <c r="O1139" t="inlineStr">
        <is>
          <t>New</t>
        </is>
      </c>
      <c r="P1139" t="inlineStr">
        <is>
          <t>3</t>
        </is>
      </c>
      <c r="Q1139" t="inlineStr">
        <is>
          <t>Blade</t>
        </is>
      </c>
      <c r="R1139" t="inlineStr">
        <is>
          <t>Direct Bolt</t>
        </is>
      </c>
      <c r="S1139" t="inlineStr">
        <is>
          <t>3.0600</t>
        </is>
      </c>
      <c r="T1139" t="inlineStr">
        <is>
          <t>No</t>
        </is>
      </c>
      <c r="U1139" t="inlineStr">
        <is>
          <t>Limited Lifetime</t>
        </is>
      </c>
      <c r="V1139" t="inlineStr"/>
      <c r="W1139" t="inlineStr">
        <is>
          <t>Available to Order</t>
        </is>
      </c>
      <c r="X1139" t="inlineStr">
        <is>
          <t>Chevrolet Colorado 2012-04; GMC Canyon 2012-04; Isuzu i-280 2006, i-290 2008-07, i-350 2006, i-370 2008-07</t>
        </is>
      </c>
      <c r="Y1139" t="inlineStr">
        <is>
          <t>00884548244047</t>
        </is>
      </c>
      <c r="Z1139" t="inlineStr"/>
      <c r="AA1139" t="inlineStr"/>
      <c r="AB1139" t="inlineStr"/>
      <c r="AC1139" t="inlineStr">
        <is>
          <t>Yes</t>
        </is>
      </c>
    </row>
    <row r="1140">
      <c r="A1140" t="inlineStr">
        <is>
          <t>1139</t>
        </is>
      </c>
      <c r="B1140" t="inlineStr">
        <is>
          <t>Windshield Wiper Motor</t>
        </is>
      </c>
      <c r="C1140" t="inlineStr">
        <is>
          <t>85-1064</t>
        </is>
      </c>
      <c r="D1140" t="inlineStr">
        <is>
          <t>Windshield Wiper Motor - 85-1064</t>
        </is>
      </c>
      <c r="E1140" t="inlineStr">
        <is>
          <t>CARDONE New</t>
        </is>
      </c>
      <c r="F1140" t="inlineStr">
        <is>
          <t>88958251;12487632</t>
        </is>
      </c>
      <c r="G1140" t="inlineStr">
        <is>
          <t>Cadillac CTS 2003-2007
Cadillac SRX 2004-2006
Cadillac STS 2005-2011</t>
        </is>
      </c>
      <c r="H1140" t="inlineStr">
        <is>
          <t>Cadillac CTS 2003-2004 3.2L V6 197cid
Cadillac CTS 2004-2005 5.7L V8 346cid
Cadillac CTS 2004-2007 3.6L V6 217cid
Cadillac CTS 2005-2007 2.8L V6 170cid
Cadillac CTS 2006-2007 6L V8 364cid
Cadillac SRX 2004-2006 3.6L V6 217cid
Cadillac SRX 2004-2006 4.6L V8 281cid
Cadillac STS 2005-2010 4.6L V8 281cid
Cadillac STS 2005-2011 3.6L V6 217cid
Cadillac STS 2006-2009 4.4L V8 267cid</t>
        </is>
      </c>
      <c r="I1140" t="inlineStr">
        <is>
          <t>{"0": {"productDeskExternalKey": "CNRD|85-1064"}, "1": {"Package Contents": "Wiper Motor; Instruction Manual"}, "2": {"E-Waste": "Yes"}, "3": {"Product Condition": "New"}, "4": {"Mounting Hole Quantity": "3"}, "5": {"Terminal Type": "Blade"}, "6": {"Mounting Type": "Direct Bolt"}, "7": {"Weight PG": "3.0000"}, "8": {"Washer Pump Included": "No"}, "9": {"Part Type": "Windshield Wiper Motor"}, "10": {"Warranty Info": "Limited Lifetime"}, "11": {"Lifetime Warranty": "Yes"}, "12": {"Lifecycle Status": "Available to Order"}, "13": {"Application Summary": "Cadillac CTS 2007-03, SRX 2006-04, STS 2011-05"}, "14": {"ItemLevelGTIN": "00884548267329"}}</t>
        </is>
      </c>
      <c r="J1140" t="inlineStr">
        <is>
          <t>https://www.cardone.com/product/windshield-wiper-motor-85-1064</t>
        </is>
      </c>
      <c r="K1140">
        <f>DISPIMG("ID_047F61AC449B4E799C2EBF0C1C736B63",1)</f>
        <v/>
      </c>
      <c r="L1140" t="inlineStr">
        <is>
          <t>CNRD|85-1064</t>
        </is>
      </c>
      <c r="M1140" t="inlineStr">
        <is>
          <t>Wiper Motor; Instruction Manual</t>
        </is>
      </c>
      <c r="N1140" t="inlineStr">
        <is>
          <t>Yes</t>
        </is>
      </c>
      <c r="O1140" t="inlineStr">
        <is>
          <t>New</t>
        </is>
      </c>
      <c r="P1140" t="inlineStr">
        <is>
          <t>3</t>
        </is>
      </c>
      <c r="Q1140" t="inlineStr">
        <is>
          <t>Blade</t>
        </is>
      </c>
      <c r="R1140" t="inlineStr">
        <is>
          <t>Direct Bolt</t>
        </is>
      </c>
      <c r="S1140" t="inlineStr">
        <is>
          <t>3.0000</t>
        </is>
      </c>
      <c r="T1140" t="inlineStr">
        <is>
          <t>No</t>
        </is>
      </c>
      <c r="U1140" t="inlineStr">
        <is>
          <t>Limited Lifetime</t>
        </is>
      </c>
      <c r="V1140" t="inlineStr"/>
      <c r="W1140" t="inlineStr">
        <is>
          <t>Available to Order</t>
        </is>
      </c>
      <c r="X1140" t="inlineStr">
        <is>
          <t>Cadillac CTS 2007-03, SRX 2006-04, STS 2011-05</t>
        </is>
      </c>
      <c r="Y1140" t="inlineStr">
        <is>
          <t>00884548267329</t>
        </is>
      </c>
      <c r="Z1140" t="inlineStr"/>
      <c r="AA1140" t="inlineStr"/>
      <c r="AB1140" t="inlineStr"/>
      <c r="AC1140" t="inlineStr">
        <is>
          <t>Yes</t>
        </is>
      </c>
    </row>
    <row r="1141">
      <c r="A1141" t="inlineStr">
        <is>
          <t>1140</t>
        </is>
      </c>
      <c r="B1141" t="inlineStr">
        <is>
          <t>Windshield Wiper Motor</t>
        </is>
      </c>
      <c r="C1141" t="inlineStr">
        <is>
          <t>85-1065</t>
        </is>
      </c>
      <c r="D1141" t="inlineStr">
        <is>
          <t>Windshield Wiper Motor - 85-1065</t>
        </is>
      </c>
      <c r="E1141" t="inlineStr">
        <is>
          <t>CARDONE New</t>
        </is>
      </c>
      <c r="F1141" t="inlineStr">
        <is>
          <t>25805170</t>
        </is>
      </c>
      <c r="G1141" t="inlineStr">
        <is>
          <t>Cadillac SRX 2004-2009</t>
        </is>
      </c>
      <c r="H1141" t="inlineStr">
        <is>
          <t>Cadillac SRX 2004-2009 3.6L V6 217cid
Cadillac SRX 2004-2009 4.6L V8 281cid</t>
        </is>
      </c>
      <c r="I1141" t="inlineStr">
        <is>
          <t>{"0": {"productDeskExternalKey": "CNRD|85-1065"}, "1": {"Package Contents": "Wiper Motor; Instruction Sheet"}, "2": {"E-Waste": "Yes"}, "3": {"Product Condition": "New"}, "4": {"Mounting Hole Quantity": "3"}, "5": {"Terminal Type": "Blade"}, "6": {"Mounting Type": "Grommet"}, "7": {"Weight PG": "2.5800"}, "8": {"Washer Pump Included": "No"}, "9": {"Part Type": "Windshield Wiper Motor"}, "10": {"Warranty Info": "Limited Lifetime"}, "11": {"Lifetime Warranty": "Yes"}, "12": {"Lifecycle Status": "Available to Order"}, "13": {"Application Summary": "Cadillac SRX 2009-04"}, "14": {"ItemLevelGTIN": "00884548336735"}}</t>
        </is>
      </c>
      <c r="J1141" t="inlineStr">
        <is>
          <t>https://www.cardone.com/product/windshield-wiper-motor-85-1065</t>
        </is>
      </c>
      <c r="K1141">
        <f>DISPIMG("ID_84FD07F678304BAE991196AB3DE3249E",1)</f>
        <v/>
      </c>
      <c r="L1141" t="inlineStr">
        <is>
          <t>CNRD|85-1065</t>
        </is>
      </c>
      <c r="M1141" t="inlineStr">
        <is>
          <t>Wiper Motor; Instruction Sheet</t>
        </is>
      </c>
      <c r="N1141" t="inlineStr">
        <is>
          <t>Yes</t>
        </is>
      </c>
      <c r="O1141" t="inlineStr">
        <is>
          <t>New</t>
        </is>
      </c>
      <c r="P1141" t="inlineStr">
        <is>
          <t>3</t>
        </is>
      </c>
      <c r="Q1141" t="inlineStr">
        <is>
          <t>Blade</t>
        </is>
      </c>
      <c r="R1141" t="inlineStr">
        <is>
          <t>Grommet</t>
        </is>
      </c>
      <c r="S1141" t="inlineStr">
        <is>
          <t>2.5800</t>
        </is>
      </c>
      <c r="T1141" t="inlineStr">
        <is>
          <t>No</t>
        </is>
      </c>
      <c r="U1141" t="inlineStr">
        <is>
          <t>Limited Lifetime</t>
        </is>
      </c>
      <c r="V1141" t="inlineStr"/>
      <c r="W1141" t="inlineStr">
        <is>
          <t>Available to Order</t>
        </is>
      </c>
      <c r="X1141" t="inlineStr">
        <is>
          <t>Cadillac SRX 2009-04</t>
        </is>
      </c>
      <c r="Y1141" t="inlineStr">
        <is>
          <t>00884548336735</t>
        </is>
      </c>
      <c r="Z1141" t="inlineStr"/>
      <c r="AA1141" t="inlineStr"/>
      <c r="AB1141" t="inlineStr"/>
      <c r="AC1141" t="inlineStr">
        <is>
          <t>Yes</t>
        </is>
      </c>
    </row>
    <row r="1142">
      <c r="A1142" t="inlineStr">
        <is>
          <t>1141</t>
        </is>
      </c>
      <c r="B1142" t="inlineStr">
        <is>
          <t>Windshield Wiper Motor</t>
        </is>
      </c>
      <c r="C1142" t="inlineStr">
        <is>
          <t>85-1067</t>
        </is>
      </c>
      <c r="D1142" t="inlineStr">
        <is>
          <t>Windshield Wiper Motor - 85-1067</t>
        </is>
      </c>
      <c r="E1142" t="inlineStr">
        <is>
          <t>CARDONE New</t>
        </is>
      </c>
      <c r="F1142" t="inlineStr">
        <is>
          <t>19120740;19120738;19120736;25791962;19120347;19120349</t>
        </is>
      </c>
      <c r="G1142" t="inlineStr">
        <is>
          <t>Buick Allure 2006-2009
Buick LaCrosse 2006-2009
Chevrolet HHR 2006-2011
Chevrolet Impala 2006-2013
Chevrolet Impala Limited 2014-2016
Chevrolet Monte Carlo 2006-2007
Pontiac Grand Prix 2006-2008</t>
        </is>
      </c>
      <c r="H1142" t="inlineStr">
        <is>
          <t>Buick Allure 2006-2008 3.6L V6 217cid
Buick Allure 2006-2009 3.8L V6 231cid
Buick Allure 2008-2009 5.3L V8 325cid
Buick LaCrosse 2006-2008 3.6L V6 217cid
Buick LaCrosse 2006-2009 3.8L V6 231cid
Buick LaCrosse 2008-2009 5.3L V8 325cid
Chevrolet HHR 2006-2011 2.2L L4 134cid
Chevrolet HHR 2006-2011 2.4L L4 145cid
Chevrolet HHR 2008-2010 2L L4 122cid
Chevrolet Impala 2006-2009 5.3L V8 325cid
Chevrolet Impala 2006-2011 3.5L V6 213cid
Chevrolet Impala 2006-2011 3.9L V6 237cid
Chevrolet Impala 2012-2013 3.6L V6 217cid
Chevrolet Impala Limited 2014-2016 3.6L V6 217cid
Chevrolet Monte Carlo 2006 3.9L V6 237cid
Chevrolet Monte Carlo 2006-2007 3.5L V6 213cid
Chevrolet Monte Carlo 2006-2007 5.3L V8 325cid
Pontiac Grand Prix 2006-2008 3.8L V6 231cid
Pontiac Grand Prix 2006-2008 5.3L V8 325cid</t>
        </is>
      </c>
      <c r="I1142" t="inlineStr">
        <is>
          <t>{"0": {"productDeskExternalKey": "CNRD|85-1067"}, "1": {"Package Contents": "Wiper Motor; Instruction Sheet"},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"Buick Allure 2009-06, LaCrosse 2009-06; Chevrolet HHR 2011-06, Impala 2013-06, Impala Limited 2016-14, Monte Carlo 2007-06; Pontiac Grand Prix 2008-06"}, "13": {"ItemLevelGTIN": "00884548298347"}, "14": {"Mounting Hole Quantity": "3"}}</t>
        </is>
      </c>
      <c r="J1142" t="inlineStr">
        <is>
          <t>https://www.cardone.com/product/windshield-wiper-motor-85-1067</t>
        </is>
      </c>
      <c r="K1142">
        <f>DISPIMG("ID_EDDA16CE0EA44694A908F04A50127126",1)</f>
        <v/>
      </c>
      <c r="L1142" t="inlineStr">
        <is>
          <t>CNRD|85-1067</t>
        </is>
      </c>
      <c r="M1142" t="inlineStr">
        <is>
          <t>Wiper Motor; Instruction Sheet</t>
        </is>
      </c>
      <c r="N1142" t="inlineStr">
        <is>
          <t>Yes</t>
        </is>
      </c>
      <c r="O1142" t="inlineStr">
        <is>
          <t>New</t>
        </is>
      </c>
      <c r="P1142" t="inlineStr">
        <is>
          <t>3</t>
        </is>
      </c>
      <c r="Q1142" t="inlineStr">
        <is>
          <t>Blade</t>
        </is>
      </c>
      <c r="R1142" t="inlineStr">
        <is>
          <t>Direct Bolt</t>
        </is>
      </c>
      <c r="S1142" t="inlineStr">
        <is>
          <t>3.0000</t>
        </is>
      </c>
      <c r="T1142" t="inlineStr">
        <is>
          <t>No</t>
        </is>
      </c>
      <c r="U1142" t="inlineStr">
        <is>
          <t>Limited Lifetime</t>
        </is>
      </c>
      <c r="V1142" t="inlineStr"/>
      <c r="W1142" t="inlineStr">
        <is>
          <t>Available to Order</t>
        </is>
      </c>
      <c r="X1142" t="inlineStr">
        <is>
          <t>Buick Allure 2009-06, LaCrosse 2009-06; Chevrolet HHR 2011-06, Impala 2013-06, Impala Limited 2016-14, Monte Carlo 2007-06; Pontiac Grand Prix 2008-06</t>
        </is>
      </c>
      <c r="Y1142" t="inlineStr">
        <is>
          <t>00884548298347</t>
        </is>
      </c>
      <c r="Z1142" t="inlineStr"/>
      <c r="AA1142" t="inlineStr"/>
      <c r="AB1142" t="inlineStr"/>
      <c r="AC1142" t="inlineStr">
        <is>
          <t>Yes</t>
        </is>
      </c>
    </row>
    <row r="1143">
      <c r="A1143" t="inlineStr">
        <is>
          <t>1142</t>
        </is>
      </c>
      <c r="B1143" t="inlineStr">
        <is>
          <t>Windshield Wiper Motor</t>
        </is>
      </c>
      <c r="C1143" t="inlineStr">
        <is>
          <t>85-1070</t>
        </is>
      </c>
      <c r="D1143" t="inlineStr">
        <is>
          <t>Windshield Wiper Motor - 85-1070</t>
        </is>
      </c>
      <c r="E1143" t="inlineStr">
        <is>
          <t>CARDONE New</t>
        </is>
      </c>
      <c r="F1143" t="inlineStr">
        <is>
          <t>12335832;25821246;CHRYSLER;68030272AA;68044087AA</t>
        </is>
      </c>
      <c r="G1143" t="inlineStr">
        <is>
          <t>Buick Enclave 2008-2012
Buick Terraza 2005-2007
Chevrolet Traverse 2009-2012
Chevrolet Uplander 2005-2009
Chrysler 200 2011-2014
Chrysler Cirrus 2010
Chrysler Sebring 2010
Dodge Avenger 2009-2014
Dodge Journey 2009-2020
GMC Acadia 2007-2012
Pontiac Montana 2005-2009
Saturn Outlook 2007-2010
Saturn Relay 2005-2007</t>
        </is>
      </c>
      <c r="H1143" t="inlineStr">
        <is>
          <t>Buick Enclave 2008-2012 3.6L V6 217cid
Buick Terraza 2005-2006 3.5L V6 213cid
Buick Terraza 2006-2007 3.9L V6 237cid
Chevrolet Traverse 2009-2012 3.6L V6 217cid
Chevrolet Uplander 2005-2006 3.5L V6 213cid
Chevrolet Uplander 2006-2009 3.9L V6 237cid
Chrysler 200 2011-2014 2.4L L4 144cid
Chrysler 200 2011-2014 3.6L V6 220cid
Chrysler Cirrus 2010 2.4L L4 144cid
Chrysler Cirrus 2010 3.5L V6 215cid
Chrysler Sebring 2010 2.4L L4 144cid
Chrysler Sebring 2010 2.7L V6 167cid
Chrysler Sebring 2010 3.5L V6 215cid
Dodge Avenger 2009-2010 2.7L V6 167cid
Dodge Avenger 2009-2010 2L L4 122cid
Dodge Avenger 2009-2010 3.5L V6 215cid
Dodge Avenger 2009-2014 2.4L L4 144cid
Dodge Avenger 2011-2014 3.6L V6 220cid
Dodge Journey 2009-2010 3.5L V6 215cid
Dodge Journey 2009-2020 2.4L L4 144cid
Dodge Journey 2011-2019 3.6L V6 220cid
GMC Acadia 2007-2012 3.6L V6 217cid
Pontiac Montana 2005-2006 3.5L V6 213cid
Pontiac Montana 2006-2009 3.9L V6 237cid
Saturn Outlook 2007-2010 3.6L V6 217cid
Saturn Relay 2005-2006 3.5L V6 213cid
Saturn Relay 2006-2007 3.9L V6 237cid</t>
        </is>
      </c>
      <c r="I1143" t="inlineStr">
        <is>
          <t>{"0": {"productDeskExternalKey": "CNRD|85-1070"}, "1": {"Package Contents": "Wiper Motor; Instruction Manual"}, "2": {"E-Waste": "Yes"}, "3": {"Product Condition": "New"}, "4": {"Mounting Hole Quantity": "3"}, "5": {"Terminal Type": "Blade"}, "6": {"Mounting Type": "Direct Bolt"}, "7": {"Weight PG": "3.6000"}, "8": {"Washer Pump Included": "No"}, "9": {"Part Type": "Windshield Wiper Motor"}, "10": {"Warranty Info": "Limited Lifetime"}, "11": {"Lifetime Warranty": "Yes"}, "12": {"Lifecycle Status": "Available to Order"}, "13": {"ItemLevelGTIN": "00884548035683"}}</t>
        </is>
      </c>
      <c r="J1143" t="inlineStr">
        <is>
          <t>https://www.cardone.com/product/windshield-wiper-motor-85-1070</t>
        </is>
      </c>
      <c r="K1143">
        <f>DISPIMG("ID_FDD5A285DAAB47678305083F4C8B6D07",1)</f>
        <v/>
      </c>
      <c r="L1143" t="inlineStr">
        <is>
          <t>CNRD|85-1070</t>
        </is>
      </c>
      <c r="M1143" t="inlineStr">
        <is>
          <t>Wiper Motor; Instruction Manual</t>
        </is>
      </c>
      <c r="N1143" t="inlineStr">
        <is>
          <t>Yes</t>
        </is>
      </c>
      <c r="O1143" t="inlineStr">
        <is>
          <t>New</t>
        </is>
      </c>
      <c r="P1143" t="inlineStr">
        <is>
          <t>3</t>
        </is>
      </c>
      <c r="Q1143" t="inlineStr">
        <is>
          <t>Blade</t>
        </is>
      </c>
      <c r="R1143" t="inlineStr">
        <is>
          <t>Direct Bolt</t>
        </is>
      </c>
      <c r="S1143" t="inlineStr">
        <is>
          <t>3.6000</t>
        </is>
      </c>
      <c r="T1143" t="inlineStr">
        <is>
          <t>No</t>
        </is>
      </c>
      <c r="U1143" t="inlineStr">
        <is>
          <t>Limited Lifetime</t>
        </is>
      </c>
      <c r="V1143" t="inlineStr"/>
      <c r="W1143" t="inlineStr">
        <is>
          <t>Available to Order</t>
        </is>
      </c>
      <c r="X1143" t="inlineStr"/>
      <c r="Y1143" t="inlineStr">
        <is>
          <t>00884548035683</t>
        </is>
      </c>
      <c r="Z1143" t="inlineStr"/>
      <c r="AA1143" t="inlineStr"/>
      <c r="AB1143" t="inlineStr"/>
      <c r="AC1143" t="inlineStr">
        <is>
          <t>Yes</t>
        </is>
      </c>
    </row>
    <row r="1144">
      <c r="A1144" t="inlineStr">
        <is>
          <t>1143</t>
        </is>
      </c>
      <c r="B1144" t="inlineStr">
        <is>
          <t>Windshield Wiper Motor</t>
        </is>
      </c>
      <c r="C1144" t="inlineStr">
        <is>
          <t>85-1071</t>
        </is>
      </c>
      <c r="D1144" t="inlineStr">
        <is>
          <t>Windshield Wiper Motor - 85-1071</t>
        </is>
      </c>
      <c r="E1144" t="inlineStr">
        <is>
          <t>CARDONE New</t>
        </is>
      </c>
      <c r="F1144" t="inlineStr">
        <is>
          <t>22711010</t>
        </is>
      </c>
      <c r="G1144" t="inlineStr">
        <is>
          <t>Chevrolet Malibu 2008
Chevrolet Vectra 2007-2008
Pontiac G6 2005-2008
Saturn Aura 2007-2008</t>
        </is>
      </c>
      <c r="H1144" t="inlineStr">
        <is>
          <t>Chevrolet Malibu 2008 2.4L L4 145cid
Chevrolet Malibu 2008 3.5L V6 213cid
Chevrolet Malibu 2008 3.6L V6 217cid
Chevrolet Vectra 2007-2008 2.8L V6 170cid
Pontiac G6 2005-2008 3.5L V6 213cid
Pontiac G6 2006-2008 2.4L L4 145cid
Pontiac G6 2006-2008 3.9L V6 237cid
Pontiac G6 2007-2008 3.6L V6 217cid
Saturn Aura 2007-2008 2.4L L4 145cid
Saturn Aura 2007-2008 3.5L V6 213cid
Saturn Aura 2007-2008 3.6L V6 217cid</t>
        </is>
      </c>
      <c r="I1144" t="inlineStr">
        <is>
          <t>{"0": {"productDeskExternalKey": "CNRD|85-1071"}, "1": {"Package Contents": "Wiper Motor; Instruction Manual"}, "2": {"E-Waste": "Yes"}, "3": {"Product Condition": "New"}, "4": {"Terminal Type": "Blade"}, "5": {"Mounting Type": "Direct Bolt; Grommet"}, "6": {"Weight PG": "3.3200"}, "7": {"Washer Pump Included": "No"}, "8": {"Part Type": "Windshield Wiper Motor"}, "9": {"Warranty Info": "Limited Lifetime"}, "10": {"Lifetime Warranty": "Yes"}, "11": {"Lifecycle Status": "Available to Order"}, "12": {"Application Summary": "Chevrolet Malibu 2008, Vectra 2008-07; Pontiac G6 2008-05; Saturn Aura 2008-07"}, "13": {"ItemLevelGTIN": "00884548302426"}}</t>
        </is>
      </c>
      <c r="J1144" t="inlineStr">
        <is>
          <t>https://www.cardone.com/product/windshield-wiper-motor-85-1071</t>
        </is>
      </c>
      <c r="K1144">
        <f>DISPIMG("ID_5C127B0C72964D058BAADE5FB3790CE5",1)</f>
        <v/>
      </c>
      <c r="L1144" t="inlineStr">
        <is>
          <t>CNRD|85-1071</t>
        </is>
      </c>
      <c r="M1144" t="inlineStr">
        <is>
          <t>Wiper Motor; Instruction Manual</t>
        </is>
      </c>
      <c r="N1144" t="inlineStr">
        <is>
          <t>Yes</t>
        </is>
      </c>
      <c r="O1144" t="inlineStr">
        <is>
          <t>New</t>
        </is>
      </c>
      <c r="P1144" t="inlineStr"/>
      <c r="Q1144" t="inlineStr">
        <is>
          <t>Blade</t>
        </is>
      </c>
      <c r="R1144" t="inlineStr">
        <is>
          <t>Direct Bolt; Grommet</t>
        </is>
      </c>
      <c r="S1144" t="inlineStr">
        <is>
          <t>3.3200</t>
        </is>
      </c>
      <c r="T1144" t="inlineStr">
        <is>
          <t>No</t>
        </is>
      </c>
      <c r="U1144" t="inlineStr">
        <is>
          <t>Limited Lifetime</t>
        </is>
      </c>
      <c r="V1144" t="inlineStr"/>
      <c r="W1144" t="inlineStr">
        <is>
          <t>Available to Order</t>
        </is>
      </c>
      <c r="X1144" t="inlineStr">
        <is>
          <t>Chevrolet Malibu 2008, Vectra 2008-07; Pontiac G6 2008-05; Saturn Aura 2008-07</t>
        </is>
      </c>
      <c r="Y1144" t="inlineStr">
        <is>
          <t>00884548302426</t>
        </is>
      </c>
      <c r="Z1144" t="inlineStr"/>
      <c r="AA1144" t="inlineStr"/>
      <c r="AB1144" t="inlineStr"/>
      <c r="AC1144" t="inlineStr">
        <is>
          <t>Yes</t>
        </is>
      </c>
    </row>
    <row r="1145">
      <c r="A1145" t="inlineStr">
        <is>
          <t>1144</t>
        </is>
      </c>
      <c r="B1145" t="inlineStr">
        <is>
          <t>Windshield Wiper Motor</t>
        </is>
      </c>
      <c r="C1145" t="inlineStr">
        <is>
          <t>85-1072</t>
        </is>
      </c>
      <c r="D1145" t="inlineStr">
        <is>
          <t>Windshield Wiper Motor - 85-1072</t>
        </is>
      </c>
      <c r="E1145" t="inlineStr">
        <is>
          <t>CARDONE New</t>
        </is>
      </c>
      <c r="F1145" t="inlineStr">
        <is>
          <t>10374584;25790521;25892085;13277078</t>
        </is>
      </c>
      <c r="G1145" t="inlineStr">
        <is>
          <t>Buick Allure 2010
Buick LaCrosse 2010-2016
Buick Regal 2011-2017
Cadillac DTS 2006-2011</t>
        </is>
      </c>
      <c r="H1145" t="inlineStr">
        <is>
          <t>Buick Allure 2010 2.4L L4 145cid
Buick Allure 2010 3.6L V6 217cid
Buick Allure 2010 3L V6 182cid
Buick LaCrosse 2010 3L V6 182cid
Buick LaCrosse 2010-2016 2.4L L4 145cid
Buick LaCrosse 2010-2016 3.6L V6 217cid
Buick Regal 2011-2017 2.4L L4 145cid
Buick Regal 2011-2017 2L L4 122cid
Cadillac DTS 2006-2011 4.6L V8 281cid</t>
        </is>
      </c>
      <c r="I1145" t="inlineStr">
        <is>
          <t>{"0": {"productDeskExternalKey": "CNRD|85-1072"}, "1": {"Package Contents": "Wiper Motor; Instruction Manual"}, "2": {"E-Waste": "Yes"}, "3": {"Product Condition": "New"}, "4": {"Terminal Type": "Blade"}, "5": {"Mounting Type": "Direct Bolt"}, "6": {"Weight PG": "2.6000"}, "7": {"Washer Pump Included": "No"}, "8": {"Part Type": "Windshield Wiper Motor"}, "9": {"Warranty Info": "Limited Lifetime"}, "10": {"Lifetime Warranty": "Yes"}, "11": {"Lifecycle Status": "Available to Order"}, "12": {"Application Summary": "Buick Allure 2010, LaCrosse 2016-10, Regal 2017-11; Cadillac DTS 2011-06"}, "13": {"ItemLevelGTIN": "00884548309401"}}</t>
        </is>
      </c>
      <c r="J1145" t="inlineStr">
        <is>
          <t>https://www.cardone.com/product/windshield-wiper-motor-85-1072</t>
        </is>
      </c>
      <c r="K1145">
        <f>DISPIMG("ID_00CEF8CAB79344FAB9FE1D53DC24D5BC",1)</f>
        <v/>
      </c>
      <c r="L1145" t="inlineStr">
        <is>
          <t>CNRD|85-1072</t>
        </is>
      </c>
      <c r="M1145" t="inlineStr">
        <is>
          <t>Wiper Motor; Instruction Manual</t>
        </is>
      </c>
      <c r="N1145" t="inlineStr">
        <is>
          <t>Yes</t>
        </is>
      </c>
      <c r="O1145" t="inlineStr">
        <is>
          <t>New</t>
        </is>
      </c>
      <c r="P1145" t="inlineStr"/>
      <c r="Q1145" t="inlineStr">
        <is>
          <t>Blade</t>
        </is>
      </c>
      <c r="R1145" t="inlineStr">
        <is>
          <t>Direct Bolt</t>
        </is>
      </c>
      <c r="S1145" t="inlineStr">
        <is>
          <t>2.6000</t>
        </is>
      </c>
      <c r="T1145" t="inlineStr">
        <is>
          <t>No</t>
        </is>
      </c>
      <c r="U1145" t="inlineStr">
        <is>
          <t>Limited Lifetime</t>
        </is>
      </c>
      <c r="V1145" t="inlineStr"/>
      <c r="W1145" t="inlineStr">
        <is>
          <t>Available to Order</t>
        </is>
      </c>
      <c r="X1145" t="inlineStr">
        <is>
          <t>Buick Allure 2010, LaCrosse 2016-10, Regal 2017-11; Cadillac DTS 2011-06</t>
        </is>
      </c>
      <c r="Y1145" t="inlineStr">
        <is>
          <t>00884548309401</t>
        </is>
      </c>
      <c r="Z1145" t="inlineStr"/>
      <c r="AA1145" t="inlineStr"/>
      <c r="AB1145" t="inlineStr"/>
      <c r="AC1145" t="inlineStr">
        <is>
          <t>Yes</t>
        </is>
      </c>
    </row>
    <row r="1146">
      <c r="A1146" t="inlineStr">
        <is>
          <t>1145</t>
        </is>
      </c>
      <c r="B1146" t="inlineStr">
        <is>
          <t>Windshield Wiper Motor</t>
        </is>
      </c>
      <c r="C1146" t="inlineStr">
        <is>
          <t>85-1076L</t>
        </is>
      </c>
      <c r="D1146" t="inlineStr">
        <is>
          <t>Windshield Wiper Motor - 85-1076L</t>
        </is>
      </c>
      <c r="E1146" t="inlineStr">
        <is>
          <t>CARDONE New</t>
        </is>
      </c>
      <c r="F1146" t="inlineStr">
        <is>
          <t>15094704;8152143430;15214343;8150947040;12487689</t>
        </is>
      </c>
      <c r="G1146" t="inlineStr">
        <is>
          <t>Buick Rainier 2004-2007
Chevrolet Blazer 2002-2005
Chevrolet Trailblazer 2003-2009
Chevrolet Trailblazer EXT 2003-2006
GMC Envoy 2003-2009
GMC Envoy XL 2003-2006
GMC Envoy XUV 2004-2005
GMC Jimmy 2002-2005
Isuzu Ascender 2005-2008
Oldsmobile Bravada 2003-2004
Saab 9-7x 2005-2009</t>
        </is>
      </c>
      <c r="H1146" t="inlineStr">
        <is>
          <t>Buick Rainier 2004-2007 4.2L L6 256cid
Buick Rainier 2004-2007 5.3L V8 325cid
Chevrolet Blazer 2002 4.2L L6 256cid
Chevrolet Blazer 2002-2005 4.3L V6 262cid
Chevrolet Trailblazer 2003-2009 4.2L L6 256cid
Chevrolet Trailblazer 2006-2008 5.3L V8 325cid
Chevrolet Trailblazer 2006-2009 6L V8 364cid
Chevrolet Trailblazer EXT 2003-2006 4.2L L6 256cid
Chevrolet Trailblazer EXT 2003-2006 5.3L V8 325cid
GMC Envoy 2003-2009 4.2L L6 256cid
GMC Envoy 2005-2009 5.3L V8 325cid
GMC Envoy XL 2003-2006 4.2L L6 256cid
GMC Envoy XL 2003-2006 5.3L V8 325cid
GMC Envoy XUV 2004-2005 4.2L L6 256cid
GMC Envoy XUV 2004-2005 5.3L V8 325cid
GMC Jimmy 2002-2003 4.3L V6 262cid
GMC Jimmy 2004-2005 4.3L V6 4294cc
Isuzu Ascender 2005-2006 5.3L V8 325cid
Isuzu Ascender 2005-2008 4.2L L6 256cid
Oldsmobile Bravada 2003-2004 4.2L L6 256cid
Saab 9-7x 2005-2009 4.2L L6 256cid
Saab 9-7x 2005-2009 5.3L V8 325cid
Saab 9-7x 2008-2009 6L V8 364cid</t>
        </is>
      </c>
      <c r="I1146" t="inlineStr">
        <is>
          <t>{"0": {"productDeskExternalKey": "CNRD|85-1076L"}, "1": {"Package Contents": "Wiper Motor; Instruction Manual"}, "2": {"E-Waste": "Yes"}, "3": {"Product Condition": "New"}, "4": {"Terminal Type": "Blade"}, "5": {"Mounting Type": "Eyelet; Grommet"}, "6": {"Weight PG": "7.2000"}, "7": {"Washer Pump Included": "No"}, "8": {"Part Type": "Windshield Wiper Motor"}, "9": {"Warranty Info": "Limited Lifetime"}, "10": {"Lifetime Warranty": "Yes"}, "11": {"Lifecycle Status": "Available to Order"}, "12": {"Application Summary": "Buick Rainier 2007-04; Chevrolet Blazer 2005-02, Trailblazer 2009-03, Trailblazer EXT 2006-03; GMC Envoy 2009-03, Envoy XL 2006-03, Envoy XUV 2005-04, Jimmy 2005-02; Isuzu Ascender 2008-05; Oldsmobile Bravada 2004-03; Saab 9-7x 2009-05"}, "13": {"ItemLevelGTIN": "00082617888301"}}</t>
        </is>
      </c>
      <c r="J1146" t="inlineStr">
        <is>
          <t>https://www.cardone.com/product/windshield-wiper-motor-85-1076l</t>
        </is>
      </c>
      <c r="K1146">
        <f>DISPIMG("ID_3F592887870D445C87098C4DEB9A8675",1)</f>
        <v/>
      </c>
      <c r="L1146" t="inlineStr">
        <is>
          <t>CNRD|85-1076L</t>
        </is>
      </c>
      <c r="M1146" t="inlineStr">
        <is>
          <t>Wiper Motor; Instruction Manual</t>
        </is>
      </c>
      <c r="N1146" t="inlineStr">
        <is>
          <t>Yes</t>
        </is>
      </c>
      <c r="O1146" t="inlineStr">
        <is>
          <t>New</t>
        </is>
      </c>
      <c r="P1146" t="inlineStr"/>
      <c r="Q1146" t="inlineStr">
        <is>
          <t>Blade</t>
        </is>
      </c>
      <c r="R1146" t="inlineStr">
        <is>
          <t>Eyelet; Grommet</t>
        </is>
      </c>
      <c r="S1146" t="inlineStr">
        <is>
          <t>7.2000</t>
        </is>
      </c>
      <c r="T1146" t="inlineStr">
        <is>
          <t>No</t>
        </is>
      </c>
      <c r="U1146" t="inlineStr">
        <is>
          <t>Limited Lifetime</t>
        </is>
      </c>
      <c r="V1146" t="inlineStr"/>
      <c r="W1146" t="inlineStr">
        <is>
          <t>Available to Order</t>
        </is>
      </c>
      <c r="X1146" t="inlineStr">
        <is>
          <t>Buick Rainier 2007-04; Chevrolet Blazer 2005-02, Trailblazer 2009-03, Trailblazer EXT 2006-03; GMC Envoy 2009-03, Envoy XL 2006-03, Envoy XUV 2005-04, Jimmy 2005-02; Isuzu Ascender 2008-05; Oldsmobile Bravada 2004-03; Saab 9-7x 2009-05</t>
        </is>
      </c>
      <c r="Y1146" t="inlineStr">
        <is>
          <t>00082617888301</t>
        </is>
      </c>
      <c r="Z1146" t="inlineStr"/>
      <c r="AA1146" t="inlineStr"/>
      <c r="AB1146" t="inlineStr"/>
      <c r="AC1146" t="inlineStr">
        <is>
          <t>Yes</t>
        </is>
      </c>
    </row>
    <row r="1147">
      <c r="A1147" t="inlineStr">
        <is>
          <t>1146</t>
        </is>
      </c>
      <c r="B1147" t="inlineStr">
        <is>
          <t>Windshield Wiper Motor</t>
        </is>
      </c>
      <c r="C1147" t="inlineStr">
        <is>
          <t>85-1080</t>
        </is>
      </c>
      <c r="D1147" t="inlineStr">
        <is>
          <t>Windshield Wiper Motor - 85-1080</t>
        </is>
      </c>
      <c r="E1147" t="inlineStr">
        <is>
          <t>CARDONE New</t>
        </is>
      </c>
      <c r="F1147" t="inlineStr">
        <is>
          <t>15812615;10388353;19177837</t>
        </is>
      </c>
      <c r="G1147" t="inlineStr">
        <is>
          <t>Buick Lucerne 2006-2011
Cadillac SRX 2007-2009
Pontiac Solstice 2007-2009
Saturn Sky 2007-2010</t>
        </is>
      </c>
      <c r="H1147" t="inlineStr">
        <is>
          <t>Buick Lucerne 2006-2008 3.8L V6 231cid
Buick Lucerne 2006-2011 4.6L V8 281cid
Buick Lucerne 2009-2011 3.9L V6 237cid
Cadillac SRX 2007-2009 3.6L V6 217cid
Cadillac SRX 2007-2009 4.6L V8 281cid
Pontiac Solstice 2007-2009 2.4L L4 145cid
Pontiac Solstice 2007-2009 2L L4 122cid
Saturn Sky 2007-2010 2.4L L4 145cid
Saturn Sky 2007-2010 2L L4 122cid</t>
        </is>
      </c>
      <c r="I1147" t="inlineStr">
        <is>
          <t>{"0": {"productDeskExternalKey": "CNRD|85-1080"}, "1": {"Package Contents": "Wiper Motor; Instruction Sheet"}, "2": {"E-Waste": "Yes"}, "3": {"Product Condition": "New"}, "4": {"Mounting Hole Quantity": "3"}, "5": {"Terminal Type": "Blade"}, "6": {"Mounting Type": "Direct Bolt"}, "7": {"Weight PG": "2.7800"}, "8": {"Washer Pump Included": "No"}, "9": {"Part Type": "Windshield Wiper Motor"}, "10": {"Warranty Info": "Limited Lifetime"}, "11": {"Lifetime Warranty": "Yes"}, "12": {"Lifecycle Status": "Available to Order"}, "13": {"Application Summary": "Buick Lucerne 2011-06; Cadillac SRX 2009-07; Pontiac Solstice 2009-07; Saturn Sky 2010-07"}, "14": {"ItemLevelGTIN": "00884548320369"}}</t>
        </is>
      </c>
      <c r="J1147" t="inlineStr">
        <is>
          <t>https://www.cardone.com/product/windshield-wiper-motor-85-1080</t>
        </is>
      </c>
      <c r="K1147">
        <f>DISPIMG("ID_03C2EF17C53147A8BA630B2358E0F0B6",1)</f>
        <v/>
      </c>
      <c r="L1147" t="inlineStr">
        <is>
          <t>CNRD|85-1080</t>
        </is>
      </c>
      <c r="M1147" t="inlineStr">
        <is>
          <t>Wiper Motor; Instruction Sheet</t>
        </is>
      </c>
      <c r="N1147" t="inlineStr">
        <is>
          <t>Yes</t>
        </is>
      </c>
      <c r="O1147" t="inlineStr">
        <is>
          <t>New</t>
        </is>
      </c>
      <c r="P1147" t="inlineStr">
        <is>
          <t>3</t>
        </is>
      </c>
      <c r="Q1147" t="inlineStr">
        <is>
          <t>Blade</t>
        </is>
      </c>
      <c r="R1147" t="inlineStr">
        <is>
          <t>Direct Bolt</t>
        </is>
      </c>
      <c r="S1147" t="inlineStr">
        <is>
          <t>2.7800</t>
        </is>
      </c>
      <c r="T1147" t="inlineStr">
        <is>
          <t>No</t>
        </is>
      </c>
      <c r="U1147" t="inlineStr">
        <is>
          <t>Limited Lifetime</t>
        </is>
      </c>
      <c r="V1147" t="inlineStr"/>
      <c r="W1147" t="inlineStr">
        <is>
          <t>Available to Order</t>
        </is>
      </c>
      <c r="X1147" t="inlineStr">
        <is>
          <t>Buick Lucerne 2011-06; Cadillac SRX 2009-07; Pontiac Solstice 2009-07; Saturn Sky 2010-07</t>
        </is>
      </c>
      <c r="Y1147" t="inlineStr">
        <is>
          <t>00884548320369</t>
        </is>
      </c>
      <c r="Z1147" t="inlineStr"/>
      <c r="AA1147" t="inlineStr"/>
      <c r="AB1147" t="inlineStr"/>
      <c r="AC1147" t="inlineStr">
        <is>
          <t>Yes</t>
        </is>
      </c>
    </row>
    <row r="1148">
      <c r="A1148" t="inlineStr">
        <is>
          <t>1147</t>
        </is>
      </c>
      <c r="B1148" t="inlineStr">
        <is>
          <t>Windshield Wiper Motor</t>
        </is>
      </c>
      <c r="C1148" t="inlineStr">
        <is>
          <t>85-1082</t>
        </is>
      </c>
      <c r="D1148" t="inlineStr">
        <is>
          <t>Windshield Wiper Motor - 85-1082</t>
        </is>
      </c>
      <c r="E1148" t="inlineStr">
        <is>
          <t>CARDONE New</t>
        </is>
      </c>
      <c r="F1148" t="inlineStr">
        <is>
          <t>96543071</t>
        </is>
      </c>
      <c r="G1148" t="inlineStr">
        <is>
          <t>Chevrolet Aveo 2004-2006
Chevrolet Aveo5 2006-2008
Pontiac Wave 2008
Pontiac Wave5 2005-2007
Suzuki Swift 2007-2008
Suzuki Swift+ 2004-2006</t>
        </is>
      </c>
      <c r="H1148" t="inlineStr">
        <is>
          <t>Chevrolet Aveo 2004-2006 1.6L L4 98cid
Chevrolet Aveo5 2006-2008 1.6L L4 98cid
Pontiac Wave 2008 1.6L L4 98cid
Pontiac Wave5 2005-2007 1.6L L4 98cid
Suzuki Swift 2007-2008 1.5L L4 91cid
Suzuki Swift+ 2004-2006 1.6L L4 98cid</t>
        </is>
      </c>
      <c r="I1148" t="inlineStr">
        <is>
          <t>{"0": {"productDeskExternalKey": "CNRD|85-1082"}, "1": {"Package Contents": "Wiper Motor; Instruction Manual"}, "2": {"E-Waste": "Yes"}, "3": {"Product Condition": "New"}, "4": {"Terminal Type": "Blade"}, "5": {"Mounting Type": "Eyelet"}, "6": {"Weight PG": "2.4000"}, "7": {"Washer Pump Included": "No"}, "8": {"Part Type": "Windshield Wiper Motor"}, "9": {"Warranty Info": "Limited Lifetime"}, "10": {"Lifetime Warranty": "Yes"}, "11": {"Lifecycle Status": "Available to Order"}, "12": {"Application Summary": "Chevrolet Aveo 2006-04, Aveo5 2008-06; Pontiac Wave 2008, Wave5 2007-05; Suzuki Swift 2008-07, Swift+ 2006-04"}, "13": {"ItemLevelGTIN": "00884548271609"}}</t>
        </is>
      </c>
      <c r="J1148" t="inlineStr">
        <is>
          <t>https://www.cardone.com/product/windshield-wiper-motor-85-1082</t>
        </is>
      </c>
      <c r="K1148">
        <f>DISPIMG("ID_69E43E1E04324861B396D1525BDB4A3A",1)</f>
        <v/>
      </c>
      <c r="L1148" t="inlineStr">
        <is>
          <t>CNRD|85-1082</t>
        </is>
      </c>
      <c r="M1148" t="inlineStr">
        <is>
          <t>Wiper Motor; Instruction Manual</t>
        </is>
      </c>
      <c r="N1148" t="inlineStr">
        <is>
          <t>Yes</t>
        </is>
      </c>
      <c r="O1148" t="inlineStr">
        <is>
          <t>New</t>
        </is>
      </c>
      <c r="P1148" t="inlineStr"/>
      <c r="Q1148" t="inlineStr">
        <is>
          <t>Blade</t>
        </is>
      </c>
      <c r="R1148" t="inlineStr">
        <is>
          <t>Eyelet</t>
        </is>
      </c>
      <c r="S1148" t="inlineStr">
        <is>
          <t>2.4000</t>
        </is>
      </c>
      <c r="T1148" t="inlineStr">
        <is>
          <t>No</t>
        </is>
      </c>
      <c r="U1148" t="inlineStr">
        <is>
          <t>Limited Lifetime</t>
        </is>
      </c>
      <c r="V1148" t="inlineStr"/>
      <c r="W1148" t="inlineStr">
        <is>
          <t>Available to Order</t>
        </is>
      </c>
      <c r="X1148" t="inlineStr">
        <is>
          <t>Chevrolet Aveo 2006-04, Aveo5 2008-06; Pontiac Wave 2008, Wave5 2007-05; Suzuki Swift 2008-07, Swift+ 2006-04</t>
        </is>
      </c>
      <c r="Y1148" t="inlineStr">
        <is>
          <t>00884548271609</t>
        </is>
      </c>
      <c r="Z1148" t="inlineStr"/>
      <c r="AA1148" t="inlineStr"/>
      <c r="AB1148" t="inlineStr"/>
      <c r="AC1148" t="inlineStr">
        <is>
          <t>Yes</t>
        </is>
      </c>
    </row>
    <row r="1149">
      <c r="A1149" t="inlineStr">
        <is>
          <t>1148</t>
        </is>
      </c>
      <c r="B1149" t="inlineStr">
        <is>
          <t>Windshield Wiper Motor</t>
        </is>
      </c>
      <c r="C1149" t="inlineStr">
        <is>
          <t>85-1084</t>
        </is>
      </c>
      <c r="D1149" t="inlineStr">
        <is>
          <t>Windshield Wiper Motor - 85-1084</t>
        </is>
      </c>
      <c r="E1149" t="inlineStr">
        <is>
          <t>CARDONE New</t>
        </is>
      </c>
      <c r="F1149" t="inlineStr">
        <is>
          <t>15282187;25923437</t>
        </is>
      </c>
      <c r="G1149" t="inlineStr">
        <is>
          <t>Cadillac Escalade 2007-2014
Cadillac Escalade ESV 2007-2014
Chevrolet Suburban 1500 2007-2014
Chevrolet Suburban 2500 2007-2013
Chevrolet Tahoe 2007-2014
GMC Yukon 2007-2014
GMC Yukon XL 1500 2007-2014
GMC Yukon XL 2500 2007-2013</t>
        </is>
      </c>
      <c r="H1149" t="inlineStr">
        <is>
          <t>Cadillac Escalade 2007-2014 6.2L V8 376cid
Cadillac Escalade 2009-2013 6L V8 364cid
Cadillac Escalade ESV 2007-2014 6.2L V8 376cid
Chevrolet Suburban 1500 2007-2013 6L V8 364cid
Chevrolet Suburban 1500 2007-2014 5.3L V8 325cid
Chevrolet Suburban 2500 2007-2013 6L V8 364cid
Chevrolet Suburban 2500 2012 5.3L V8 325cid
Chevrolet Tahoe 2007-2009 4.8L V8 294cid
Chevrolet Tahoe 2007-2014 5.3L V8 325cid
Chevrolet Tahoe 2008-2009 6.2L V8 376cid
Chevrolet Tahoe 2008-2013 6L V8 364cid
GMC Yukon 2007-2009 4.8L V8 294cid
GMC Yukon 2007-2014 5.3L V8 325cid
GMC Yukon 2007-2014 6.2L V8 376cid
GMC Yukon 2008-2013 6L V8 364cid
GMC Yukon XL 1500 2007-2009 6L V8 364cid
GMC Yukon XL 1500 2007-2014 5.3L V8 325cid
GMC Yukon XL 1500 2007-2014 6.2L V8 376cid
GMC Yukon XL 2500 2007-2013 6L V8 364cid</t>
        </is>
      </c>
      <c r="I1149" t="inlineStr">
        <is>
          <t>{"0": {"productDeskExternalKey": "CNRD|85-1084"}, "1": {"Package Contents": "Wiper Motor; Instruction Manual"}, "2": {"E-Waste": "Yes"}, "3": {"Product Condition": "New"}, "4": {"Mounting Hole Quantity": "2"}, "5": {"Terminal Type": "Blade"}, "6": {"Mounting Type": "Eyelet; Grommet"}, "7": {"Weight PG": "3.2000"}, "8": {"Washer Pump Included": "No"}, "9": {"Part Type": "Windshield Wiper Motor"}, "10": {"Warranty Info": "Limited Lifetime"}, "11": {"Lifetime Warranty": "Yes"}, "12": {"Lifecycle Status": "Available to Order"}, "13": {"Application Summary": "Cadillac Escalade 2014-07, Escalade ESV 2014-07; Chevrolet Suburban 1500 2014-07, Suburban 2500 2013-07, Tahoe 2014-07; GMC Yukon 2014-07, Yukon XL 1500 2014-07, Yukon XL 2500 2013-07"}, "14": {"ItemLevelGTIN": "00082617802628"}}</t>
        </is>
      </c>
      <c r="J1149" t="inlineStr">
        <is>
          <t>https://www.cardone.com/product/windshield-wiper-motor-85-1084</t>
        </is>
      </c>
      <c r="K1149">
        <f>DISPIMG("ID_5EB62F4D9CFF49FAA0162ECCD8661D6F",1)</f>
        <v/>
      </c>
      <c r="L1149" t="inlineStr">
        <is>
          <t>CNRD|85-1084</t>
        </is>
      </c>
      <c r="M1149" t="inlineStr">
        <is>
          <t>Wiper Motor; Instruction Manual</t>
        </is>
      </c>
      <c r="N1149" t="inlineStr">
        <is>
          <t>Yes</t>
        </is>
      </c>
      <c r="O1149" t="inlineStr">
        <is>
          <t>New</t>
        </is>
      </c>
      <c r="P1149" t="inlineStr">
        <is>
          <t>2</t>
        </is>
      </c>
      <c r="Q1149" t="inlineStr">
        <is>
          <t>Blade</t>
        </is>
      </c>
      <c r="R1149" t="inlineStr">
        <is>
          <t>Eyelet; Grommet</t>
        </is>
      </c>
      <c r="S1149" t="inlineStr">
        <is>
          <t>3.2000</t>
        </is>
      </c>
      <c r="T1149" t="inlineStr">
        <is>
          <t>No</t>
        </is>
      </c>
      <c r="U1149" t="inlineStr">
        <is>
          <t>Limited Lifetime</t>
        </is>
      </c>
      <c r="V1149" t="inlineStr"/>
      <c r="W1149" t="inlineStr">
        <is>
          <t>Available to Order</t>
        </is>
      </c>
      <c r="X1149" t="inlineStr">
        <is>
          <t>Cadillac Escalade 2014-07, Escalade ESV 2014-07; Chevrolet Suburban 1500 2014-07, Suburban 2500 2013-07, Tahoe 2014-07; GMC Yukon 2014-07, Yukon XL 1500 2014-07, Yukon XL 2500 2013-07</t>
        </is>
      </c>
      <c r="Y1149" t="inlineStr">
        <is>
          <t>00082617802628</t>
        </is>
      </c>
      <c r="Z1149" t="inlineStr"/>
      <c r="AA1149" t="inlineStr"/>
      <c r="AB1149" t="inlineStr"/>
      <c r="AC1149" t="inlineStr">
        <is>
          <t>Yes</t>
        </is>
      </c>
    </row>
    <row r="1150">
      <c r="A1150" t="inlineStr">
        <is>
          <t>1149</t>
        </is>
      </c>
      <c r="B1150" t="inlineStr">
        <is>
          <t>Windshield Wiper Motor</t>
        </is>
      </c>
      <c r="C1150" t="inlineStr">
        <is>
          <t>85-1087</t>
        </is>
      </c>
      <c r="D1150" t="inlineStr">
        <is>
          <t>Windshield Wiper Motor - 85-1087</t>
        </is>
      </c>
      <c r="E1150" t="inlineStr">
        <is>
          <t>CARDONE New</t>
        </is>
      </c>
      <c r="F1150" t="inlineStr">
        <is>
          <t>15849819;3810178J01;3810178J00</t>
        </is>
      </c>
      <c r="G1150" t="inlineStr">
        <is>
          <t>Chevrolet Equinox 2007-2008
Pontiac Torrent 2007-2008
Suzuki XL-7 2007-2008</t>
        </is>
      </c>
      <c r="H1150" t="inlineStr">
        <is>
          <t>Chevrolet Equinox 2007-2008 3.4L V6 207cid
Chevrolet Equinox 2008 3.6L V6 217cid
Pontiac Torrent 2007-2008 3.4L V6 207cid
Pontiac Torrent 2008 3.6L V6 217cid
Suzuki XL-7 2007-2008 3.2L V6 195cid
Suzuki XL-7 2007-2008 3.6L V6 3564cc</t>
        </is>
      </c>
      <c r="I1150" t="inlineStr">
        <is>
          <t>{"0": {"productDeskExternalKey": "CNRD|85-1087"}, "1": {"Package Contents": "Wiper Motor; Instruction Manual"}, "2": {"E-Waste": "Yes"}, "3": {"Product Condition": "New"}, "4": {"Terminal Type": "Blade"}, "5": {"Mounting Type": "Direct Bolt; Grommet"}, "6": {"Weight PG": "2.9200"}, "7": {"Washer Pump Included": "No"}, "8": {"Part Type": "Windshield Wiper Motor"}, "9": {"Warranty Info": "Limited Lifetime"}, "10": {"Lifetime Warranty": "Yes"}, "11": {"Lifecycle Status": "Available to Order"}, "12": {"Application Summary": "Chevrolet Equinox 2008-07; Pontiac Torrent 2008-07; Suzuki XL-7 2008-07"}, "13": {"ItemLevelGTIN": "00884548309012"}}</t>
        </is>
      </c>
      <c r="J1150" t="inlineStr">
        <is>
          <t>https://www.cardone.com/product/windshield-wiper-motor-85-1087</t>
        </is>
      </c>
      <c r="K1150">
        <f>DISPIMG("ID_E4D72B322B3A471D9598D287D8D34E18",1)</f>
        <v/>
      </c>
      <c r="L1150" t="inlineStr">
        <is>
          <t>CNRD|85-1087</t>
        </is>
      </c>
      <c r="M1150" t="inlineStr">
        <is>
          <t>Wiper Motor; Instruction Manual</t>
        </is>
      </c>
      <c r="N1150" t="inlineStr">
        <is>
          <t>Yes</t>
        </is>
      </c>
      <c r="O1150" t="inlineStr">
        <is>
          <t>New</t>
        </is>
      </c>
      <c r="P1150" t="inlineStr"/>
      <c r="Q1150" t="inlineStr">
        <is>
          <t>Blade</t>
        </is>
      </c>
      <c r="R1150" t="inlineStr">
        <is>
          <t>Direct Bolt; Grommet</t>
        </is>
      </c>
      <c r="S1150" t="inlineStr">
        <is>
          <t>2.9200</t>
        </is>
      </c>
      <c r="T1150" t="inlineStr">
        <is>
          <t>No</t>
        </is>
      </c>
      <c r="U1150" t="inlineStr">
        <is>
          <t>Limited Lifetime</t>
        </is>
      </c>
      <c r="V1150" t="inlineStr"/>
      <c r="W1150" t="inlineStr">
        <is>
          <t>Available to Order</t>
        </is>
      </c>
      <c r="X1150" t="inlineStr">
        <is>
          <t>Chevrolet Equinox 2008-07; Pontiac Torrent 2008-07; Suzuki XL-7 2008-07</t>
        </is>
      </c>
      <c r="Y1150" t="inlineStr">
        <is>
          <t>00884548309012</t>
        </is>
      </c>
      <c r="Z1150" t="inlineStr"/>
      <c r="AA1150" t="inlineStr"/>
      <c r="AB1150" t="inlineStr"/>
      <c r="AC1150" t="inlineStr">
        <is>
          <t>Yes</t>
        </is>
      </c>
    </row>
    <row r="1151">
      <c r="A1151" t="inlineStr">
        <is>
          <t>1150</t>
        </is>
      </c>
      <c r="B1151" t="inlineStr">
        <is>
          <t>Windshield Wiper Motor</t>
        </is>
      </c>
      <c r="C1151" t="inlineStr">
        <is>
          <t>85-1088</t>
        </is>
      </c>
      <c r="D1151" t="inlineStr">
        <is>
          <t>Windshield Wiper Motor - 85-1088</t>
        </is>
      </c>
      <c r="E1151" t="inlineStr">
        <is>
          <t>CARDONE New</t>
        </is>
      </c>
      <c r="F1151" t="inlineStr">
        <is>
          <t>3881078J03;15875456;25847876;3881078J01</t>
        </is>
      </c>
      <c r="G1151" t="inlineStr">
        <is>
          <t>Chevrolet Equinox 2007-2009
Pontiac Torrent 2007-2009
Suzuki XL-7 2007-2009</t>
        </is>
      </c>
      <c r="H1151" t="inlineStr">
        <is>
          <t>Chevrolet Equinox 2007-2009 3.4L V6 207cid
Chevrolet Equinox 2008-2009 3.6L V6 217cid
Pontiac Torrent 2007-2009 3.4L V6 207cid
Pontiac Torrent 2008-2009 3.6L V6 217cid
Suzuki XL-7 2007-2009 3.2L V6 195cid
Suzuki XL-7 2007-2009 3.6L V6 3564cc</t>
        </is>
      </c>
      <c r="I1151" t="inlineStr">
        <is>
          <t>{"0": {"productDeskExternalKey": "CNRD|85-1088"}, "1": {"Package Contents": "Wiper Motor; Instruction Manual"}, "2": {"E-Waste": "Yes"}, "3": {"Product Condition": "New"}, "4": {"Terminal Type": "Blade"}, "5": {"Mounting Type": "Eyelet; Grommet"}, "6": {"Weight PG": "2.8000"}, "7": {"Washer Pump Included": "No"}, "8": {"Part Type": "Windshield Wiper Motor"}, "9": {"Warranty Info": "Limited Lifetime"}, "10": {"Lifetime Warranty": "Yes"}, "11": {"Lifecycle Status": "Available to Order"}, "12": {"Application Summary": "Chevrolet Equinox 2009-07; Pontiac Torrent 2009-07; Suzuki XL-7 2009-07"}, "13": {"ItemLevelGTIN": "00884548195110"}}</t>
        </is>
      </c>
      <c r="J1151" t="inlineStr">
        <is>
          <t>https://www.cardone.com/product/windshield-wiper-motor-85-1088</t>
        </is>
      </c>
      <c r="K1151">
        <f>DISPIMG("ID_CD71F60D47424F68B4C78DAF9275B6C3",1)</f>
        <v/>
      </c>
      <c r="L1151" t="inlineStr">
        <is>
          <t>CNRD|85-1088</t>
        </is>
      </c>
      <c r="M1151" t="inlineStr">
        <is>
          <t>Wiper Motor; Instruction Manual</t>
        </is>
      </c>
      <c r="N1151" t="inlineStr">
        <is>
          <t>Yes</t>
        </is>
      </c>
      <c r="O1151" t="inlineStr">
        <is>
          <t>New</t>
        </is>
      </c>
      <c r="P1151" t="inlineStr"/>
      <c r="Q1151" t="inlineStr">
        <is>
          <t>Blade</t>
        </is>
      </c>
      <c r="R1151" t="inlineStr">
        <is>
          <t>Eyelet; Grommet</t>
        </is>
      </c>
      <c r="S1151" t="inlineStr">
        <is>
          <t>2.8000</t>
        </is>
      </c>
      <c r="T1151" t="inlineStr">
        <is>
          <t>No</t>
        </is>
      </c>
      <c r="U1151" t="inlineStr">
        <is>
          <t>Limited Lifetime</t>
        </is>
      </c>
      <c r="V1151" t="inlineStr"/>
      <c r="W1151" t="inlineStr">
        <is>
          <t>Available to Order</t>
        </is>
      </c>
      <c r="X1151" t="inlineStr">
        <is>
          <t>Chevrolet Equinox 2009-07; Pontiac Torrent 2009-07; Suzuki XL-7 2009-07</t>
        </is>
      </c>
      <c r="Y1151" t="inlineStr">
        <is>
          <t>00884548195110</t>
        </is>
      </c>
      <c r="Z1151" t="inlineStr"/>
      <c r="AA1151" t="inlineStr"/>
      <c r="AB1151" t="inlineStr"/>
      <c r="AC1151" t="inlineStr">
        <is>
          <t>Yes</t>
        </is>
      </c>
    </row>
    <row r="1152">
      <c r="A1152" t="inlineStr">
        <is>
          <t>1151</t>
        </is>
      </c>
      <c r="B1152" t="inlineStr">
        <is>
          <t>Windshield Wiper Motor</t>
        </is>
      </c>
      <c r="C1152" t="inlineStr">
        <is>
          <t>85-1089</t>
        </is>
      </c>
      <c r="D1152" t="inlineStr">
        <is>
          <t>Windshield Wiper Motor - 85-1089</t>
        </is>
      </c>
      <c r="E1152" t="inlineStr">
        <is>
          <t>CARDONE New</t>
        </is>
      </c>
      <c r="F1152" t="inlineStr">
        <is>
          <t>23167072</t>
        </is>
      </c>
      <c r="G1152" t="inlineStr">
        <is>
          <t>Cadillac Escalade 2007-2014
Cadillac Escalade ESV 2007-2014
Cadillac Escalade EXT 2007-2013
Chevrolet Avalanche 2007-2013
Chevrolet Cheyenne 2014-2018
Chevrolet Silverado 1500 2007-2018
Chevrolet Silverado 1500 LD 2019
Chevrolet Silverado 2500 HD 2007-2019
Chevrolet Silverado 3500 HD 2007-2019
Chevrolet Suburban 1500 2007-2014
Chevrolet Suburban 2500 2007-2013
Chevrolet Tahoe 2007-2014
GMC Sierra 1500 2007-2018
GMC Sierra 1500 Limited 2019
GMC Sierra 2500 HD 2008-2019
GMC Sierra 3500 HD 2008-2019
GMC Yukon 2007-2014
GMC Yukon XL 1500 2007-2014
GMC Yukon XL 2500 2007-2013</t>
        </is>
      </c>
      <c r="H1152" t="inlineStr">
        <is>
          <t>Cadillac Escalade 2007-2014 6.2L V8 376cid
Cadillac Escalade 2009-2013 6L V8 364cid
Cadillac Escalade ESV 2007-2014 6.2L V8 376cid
Cadillac Escalade EXT 2007-2013 6.2L V8 376cid
Chevrolet Avalanche 2007-2009 6L V8 364cid
Chevrolet Avalanche 2007-2013 5.3L V8 325cid
Chevrolet Cheyenne 2014-2018 5.3L V8 325cid
Chevrolet Cheyenne 2014-2018 6.2L V8 376cid
Chevrolet Silverado 1500 2007-2013 4.8L V8 294cid
Chevrolet Silverado 1500 2007-2013 6L V8 364cid
Chevrolet Silverado 1500 2007-2018 4.3L V6 262cid
Chevrolet Silverado 1500 2007-2018 5.3L V8 325cid
Chevrolet Silverado 1500 2009-2018 6.2L V8 376cid
Chevrolet Silverado 1500 LD 2019 5.3L V8 325cid
Chevrolet Silverado 2500 HD 2007-2019 6.6L V8 403cid
Chevrolet Silverado 2500 HD 2007-2019 6L V8 364cid
Chevrolet Silverado 3500 HD 2007-2019 6.6L V8 403cid
Chevrolet Silverado 3500 HD 2007-2019 6L V8 364cid
Chevrolet Suburban 1500 2007-2013 6L V8 364cid
Chevrolet Suburban 1500 2007-2014 5.3L V8 325cid
Chevrolet Suburban 2500 2007-2013 6L V8 364cid
Chevrolet Suburban 2500 2012 5.3L V8 325cid
Chevrolet Tahoe 2007-2009 4.8L V8 294cid
Chevrolet Tahoe 2007-2014 5.3L V8 325cid
Chevrolet Tahoe 2008-2009 6.2L V8 376cid
Chevrolet Tahoe 2008-2013 6L V8 364cid
GMC Sierra 1500 2007-2013 4.8L V8 294cid
GMC Sierra 1500 2007-2013 6L V8 364cid
GMC Sierra 1500 2007-2018 4.3L V6 262cid
GMC Sierra 1500 2007-2018 5.3L V8 325cid
GMC Sierra 1500 2007-2018 6.2L V8 376cid
GMC Sierra 1500 Limited 2019 5.3L V8 325cid
GMC Sierra 2500 HD 2008-2019 6.6L V8 403cid
GMC Sierra 2500 HD 2008-2019 6L V8 364cid
GMC Sierra 3500 HD 2008-2019 6.6L V8 403cid
GMC Sierra 3500 HD 2008-2019 6L V8 364cid
GMC Yukon 2007-2009 4.8L V8 294cid
GMC Yukon 2007-2014 5.3L V8 325cid
GMC Yukon 2007-2014 6.2L V8 376cid
GMC Yukon 2008-2013 6L V8 364cid
GMC Yukon XL 1500 2007-2009 6L V8 364cid
GMC Yukon XL 1500 2007-2014 5.3L V8 325cid
GMC Yukon XL 1500 2007-2014 6.2L V8 376cid
GMC Yukon XL 2500 2007-2013 6L V8 364cid</t>
        </is>
      </c>
      <c r="I1152" t="inlineStr">
        <is>
          <t>{"0": {"productDeskExternalKey": "CNRD|85-1089"}, "1": {"Package Contents": "Wiper Motor; Instruction Manual"}, "2": {"E-Waste": "Yes"}, "3": {"Product Condition": "New"}, "4": {"Terminal Type": "Blade"}, "5": {"Mounting Type": "Direct Bolt"}, "6": {"Weight PG": "3.2000"}, "7": {"Washer Pump Included": "No"}, "8": {"Part Type": "Windshield Wiper Motor"}, "9": {"Warranty Info": "Limited Lifetime"}, "10": {"Lifetime Warranty": "Yes"}, "11": {"Lifecycle Status": "Available to Order"}, "12": {"ItemLevelGTIN": "00884548172074"}}</t>
        </is>
      </c>
      <c r="J1152" t="inlineStr">
        <is>
          <t>https://www.cardone.com/product/windshield-wiper-motor-85-1089</t>
        </is>
      </c>
      <c r="K1152">
        <f>DISPIMG("ID_6356BA47EA1048E08E39038C87A57EAE",1)</f>
        <v/>
      </c>
      <c r="L1152" t="inlineStr">
        <is>
          <t>CNRD|85-1089</t>
        </is>
      </c>
      <c r="M1152" t="inlineStr">
        <is>
          <t>Wiper Motor; Instruction Manual</t>
        </is>
      </c>
      <c r="N1152" t="inlineStr">
        <is>
          <t>Yes</t>
        </is>
      </c>
      <c r="O1152" t="inlineStr">
        <is>
          <t>New</t>
        </is>
      </c>
      <c r="P1152" t="inlineStr"/>
      <c r="Q1152" t="inlineStr">
        <is>
          <t>Blade</t>
        </is>
      </c>
      <c r="R1152" t="inlineStr">
        <is>
          <t>Direct Bolt</t>
        </is>
      </c>
      <c r="S1152" t="inlineStr">
        <is>
          <t>3.2000</t>
        </is>
      </c>
      <c r="T1152" t="inlineStr">
        <is>
          <t>No</t>
        </is>
      </c>
      <c r="U1152" t="inlineStr">
        <is>
          <t>Limited Lifetime</t>
        </is>
      </c>
      <c r="V1152" t="inlineStr"/>
      <c r="W1152" t="inlineStr">
        <is>
          <t>Available to Order</t>
        </is>
      </c>
      <c r="X1152" t="inlineStr"/>
      <c r="Y1152" t="inlineStr">
        <is>
          <t>00884548172074</t>
        </is>
      </c>
      <c r="Z1152" t="inlineStr"/>
      <c r="AA1152" t="inlineStr"/>
      <c r="AB1152" t="inlineStr"/>
      <c r="AC1152" t="inlineStr">
        <is>
          <t>Yes</t>
        </is>
      </c>
    </row>
    <row r="1153">
      <c r="A1153" t="inlineStr">
        <is>
          <t>1152</t>
        </is>
      </c>
      <c r="B1153" t="inlineStr">
        <is>
          <t>Windshield Wiper Motor</t>
        </is>
      </c>
      <c r="C1153" t="inlineStr">
        <is>
          <t>85-1096</t>
        </is>
      </c>
      <c r="D1153" t="inlineStr">
        <is>
          <t>Windshield Wiper Motor - 85-1096</t>
        </is>
      </c>
      <c r="E1153" t="inlineStr">
        <is>
          <t>CARDONE New</t>
        </is>
      </c>
      <c r="F1153" t="inlineStr">
        <is>
          <t>19169125</t>
        </is>
      </c>
      <c r="G1153" t="inlineStr">
        <is>
          <t>Chevrolet Express 1500 2008-2014
Chevrolet Express 2500 2008-2014
Chevrolet Express 3500 2008-2014
Chevrolet Express 4500 2009-2014
GMC Savana 1500 2008-2014
GMC Savana 2500 2008-2014
GMC Savana 3500 2008-2014</t>
        </is>
      </c>
      <c r="H1153" t="inlineStr">
        <is>
          <t>Chevrolet Express 1500 2008-2014 4.3L V6 262cid
Chevrolet Express 1500 2008-2014 5.3L V8 325cid
Chevrolet Express 2500 2008-2014 4.8L V8 294cid
Chevrolet Express 2500 2008-2014 6.6L V8 403cid
Chevrolet Express 2500 2008-2014 6L V8 364cid
Chevrolet Express 3500 2008 5.3L V8 325cid
Chevrolet Express 3500 2008-2014 4.8L V8 294cid
Chevrolet Express 3500 2008-2014 6.6L V8 403cid
Chevrolet Express 3500 2008-2014 6L V8 364cid
Chevrolet Express 4500 2009-2014 6.6L V8 403cid
Chevrolet Express 4500 2009-2014 6L V8 364cid
GMC Savana 1500 2008-2014 4.3L V6 262cid
GMC Savana 1500 2008-2014 5.3L V8 325cid
GMC Savana 2500 2008-2014 4.8L V8 294cid
GMC Savana 2500 2008-2014 6.6L V8 403cid
GMC Savana 2500 2008-2014 6L V8 364cid
GMC Savana 3500 2008-2014 4.8L V8 294cid
GMC Savana 3500 2008-2014 6.6L V8 403cid
GMC Savana 3500 2008-2014 6L V8 364cid</t>
        </is>
      </c>
      <c r="I1153" t="inlineStr">
        <is>
          <t>{"0": {"productDeskExternalKey": "CNRD|85-1096"}, "1": {"Package Contents": "Wiper Motor; Instruction Manual"}, "2": {"E-Waste": "Yes"}, "3": {"Product Condition": "New"}, "4": {"Terminal Type": "Blade"}, "5": {"Mounting Type": "Grommet"}, "6": {"Weight PG": "3.6000"}, "7": {"Washer Pump Included": "No"}, "8": {"Part Type": "Windshield Wiper Motor"}, "9": {"Warranty Info": "Limited Lifetime"}, "10": {"Lifetime Warranty": "Yes"}, "11": {"Lifecycle Status": "Available to Order"}, "12": {"Application Summary": "Chevrolet Express 1500 2014-08, Express 2500 2014-08, Express 3500 2014-08, Express 4500 2014-09; GMC Savana 1500 2014-08, Savana 2500 2014-08, Savana 3500 2014-08"}, "13": {"ItemLevelGTIN": "00884548295032"}}</t>
        </is>
      </c>
      <c r="J1153" t="inlineStr">
        <is>
          <t>https://www.cardone.com/product/windshield-wiper-motor-85-1096</t>
        </is>
      </c>
      <c r="K1153">
        <f>DISPIMG("ID_FFA7413039354DFCA29D6363FE47B885",1)</f>
        <v/>
      </c>
      <c r="L1153" t="inlineStr">
        <is>
          <t>CNRD|85-1096</t>
        </is>
      </c>
      <c r="M1153" t="inlineStr">
        <is>
          <t>Wiper Motor; Instruction Manual</t>
        </is>
      </c>
      <c r="N1153" t="inlineStr">
        <is>
          <t>Yes</t>
        </is>
      </c>
      <c r="O1153" t="inlineStr">
        <is>
          <t>New</t>
        </is>
      </c>
      <c r="P1153" t="inlineStr"/>
      <c r="Q1153" t="inlineStr">
        <is>
          <t>Blade</t>
        </is>
      </c>
      <c r="R1153" t="inlineStr">
        <is>
          <t>Grommet</t>
        </is>
      </c>
      <c r="S1153" t="inlineStr">
        <is>
          <t>3.6000</t>
        </is>
      </c>
      <c r="T1153" t="inlineStr">
        <is>
          <t>No</t>
        </is>
      </c>
      <c r="U1153" t="inlineStr">
        <is>
          <t>Limited Lifetime</t>
        </is>
      </c>
      <c r="V1153" t="inlineStr"/>
      <c r="W1153" t="inlineStr">
        <is>
          <t>Available to Order</t>
        </is>
      </c>
      <c r="X1153" t="inlineStr">
        <is>
          <t>Chevrolet Express 1500 2014-08, Express 2500 2014-08, Express 3500 2014-08, Express 4500 2014-09; GMC Savana 1500 2014-08, Savana 2500 2014-08, Savana 3500 2014-08</t>
        </is>
      </c>
      <c r="Y1153" t="inlineStr">
        <is>
          <t>00884548295032</t>
        </is>
      </c>
      <c r="Z1153" t="inlineStr"/>
      <c r="AA1153" t="inlineStr"/>
      <c r="AB1153" t="inlineStr"/>
      <c r="AC1153" t="inlineStr">
        <is>
          <t>Yes</t>
        </is>
      </c>
    </row>
    <row r="1154">
      <c r="A1154" t="inlineStr">
        <is>
          <t>1153</t>
        </is>
      </c>
      <c r="B1154" t="inlineStr">
        <is>
          <t>Windshield Wiper Motor</t>
        </is>
      </c>
      <c r="C1154" t="inlineStr">
        <is>
          <t>85-1107</t>
        </is>
      </c>
      <c r="D1154" t="inlineStr">
        <is>
          <t>Windshield Wiper Motor - 85-1107</t>
        </is>
      </c>
      <c r="E1154" t="inlineStr">
        <is>
          <t>CARDONE New</t>
        </is>
      </c>
      <c r="F1154" t="inlineStr">
        <is>
          <t>25942547</t>
        </is>
      </c>
      <c r="G1154" t="inlineStr">
        <is>
          <t>Chevrolet Equinox 2010-2016
GMC Terrain 2010-2016</t>
        </is>
      </c>
      <c r="H1154" t="inlineStr">
        <is>
          <t>Chevrolet Equinox 2010-2012 3L V6 182cid
Chevrolet Equinox 2010-2016 2.4L L4 145cid
Chevrolet Equinox 2013-2016 3.6L V6 217cid
GMC Terrain 2010-2012 3L V6 182cid
GMC Terrain 2010-2016 2.4L L4 145cid
GMC Terrain 2013-2016 3.6L V6 217cid</t>
        </is>
      </c>
      <c r="I1154" t="inlineStr">
        <is>
          <t>{"0": {"productDeskExternalKey": "CNRD|85-1107"}, "1": {"Package Contents": "Wiper Motor; Instruction Manual"}, "2": {"E-Waste": "Yes"}, "3": {"Product Condition": "New"}, "4": {"Terminal Type": "Blade"}, "5": {"Mounting Type": "Direct Bolt; Grommet"}, "6": {"Weight PG": "3.3800"}, "7": {"Washer Pump Included": "No"}, "8": {"Part Type": "Windshield Wiper Motor"}, "9": {"Warranty Info": "Limited Lifetime"}, "10": {"Lifetime Warranty": "Yes"}, "11": {"Lifecycle Status": "Available to Order"}, "12": {"Application Summary": "Chevrolet Equinox 2016-10; GMC Terrain 2016-10"}, "13": {"ItemLevelGTIN": "00884548304291"}}</t>
        </is>
      </c>
      <c r="J1154" t="inlineStr">
        <is>
          <t>https://www.cardone.com/product/windshield-wiper-motor-85-1107</t>
        </is>
      </c>
      <c r="K1154">
        <f>DISPIMG("ID_CD0FC914DE1B4F069524EFF6FC115C07",1)</f>
        <v/>
      </c>
      <c r="L1154" t="inlineStr">
        <is>
          <t>CNRD|85-1107</t>
        </is>
      </c>
      <c r="M1154" t="inlineStr">
        <is>
          <t>Wiper Motor; Instruction Manual</t>
        </is>
      </c>
      <c r="N1154" t="inlineStr">
        <is>
          <t>Yes</t>
        </is>
      </c>
      <c r="O1154" t="inlineStr">
        <is>
          <t>New</t>
        </is>
      </c>
      <c r="P1154" t="inlineStr"/>
      <c r="Q1154" t="inlineStr">
        <is>
          <t>Blade</t>
        </is>
      </c>
      <c r="R1154" t="inlineStr">
        <is>
          <t>Direct Bolt; Grommet</t>
        </is>
      </c>
      <c r="S1154" t="inlineStr">
        <is>
          <t>3.3800</t>
        </is>
      </c>
      <c r="T1154" t="inlineStr">
        <is>
          <t>No</t>
        </is>
      </c>
      <c r="U1154" t="inlineStr">
        <is>
          <t>Limited Lifetime</t>
        </is>
      </c>
      <c r="V1154" t="inlineStr"/>
      <c r="W1154" t="inlineStr">
        <is>
          <t>Available to Order</t>
        </is>
      </c>
      <c r="X1154" t="inlineStr">
        <is>
          <t>Chevrolet Equinox 2016-10; GMC Terrain 2016-10</t>
        </is>
      </c>
      <c r="Y1154" t="inlineStr">
        <is>
          <t>00884548304291</t>
        </is>
      </c>
      <c r="Z1154" t="inlineStr"/>
      <c r="AA1154" t="inlineStr"/>
      <c r="AB1154" t="inlineStr"/>
      <c r="AC1154" t="inlineStr">
        <is>
          <t>Yes</t>
        </is>
      </c>
    </row>
    <row r="1155">
      <c r="A1155" t="inlineStr">
        <is>
          <t>1154</t>
        </is>
      </c>
      <c r="B1155" t="inlineStr">
        <is>
          <t>Windshield Wiper Motor</t>
        </is>
      </c>
      <c r="C1155" t="inlineStr">
        <is>
          <t>85-1108</t>
        </is>
      </c>
      <c r="D1155" t="inlineStr">
        <is>
          <t>Windshield Wiper Motor - 85-1108</t>
        </is>
      </c>
      <c r="E1155" t="inlineStr">
        <is>
          <t>CARDONE New</t>
        </is>
      </c>
      <c r="F1155" t="inlineStr">
        <is>
          <t>25788749</t>
        </is>
      </c>
      <c r="G1155" t="inlineStr">
        <is>
          <t>Chevrolet Equinox 2010-2017
GMC Terrain 2010-2017</t>
        </is>
      </c>
      <c r="H1155" t="inlineStr">
        <is>
          <t>Chevrolet Equinox 2010-2012 3L V6 182cid
Chevrolet Equinox 2010-2017 2.4L L4 145cid
Chevrolet Equinox 2013-2017 3.6L V6 217cid
GMC Terrain 2010-2012 3L V6 182cid
GMC Terrain 2010-2017 2.4L L4 145cid
GMC Terrain 2013-2017 3.6L V6 217cid</t>
        </is>
      </c>
      <c r="I1155" t="inlineStr">
        <is>
          <t>{"0": {"productDeskExternalKey": "CNRD|85-1108"}, "1": {"Package Contents": "Wiper Motor; Instruction Manual"}, "2": {"E-Waste": "Yes"}, "3": {"Product Condition": "New"}, "4": {"Terminal Type": "Blade"}, "5": {"Mounting Type": "Eyelet; Grommet"}, "6": {"Weight PG": "2.4600"}, "7": {"Washer Pump Included": "No"}, "8": {"Part Type": "Windshield Wiper Motor"}, "9": {"Warranty Info": "Limited Lifetime"}, "10": {"Lifetime Warranty": "Yes"}, "11": {"Lifecycle Status": "Available to Order"}, "12": {"Application Summary": "Chevrolet Equinox 2017-10; GMC Terrain 2017-10"}, "13": {"ItemLevelGTIN": "00884548308923"}}</t>
        </is>
      </c>
      <c r="J1155" t="inlineStr">
        <is>
          <t>https://www.cardone.com/product/windshield-wiper-motor-85-1108</t>
        </is>
      </c>
      <c r="K1155">
        <f>DISPIMG("ID_CD7599A544584758B4AA509A244D0D9B",1)</f>
        <v/>
      </c>
      <c r="L1155" t="inlineStr">
        <is>
          <t>CNRD|85-1108</t>
        </is>
      </c>
      <c r="M1155" t="inlineStr">
        <is>
          <t>Wiper Motor; Instruction Manual</t>
        </is>
      </c>
      <c r="N1155" t="inlineStr">
        <is>
          <t>Yes</t>
        </is>
      </c>
      <c r="O1155" t="inlineStr">
        <is>
          <t>New</t>
        </is>
      </c>
      <c r="P1155" t="inlineStr"/>
      <c r="Q1155" t="inlineStr">
        <is>
          <t>Blade</t>
        </is>
      </c>
      <c r="R1155" t="inlineStr">
        <is>
          <t>Eyelet; Grommet</t>
        </is>
      </c>
      <c r="S1155" t="inlineStr">
        <is>
          <t>2.4600</t>
        </is>
      </c>
      <c r="T1155" t="inlineStr">
        <is>
          <t>No</t>
        </is>
      </c>
      <c r="U1155" t="inlineStr">
        <is>
          <t>Limited Lifetime</t>
        </is>
      </c>
      <c r="V1155" t="inlineStr"/>
      <c r="W1155" t="inlineStr">
        <is>
          <t>Available to Order</t>
        </is>
      </c>
      <c r="X1155" t="inlineStr">
        <is>
          <t>Chevrolet Equinox 2017-10; GMC Terrain 2017-10</t>
        </is>
      </c>
      <c r="Y1155" t="inlineStr">
        <is>
          <t>00884548308923</t>
        </is>
      </c>
      <c r="Z1155" t="inlineStr"/>
      <c r="AA1155" t="inlineStr"/>
      <c r="AB1155" t="inlineStr"/>
      <c r="AC1155" t="inlineStr">
        <is>
          <t>Yes</t>
        </is>
      </c>
    </row>
    <row r="1156">
      <c r="A1156" t="inlineStr">
        <is>
          <t>1155</t>
        </is>
      </c>
      <c r="B1156" t="inlineStr">
        <is>
          <t>Windshield Wiper Motor</t>
        </is>
      </c>
      <c r="C1156" t="inlineStr">
        <is>
          <t>85-1110</t>
        </is>
      </c>
      <c r="D1156" t="inlineStr">
        <is>
          <t>Windshield Wiper Motor - 85-1110</t>
        </is>
      </c>
      <c r="E1156" t="inlineStr">
        <is>
          <t>CARDONE New</t>
        </is>
      </c>
      <c r="F1156" t="inlineStr">
        <is>
          <t>96893302</t>
        </is>
      </c>
      <c r="G1156" t="inlineStr">
        <is>
          <t>Chevrolet Cruze 2011-2016
Chevrolet Cruze Limited 2016</t>
        </is>
      </c>
      <c r="H1156" t="inlineStr">
        <is>
          <t>Chevrolet Cruze 2011-2016 1.4L L4 83cid
Chevrolet Cruze 2011-2016 1.8L L4 110cid
Chevrolet Cruze 2014-2015 2L L4 119cid
Chevrolet Cruze 2016 1.4L L4 85cid
Chevrolet Cruze Limited 2016 1.4L L4 83cid
Chevrolet Cruze Limited 2016 1.8L L4 110cid</t>
        </is>
      </c>
      <c r="I1156" t="inlineStr">
        <is>
          <t>{"0": {"productDeskExternalKey": "CNRD|85-1110"}, "1": {"Package Contents": "Wiper Motor; Instruction Manual"}, "2": {"E-Waste": "Yes"}, "3": {"Product Condition": "New"}, "4": {"Mounting Hole Quantity": "3"}, "5": {"Terminal Type": "Blade"}, "6": {"Mounting Type": "Direct Bolt; Grommet"}, "7": {"Weight PG": "3.2000"}, "8": {"Washer Pump Included": "No"}, "9": {"Part Type": "Windshield Wiper Motor"}, "10": {"Warranty Info": "Limited Lifetime"}, "11": {"Lifetime Warranty": "Yes"}, "12": {"Lifecycle Status": "Available to Order"}, "13": {"Application Summary": "Chevrolet Cruze 2016-11, Cruze Limited 2016"}, "14": {"ItemLevelGTIN": "00884548260986"}}</t>
        </is>
      </c>
      <c r="J1156" t="inlineStr">
        <is>
          <t>https://www.cardone.com/product/windshield-wiper-motor-85-1110</t>
        </is>
      </c>
      <c r="K1156">
        <f>DISPIMG("ID_0DDCC82FF8084D3480A7049AAF7A355A",1)</f>
        <v/>
      </c>
      <c r="L1156" t="inlineStr">
        <is>
          <t>CNRD|85-1110</t>
        </is>
      </c>
      <c r="M1156" t="inlineStr">
        <is>
          <t>Wiper Motor; Instruction Manual</t>
        </is>
      </c>
      <c r="N1156" t="inlineStr">
        <is>
          <t>Yes</t>
        </is>
      </c>
      <c r="O1156" t="inlineStr">
        <is>
          <t>New</t>
        </is>
      </c>
      <c r="P1156" t="inlineStr">
        <is>
          <t>3</t>
        </is>
      </c>
      <c r="Q1156" t="inlineStr">
        <is>
          <t>Blade</t>
        </is>
      </c>
      <c r="R1156" t="inlineStr">
        <is>
          <t>Direct Bolt; Grommet</t>
        </is>
      </c>
      <c r="S1156" t="inlineStr">
        <is>
          <t>3.2000</t>
        </is>
      </c>
      <c r="T1156" t="inlineStr">
        <is>
          <t>No</t>
        </is>
      </c>
      <c r="U1156" t="inlineStr">
        <is>
          <t>Limited Lifetime</t>
        </is>
      </c>
      <c r="V1156" t="inlineStr"/>
      <c r="W1156" t="inlineStr">
        <is>
          <t>Available to Order</t>
        </is>
      </c>
      <c r="X1156" t="inlineStr">
        <is>
          <t>Chevrolet Cruze 2016-11, Cruze Limited 2016</t>
        </is>
      </c>
      <c r="Y1156" t="inlineStr">
        <is>
          <t>00884548260986</t>
        </is>
      </c>
      <c r="Z1156" t="inlineStr"/>
      <c r="AA1156" t="inlineStr"/>
      <c r="AB1156" t="inlineStr"/>
      <c r="AC1156" t="inlineStr">
        <is>
          <t>Yes</t>
        </is>
      </c>
    </row>
    <row r="1157">
      <c r="A1157" t="inlineStr">
        <is>
          <t>1156</t>
        </is>
      </c>
      <c r="B1157" t="inlineStr">
        <is>
          <t>Windshield Wiper Motor</t>
        </is>
      </c>
      <c r="C1157" t="inlineStr">
        <is>
          <t>85-1113</t>
        </is>
      </c>
      <c r="D1157" t="inlineStr">
        <is>
          <t>Windshield Wiper Motor - 85-1113</t>
        </is>
      </c>
      <c r="E1157" t="inlineStr">
        <is>
          <t>CARDONE New</t>
        </is>
      </c>
      <c r="F1157" t="inlineStr">
        <is>
          <t>22820106</t>
        </is>
      </c>
      <c r="G1157" t="inlineStr">
        <is>
          <t>Buick Enclave 2013-2017
Chevrolet Traverse 2013-2017
GMC Acadia 2013-2016
GMC Acadia Limited 2017</t>
        </is>
      </c>
      <c r="H1157" t="inlineStr">
        <is>
          <t>Buick Enclave 2013-2017 3.6L V6 217cid
Chevrolet Traverse 2013-2017 3.6L V6 217cid
GMC Acadia 2013-2016 3.6L V6 217cid
GMC Acadia Limited 2017 3.6L V6 217cid</t>
        </is>
      </c>
      <c r="I1157" t="inlineStr">
        <is>
          <t>{"0": {"productDeskExternalKey": "CNRD|85-1113"}, "1": {"Package Contents": "Wiper Motor; Instruction Manual"}, "2": {"E-Waste": "Yes"}, "3": {"Product Condition": "New"}, "4": {"Terminal Type": "Blade"}, "5": {"Mounting Type": "Direct Bolt; Grommet"}, "6": {"Weight PG": "3.3800"}, "7": {"Washer Pump Included": "No"}, "8": {"Part Type": "Windshield Wiper Motor"}, "9": {"Warranty Info": "Limited Lifetime"}, "10": {"Lifetime Warranty": "Yes"}, "11": {"Lifecycle Status": "Available to Order"}, "12": {"Application Summary": "Buick Enclave 2017-13; Chevrolet Traverse 2017-13; GMC Acadia 2016-13, Acadia Limited 2017"}, "13": {"ItemLevelGTIN": "00884548306349"}}</t>
        </is>
      </c>
      <c r="J1157" t="inlineStr">
        <is>
          <t>https://www.cardone.com/product/windshield-wiper-motor-85-1113</t>
        </is>
      </c>
      <c r="K1157">
        <f>DISPIMG("ID_032729C9B8C94691BC87B69B61CA5C61",1)</f>
        <v/>
      </c>
      <c r="L1157" t="inlineStr">
        <is>
          <t>CNRD|85-1113</t>
        </is>
      </c>
      <c r="M1157" t="inlineStr">
        <is>
          <t>Wiper Motor; Instruction Manual</t>
        </is>
      </c>
      <c r="N1157" t="inlineStr">
        <is>
          <t>Yes</t>
        </is>
      </c>
      <c r="O1157" t="inlineStr">
        <is>
          <t>New</t>
        </is>
      </c>
      <c r="P1157" t="inlineStr"/>
      <c r="Q1157" t="inlineStr">
        <is>
          <t>Blade</t>
        </is>
      </c>
      <c r="R1157" t="inlineStr">
        <is>
          <t>Direct Bolt; Grommet</t>
        </is>
      </c>
      <c r="S1157" t="inlineStr">
        <is>
          <t>3.3800</t>
        </is>
      </c>
      <c r="T1157" t="inlineStr">
        <is>
          <t>No</t>
        </is>
      </c>
      <c r="U1157" t="inlineStr">
        <is>
          <t>Limited Lifetime</t>
        </is>
      </c>
      <c r="V1157" t="inlineStr"/>
      <c r="W1157" t="inlineStr">
        <is>
          <t>Available to Order</t>
        </is>
      </c>
      <c r="X1157" t="inlineStr">
        <is>
          <t>Buick Enclave 2017-13; Chevrolet Traverse 2017-13; GMC Acadia 2016-13, Acadia Limited 2017</t>
        </is>
      </c>
      <c r="Y1157" t="inlineStr">
        <is>
          <t>00884548306349</t>
        </is>
      </c>
      <c r="Z1157" t="inlineStr"/>
      <c r="AA1157" t="inlineStr"/>
      <c r="AB1157" t="inlineStr"/>
      <c r="AC1157" t="inlineStr">
        <is>
          <t>Yes</t>
        </is>
      </c>
    </row>
    <row r="1158">
      <c r="A1158" t="inlineStr">
        <is>
          <t>1157</t>
        </is>
      </c>
      <c r="B1158" t="inlineStr">
        <is>
          <t>Windshield Wiper Motor</t>
        </is>
      </c>
      <c r="C1158" t="inlineStr">
        <is>
          <t>85-1114</t>
        </is>
      </c>
      <c r="D1158" t="inlineStr">
        <is>
          <t>Windshield Wiper Motor - 85-1114</t>
        </is>
      </c>
      <c r="E1158" t="inlineStr">
        <is>
          <t>CARDONE New</t>
        </is>
      </c>
      <c r="F1158" t="inlineStr">
        <is>
          <t>20980563</t>
        </is>
      </c>
      <c r="G1158" t="inlineStr">
        <is>
          <t>Chevrolet Impala 2014-2017
Chevrolet Malibu 2013-2015
Chevrolet Malibu Limited 2016</t>
        </is>
      </c>
      <c r="H1158" t="inlineStr">
        <is>
          <t>Chevrolet Impala 2014 2.4L L4 145cid
Chevrolet Impala 2014-2017 2.5L L4 153cid
Chevrolet Impala 2014-2017 3.6L V6 217cid
Chevrolet Malibu 2013-2014 2.4L L4 145cid
Chevrolet Malibu 2013-2015 2.5L L4 153cid
Chevrolet Malibu 2013-2015 2L L4 122cid
Chevrolet Malibu Limited 2016 2.5L L4 153cid</t>
        </is>
      </c>
      <c r="I1158" t="inlineStr">
        <is>
          <t>{"0": {"productDeskExternalKey": "CNRD|85-1114"}, "1": {"Package Contents": "Wiper Motor; Instruction Sheet"}, "2": {"E-Waste": "Yes"}, "3": {"Product Condition": "New"}, "4": {"Mounting Hole Quantity": "3"}, "5": {"Terminal Type": "Blade"}, "6": {"Mounting Type": "Direct Bolt"}, "7": {"Weight PG": "2.6200"}, "8": {"Washer Pump Included": "No"}, "9": {"Part Type": "Windshield Wiper Motor"}, "10": {"Warranty Info": "Limited Lifetime"}, "11": {"Lifetime Warranty": "Yes"}, "12": {"Lifecycle Status": "Available to Order"}, "13": {"Application Summary": "Chevrolet Impala 2017-14, Malibu 2015-13, Malibu Limited 2016"}, "14": {"ItemLevelGTIN": "00884548324886"}}</t>
        </is>
      </c>
      <c r="J1158" t="inlineStr">
        <is>
          <t>https://www.cardone.com/product/windshield-wiper-motor-85-1114</t>
        </is>
      </c>
      <c r="K1158">
        <f>DISPIMG("ID_D10A8D8CD6834480971539444D7DA02F",1)</f>
        <v/>
      </c>
      <c r="L1158" t="inlineStr">
        <is>
          <t>CNRD|85-1114</t>
        </is>
      </c>
      <c r="M1158" t="inlineStr">
        <is>
          <t>Wiper Motor; Instruction Sheet</t>
        </is>
      </c>
      <c r="N1158" t="inlineStr">
        <is>
          <t>Yes</t>
        </is>
      </c>
      <c r="O1158" t="inlineStr">
        <is>
          <t>New</t>
        </is>
      </c>
      <c r="P1158" t="inlineStr">
        <is>
          <t>3</t>
        </is>
      </c>
      <c r="Q1158" t="inlineStr">
        <is>
          <t>Blade</t>
        </is>
      </c>
      <c r="R1158" t="inlineStr">
        <is>
          <t>Direct Bolt</t>
        </is>
      </c>
      <c r="S1158" t="inlineStr">
        <is>
          <t>2.6200</t>
        </is>
      </c>
      <c r="T1158" t="inlineStr">
        <is>
          <t>No</t>
        </is>
      </c>
      <c r="U1158" t="inlineStr">
        <is>
          <t>Limited Lifetime</t>
        </is>
      </c>
      <c r="V1158" t="inlineStr"/>
      <c r="W1158" t="inlineStr">
        <is>
          <t>Available to Order</t>
        </is>
      </c>
      <c r="X1158" t="inlineStr">
        <is>
          <t>Chevrolet Impala 2017-14, Malibu 2015-13, Malibu Limited 2016</t>
        </is>
      </c>
      <c r="Y1158" t="inlineStr">
        <is>
          <t>00884548324886</t>
        </is>
      </c>
      <c r="Z1158" t="inlineStr"/>
      <c r="AA1158" t="inlineStr"/>
      <c r="AB1158" t="inlineStr"/>
      <c r="AC1158" t="inlineStr">
        <is>
          <t>Yes</t>
        </is>
      </c>
    </row>
    <row r="1159">
      <c r="A1159" t="inlineStr">
        <is>
          <t>1158</t>
        </is>
      </c>
      <c r="B1159" t="inlineStr">
        <is>
          <t>Windshield Wiper Motor</t>
        </is>
      </c>
      <c r="C1159" t="inlineStr">
        <is>
          <t>85-1120</t>
        </is>
      </c>
      <c r="D1159" t="inlineStr">
        <is>
          <t>Windshield Wiper Motor - 85-1120</t>
        </is>
      </c>
      <c r="E1159" t="inlineStr">
        <is>
          <t>CARDONE New</t>
        </is>
      </c>
      <c r="F1159" t="inlineStr">
        <is>
          <t>95915118</t>
        </is>
      </c>
      <c r="G1159" t="inlineStr">
        <is>
          <t>Buick Encore 2013-2022
Chevrolet Trax 2014-2022</t>
        </is>
      </c>
      <c r="H1159" t="inlineStr">
        <is>
          <t>Buick Encore 2013-2021 1.4L L4 83cid
Buick Encore 2016-2022 1.4L L4 85cid
Chevrolet Trax 2014-2020 1.8L L4 110cid
Chevrolet Trax 2014-2021 1.4L L4 83cid
Chevrolet Trax 2021-2022 1.4L L4 85cid</t>
        </is>
      </c>
      <c r="I1159" t="inlineStr">
        <is>
          <t>{"0": {"productDeskExternalKey": "CNRD|85-1120"}, "1": {"Package Contents": "Wiper Motor; Instruction Manual"}, "2": {"E-Waste": "Yes"}, "3": {"Product Condition": "New"}, "4": {"Terminal Type": "Blade"}, "5": {"Mounting Type": "Direct Bolt"}, "6": {"Weight PG": "2.8000"}, "7": {"Washer Pump Included": "No"}, "8": {"Part Type": "Windshield Wiper Motor"}, "9": {"Warranty Info": "Limited Lifetime"}, "10": {"Lifetime Warranty": "Yes"}, "11": {"Lifecycle Status": "Available to Order"}, "12": {"Application Summary": "Buick Encore 2022-13; Chevrolet Trax 2022-14"}, "13": {"ItemLevelGTIN": "00884548309395"}}</t>
        </is>
      </c>
      <c r="J1159" t="inlineStr">
        <is>
          <t>https://www.cardone.com/product/windshield-wiper-motor-85-1120</t>
        </is>
      </c>
      <c r="K1159">
        <f>DISPIMG("ID_3369DB627FE34187ABCC729C61523651",1)</f>
        <v/>
      </c>
      <c r="L1159" t="inlineStr">
        <is>
          <t>CNRD|85-1120</t>
        </is>
      </c>
      <c r="M1159" t="inlineStr">
        <is>
          <t>Wiper Motor; Instruction Manual</t>
        </is>
      </c>
      <c r="N1159" t="inlineStr">
        <is>
          <t>Yes</t>
        </is>
      </c>
      <c r="O1159" t="inlineStr">
        <is>
          <t>New</t>
        </is>
      </c>
      <c r="P1159" t="inlineStr"/>
      <c r="Q1159" t="inlineStr">
        <is>
          <t>Blade</t>
        </is>
      </c>
      <c r="R1159" t="inlineStr">
        <is>
          <t>Direct Bolt</t>
        </is>
      </c>
      <c r="S1159" t="inlineStr">
        <is>
          <t>2.8000</t>
        </is>
      </c>
      <c r="T1159" t="inlineStr">
        <is>
          <t>No</t>
        </is>
      </c>
      <c r="U1159" t="inlineStr">
        <is>
          <t>Limited Lifetime</t>
        </is>
      </c>
      <c r="V1159" t="inlineStr"/>
      <c r="W1159" t="inlineStr">
        <is>
          <t>Available to Order</t>
        </is>
      </c>
      <c r="X1159" t="inlineStr">
        <is>
          <t>Buick Encore 2022-13; Chevrolet Trax 2022-14</t>
        </is>
      </c>
      <c r="Y1159" t="inlineStr">
        <is>
          <t>00884548309395</t>
        </is>
      </c>
      <c r="Z1159" t="inlineStr"/>
      <c r="AA1159" t="inlineStr"/>
      <c r="AB1159" t="inlineStr"/>
      <c r="AC1159" t="inlineStr">
        <is>
          <t>Yes</t>
        </is>
      </c>
    </row>
    <row r="1160">
      <c r="A1160" t="inlineStr">
        <is>
          <t>1159</t>
        </is>
      </c>
      <c r="B1160" t="inlineStr">
        <is>
          <t>Windshield Wiper Motor</t>
        </is>
      </c>
      <c r="C1160" t="inlineStr">
        <is>
          <t>85-1162</t>
        </is>
      </c>
      <c r="D1160" t="inlineStr">
        <is>
          <t>Windshield Wiper Motor - 85-1162</t>
        </is>
      </c>
      <c r="E1160" t="inlineStr">
        <is>
          <t>CARDONE New</t>
        </is>
      </c>
      <c r="F1160" t="inlineStr">
        <is>
          <t>MB249196</t>
        </is>
      </c>
      <c r="G1160" t="inlineStr">
        <is>
          <t>Dodge Raider 1987-1989
Mitsubishi Montero 1983-1991</t>
        </is>
      </c>
      <c r="H1160" t="inlineStr">
        <is>
          <t>Dodge Raider 1987-1989 2.6L L4 156cid
Dodge Raider 1989 3L V6 181cid
Mitsubishi Montero 1983-1989 2.6L L4 156cid
Mitsubishi Montero 1989-1991 3L V6 181cid</t>
        </is>
      </c>
      <c r="I1160" t="inlineStr">
        <is>
          <t>{"0": {"productDeskExternalKey": "CNRD|85-1162"}, "1": {"Package Contents": "Wiper Motor; Instruction Manual"}, "2": {"E-Waste": "Yes"}, "3": {"Product Condition": "New"}, "4": {"Mounting Hole Quantity": "3"}, "5": {"Terminal Type": "Blade"}, "6": {"Mounting Type": "Direct Bolt"}, "7": {"Weight PG": "2.6000"}, "8": {"Washer Pump Included": "No"}, "9": {"Part Type": "Windshield Wiper Motor"}, "10": {"Warranty Info": "Limited Lifetime"}, "11": {"Lifetime Warranty": "Yes"}, "12": {"Lifecycle Status": "Available to Order"}, "13": {"Application Summary": "Dodge Raider 1989-87; Mitsubishi Montero 1991-83"}, "14": {"ItemLevelGTIN": "00884548193369"}}</t>
        </is>
      </c>
      <c r="J1160" t="inlineStr">
        <is>
          <t>https://www.cardone.com/product/windshield-wiper-motor-85-1162</t>
        </is>
      </c>
      <c r="K1160">
        <f>DISPIMG("ID_1FC4A56A0AE24D0BAADBF147A949AC55",1)</f>
        <v/>
      </c>
      <c r="L1160" t="inlineStr">
        <is>
          <t>CNRD|85-1162</t>
        </is>
      </c>
      <c r="M1160" t="inlineStr">
        <is>
          <t>Wiper Motor; Instruction Manual</t>
        </is>
      </c>
      <c r="N1160" t="inlineStr">
        <is>
          <t>Yes</t>
        </is>
      </c>
      <c r="O1160" t="inlineStr">
        <is>
          <t>New</t>
        </is>
      </c>
      <c r="P1160" t="inlineStr">
        <is>
          <t>3</t>
        </is>
      </c>
      <c r="Q1160" t="inlineStr">
        <is>
          <t>Blade</t>
        </is>
      </c>
      <c r="R1160" t="inlineStr">
        <is>
          <t>Direct Bolt</t>
        </is>
      </c>
      <c r="S1160" t="inlineStr">
        <is>
          <t>2.6000</t>
        </is>
      </c>
      <c r="T1160" t="inlineStr">
        <is>
          <t>No</t>
        </is>
      </c>
      <c r="U1160" t="inlineStr">
        <is>
          <t>Limited Lifetime</t>
        </is>
      </c>
      <c r="V1160" t="inlineStr"/>
      <c r="W1160" t="inlineStr">
        <is>
          <t>Available to Order</t>
        </is>
      </c>
      <c r="X1160" t="inlineStr">
        <is>
          <t>Dodge Raider 1989-87; Mitsubishi Montero 1991-83</t>
        </is>
      </c>
      <c r="Y1160" t="inlineStr">
        <is>
          <t>00884548193369</t>
        </is>
      </c>
      <c r="Z1160" t="inlineStr"/>
      <c r="AA1160" t="inlineStr"/>
      <c r="AB1160" t="inlineStr"/>
      <c r="AC1160" t="inlineStr">
        <is>
          <t>Yes</t>
        </is>
      </c>
    </row>
    <row r="1161">
      <c r="A1161" t="inlineStr">
        <is>
          <t>1160</t>
        </is>
      </c>
      <c r="B1161" t="inlineStr">
        <is>
          <t>Windshield Wiper Motor</t>
        </is>
      </c>
      <c r="C1161" t="inlineStr">
        <is>
          <t>85-119</t>
        </is>
      </c>
      <c r="D1161" t="inlineStr">
        <is>
          <t>Windshield Wiper Motor - 85-119</t>
        </is>
      </c>
      <c r="E1161" t="inlineStr">
        <is>
          <t>CARDONE New</t>
        </is>
      </c>
      <c r="F1161" t="inlineStr">
        <is>
          <t>5045425;5045326;5045257;4911945;5045329;5045331;5045427;5045361;5045426;4916125;5045325;5045363;5045328;5045327</t>
        </is>
      </c>
      <c r="G1161" t="inlineStr">
        <is>
          <t>Buick Skylark 1964-1967
Buick Special 1964-1967
Chevrolet C10 Panel 1963-1967
Chevrolet C10 Pickup 1963-1968
Chevrolet C10 Suburban 1967-1968
Chevrolet C20 Panel 1967
Chevrolet C20 Pickup 1963-1968
Chevrolet C20 Suburban 1967-1968
Chevrolet C30 Pickup 1963-1968
Chevrolet Chevelle 1964-1966
Chevrolet Chevy II 1963-1967
Chevrolet Corvair 1963-1969
Chevrolet El Camino 1964-1966
Chevrolet G10 Van 1964-1969
Chevrolet G20 Van 1967-1969
Chevrolet K10 Pickup 1963-1968
Chevrolet K10 Suburban 1967-1968
Chevrolet K20 Panel 1967
Chevrolet K20 Pickup 1963-1968
Chevrolet K20 Suburban 1967-1968
Chevrolet K30 Pickup 1968
Chevrolet Malibu 1964-1966
Chevrolet P10 Series 1963-1967
Chevrolet P10 Van 1967-1968
Chevrolet P20 Series 1963-1967
Chevrolet P20 Van 1968
Chevrolet P30 Series 1963-1967
Chevrolet P30 Van 1968
Chevrolet Suburban 1963-1966
GMC 1000 Series 1963-1965
GMC 1500 Series 1963-1965
GMC 2500 Series 1963
GMC C15/C1500 Pickup 1967-1968
GMC C15/C1500 Suburban 1967-1968
GMC C25/C2500 Pickup 1967-1968
GMC C25/C2500 Suburban 1967-1968
GMC C35/C3500 Pickup 1967-1968
GMC G1000 Series 1964-1966
GMC G15/G1500 Van 1967-1969
GMC G25/G2500 Van 1967-1969
GMC I1500 1966
GMC I2500 1966
GMC K15/K1500 Pickup 1966-1968
GMC K15/K1500 Suburban 1967-1968
GMC K25/K2500 Pickup 1967-1968
GMC K25/K2500 Suburban 1967-1968
GMC K35/K3500 Pickup 1968
GMC P15/P1500 Van 1967-1968
GMC P25/P2500 Van 1967-1968
GMC P35/P3500 Van 1967-1968
GMC PB1000 Series 1963-1965
GMC PB15 Series 1966
GMC PB25 Series 1966
GMC PB2500 Series 1963
GMC Suburban 1963-1966
Jeep J-100 1963-1966
Jeep J-2500 1965-1966
Jeep Jeepster 1966
Oldsmobile Cutlass 1964-1965
Oldsmobile F85 1964-1965
Pontiac GTO 1964-1967
Pontiac LeMans 1964-1967
Pontiac Tempest 1964-1967</t>
        </is>
      </c>
      <c r="H1161" t="inlineStr">
        <is>
          <t>Buick Skylark 1964-1967 3.7L V6 225cid
Buick Skylark 1964-1967 4.9L V8 300cid
Buick Skylark 1965-1966 6.6L V8 401cid
Buick Skylark 1966-1967 5.6L V8 340cid
Buick Skylark 1967 6.6L V8 400cid
Buick Special 1964-1967 3.7L V6 225cid
Buick Special 1964-1967 4.9L V8 300cid
Buick Special 1966-1967 5.6L V8 340cid
Chevrolet C10 Panel 1963-1965 3.8L L6 230cid
Chevrolet C10 Panel 1966-1967 4.1L L6 250cid
Chevrolet C10 Pickup 1963-1967 4.6L V8 283cid
Chevrolet C10 Pickup 1963-1968 3.8L L6 230cid
Chevrolet C10 Pickup 1963-1968 4.8L L6 292cid
Chevrolet C10 Pickup 1966-1968 4.1L L6 250cid
Chevrolet C10 Pickup 1966-1968 5.3L V8 327cid
Chevrolet C10 Pickup 1968 5.4L V8 327cid
Chevrolet C10 Pickup 1968 5L V8 307cid
Chevrolet C10 Pickup 1968 6.5L V8 396cid
Chevrolet C10 Suburban 1967 4.6L V8 283cid
Chevrolet C10 Suburban 1967-1968 4.1L L6 250cid
Chevrolet C10 Suburban 1967-1968 4.8L L6 292cid
Chevrolet C10 Suburban 1967-1968 5.3L V8 327cid
Chevrolet C10 Suburban 1968 5.4L V8 327cid
Chevrolet C10 Suburban 1968 5L V8 307cid
Chevrolet C10 Suburban 1968 6.5L V8 396cid
Chevrolet C20 Panel 1967 4.1L L6 250cid
Chevrolet C20 Pickup 1963-1965 3.8L L6 230cid
Chevrolet C20 Pickup 1963-1967 4.6L V8 283cid
Chevrolet C20 Pickup 1963-1968 4.8L L6 292cid
Chevrolet C20 Pickup 1966-1968 4.1L L6 250cid
Chevrolet C20 Pickup 1966-1968 5.3L V8 327cid
Chevrolet C20 Pickup 1968 5.4L V8 327cid
Chevrolet C20 Pickup 1968 5L V8 307cid
Chevrolet C20 Pickup 1968 6.5L V8 396cid
Chevrolet C20 Suburban 1967 4.6L V8 283cid
Chevrolet C20 Suburban 1967-1968 4.1L L6 250cid
Chevrolet C20 Suburban 1967-1968 4.8L L6 292cid
Chevrolet C20 Suburban 1967-1968 5.3L V8 327cid
Chevrolet C20 Suburban 1968 5L V8 307cid
Chevrolet C20 Suburban 1968 6.5L V8 396cid
Chevrolet C30 Pickup 1963-1965 3.8L L6 230cid
Chevrolet C30 Pickup 1963-1967 4.6L V8 283cid
Chevrolet C30 Pickup 1963-1968 4.8L L6 292cid
Chevrolet C30 Pickup 1966-1968 4.1L L6 250cid
Chevrolet C30 Pickup 1966-1968 5.3L V8 327cid
Chevrolet C30 Pickup 1968 5.4L V8 327cid
Chevrolet C30 Pickup 1968 5L V8 307cid
Chevrolet C30 Pickup 1968 6.5L V8 396cid
Chevrolet Chevelle 1964-1966 3.2L L6 194cid
Chevrolet Chevelle 1964-1966 3.8L L6 230cid
Chevrolet Chevelle 1964-1966 4.6L V8 283cid
Chevrolet Chevelle 1964-1966 5.3L V8 327cid
Chevrolet Chevelle 1965 5.4L V8 327cid
Chevrolet Chevelle 1965-1966 6.5L V8 396cid
Chevrolet Chevelle 1966
Chevrolet Chevy II 1963-1967 2.5L L4 153cid
Chevrolet Chevy II 1963-1967 3.2L L6 194cid
Chevrolet Chevy II 1963-1967 4.6L V8 283cid
Chevrolet Chevy II 1964-1966 3.8L L6 230cid
Chevrolet Chevy II 1965-1966 5.4L V8 327cid
Chevrolet Chevy II 1965-1967 5.3L V8 327cid
Chevrolet Chevy II 1967 4.1L L6 250cid
Chevrolet Corvair 1963 2.4L H6 145cid
Chevrolet Corvair 1964-1969 2.7L H6 164cid
Chevrolet El Camino 1964-1966 3.2L L6 194cid
Chevrolet El Camino 1964-1966 3.8L L6 230cid
Chevrolet El Camino 1964-1966 4.6L V8 283cid
Chevrolet El Camino 1964-1966 5.3L V8 327cid
Chevrolet El Camino 1966 6.5L V8 396cid
Chevrolet G10 Van 1964-1965 2.5L L4 153cid
Chevrolet G10 Van 1964-1966 3.2L L6 194cid
Chevrolet G10 Van 1966-1969 3.8L L6 230cid
Chevrolet G10 Van 1967-1969 4.1L L6 250cid
Chevrolet G10 Van 1968-1969 5L V8 307cid
Chevrolet G20 Van 1967 4.6L V8 283cid
Chevrolet G20 Van 1967-1969 3.8L L6 230cid
Chevrolet G20 Van 1967-1969 4.1L L6 250cid
Chevrolet G20 Van 1968-1969 5L V8 307cid
Chevrolet K10 Pickup 1963-1967 4.6L V8 283cid
Chevrolet K10 Pickup 1963-1968 3.8L L6 230cid
Chevrolet K10 Pickup 1963-1968 4.8L L6 292cid
Chevrolet K10 Pickup 1966-1968 4.1L L6 250cid
Chevrolet K10 Pickup 1966-1968 5.3L V8 327cid
Chevrolet K10 Pickup 1968 5.4L V8 327cid
Chevrolet K10 Pickup 1968 5L V8 307cid
Chevrolet K10 Pickup 1968 6.5L V8 396cid
Chevrolet K10 Suburban 1967 4.6L V8 283cid
Chevrolet K10 Suburban 1967 4.8L L6 292cid
Chevrolet K10 Suburban 1967-1968 4.1L L6 250cid
Chevrolet K10 Suburban 1967-1968 5.3L V8 327cid
Chevrolet K10 Suburban 1968 5.4L V8 327cid
Chevrolet K10 Suburban 1968 5L V8 307cid
Chevrolet K10 Suburban 1968 6.5L V8 396cid
Chevrolet K20 Panel 1967 4.1L L6 250cid
Chevrolet K20 Panel 1967 4.6L V8 283cid
Chevrolet K20 Panel 1967 5.4L V8 327cid
Chevrolet K20 Pickup 1963 3.8L L6 235cid
Chevrolet K20 Pickup 1963-1965 3.8L L6 230cid
Chevrolet K20 Pickup 1963-1967 4.6L V8 283cid
Chevrolet K20 Pickup 1963-1968 4.8L L6 292cid
Chevrolet K20 Pickup 1966-1968 4.1L L6 250cid
Chevrolet K20 Pickup 1966-1968 5.3L V8 327cid
Chevrolet K20 Pickup 1968 5.4L V8 327cid
Chevrolet K20 Pickup 1968 5L V8 307cid
Chevrolet K20 Pickup 1968 6.5L V8 396cid
Chevrolet K20 Suburban 1967 4.6L V8 283cid
Chevrolet K20 Suburban 1967-1968 4.1L L6 250cid
Chevrolet K20 Suburban 1967-1968 4.8L L6 292cid
Chevrolet K20 Suburban 1967-1968 5.3L V8 327cid
Chevrolet K20 Suburban 1968 5.4L V8 327cid
Chevrolet K20 Suburban 1968 5L V8 307cid
Chevrolet K20 Suburban 1968 6.5L V8 396cid
Chevrolet K30 Pickup 1968 4.1L L6 250cid
Chevrolet K30 Pickup 1968 4.8L L6 292cid
Chevrolet K30 Pickup 1968 5.3L V8 327cid
Chevrolet K30 Pickup 1968 5.4L V8 327cid
Chevrolet K30 Pickup 1968 5L V8 307cid
Chevrolet K30 Pickup 1968 6.5L V8 396cid
Chevrolet Malibu 1964-1966 3.2L L6 194cid
Chevrolet Malibu 1964-1966 3.8L L6 230cid
Chevrolet Malibu 1964-1966 4.6L V8 283cid
Chevrolet Malibu 1964-1966 5.3L V8 327cid
Chevrolet Malibu 1965-1966 6.5L V8 396cid
Chevrolet P10 Series 1963-1965 2.5L L4 153cid
Chevrolet P10 Series 1963-1967 3.8L L6 230cid
Chevrolet P10 Series 1966 3.2L L6 194cid
Chevrolet P10 Series 1966-1967 4.1L L6 250cid
Chevrolet P10 Series 1967 4.8L L6 292cid
Chevrolet P10 Van 1967
Chevrolet P10 Van 1968 3.8L L6 230cid
Chevrolet P10 Van 1968 4.1L L6 250cid
Chevrolet P20 Series 1963-1965 3.8L L6 230cid
Chevrolet P20 Series 1963-1967 4.8L L6 292cid
Chevrolet P20 Series 1966-1967 2.6L L3 159cid
Chevrolet P20 Series 1966-1967 4.1L L6 250cid
Chevrolet P20 Van 1968 4.8L L6 292cid
Chevrolet P20 Van 1968 5L V8 307cid
Chevrolet P30 Series 1963-1965 3.8L L6 230cid
Chevrolet P30 Series 1963-1965 5.7L V8 348cid
Chevrolet P30 Series 1963-1965 6.7L V8 409cid
Chevrolet P30 Series 1963-1967 4.8L L6 292cid
Chevrolet P30 Series 1965-1967 2.6L L3 159cid
Chevrolet P30 Series 1966-1967 4.1L L6 250cid
Chevrolet P30 Van 1968 2.6L L3 159cid
Chevrolet P30 Van 1968 4.8L L6 292cid
Chevrolet P30 Van 1968 5L V8 307cid
Chevrolet Suburban 1963-1966 3.8L L6 230cid
Chevrolet Suburban 1963-1966 4.6L V8 283cid
Chevrolet Suburban 1963-1966 4.8L L6 292cid
Chevrolet Suburban 1966 4.1L L6 250cid
Chevrolet Suburban 1966 5.3L V8 327cid
GMC 1000 Series 1963 4.6L V8 283cid
GMC 1000 Series 1963-1965 3.8L L6 230cid
GMC 1000 Series 1963-1965 4.8L L6 292cid
GMC 1000 Series 1963-1965 5L V6 305cid
GMC 1000 Series 1965 5.7L V6 351cid
GMC 1500 Series 1963 4.6L V8 283cid
GMC 1500 Series 1963-1965 3.8L L6 230cid
GMC 1500 Series 1963-1965 4.8L L6 292cid
GMC 1500 Series 1963-1965 5L V6 305cid
GMC 1500 Series 1965 5.7L V6 351cid
GMC 2500 Series 1963 3.8L L6 230cid
GMC 2500 Series 1963 4.6L V8 283cid
GMC 2500 Series 1963 4.8L L6 292cid
GMC 2500 Series 1963 5L V6 305cid
GMC C15/C1500 Pickup 1967 4.6L V8 283cid
GMC C15/C1500 Pickup 1967-1968 3.8L L6 230cid
GMC C15/C1500 Pickup 1967-1968 4.1L L6 250cid
GMC C15/C1500 Pickup 1967-1968 4.8L L6 292cid
GMC C15/C1500 Pickup 1967-1968 5.3L V8 327cid
GMC C15/C1500 Pickup 1967-1968 5.7L V6 351cid
GMC C15/C1500 Pickup 1967-1968 5L V6 305cid
GMC C15/C1500 Pickup 1968 5.4L V8 327cid
GMC C15/C1500 Pickup 1968 5L V8 307cid
GMC C15/C1500 Pickup 1968 6.5L V8 396cid
GMC C15/C1500 Suburban 1967 4.6L V8 283cid
GMC C15/C1500 Suburban 1967-1968 4.1L L6 250cid
GMC C15/C1500 Suburban 1967-1968 4.8L L6 292cid
GMC C15/C1500 Suburban 1967-1968 5.3L V8 327cid
GMC C15/C1500 Suburban 1967-1968 5.7L V6 351cid
GMC C15/C1500 Suburban 1967-1968 5L V6 305cid
GMC C15/C1500 Suburban 1968 5.4L V8 327cid
GMC C15/C1500 Suburban 1968 5L V8 307cid
GMC C15/C1500 Suburban 1968 6.5L V8 396cid
GMC C25/C2500 Pickup 1967 4.6L V8 283cid
GMC C25/C2500 Pickup 1967-1968 4.1L L6 250cid
GMC C25/C2500 Pickup 1967-1968 4.8L L6 292cid
GMC C25/C2500 Pickup 1967-1968 5.3L V8 327cid
GMC C25/C2500 Pickup 1967-1968 5.7L V6 351cid
GMC C25/C2500 Pickup 1967-1968 5L V6 305cid
GMC C25/C2500 Pickup 1968 5.4L V8 327cid
GMC C25/C2500 Pickup 1968 5L V8 307cid
GMC C25/C2500 Pickup 1968 6.5L V8 396cid
GMC C25/C2500 Suburban 1967 4.6L V8 283cid
GMC C25/C2500 Suburban 1967-1968 4.1L L6 250cid
GMC C25/C2500 Suburban 1967-1968 4.8L L6 292cid
GMC C25/C2500 Suburban 1967-1968 5.3L V8 327cid
GMC C25/C2500 Suburban 1967-1968 5.7L V6 351cid
GMC C25/C2500 Suburban 1967-1968 5L V6 305cid
GMC C25/C2500 Suburban 1968 5.4L V8 327cid
GMC C25/C2500 Suburban 1968 5L V8 307cid
GMC C25/C2500 Suburban 1968 6.5L V8 396cid
GMC C35/C3500 Pickup 1967 4.6L V8 283cid
GMC C35/C3500 Pickup 1967-1968 4.1L L6 250cid
GMC C35/C3500 Pickup 1967-1968 4.8L L6 292cid
GMC C35/C3500 Pickup 1967-1968 5.3L V8 327cid
GMC C35/C3500 Pickup 1967-1968 5.7L V6 351cid
GMC C35/C3500 Pickup 1967-1968 5L V6 305cid
GMC C35/C3500 Pickup 1968 5.4L V8 327cid
GMC C35/C3500 Pickup 1968 5L V8 307cid
GMC C35/C3500 Pickup 1968 6.5L V8 396cid
GMC G1000 Series 1964-1966 2.5L L4 153cid
GMC G1000 Series 1964-1966 3.2L L6 194cid
GMC G1000 Series 1964-1966 3.8L L6 230cid
GMC G15/G1500 Van 1967 4.6L V8 283cid
GMC G15/G1500 Van 1967 5.4L V8 327cid
GMC G15/G1500 Van 1967-1969 3.8L L6 230cid
GMC G15/G1500 Van 1967-1969 4.1L L6 250cid
GMC G15/G1500 Van 1968-1969 5L V8 307cid
GMC G25/G2500 Van 1967 4.6L V8 283cid
GMC G25/G2500 Van 1967 5.4L V8 327cid
GMC G25/G2500 Van 1967-1969 3.8L L6 230cid
GMC G25/G2500 Van 1967-1969 4.1L L6 250cid
GMC G25/G2500 Van 1968-1969 5L V8 307cid
GMC I1500 1966 4.1L L6 250cid
GMC I2500 1966 4.1L L6 250cid
GMC K15/K1500 Pickup 1966-1968 5.7L V6 351cid
GMC K15/K1500 Pickup 1966-1968 5L V6 305cid
GMC K15/K1500 Pickup 1967 4.6L V8 283cid
GMC K15/K1500 Pickup 1967-1968 3.8L L6 230cid
GMC K15/K1500 Pickup 1967-1968 4.1L L6 250cid
GMC K15/K1500 Pickup 1967-1968 4.8L L6 292cid
GMC K15/K1500 Pickup 1967-1968 5.3L V8 327cid
GMC K15/K1500 Pickup 1968 5.4L V8 327cid
GMC K15/K1500 Pickup 1968 5L V8 307cid
GMC K15/K1500 Pickup 1968 6.5L V8 396cid
GMC K15/K1500 Suburban 1967 4.6L V8 283cid
GMC K15/K1500 Suburban 1967-1968 4.1L L6 250cid
GMC K15/K1500 Suburban 1967-1968 4.8L L6 292cid
GMC K15/K1500 Suburban 1967-1968 5.3L V8 327cid
GMC K15/K1500 Suburban 1967-1968 5.7L V6 351cid
GMC K15/K1500 Suburban 1967-1968 5L V6 305cid
GMC K15/K1500 Suburban 1968 5.4L V8 327cid
GMC K15/K1500 Suburban 1968 5L V8 307cid
GMC K15/K1500 Suburban 1968 6.5L V8 396cid
GMC K25/K2500 Pickup 1967 4.6L V8 283cid
GMC K25/K2500 Pickup 1967-1968 4.1L L6 250cid
GMC K25/K2500 Pickup 1967-1968 4.8L L6 292cid
GMC K25/K2500 Pickup 1967-1968 5.3L V8 327cid
GMC K25/K2500 Pickup 1967-1968 5.7L V6 351cid
GMC K25/K2500 Pickup 1967-1968 5L V6 305cid
GMC K25/K2500 Pickup 1968 5.4L V8 327cid
GMC K25/K2500 Pickup 1968 5L V8 307cid
GMC K25/K2500 Pickup 1968 6.5L V8 396cid
GMC K25/K2500 Suburban 1967 4.6L V8 283cid
GMC K25/K2500 Suburban 1967-1968 4.1L L6 250cid
GMC K25/K2500 Suburban 1967-1968 4.8L L6 292cid
GMC K25/K2500 Suburban 1967-1968 5.3L V8 327cid
GMC K25/K2500 Suburban 1967-1968 5.7L V6 351cid
GMC K25/K2500 Suburban 1967-1968 5L V6 305cid
GMC K25/K2500 Suburban 1968 5.4L V8 327cid
GMC K25/K2500 Suburban 1968 5L V8 307cid
GMC K25/K2500 Suburban 1968 6.5L V8 396cid
GMC K35/K3500 Pickup 1968 4.1L L6 250cid
GMC K35/K3500 Pickup 1968 4.8L L6 292cid
GMC K35/K3500 Pickup 1968 5.3L V8 327cid
GMC K35/K3500 Pickup 1968 5.4L V8 327cid
GMC K35/K3500 Pickup 1968 5.7L V6 351cid
GMC K35/K3500 Pickup 1968 5L V6 305cid
GMC K35/K3500 Pickup 1968 5L V8 307cid
GMC K35/K3500 Pickup 1968 6.5L V8 396cid
GMC P15/P1500 Van 1967 4.6L V8 283cid
GMC P15/P1500 Van 1967 4.8L L6 292cid
GMC P15/P1500 Van 1967-1968 3.8L L6 230cid
GMC P15/P1500 Van 1968 4.1L L6 250cid
GMC P25/P2500 Van 1967 4.1L L6 250cid
GMC P25/P2500 Van 1967 4.6L V8 283cid
GMC P25/P2500 Van 1967-1968 2.6L L3 159cid
GMC P25/P2500 Van 1967-1968 4.8L L6 292cid
GMC P25/P2500 Van 1968 5L V8 307cid
GMC P35/P3500 Van 1967 4.1L L6 250cid
GMC P35/P3500 Van 1967 4.6L V8 283cid
GMC P35/P3500 Van 1967-1968 2.6L L3 159cid
GMC P35/P3500 Van 1967-1968 4.8L L6 292cid
GMC P35/P3500 Van 1968 5L V8 307cid
GMC PB1000 Series 1963-1965 2.5L L4 153cid
GMC PB1000 Series 1963-1965 3.8L L6 230cid
GMC PB15 Series 1966 4.1L L6 250cid
GMC PB15 Series 1966 4.8L L6 292cid
GMC PB25 Series 1966 4.1L L6 250cid
GMC PB25 Series 1966 4.8L L6 292cid
GMC PB2500 Series 1963 3.8L L6 230cid
GMC Suburban 1963-1965 4.6L V8 283cid
GMC Suburban 1963-1966 2.5L L4 153cid
GMC Suburban 1963-1966 3.8L L6 230cid
GMC Suburban 1963-1966 4.8L L6 292cid
GMC Suburban 1963-1966 5L V6 305cid
GMC Suburban 1965-1966 5.7L V6 351cid
GMC Suburban 1966 4.1L L6 250cid
Jeep J-100 1963-1966
Jeep J-100 1963-1966 3.8L L6 230cid
Jeep J-100 1965-1966 3.8L L6 232cid
Jeep J-100 1965-1966 5.3L V8 327cid
Jeep J-2500 1965-1966
Jeep J-2500 1965-1966 3.8L L6 230cid
Jeep J-2500 1965-1966 3.8L L6 232cid
Jeep J-2500 1965-1966 5.3L V8 327cid
Jeep Jeepster 1966 2.2L L4 134cid
Jeep Jeepster 1966 3.7L V6 225cid
Oldsmobile Cutlass 1964-1965 5.4L V8 330cid
Oldsmobile Cutlass 1965 6.6L V8 400cid
Oldsmobile F85 1964-1965 3.7L V6 225cid
Oldsmobile F85 1964-1965 5.4L V8 330cid
Oldsmobile F85 1965 6.6L V8 400cid
Pontiac GTO 1964-1966 6.4L V8 389cid
Pontiac GTO 1967 6.6L V8 400cid
Pontiac LeMans 1964-1965 3.5L L6 215cid
Pontiac LeMans 1964-1967 5.3L V8 326cid
Pontiac LeMans 1966-1967 3.8L L6 230cid
Pontiac Tempest 1964-1965 3.5L L6 215cid
Pontiac Tempest 1964-1967
Pontiac Tempest 1964-1967 5.3L V8 326cid
Pontiac Tempest 1965-1967 3.8L L6 230cid</t>
        </is>
      </c>
      <c r="I1161" t="inlineStr">
        <is>
          <t>{"0": {"productDeskExternalKey": "CNRD|85-119"}, "1": {"Package Contents": "Wiper Motor; Instruction Manual"}, "2": {"E-Waste": "Yes"}, "3": {"Product Condition": "New"}, "4": {"Mounting Hole Quantity": "3"}, "5": {"Terminal Type": "Blade"}, "6": {"Mounting Type": "Eyelet; Grommet"}, "7": {"Weight PG": "4.6000"}, "8": {"Washer Pump Included": "No"}, "9": {"Part Type": "Windshield Wiper Motor"}, "10": {"Warranty Info": "Limited Lifetime"}, "11": {"Lifetime Warranty": "Yes"}, "12": {"Lifecycle Status": "Available to Order"}, "13": {"ItemLevelGTIN": "00884548115644"}}</t>
        </is>
      </c>
      <c r="J1161" t="inlineStr">
        <is>
          <t>https://www.cardone.com/product/windshield-wiper-motor-85-119</t>
        </is>
      </c>
      <c r="K1161">
        <f>DISPIMG("ID_C755FBEC0B3D46B8B435148AD67BDCC9",1)</f>
        <v/>
      </c>
      <c r="L1161" t="inlineStr">
        <is>
          <t>CNRD|85-119</t>
        </is>
      </c>
      <c r="M1161" t="inlineStr">
        <is>
          <t>Wiper Motor; Instruction Manual</t>
        </is>
      </c>
      <c r="N1161" t="inlineStr">
        <is>
          <t>Yes</t>
        </is>
      </c>
      <c r="O1161" t="inlineStr">
        <is>
          <t>New</t>
        </is>
      </c>
      <c r="P1161" t="inlineStr">
        <is>
          <t>3</t>
        </is>
      </c>
      <c r="Q1161" t="inlineStr">
        <is>
          <t>Blade</t>
        </is>
      </c>
      <c r="R1161" t="inlineStr">
        <is>
          <t>Eyelet; Grommet</t>
        </is>
      </c>
      <c r="S1161" t="inlineStr">
        <is>
          <t>4.6000</t>
        </is>
      </c>
      <c r="T1161" t="inlineStr">
        <is>
          <t>No</t>
        </is>
      </c>
      <c r="U1161" t="inlineStr">
        <is>
          <t>Limited Lifetime</t>
        </is>
      </c>
      <c r="V1161" t="inlineStr"/>
      <c r="W1161" t="inlineStr">
        <is>
          <t>Available to Order</t>
        </is>
      </c>
      <c r="X1161" t="inlineStr"/>
      <c r="Y1161" t="inlineStr">
        <is>
          <t>00884548115644</t>
        </is>
      </c>
      <c r="Z1161" t="inlineStr"/>
      <c r="AA1161" t="inlineStr"/>
      <c r="AB1161" t="inlineStr"/>
      <c r="AC1161" t="inlineStr">
        <is>
          <t>Yes</t>
        </is>
      </c>
    </row>
    <row r="1162">
      <c r="A1162" t="inlineStr">
        <is>
          <t>1161</t>
        </is>
      </c>
      <c r="B1162" t="inlineStr">
        <is>
          <t>Windshield Wiper Motor</t>
        </is>
      </c>
      <c r="C1162" t="inlineStr">
        <is>
          <t>85-120</t>
        </is>
      </c>
      <c r="D1162" t="inlineStr">
        <is>
          <t>Windshield Wiper Motor - 85-120</t>
        </is>
      </c>
      <c r="E1162" t="inlineStr">
        <is>
          <t>CARDONE New</t>
        </is>
      </c>
      <c r="F1162" t="inlineStr"/>
      <c r="G1162" t="inlineStr">
        <is>
          <t>Buick Skylark 1964-1967
Buick Special 1964-1967
Chevrolet Camaro 1967
Chevrolet Chevelle 1967
Chevrolet Chevy II 1963-1967
Chevrolet Corvair 1963-1969
Chevrolet El Camino 1967
Chevrolet Malibu 1967
Oldsmobile Cutlass 1965-1967
Oldsmobile F85 1965-1967
Pontiac Firebird 1967
Pontiac GTO 1964-1967
Pontiac LeMans 1964-1967
Pontiac Tempest 1964-1967</t>
        </is>
      </c>
      <c r="H1162" t="inlineStr">
        <is>
          <t>Buick Skylark 1964-1967 3.7L V6 225cid
Buick Skylark 1964-1967 4.9L V8 300cid
Buick Skylark 1965-1966 6.6L V8 401cid
Buick Skylark 1966-1967 5.6L V8 340cid
Buick Skylark 1967 6.6L V8 400cid
Buick Special 1964-1967 3.7L V6 225cid
Buick Special 1964-1967 4.9L V8 300cid
Buick Special 1966-1967 5.6L V8 340cid
Chevrolet Camaro 1967 3.8L L6 230cid
Chevrolet Camaro 1967 4.1L L6 250cid
Chevrolet Camaro 1967 4.9L V8 302cid
Chevrolet Camaro 1967 5.3L V8 327cid
Chevrolet Camaro 1967 5.7L V8 350cid
Chevrolet Camaro 1967 6.5L V8 396cid
Chevrolet Chevelle 1967
Chevrolet Chevelle 1967 3.8L L6 230cid
Chevrolet Chevelle 1967 4.1L L6 250cid
Chevrolet Chevelle 1967 4.6L V8 283cid
Chevrolet Chevelle 1967 5.3L V8 327cid
Chevrolet Chevelle 1967 5.4L V8 327cid
Chevrolet Chevelle 1967 6.5L V8 396cid
Chevrolet Chevy II 1963-1967 2.5L L4 153cid
Chevrolet Chevy II 1963-1967 3.2L L6 194cid
Chevrolet Chevy II 1963-1967 4.6L V8 283cid
Chevrolet Chevy II 1964-1966 3.8L L6 230cid
Chevrolet Chevy II 1965-1966 5.4L V8 327cid
Chevrolet Chevy II 1965-1967 5.3L V8 327cid
Chevrolet Chevy II 1967 4.1L L6 250cid
Chevrolet Corvair 1963 2.4L H6 145cid
Chevrolet Corvair 1964-1969 2.7L H6 164cid
Chevrolet El Camino 1967 3.8L L6 230cid
Chevrolet El Camino 1967 4.1L L6 250cid
Chevrolet El Camino 1967 4.6L V8 283cid
Chevrolet El Camino 1967 5.3L V8 327cid
Chevrolet El Camino 1967 6.5L V8 396cid
Chevrolet Malibu 1967 3.8L L6 230cid
Chevrolet Malibu 1967 4.1L L6 250cid
Chevrolet Malibu 1967 4.6L V8 283cid
Chevrolet Malibu 1967 5.3L V8 327cid
Chevrolet Malibu 1967 6.5L V8 396cid
Oldsmobile Cutlass 1965-1967 5.4L V8 330cid
Oldsmobile Cutlass 1965-1967 6.6L V8 400cid
Oldsmobile Cutlass 1967 4.1L L6 250cid
Oldsmobile F85 1965 3.7L V6 225cid
Oldsmobile F85 1965-1966 6.6L V8 400cid
Oldsmobile F85 1965-1967 5.4L V8 330cid
Oldsmobile F85 1966-1967 4.1L L6 250cid
Pontiac Firebird 1967 3.8L L6 230cid
Pontiac Firebird 1967 5.3L V8 326cid
Pontiac Firebird 1967 6.6L V8 400cid
Pontiac GTO 1964-1966 6.4L V8 389cid
Pontiac GTO 1967 6.6L V8 400cid
Pontiac LeMans 1964-1965 3.5L L6 215cid
Pontiac LeMans 1964-1967 5.3L V8 326cid
Pontiac LeMans 1966-1967 3.8L L6 230cid
Pontiac Tempest 1964-1965 3.5L L6 215cid
Pontiac Tempest 1964-1967
Pontiac Tempest 1964-1967 5.3L V8 326cid
Pontiac Tempest 1965-1967 3.8L L6 230cid</t>
        </is>
      </c>
      <c r="I1162" t="inlineStr">
        <is>
          <t>{"0": {"productDeskExternalKey": "CNRD|85-120"}, "1": {"Package Contents": "Wiper Motor; Instruction Manual"}, "2": {"E-Waste": "Yes"}, "3": {"Product Condition": "New"}, "4": {"Mounting Hole Quantity": "3"}, "5": {"Terminal Type": "Blade"}, "6": {"Mounting Type": "Eyelet; Grommet"}, "7": {"Weight PG": "4.6000"}, "8": {"Washer Pump Included": "No"}, "9": {"Part Type": "Windshield Wiper Motor"}, "10": {"Warranty Info": "Limited Lifetime"}, "11": {"Lifetime Warranty": "Yes"}, "12": {"Lifecycle Status": "Available to Order"}, "13": {"ItemLevelGTIN": "00884548115620"}}</t>
        </is>
      </c>
      <c r="J1162" t="inlineStr">
        <is>
          <t>https://www.cardone.com/product/windshield-wiper-motor-85-120</t>
        </is>
      </c>
      <c r="K1162">
        <f>DISPIMG("ID_3301AF1C9B864674AE97038A7EB7B781",1)</f>
        <v/>
      </c>
      <c r="L1162" t="inlineStr">
        <is>
          <t>CNRD|85-120</t>
        </is>
      </c>
      <c r="M1162" t="inlineStr">
        <is>
          <t>Wiper Motor; Instruction Manual</t>
        </is>
      </c>
      <c r="N1162" t="inlineStr">
        <is>
          <t>Yes</t>
        </is>
      </c>
      <c r="O1162" t="inlineStr">
        <is>
          <t>New</t>
        </is>
      </c>
      <c r="P1162" t="inlineStr">
        <is>
          <t>3</t>
        </is>
      </c>
      <c r="Q1162" t="inlineStr">
        <is>
          <t>Blade</t>
        </is>
      </c>
      <c r="R1162" t="inlineStr">
        <is>
          <t>Eyelet; Grommet</t>
        </is>
      </c>
      <c r="S1162" t="inlineStr">
        <is>
          <t>4.6000</t>
        </is>
      </c>
      <c r="T1162" t="inlineStr">
        <is>
          <t>No</t>
        </is>
      </c>
      <c r="U1162" t="inlineStr">
        <is>
          <t>Limited Lifetime</t>
        </is>
      </c>
      <c r="V1162" t="inlineStr"/>
      <c r="W1162" t="inlineStr">
        <is>
          <t>Available to Order</t>
        </is>
      </c>
      <c r="X1162" t="inlineStr"/>
      <c r="Y1162" t="inlineStr">
        <is>
          <t>00884548115620</t>
        </is>
      </c>
      <c r="Z1162" t="inlineStr"/>
      <c r="AA1162" t="inlineStr"/>
      <c r="AB1162" t="inlineStr"/>
      <c r="AC1162" t="inlineStr">
        <is>
          <t>Yes</t>
        </is>
      </c>
    </row>
    <row r="1163">
      <c r="A1163" t="inlineStr">
        <is>
          <t>1162</t>
        </is>
      </c>
      <c r="B1163" t="inlineStr">
        <is>
          <t>Windshield Wiper Motor</t>
        </is>
      </c>
      <c r="C1163" t="inlineStr">
        <is>
          <t>85-121</t>
        </is>
      </c>
      <c r="D1163" t="inlineStr">
        <is>
          <t>Windshield Wiper Motor - 85-121</t>
        </is>
      </c>
      <c r="E1163" t="inlineStr">
        <is>
          <t>CARDONE New</t>
        </is>
      </c>
      <c r="F1163" t="inlineStr"/>
      <c r="G1163" t="inlineStr">
        <is>
          <t>Buick Skylark 1964-1967
Buick Special 1964-1967
Chevrolet Camaro 1967
Chevrolet Chevelle 1967
Chevrolet Chevy II 1963-1967
Chevrolet Corvair 1963-1969
Chevrolet El Camino 1967
Chevrolet Malibu 1967
Oldsmobile Cutlass 1965-1967
Oldsmobile F85 1965-1967
Pontiac Firebird 1967
Pontiac GTO 1964-1967
Pontiac LeMans 1964-1967
Pontiac Tempest 1964-1967</t>
        </is>
      </c>
      <c r="H1163" t="inlineStr">
        <is>
          <t>Buick Skylark 1964-1967 3.7L V6 225cid
Buick Skylark 1964-1967 4.9L V8 300cid
Buick Skylark 1965-1966 6.6L V8 401cid
Buick Skylark 1966-1967 5.6L V8 340cid
Buick Skylark 1967 6.6L V8 400cid
Buick Special 1964-1967 3.7L V6 225cid
Buick Special 1964-1967 4.9L V8 300cid
Buick Special 1966-1967 5.6L V8 340cid
Chevrolet Camaro 1967 3.8L L6 230cid
Chevrolet Camaro 1967 4.1L L6 250cid
Chevrolet Camaro 1967 4.9L V8 302cid
Chevrolet Camaro 1967 5.3L V8 327cid
Chevrolet Camaro 1967 5.7L V8 350cid
Chevrolet Camaro 1967 6.5L V8 396cid
Chevrolet Chevelle 1967
Chevrolet Chevelle 1967 3.8L L6 230cid
Chevrolet Chevelle 1967 4.1L L6 250cid
Chevrolet Chevelle 1967 4.6L V8 283cid
Chevrolet Chevelle 1967 5.3L V8 327cid
Chevrolet Chevelle 1967 5.4L V8 327cid
Chevrolet Chevelle 1967 6.5L V8 396cid
Chevrolet Chevy II 1963-1967 2.5L L4 153cid
Chevrolet Chevy II 1963-1967 3.2L L6 194cid
Chevrolet Chevy II 1963-1967 4.6L V8 283cid
Chevrolet Chevy II 1964-1966 3.8L L6 230cid
Chevrolet Chevy II 1965-1966 5.4L V8 327cid
Chevrolet Chevy II 1965-1967 5.3L V8 327cid
Chevrolet Chevy II 1967 4.1L L6 250cid
Chevrolet Corvair 1963 2.4L H6 145cid
Chevrolet Corvair 1964-1969 2.7L H6 164cid
Chevrolet El Camino 1967 3.8L L6 230cid
Chevrolet El Camino 1967 4.1L L6 250cid
Chevrolet El Camino 1967 4.6L V8 283cid
Chevrolet El Camino 1967 5.3L V8 327cid
Chevrolet El Camino 1967 6.5L V8 396cid
Chevrolet Malibu 1967 3.8L L6 230cid
Chevrolet Malibu 1967 4.1L L6 250cid
Chevrolet Malibu 1967 4.6L V8 283cid
Chevrolet Malibu 1967 5.3L V8 327cid
Chevrolet Malibu 1967 6.5L V8 396cid
Oldsmobile Cutlass 1965-1967 5.4L V8 330cid
Oldsmobile Cutlass 1965-1967 6.6L V8 400cid
Oldsmobile Cutlass 1967 4.1L L6 250cid
Oldsmobile F85 1965 3.7L V6 225cid
Oldsmobile F85 1965-1966 6.6L V8 400cid
Oldsmobile F85 1965-1967 5.4L V8 330cid
Oldsmobile F85 1966-1967 4.1L L6 250cid
Pontiac Firebird 1967 3.8L L6 230cid
Pontiac Firebird 1967 5.3L V8 326cid
Pontiac Firebird 1967 6.6L V8 400cid
Pontiac GTO 1964-1966 6.4L V8 389cid
Pontiac GTO 1967 6.6L V8 400cid
Pontiac LeMans 1964-1965 3.5L L6 215cid
Pontiac LeMans 1964-1967 5.3L V8 326cid
Pontiac LeMans 1966-1967 3.8L L6 230cid
Pontiac Tempest 1964-1965 3.5L L6 215cid
Pontiac Tempest 1964-1967
Pontiac Tempest 1964-1967 5.3L V8 326cid
Pontiac Tempest 1965-1967 3.8L L6 230cid</t>
        </is>
      </c>
      <c r="I1163" t="inlineStr">
        <is>
          <t>{"0": {"productDeskExternalKey": "CNRD|85-121"}, "1": {"Package Contents": "Wiper Motor; Instruction Manual"}, "2": {"E-Waste": "Yes"}, "3": {"Product Condition": "New"}, "4": {"Mounting Hole Quantity": "3"}, "5": {"Terminal Type": "Blade"}, "6": {"Mounting Type": "Eyelet; Grommet"}, "7": {"Weight PG": "4.6000"}, "8": {"Washer Pump Included": "No"}, "9": {"Part Type": "Windshield Wiper Motor"}, "10": {"Warranty Info": "Limited Lifetime"}, "11": {"Lifetime Warranty": "Yes"}, "12": {"Lifecycle Status": "Available to Order"}, "13": {"ItemLevelGTIN": "00884548115637"}}</t>
        </is>
      </c>
      <c r="J1163" t="inlineStr">
        <is>
          <t>https://www.cardone.com/product/windshield-wiper-motor-85-121</t>
        </is>
      </c>
      <c r="K1163">
        <f>DISPIMG("ID_C2C2EBE1659D43B8BACD0E7E094CBAF0",1)</f>
        <v/>
      </c>
      <c r="L1163" t="inlineStr">
        <is>
          <t>CNRD|85-121</t>
        </is>
      </c>
      <c r="M1163" t="inlineStr">
        <is>
          <t>Wiper Motor; Instruction Manual</t>
        </is>
      </c>
      <c r="N1163" t="inlineStr">
        <is>
          <t>Yes</t>
        </is>
      </c>
      <c r="O1163" t="inlineStr">
        <is>
          <t>New</t>
        </is>
      </c>
      <c r="P1163" t="inlineStr">
        <is>
          <t>3</t>
        </is>
      </c>
      <c r="Q1163" t="inlineStr">
        <is>
          <t>Blade</t>
        </is>
      </c>
      <c r="R1163" t="inlineStr">
        <is>
          <t>Eyelet; Grommet</t>
        </is>
      </c>
      <c r="S1163" t="inlineStr">
        <is>
          <t>4.6000</t>
        </is>
      </c>
      <c r="T1163" t="inlineStr">
        <is>
          <t>No</t>
        </is>
      </c>
      <c r="U1163" t="inlineStr">
        <is>
          <t>Limited Lifetime</t>
        </is>
      </c>
      <c r="V1163" t="inlineStr"/>
      <c r="W1163" t="inlineStr">
        <is>
          <t>Available to Order</t>
        </is>
      </c>
      <c r="X1163" t="inlineStr"/>
      <c r="Y1163" t="inlineStr">
        <is>
          <t>00884548115637</t>
        </is>
      </c>
      <c r="Z1163" t="inlineStr"/>
      <c r="AA1163" t="inlineStr"/>
      <c r="AB1163" t="inlineStr"/>
      <c r="AC1163" t="inlineStr">
        <is>
          <t>Yes</t>
        </is>
      </c>
    </row>
    <row r="1164">
      <c r="A1164" t="inlineStr">
        <is>
          <t>1163</t>
        </is>
      </c>
      <c r="B1164" t="inlineStr">
        <is>
          <t>Windshield Wiper Motor</t>
        </is>
      </c>
      <c r="C1164" t="inlineStr">
        <is>
          <t>85-140</t>
        </is>
      </c>
      <c r="D1164" t="inlineStr">
        <is>
          <t>Windshield Wiper Motor - 85-140</t>
        </is>
      </c>
      <c r="E1164" t="inlineStr">
        <is>
          <t>CARDONE New</t>
        </is>
      </c>
      <c r="F1164" t="inlineStr">
        <is>
          <t>22048242</t>
        </is>
      </c>
      <c r="G1164" t="inlineStr">
        <is>
          <t>Chevrolet Chevette 1976-1987
Chevrolet Monza 1975-1980
Pontiac Acadian 1982-1987
Pontiac Astre 1975-1977
Pontiac GTO 1968-1971
Pontiac LeMans 1968-1972
Pontiac Sunbird 1976-1980
Pontiac T1000 1981-1987
Pontiac Tempest 1968-1970
Pontiac Ventura 1971-1977</t>
        </is>
      </c>
      <c r="H1164" t="inlineStr">
        <is>
          <t>Chevrolet Chevette 1976-1977 1.4L L4 85cid
Chevrolet Chevette 1976-1987 1.6L L4 98cid
Chevrolet Chevette 1981-1986 1.8L L4 110cid
Chevrolet Monza 1975-1976 4.3L V8 262cid
Chevrolet Monza 1975-1977 2.3L L4 140cid
Chevrolet Monza 1976-1979 5L V8 305cid
Chevrolet Monza 1978-1979 3.2L V6 196cid
Chevrolet Monza 1978-1980 2.5L L4 151cid
Chevrolet Monza 1978-1980 3.8L V6 231cid
Pontiac Acadian 1982-1986 1.8L L4 110cid
Pontiac Acadian 1982-1987 1.6L L4 98cid
Pontiac Astre 1975-1977 2.3L L4 140cid
Pontiac Astre 1977 2.5L L4 151cid
Pontiac GTO 1968-1971 6.6L V8 400cid
Pontiac GTO 1970-1971 7.5L V8 455cid
Pontiac LeMans 1968-1972 4.1L L6 250cid
Pontiac LeMans 1968-1972 5.7L V8 350cid
Pontiac LeMans 1968-1972 6.6L V8 400cid
Pontiac LeMans 1970-1972 7.5L V8 455cid
Pontiac Sunbird 1976-1977 2.3L L4 140cid
Pontiac Sunbird 1976-1980 3.8L V6 231cid
Pontiac Sunbird 1977-1980 2.5L L4 151cid
Pontiac Sunbird 1978-1979 5L V8 305cid
Pontiac T1000 1981-1987 1.6L L4 98cid
Pontiac Tempest 1968-1970 4.1L L6 250cid
Pontiac Tempest 1968-1970 5.7L V8 350cid
Pontiac Tempest 1968-1970 6.6L V8 400cid
Pontiac Tempest 1970
Pontiac Ventura 1971-1973 5L V8 307cid
Pontiac Ventura 1971-1976 4.1L L6 250cid
Pontiac Ventura 1971-1977 5.7L V8 350cid
Pontiac Ventura 1975-1976 4.3L V8 260cid
Pontiac Ventura 1977 2.5L L4 151cid
Pontiac Ventura 1977 3.8L V6 231cid
Pontiac Ventura 1977 4.9L V8 301cid
Pontiac Ventura 1977 5L V8 305cid</t>
        </is>
      </c>
      <c r="I1164" t="inlineStr">
        <is>
          <t>{"0": {"productDeskExternalKey": "CNRD|85-140"}, "1": {"Package Contents": "Wiper Motor; Instruction Manual"}, "2": {"E-Waste": "Yes"}, "3": {"Product Condition": "New"}, "4": {"Mounting Hole Quantity": "3"}, "5": {"Terminal Type": "Blade"}, "6": {"Mounting Type": "Eyelet; Grommet"}, "7": {"Weight PG": "4.6000"}, "8": {"Washer Pump Included": "No"}, "9": {"Part Type": "Windshield Wiper Motor"}, "10": {"Warranty Info": "Limited Lifetime"}, "11": {"Lifetime Warranty": "Yes"}, "12": {"Lifecycle Status": "Available to Order"}, "13": {"Application Summary": "Chevrolet Chevette 1987-76, Monza 1980-75; Pontiac Acadian 1987-82, Astre 1977-75, GTO 1971-68, LeMans 1972-68, Sunbird 1980-76, T1000 1987-81, Tempest 1970-68, Ventura 1977-71"}, "14": {"ItemLevelGTIN": "00082617935302"}}</t>
        </is>
      </c>
      <c r="J1164" t="inlineStr">
        <is>
          <t>https://www.cardone.com/product/windshield-wiper-motor-85-140</t>
        </is>
      </c>
      <c r="K1164">
        <f>DISPIMG("ID_184B2382BE5648179B0F135AEFE6EAEC",1)</f>
        <v/>
      </c>
      <c r="L1164" t="inlineStr">
        <is>
          <t>CNRD|85-140</t>
        </is>
      </c>
      <c r="M1164" t="inlineStr">
        <is>
          <t>Wiper Motor; Instruction Manual</t>
        </is>
      </c>
      <c r="N1164" t="inlineStr">
        <is>
          <t>Yes</t>
        </is>
      </c>
      <c r="O1164" t="inlineStr">
        <is>
          <t>New</t>
        </is>
      </c>
      <c r="P1164" t="inlineStr">
        <is>
          <t>3</t>
        </is>
      </c>
      <c r="Q1164" t="inlineStr">
        <is>
          <t>Blade</t>
        </is>
      </c>
      <c r="R1164" t="inlineStr">
        <is>
          <t>Eyelet; Grommet</t>
        </is>
      </c>
      <c r="S1164" t="inlineStr">
        <is>
          <t>4.6000</t>
        </is>
      </c>
      <c r="T1164" t="inlineStr">
        <is>
          <t>No</t>
        </is>
      </c>
      <c r="U1164" t="inlineStr">
        <is>
          <t>Limited Lifetime</t>
        </is>
      </c>
      <c r="V1164" t="inlineStr"/>
      <c r="W1164" t="inlineStr">
        <is>
          <t>Available to Order</t>
        </is>
      </c>
      <c r="X1164" t="inlineStr">
        <is>
          <t>Chevrolet Chevette 1987-76, Monza 1980-75; Pontiac Acadian 1987-82, Astre 1977-75, GTO 1971-68, LeMans 1972-68, Sunbird 1980-76, T1000 1987-81, Tempest 1970-68, Ventura 1977-71</t>
        </is>
      </c>
      <c r="Y1164" t="inlineStr">
        <is>
          <t>00082617935302</t>
        </is>
      </c>
      <c r="Z1164" t="inlineStr"/>
      <c r="AA1164" t="inlineStr"/>
      <c r="AB1164" t="inlineStr"/>
      <c r="AC1164" t="inlineStr">
        <is>
          <t>Yes</t>
        </is>
      </c>
    </row>
    <row r="1165">
      <c r="A1165" t="inlineStr">
        <is>
          <t>1164</t>
        </is>
      </c>
      <c r="B1165" t="inlineStr">
        <is>
          <t>Windshield Wiper Motor</t>
        </is>
      </c>
      <c r="C1165" t="inlineStr">
        <is>
          <t>85-142</t>
        </is>
      </c>
      <c r="D1165" t="inlineStr">
        <is>
          <t>Windshield Wiper Motor - 85-142</t>
        </is>
      </c>
      <c r="E1165" t="inlineStr">
        <is>
          <t>CARDONE New</t>
        </is>
      </c>
      <c r="F1165" t="inlineStr"/>
      <c r="G1165" t="inlineStr">
        <is>
          <t>Buick Century 1973
Buick Electra 1968-1973
Buick Estate Wagon 1970-1973
Buick LeSabre 1968-1973
Buick Regal 1973
Buick Riviera 1968-1973
Buick Skylark 1968-1972
Buick Special 1968-1969
Cadillac Calais 1968-1973
Cadillac Commercial Chassis 1968-1973
Cadillac DeVille 1968-1973
Cadillac Eldorado 1968-1973
Cadillac Fleetwood 1966-1973
Chevrolet Bel Air 1972-1973
Chevrolet Biscayne 1972
Chevrolet Camaro 1968-1973
Chevrolet Caprice 1972-1973
Chevrolet Chevelle 1969-1973
Chevrolet Corvette 1973
Chevrolet El Camino 1969-1973
Chevrolet Impala 1972-1973
Chevrolet Malibu 1973
Chevrolet Monte Carlo 1970-1973
Oldsmobile 98 1968-1973
Oldsmobile Custom Cruiser 1971-1973
Oldsmobile Cutlass 1968-1973
Oldsmobile Cutlass Supreme 1971-1973
Oldsmobile Delta 88 1968-1973
Oldsmobile F85 1968-1972
Oldsmobile Toronado 1968-1973
Oldsmobile Vista Cruiser 1968-1973
Pontiac Bonneville 1968-1973
Pontiac Catalina 1968-1973
Pontiac Firebird 1968-1973
Pontiac GTO 1968-1973
Pontiac Grand Am 1973
Pontiac Grand Prix 1968-1973
Pontiac LeMans 1968-1973
Pontiac Tempest 1968-1970
Pontiac Ventura 1971-1972</t>
        </is>
      </c>
      <c r="H1165" t="inlineStr">
        <is>
          <t>Buick Century 1973 5.7L V8 350cid
Buick Century 1973 7.5L V8 455cid
Buick Electra 1968-1969 7L V8 430cid
Buick Electra 1970-1973 7.5L V8 455cid
Buick Estate Wagon 1970-1973 5.7L V8 350cid
Buick Estate Wagon 1970-1973 7.5L V8 455cid
Buick LeSabre 1968-1973 5.7L V8 350cid
Buick LeSabre 1970-1973 7.5L V8 455cid
Buick Regal 1973 5.7L V8 350cid
Buick Regal 1973 7.5L V8 455cid
Buick Riviera 1968-1969 7L V8 430cid
Buick Riviera 1970-1973 7.5L V8 455cid
Buick Skylark 1968 6.6L V8 400cid
Buick Skylark 1968-1971 4.1L L6 250cid
Buick Skylark 1968-1972 5.7L V8 350cid
Buick Skylark 1970-1971 7.5L V8 455cid
Buick Special 1968-1969 4.1L L6 250cid
Buick Special 1968-1969 5.7L V8 350cid
Cadillac Calais 1968-1973 7.7L V8 472cid
Cadillac Commercial Chassis 1968-1973
Cadillac Commercial Chassis 1968-1973 7.7L V8 472cid
Cadillac DeVille 1968-1973 7.7L V8 472cid
Cadillac Eldorado 1968-1969 7.7L V8 472cid
Cadillac Eldorado 1970-1973 8.2L V8 500cid
Cadillac Fleetwood 1966-1967 7L V8 429cid
Cadillac Fleetwood 1968-1973 7.7L V8 472cid
Chevrolet Bel Air 1972 6.6L V8 402cid
Chevrolet Bel Air 1972-1973 4.1L L6 250cid
Chevrolet Bel Air 1972-1973 5.7L V8 350cid
Chevrolet Bel Air 1972-1973 6.6L V8 400cid
Chevrolet Bel Air 1972-1973 7.4L V8 454cid
Chevrolet Biscayne 1972 4.1L L6 250cid
Chevrolet Biscayne 1972 5.7L V8 350cid
Chevrolet Biscayne 1972 6.6L V8 400cid
Chevrolet Biscayne 1972 6.6L V8 402cid
Chevrolet Biscayne 1972 7.4L V8 454cid
Chevrolet Camaro 1968-1969 3.8L L6 230cid
Chevrolet Camaro 1968-1969 4.9L V8 302cid
Chevrolet Camaro 1968-1969 5.3L V8 327cid
Chevrolet Camaro 1968-1969 5.4L V8 327cid
Chevrolet Camaro 1968-1969 6.5L V8 396cid
Chevrolet Camaro 1968-1973 4.1L L6 250cid
Chevrolet Camaro 1968-1973 5.7L V8 350cid
Chevrolet Camaro 1969 7L V8 427cid
Chevrolet Camaro 1969-1973 5L V8 307cid
Chevrolet Camaro 1970-1972 6.6L V8 402cid
Chevrolet Caprice 1972 6.6L V8 402cid
Chevrolet Caprice 1972-1973 4.1L L6 250cid
Chevrolet Caprice 1972-1973 5.7L V8 350cid
Chevrolet Caprice 1972-1973 5L V8 307cid
Chevrolet Caprice 1972-1973 6.6L V8 400cid
Chevrolet Caprice 1972-1973 7.4L V8 454cid
Chevrolet Chevelle 1969 3.8L L6 230cid
Chevrolet Chevelle 1969-1970 6.5L V8 396cid
Chevrolet Chevelle 1969-1973 4.1L L6 250cid
Chevrolet Chevelle 1969-1973 5.7L V8 350cid
Chevrolet Chevelle 1969-1973 5L V8 307cid
Chevrolet Chevelle 1970-1972 6.6L V8 402cid
Chevrolet Chevelle 1970-1973 6.6L V8 400cid
Chevrolet Chevelle 1970-1973 7.4L V8 454cid
Chevrolet Corvette 1973 5.7L V8 350cid
Chevrolet Corvette 1973 7.4L V8 454cid
Chevrolet El Camino 1969 3.8L L6 230cid
Chevrolet El Camino 1969 5.3L V8 327cid
Chevrolet El Camino 1969-1970 6.5L V8 396cid
Chevrolet El Camino 1969-1973 4.1L L6 250cid
Chevrolet El Camino 1969-1973 5.7L V8 350cid
Chevrolet El Camino 1969-1973 5L V8 307cid
Chevrolet El Camino 1970-1972 6.6L V8 402cid
Chevrolet El Camino 1970-1973 6.6L V8 400cid
Chevrolet El Camino 1970-1973 7.4L V8 454cid
Chevrolet Impala 1972 6.6L V8 402cid
Chevrolet Impala 1972-1973 4.1L L6 250cid
Chevrolet Impala 1972-1973 5.7L V8 350cid
Chevrolet Impala 1972-1973 5L V8 307cid
Chevrolet Impala 1972-1973 6.6L V8 400cid
Chevrolet Impala 1972-1973 7.4L V8 454cid
Chevrolet Malibu 1973 4.1L L6 250cid
Chevrolet Malibu 1973 5.7L V8 350cid
Chevrolet Malibu 1973 5L V8 307cid
Chevrolet Malibu 1973 6.6L V8 400cid
Chevrolet Malibu 1973 7.4L V8 454cid
Chevrolet Monte Carlo 1970-1972 6.6L V8 402cid
Chevrolet Monte Carlo 1970-1973 5.7L V8 350cid
Chevrolet Monte Carlo 1970-1973 6.6L V8 400cid
Chevrolet Monte Carlo 1970-1973 7.4L V8 454cid
Oldsmobile 98 1968-1973 7.5L V8 455cid
Oldsmobile Custom Cruiser 1971-1973 7.5L V8 455cid
Oldsmobile Cutlass 1968 6.6L V8 400cid
Oldsmobile Cutlass 1968-1971 4.1L L6 250cid
Oldsmobile Cutlass 1968-1973 5.7L V8 350cid
Oldsmobile Cutlass 1970-1973 7.5L V8 455cid
Oldsmobile Cutlass Supreme 1971-1973 5.7L V8 350cid
Oldsmobile Cutlass Supreme 1971-1973 7.5L V8 455cid
Oldsmobile Delta 88 1968-1973 5.7L V8 350cid
Oldsmobile Delta 88 1968-1973 7.5L V8 455cid
Oldsmobile F85 1968-1971 4.1L L6 250cid
Oldsmobile F85 1968-1972 5.7L V8 350cid
Oldsmobile F85 1970-1972 7.5L V8 455cid
Oldsmobile Toronado 1968-1973 7.5L V8 455cid
Oldsmobile Vista Cruiser 1968-1969 6.6L V8 400cid
Oldsmobile Vista Cruiser 1968-1973 5.7L V8 350cid
Oldsmobile Vista Cruiser 1970-1973 7.5L V8 455cid
Pontiac Bonneville 1968-1969 7L V8 428cid
Pontiac Bonneville 1968-1973 6.6L V8 400cid
Pontiac Bonneville 1970-1973 7.5L V8 455cid
Pontiac Bonneville 1971 5.7L V8 350cid
Pontiac Catalina 1968-1969 7L V8 428cid
Pontiac Catalina 1968-1973 6.6L V8 400cid
Pontiac Catalina 1970-1973 5.7L V8 350cid
Pontiac Catalina 1970-1973 7.5L V8 455cid
Pontiac Firebird 1968-1973 4.1L L6 250cid
Pontiac Firebird 1968-1973 5.7L V8 350cid
Pontiac Firebird 1968-1973 6.6L V8 400cid
Pontiac Firebird 1971-1973 7.5L V8 455cid
Pontiac GTO 1968-1973 6.6L V8 400cid
Pontiac GTO 1970-1973 7.5L V8 455cid
Pontiac Grand Am 1973 5.7L V8 350cid
Pontiac Grand Am 1973 6.6L V8 400cid
Pontiac Grand Am 1973 7.5L V8 455cid
Pontiac Grand Prix 1968-1969 7L V8 428cid
Pontiac Grand Prix 1968-1973 6.6L V8 400cid
Pontiac Grand Prix 1970-1973 7.5L V8 455cid
Pontiac LeMans 1968-1973 4.1L L6 250cid
Pontiac LeMans 1968-1973 5.7L V8 350cid
Pontiac LeMans 1968-1973 6.6L V8 400cid
Pontiac LeMans 1970-1973 7.5L V8 455cid
Pontiac Tempest 1968-1970 4.1L L6 250cid
Pontiac Tempest 1968-1970 5.7L V8 350cid
Pontiac Tempest 1968-1970 6.6L V8 400cid
Pontiac Tempest 1970
Pontiac Ventura 1971-1972 4.1L L6 250cid
Pontiac Ventura 1971-1972 5.7L V8 350cid
Pontiac Ventura 1971-1972 5L V8 307cid</t>
        </is>
      </c>
      <c r="I1165" t="inlineStr">
        <is>
          <t>{"0": {"productDeskExternalKey": "CNRD|85-142"}, "1": {"Package Contents": "Wiper Motor; Instruction Manual; Nut; Alignment Tool"}, "2": {"E-Waste": "Yes"}, "3": {"Product Condition": "New"}, "4": {"Terminal Type": "Blade"}, "5": {"Mounting Type": "Eyelet; Grommet"}, "6": {"Weight PG": "6.4000"}, "7": {"Washer Pump Included": "No"}, "8": {"Part Type": "Windshield Wiper Motor"}, "9": {"Warranty Info": "Limited Lifetime"}, "10": {"Lifetime Warranty": "Yes"}, "11": {"Lifecycle Status": "Available to Order"}, "12": {"ItemLevelGTIN": "00884548170469"}}</t>
        </is>
      </c>
      <c r="J1165" t="inlineStr">
        <is>
          <t>https://www.cardone.com/product/windshield-wiper-motor-85-142</t>
        </is>
      </c>
      <c r="K1165">
        <f>DISPIMG("ID_80DFDFD665D9443C824E05B7E21C2F4F",1)</f>
        <v/>
      </c>
      <c r="L1165" t="inlineStr">
        <is>
          <t>CNRD|85-142</t>
        </is>
      </c>
      <c r="M1165" t="inlineStr">
        <is>
          <t>Wiper Motor; Instruction Manual; Nut; Alignment Tool</t>
        </is>
      </c>
      <c r="N1165" t="inlineStr">
        <is>
          <t>Yes</t>
        </is>
      </c>
      <c r="O1165" t="inlineStr">
        <is>
          <t>New</t>
        </is>
      </c>
      <c r="P1165" t="inlineStr"/>
      <c r="Q1165" t="inlineStr">
        <is>
          <t>Blade</t>
        </is>
      </c>
      <c r="R1165" t="inlineStr">
        <is>
          <t>Eyelet; Grommet</t>
        </is>
      </c>
      <c r="S1165" t="inlineStr">
        <is>
          <t>6.4000</t>
        </is>
      </c>
      <c r="T1165" t="inlineStr">
        <is>
          <t>No</t>
        </is>
      </c>
      <c r="U1165" t="inlineStr">
        <is>
          <t>Limited Lifetime</t>
        </is>
      </c>
      <c r="V1165" t="inlineStr"/>
      <c r="W1165" t="inlineStr">
        <is>
          <t>Available to Order</t>
        </is>
      </c>
      <c r="X1165" t="inlineStr"/>
      <c r="Y1165" t="inlineStr">
        <is>
          <t>00884548170469</t>
        </is>
      </c>
      <c r="Z1165" t="inlineStr"/>
      <c r="AA1165" t="inlineStr"/>
      <c r="AB1165" t="inlineStr"/>
      <c r="AC1165" t="inlineStr">
        <is>
          <t>Yes</t>
        </is>
      </c>
    </row>
    <row r="1166">
      <c r="A1166" t="inlineStr">
        <is>
          <t>1165</t>
        </is>
      </c>
      <c r="B1166" t="inlineStr">
        <is>
          <t>Windshield Wiper Motor</t>
        </is>
      </c>
      <c r="C1166" t="inlineStr">
        <is>
          <t>85-1423</t>
        </is>
      </c>
      <c r="D1166" t="inlineStr">
        <is>
          <t>Windshield Wiper Motor - 85-1423</t>
        </is>
      </c>
      <c r="E1166" t="inlineStr">
        <is>
          <t>CARDONE New</t>
        </is>
      </c>
      <c r="F1166" t="inlineStr">
        <is>
          <t>76505SR3A01</t>
        </is>
      </c>
      <c r="G1166" t="inlineStr">
        <is>
          <t>Acura Integra 1994-2001
Honda Civic 1992-1995
Honda Civic del Sol 1993-1997</t>
        </is>
      </c>
      <c r="H1166" t="inlineStr">
        <is>
          <t>Acura Integra 1994-2001 1.8L L4 1797cc
Acura Integra 1994-2001 1.8L L4 1834cc
Honda Civic 1992-1995 1.5L L4 1493cc
Honda Civic 1992-1995 1.6L L4 98cid
Honda Civic del Sol 1993-1995 1.5L L4 1493cc
Honda Civic del Sol 1993-1997 1.6L L4 98cid
Honda Civic del Sol 1996-1997 1.6L L4 1595cc</t>
        </is>
      </c>
      <c r="I1166" t="inlineStr">
        <is>
          <t>{"0": {"productDeskExternalKey": "CNRD|85-1423"}, "1": {"Package Contents": "Wiper Motor; Instruction Manual"}, "2": {"E-Waste": "Yes"}, "3": {"Product Condition": "New"}, "4": {"Mounting Hole Quantity": "3"}, "5": {"Terminal Type": "Blade"}, "6": {"Mounting Type": "Direct Bolt"}, "7": {"Weight PG": "2.6000"}, "8": {"Washer Pump Included": "No"}, "9": {"Part Type": "Windshield Wiper Motor"}, "10": {"Warranty Info": "Limited Lifetime"}, "11": {"Lifetime Warranty": "Yes"}, "12": {"Lifecycle Status": "Available to Order"}, "13": {"Application Summary": "Acura Integra 2001-94; Honda Civic 1995-92, Civic del Sol 1997-93"}, "14": {"ItemLevelGTIN": "00884548153165"}}</t>
        </is>
      </c>
      <c r="J1166" t="inlineStr">
        <is>
          <t>https://www.cardone.com/product/windshield-wiper-motor-85-1423</t>
        </is>
      </c>
      <c r="K1166">
        <f>DISPIMG("ID_3DE07D7E8F464803B088EBF99F94D5AC",1)</f>
        <v/>
      </c>
      <c r="L1166" t="inlineStr">
        <is>
          <t>CNRD|85-1423</t>
        </is>
      </c>
      <c r="M1166" t="inlineStr">
        <is>
          <t>Wiper Motor; Instruction Manual</t>
        </is>
      </c>
      <c r="N1166" t="inlineStr">
        <is>
          <t>Yes</t>
        </is>
      </c>
      <c r="O1166" t="inlineStr">
        <is>
          <t>New</t>
        </is>
      </c>
      <c r="P1166" t="inlineStr">
        <is>
          <t>3</t>
        </is>
      </c>
      <c r="Q1166" t="inlineStr">
        <is>
          <t>Blade</t>
        </is>
      </c>
      <c r="R1166" t="inlineStr">
        <is>
          <t>Direct Bolt</t>
        </is>
      </c>
      <c r="S1166" t="inlineStr">
        <is>
          <t>2.6000</t>
        </is>
      </c>
      <c r="T1166" t="inlineStr">
        <is>
          <t>No</t>
        </is>
      </c>
      <c r="U1166" t="inlineStr">
        <is>
          <t>Limited Lifetime</t>
        </is>
      </c>
      <c r="V1166" t="inlineStr"/>
      <c r="W1166" t="inlineStr">
        <is>
          <t>Available to Order</t>
        </is>
      </c>
      <c r="X1166" t="inlineStr">
        <is>
          <t>Acura Integra 2001-94; Honda Civic 1995-92, Civic del Sol 1997-93</t>
        </is>
      </c>
      <c r="Y1166" t="inlineStr">
        <is>
          <t>00884548153165</t>
        </is>
      </c>
      <c r="Z1166" t="inlineStr"/>
      <c r="AA1166" t="inlineStr"/>
      <c r="AB1166" t="inlineStr"/>
      <c r="AC1166" t="inlineStr">
        <is>
          <t>Yes</t>
        </is>
      </c>
    </row>
    <row r="1167">
      <c r="A1167" t="inlineStr">
        <is>
          <t>1166</t>
        </is>
      </c>
      <c r="B1167" t="inlineStr">
        <is>
          <t>Windshield Wiper Motor</t>
        </is>
      </c>
      <c r="C1167" t="inlineStr">
        <is>
          <t>85-1427</t>
        </is>
      </c>
      <c r="D1167" t="inlineStr">
        <is>
          <t>Windshield Wiper Motor - 85-1427</t>
        </is>
      </c>
      <c r="E1167" t="inlineStr">
        <is>
          <t>CARDONE New</t>
        </is>
      </c>
      <c r="F1167" t="inlineStr">
        <is>
          <t>76505SV4A01;76505SW5A01</t>
        </is>
      </c>
      <c r="G1167" t="inlineStr">
        <is>
          <t>Acura CL 1997-1999
Acura TL 1995-1998
Honda Accord 1994-1997</t>
        </is>
      </c>
      <c r="H1167" t="inlineStr">
        <is>
          <t>Acura CL 1997 2.2L L4 2156cc
Acura CL 1997-1999 3L V6 2997cc
Acura CL 1998-1999 2.3L L4 2254cc
Acura TL 1995-1998 2.5L L5 2451cc
Acura TL 1996-1998 3.2L V6 3206cc
Honda Accord 1994-1997 2.2L L4 2156cc
Honda Accord 1995-1997 2.7L V6 2675cc</t>
        </is>
      </c>
      <c r="I1167" t="inlineStr">
        <is>
          <t>{"0": {"productDeskExternalKey": "CNRD|85-1427"},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"Acura CL 1999-97, TL 1998-95; Honda Accord 1997-94"}, "13": {"ItemLevelGTIN": "00884548155695"}}</t>
        </is>
      </c>
      <c r="J1167" t="inlineStr">
        <is>
          <t>https://www.cardone.com/product/windshield-wiper-motor-85-1427</t>
        </is>
      </c>
      <c r="K1167">
        <f>DISPIMG("ID_4BB7EF6B8ED047F7A7E924643795B6EE",1)</f>
        <v/>
      </c>
      <c r="L1167" t="inlineStr">
        <is>
          <t>CNRD|85-1427</t>
        </is>
      </c>
      <c r="M1167" t="inlineStr">
        <is>
          <t>Wiper Motor; Instruction Manual</t>
        </is>
      </c>
      <c r="N1167" t="inlineStr">
        <is>
          <t>Yes</t>
        </is>
      </c>
      <c r="O1167" t="inlineStr">
        <is>
          <t>New</t>
        </is>
      </c>
      <c r="P1167" t="inlineStr"/>
      <c r="Q1167" t="inlineStr">
        <is>
          <t>Blade</t>
        </is>
      </c>
      <c r="R1167" t="inlineStr">
        <is>
          <t>Direct Bolt</t>
        </is>
      </c>
      <c r="S1167" t="inlineStr">
        <is>
          <t>3.0000</t>
        </is>
      </c>
      <c r="T1167" t="inlineStr">
        <is>
          <t>No</t>
        </is>
      </c>
      <c r="U1167" t="inlineStr">
        <is>
          <t>Limited Lifetime</t>
        </is>
      </c>
      <c r="V1167" t="inlineStr"/>
      <c r="W1167" t="inlineStr">
        <is>
          <t>Available to Order</t>
        </is>
      </c>
      <c r="X1167" t="inlineStr">
        <is>
          <t>Acura CL 1999-97, TL 1998-95; Honda Accord 1997-94</t>
        </is>
      </c>
      <c r="Y1167" t="inlineStr">
        <is>
          <t>00884548155695</t>
        </is>
      </c>
      <c r="Z1167" t="inlineStr"/>
      <c r="AA1167" t="inlineStr"/>
      <c r="AB1167" t="inlineStr"/>
      <c r="AC1167" t="inlineStr">
        <is>
          <t>Yes</t>
        </is>
      </c>
    </row>
    <row r="1168">
      <c r="A1168" t="inlineStr">
        <is>
          <t>1167</t>
        </is>
      </c>
      <c r="B1168" t="inlineStr">
        <is>
          <t>Windshield Wiper Motor</t>
        </is>
      </c>
      <c r="C1168" t="inlineStr">
        <is>
          <t>85-1428</t>
        </is>
      </c>
      <c r="D1168" t="inlineStr">
        <is>
          <t>Windshield Wiper Motor - 85-1428</t>
        </is>
      </c>
      <c r="E1168" t="inlineStr">
        <is>
          <t>CARDONE New</t>
        </is>
      </c>
      <c r="F1168" t="inlineStr">
        <is>
          <t>76505SR1A05;76574S01A07</t>
        </is>
      </c>
      <c r="G1168" t="inlineStr">
        <is>
          <t>Honda Civic 1992-2000</t>
        </is>
      </c>
      <c r="H1168" t="inlineStr">
        <is>
          <t>Honda Civic 1992-1995 1.5L L4 1493cc
Honda Civic 1992-2000 1.6L L4 98cid
Honda Civic 1997-2000 1.6L L4 1590cc
Honda Civic 1999-2000 1.6L L4 1595cc</t>
        </is>
      </c>
      <c r="I1168" t="inlineStr">
        <is>
          <t>{"0": {"productDeskExternalKey": "CNRD|85-1428"}, "1": {"Package Contents": "Wiper Motor; Instruction Sheet"}, "2": {"E-Waste": "Yes"}, "3": {"Product Condition": "New"}, "4": {"Terminal Type": "Blade"}, "5": {"Mounting Type": "Direct Bolt; Grommet"}, "6": {"Weight PG": "3.6000"}, "7": {"Washer Pump Included": "No"}, "8": {"Part Type": "Windshield Wiper Motor"}, "9": {"Warranty Info": "Limited Lifetime"}, "10": {"Lifetime Warranty": "Yes"}, "11": {"Lifecycle Status": "Available to Order"}, "12": {"Application Summary": "Honda Civic 2000-97 1995-92"}, "13": {"ItemLevelGTIN": "00884548155688"}, "14": {"Mounting Hole Quantity": "3"}}</t>
        </is>
      </c>
      <c r="J1168" t="inlineStr">
        <is>
          <t>https://www.cardone.com/product/windshield-wiper-motor-85-1428</t>
        </is>
      </c>
      <c r="K1168">
        <f>DISPIMG("ID_395C5FC49FAF4B6DBC33FE49AE20E168",1)</f>
        <v/>
      </c>
      <c r="L1168" t="inlineStr">
        <is>
          <t>CNRD|85-1428</t>
        </is>
      </c>
      <c r="M1168" t="inlineStr">
        <is>
          <t>Wiper Motor; Instruction Sheet</t>
        </is>
      </c>
      <c r="N1168" t="inlineStr">
        <is>
          <t>Yes</t>
        </is>
      </c>
      <c r="O1168" t="inlineStr">
        <is>
          <t>New</t>
        </is>
      </c>
      <c r="P1168" t="inlineStr">
        <is>
          <t>3</t>
        </is>
      </c>
      <c r="Q1168" t="inlineStr">
        <is>
          <t>Blade</t>
        </is>
      </c>
      <c r="R1168" t="inlineStr">
        <is>
          <t>Direct Bolt; Grommet</t>
        </is>
      </c>
      <c r="S1168" t="inlineStr">
        <is>
          <t>3.6000</t>
        </is>
      </c>
      <c r="T1168" t="inlineStr">
        <is>
          <t>No</t>
        </is>
      </c>
      <c r="U1168" t="inlineStr">
        <is>
          <t>Limited Lifetime</t>
        </is>
      </c>
      <c r="V1168" t="inlineStr"/>
      <c r="W1168" t="inlineStr">
        <is>
          <t>Available to Order</t>
        </is>
      </c>
      <c r="X1168" t="inlineStr">
        <is>
          <t>Honda Civic 2000-97 1995-92</t>
        </is>
      </c>
      <c r="Y1168" t="inlineStr">
        <is>
          <t>00884548155688</t>
        </is>
      </c>
      <c r="Z1168" t="inlineStr"/>
      <c r="AA1168" t="inlineStr"/>
      <c r="AB1168" t="inlineStr"/>
      <c r="AC1168" t="inlineStr">
        <is>
          <t>Yes</t>
        </is>
      </c>
    </row>
    <row r="1169">
      <c r="A1169" t="inlineStr">
        <is>
          <t>1168</t>
        </is>
      </c>
      <c r="B1169" t="inlineStr">
        <is>
          <t>Windshield Wiper Motor</t>
        </is>
      </c>
      <c r="C1169" t="inlineStr">
        <is>
          <t>85-146</t>
        </is>
      </c>
      <c r="D1169" t="inlineStr">
        <is>
          <t>Windshield Wiper Motor - 85-146</t>
        </is>
      </c>
      <c r="E1169" t="inlineStr">
        <is>
          <t>CARDONE New</t>
        </is>
      </c>
      <c r="F1169" t="inlineStr">
        <is>
          <t>5044683;4918712</t>
        </is>
      </c>
      <c r="G1169" t="inlineStr">
        <is>
          <t>Chevrolet Corvette 1968</t>
        </is>
      </c>
      <c r="H1169" t="inlineStr">
        <is>
          <t>Chevrolet Corvette 1968 5.3L V8 327cid
Chevrolet Corvette 1968 5.4L V8 327cid
Chevrolet Corvette 1968 7L V8 427cid</t>
        </is>
      </c>
      <c r="I1169" t="inlineStr">
        <is>
          <t>{"0": {"productDeskExternalKey": "CNRD|85-146"}, "1": {"Package Contents": "Wiper Motor; Instruction Sheet; Nut; Alignment Tool"}, "2": {"E-Waste": "Yes"}, "3": {"Product Condition": "New"}, "4": {"Terminal Type": "Blade"}, "5": {"Mounting Type": "Eyelet; Grommet"}, "6": {"Weight PG": "6.4000"}, "7": {"Washer Pump Included": "No"}, "8": {"Part Type": "Windshield Wiper Motor"}, "9": {"Warranty Info": "Limited Lifetime"}, "10": {"Lifetime Warranty": "Yes"}, "11": {"Lifecycle Status": "Available to Order"}, "12": {"Application Summary": "Chevrolet Corvette 1968"}, "13": {"ItemLevelGTIN": "00884548172555"}, "14": {"Mounting Hole Quantity": "3"}}</t>
        </is>
      </c>
      <c r="J1169" t="inlineStr">
        <is>
          <t>https://www.cardone.com/product/windshield-wiper-motor-85-146</t>
        </is>
      </c>
      <c r="K1169">
        <f>DISPIMG("ID_B3EB35A5F4E343E8BE9901B304737131",1)</f>
        <v/>
      </c>
      <c r="L1169" t="inlineStr">
        <is>
          <t>CNRD|85-146</t>
        </is>
      </c>
      <c r="M1169" t="inlineStr">
        <is>
          <t>Wiper Motor; Instruction Sheet; Nut; Alignment Tool</t>
        </is>
      </c>
      <c r="N1169" t="inlineStr">
        <is>
          <t>Yes</t>
        </is>
      </c>
      <c r="O1169" t="inlineStr">
        <is>
          <t>New</t>
        </is>
      </c>
      <c r="P1169" t="inlineStr">
        <is>
          <t>3</t>
        </is>
      </c>
      <c r="Q1169" t="inlineStr">
        <is>
          <t>Blade</t>
        </is>
      </c>
      <c r="R1169" t="inlineStr">
        <is>
          <t>Eyelet; Grommet</t>
        </is>
      </c>
      <c r="S1169" t="inlineStr">
        <is>
          <t>6.4000</t>
        </is>
      </c>
      <c r="T1169" t="inlineStr">
        <is>
          <t>No</t>
        </is>
      </c>
      <c r="U1169" t="inlineStr">
        <is>
          <t>Limited Lifetime</t>
        </is>
      </c>
      <c r="V1169" t="inlineStr"/>
      <c r="W1169" t="inlineStr">
        <is>
          <t>Available to Order</t>
        </is>
      </c>
      <c r="X1169" t="inlineStr">
        <is>
          <t>Chevrolet Corvette 1968</t>
        </is>
      </c>
      <c r="Y1169" t="inlineStr">
        <is>
          <t>00884548172555</t>
        </is>
      </c>
      <c r="Z1169" t="inlineStr"/>
      <c r="AA1169" t="inlineStr"/>
      <c r="AB1169" t="inlineStr"/>
      <c r="AC1169" t="inlineStr">
        <is>
          <t>Yes</t>
        </is>
      </c>
    </row>
    <row r="1170">
      <c r="A1170" t="inlineStr">
        <is>
          <t>1169</t>
        </is>
      </c>
      <c r="B1170" t="inlineStr">
        <is>
          <t>Windshield Wiper Motor</t>
        </is>
      </c>
      <c r="C1170" t="inlineStr">
        <is>
          <t>85-148</t>
        </is>
      </c>
      <c r="D1170" t="inlineStr">
        <is>
          <t>Windshield Wiper Motor - 85-148</t>
        </is>
      </c>
      <c r="E1170" t="inlineStr">
        <is>
          <t>CARDONE New</t>
        </is>
      </c>
      <c r="F1170" t="inlineStr"/>
      <c r="G1170" t="inlineStr">
        <is>
          <t>Chevrolet Bel Air 1968-1971
Chevrolet Biscayne 1968-1971
Chevrolet Caprice 1968-1971
Chevrolet Impala 1968-1971</t>
        </is>
      </c>
      <c r="H1170" t="inlineStr">
        <is>
          <t>Chevrolet Bel Air 1968 5L V8 307cid
Chevrolet Bel Air 1968-1969 5.3L V8 327cid
Chevrolet Bel Air 1968-1969 5.4L V8 327cid
Chevrolet Bel Air 1968-1969 6.5L V8 396cid
Chevrolet Bel Air 1968-1969 7L V8 427cid
Chevrolet Bel Air 1968-1971 4.1L L6 250cid
Chevrolet Bel Air 1969-1971 5.7L V8 350cid
Chevrolet Bel Air 1970-1971 6.6L V8 400cid
Chevrolet Bel Air 1970-1971 6.6L V8 402cid
Chevrolet Bel Air 1970-1971 7.4L V8 454cid
Chevrolet Biscayne 1968 5L V8 307cid
Chevrolet Biscayne 1968-1969 5.3L V8 327cid
Chevrolet Biscayne 1968-1969 5.4L V8 327cid
Chevrolet Biscayne 1968-1969 6.5L V8 396cid
Chevrolet Biscayne 1968-1969 7L V8 427cid
Chevrolet Biscayne 1968-1971 4.1L L6 250cid
Chevrolet Biscayne 1969-1971 5.7L V8 350cid
Chevrolet Biscayne 1970-1971 6.6L V8 400cid
Chevrolet Biscayne 1970-1971 6.6L V8 402cid
Chevrolet Biscayne 1970-1971 7.4L V8 454cid
Chevrolet Caprice 1968-1969 5.3L V8 327cid
Chevrolet Caprice 1968-1969 5.4L V8 327cid
Chevrolet Caprice 1968-1969 6.5L V8 396cid
Chevrolet Caprice 1968-1969 7L V8 427cid
Chevrolet Caprice 1968-1971 4.1L L6 250cid
Chevrolet Caprice 1968-1971 5L V8 307cid
Chevrolet Caprice 1969-1971 5.7L V8 350cid
Chevrolet Caprice 1970-1971 6.6L V8 400cid
Chevrolet Caprice 1970-1971 6.6L V8 402cid
Chevrolet Caprice 1970-1971 7.4L V8 454cid
Chevrolet Impala 1968-1969 5.3L V8 327cid
Chevrolet Impala 1968-1969 5.4L V8 327cid
Chevrolet Impala 1968-1969 6.5L V8 396cid
Chevrolet Impala 1968-1969 7L V8 427cid
Chevrolet Impala 1968-1971 4.1L L6 250cid
Chevrolet Impala 1968-1971 5L V8 307cid
Chevrolet Impala 1969-1971 5.7L V8 350cid
Chevrolet Impala 1970-1971 6.6L V8 400cid
Chevrolet Impala 1970-1971 6.6L V8 402cid
Chevrolet Impala 1970-1971 7.4L V8 454cid</t>
        </is>
      </c>
      <c r="I1170" t="inlineStr">
        <is>
          <t>{"0": {"productDeskExternalKey": "CNRD|85-148"}, "1": {"Package Contents": "Wiper Motor; Instruction Sheet; Nut; Alignment Tool"}, "2": {"E-Waste": "Yes"}, "3": {"Product Condition": "New"}, "4": {"Terminal Type": "Blade"}, "5": {"Mounting Type": "Eyelet; Grommet"}, "6": {"Weight PG": "6.4000"}, "7": {"Washer Pump Included": "No"}, "8": {"Part Type": "Windshield Wiper Motor"}, "9": {"Warranty Info": "Limited Lifetime"}, "10": {"Lifetime Warranty": "Yes"}, "11": {"Lifecycle Status": "Available to Order"}, "12": {"Application Summary": "Chevrolet Bel Air 1971-68, Biscayne 1971-68, Caprice 1971-68, Impala 1971-68"}, "13": {"ItemLevelGTIN": "00884548170476"}, "14": {"Mounting Hole Quantity": "3"}}</t>
        </is>
      </c>
      <c r="J1170" t="inlineStr">
        <is>
          <t>https://www.cardone.com/product/windshield-wiper-motor-85-148</t>
        </is>
      </c>
      <c r="K1170">
        <f>DISPIMG("ID_7C260E933C944D47A8ED69AC0183D3AA",1)</f>
        <v/>
      </c>
      <c r="L1170" t="inlineStr">
        <is>
          <t>CNRD|85-148</t>
        </is>
      </c>
      <c r="M1170" t="inlineStr">
        <is>
          <t>Wiper Motor; Instruction Sheet; Nut; Alignment Tool</t>
        </is>
      </c>
      <c r="N1170" t="inlineStr">
        <is>
          <t>Yes</t>
        </is>
      </c>
      <c r="O1170" t="inlineStr">
        <is>
          <t>New</t>
        </is>
      </c>
      <c r="P1170" t="inlineStr">
        <is>
          <t>3</t>
        </is>
      </c>
      <c r="Q1170" t="inlineStr">
        <is>
          <t>Blade</t>
        </is>
      </c>
      <c r="R1170" t="inlineStr">
        <is>
          <t>Eyelet; Grommet</t>
        </is>
      </c>
      <c r="S1170" t="inlineStr">
        <is>
          <t>6.4000</t>
        </is>
      </c>
      <c r="T1170" t="inlineStr">
        <is>
          <t>No</t>
        </is>
      </c>
      <c r="U1170" t="inlineStr">
        <is>
          <t>Limited Lifetime</t>
        </is>
      </c>
      <c r="V1170" t="inlineStr"/>
      <c r="W1170" t="inlineStr">
        <is>
          <t>Available to Order</t>
        </is>
      </c>
      <c r="X1170" t="inlineStr">
        <is>
          <t>Chevrolet Bel Air 1971-68, Biscayne 1971-68, Caprice 1971-68, Impala 1971-68</t>
        </is>
      </c>
      <c r="Y1170" t="inlineStr">
        <is>
          <t>00884548170476</t>
        </is>
      </c>
      <c r="Z1170" t="inlineStr"/>
      <c r="AA1170" t="inlineStr"/>
      <c r="AB1170" t="inlineStr"/>
      <c r="AC1170" t="inlineStr">
        <is>
          <t>Yes</t>
        </is>
      </c>
    </row>
    <row r="1171">
      <c r="A1171" t="inlineStr">
        <is>
          <t>1170</t>
        </is>
      </c>
      <c r="B1171" t="inlineStr">
        <is>
          <t>Windshield Wiper Motor</t>
        </is>
      </c>
      <c r="C1171" t="inlineStr">
        <is>
          <t>85-1512</t>
        </is>
      </c>
      <c r="D1171" t="inlineStr">
        <is>
          <t>Windshield Wiper Motor - 85-1512</t>
        </is>
      </c>
      <c r="E1171" t="inlineStr">
        <is>
          <t>CARDONE New</t>
        </is>
      </c>
      <c r="F1171" t="inlineStr">
        <is>
          <t>2018203642;2018206142</t>
        </is>
      </c>
      <c r="G1171" t="inlineStr">
        <is>
          <t>Mercedes-Benz 190D 1984-1989
Mercedes-Benz 190E 1984-1993</t>
        </is>
      </c>
      <c r="H1171" t="inlineStr">
        <is>
          <t>Mercedes-Benz 190D 1984-1985 2.2L L4 2197cc
Mercedes-Benz 190D 1986-1989 2.5L L5 2497cc
Mercedes-Benz 190E 1984-1993 2.3L L4 2299cc
Mercedes-Benz 190E 1987-1993 2.6L L6 2599cc</t>
        </is>
      </c>
      <c r="I1171" t="inlineStr">
        <is>
          <t>{"0": {"productDeskExternalKey": "CNRD|85-1512"}, "1": {"Package Contents": "Wiper Motor; Instruction Sheet"}, "2": {"E-Waste": "Yes"}, "3": {"Product Condition": "New"}, "4": {"Terminal Type": "Bullet"}, "5": {"Mounting Type": "Direct Bolt"}, "6": {"Weight PG": "3.9000"}, "7": {"Washer Pump Included": "No"}, "8": {"Part Type": "Windshield Wiper Motor"}, "9": {"Warranty Info": "Limited Lifetime"}, "10": {"Lifetime Warranty": "Yes"}, "11": {"Lifecycle Status": "Available to Order"}, "12": {"Application Summary": "Mercedes-Benz 190D 1989-84, 190E 1993-84"}, "13": {"ItemLevelGTIN": "00884548012325"}, "14": {"Mounting Hole Quantity": "3"}}</t>
        </is>
      </c>
      <c r="J1171" t="inlineStr">
        <is>
          <t>https://www.cardone.com/product/windshield-wiper-motor-85-1512</t>
        </is>
      </c>
      <c r="K1171">
        <f>DISPIMG("ID_148E0C05D81F442F887621D88F5B25C0",1)</f>
        <v/>
      </c>
      <c r="L1171" t="inlineStr">
        <is>
          <t>CNRD|85-1512</t>
        </is>
      </c>
      <c r="M1171" t="inlineStr">
        <is>
          <t>Wiper Motor; Instruction Sheet</t>
        </is>
      </c>
      <c r="N1171" t="inlineStr">
        <is>
          <t>Yes</t>
        </is>
      </c>
      <c r="O1171" t="inlineStr">
        <is>
          <t>New</t>
        </is>
      </c>
      <c r="P1171" t="inlineStr">
        <is>
          <t>3</t>
        </is>
      </c>
      <c r="Q1171" t="inlineStr">
        <is>
          <t>Bullet</t>
        </is>
      </c>
      <c r="R1171" t="inlineStr">
        <is>
          <t>Direct Bolt</t>
        </is>
      </c>
      <c r="S1171" t="inlineStr">
        <is>
          <t>3.9000</t>
        </is>
      </c>
      <c r="T1171" t="inlineStr">
        <is>
          <t>No</t>
        </is>
      </c>
      <c r="U1171" t="inlineStr">
        <is>
          <t>Limited Lifetime</t>
        </is>
      </c>
      <c r="V1171" t="inlineStr"/>
      <c r="W1171" t="inlineStr">
        <is>
          <t>Available to Order</t>
        </is>
      </c>
      <c r="X1171" t="inlineStr">
        <is>
          <t>Mercedes-Benz 190D 1989-84, 190E 1993-84</t>
        </is>
      </c>
      <c r="Y1171" t="inlineStr">
        <is>
          <t>00884548012325</t>
        </is>
      </c>
      <c r="Z1171" t="inlineStr"/>
      <c r="AA1171" t="inlineStr"/>
      <c r="AB1171" t="inlineStr"/>
      <c r="AC1171" t="inlineStr">
        <is>
          <t>Yes</t>
        </is>
      </c>
    </row>
    <row r="1172">
      <c r="A1172" t="inlineStr">
        <is>
          <t>1171</t>
        </is>
      </c>
      <c r="B1172" t="inlineStr">
        <is>
          <t>Windshield Wiper Motor</t>
        </is>
      </c>
      <c r="C1172" t="inlineStr">
        <is>
          <t>85-1513</t>
        </is>
      </c>
      <c r="D1172" t="inlineStr">
        <is>
          <t>Windshield Wiper Motor - 85-1513</t>
        </is>
      </c>
      <c r="E1172" t="inlineStr">
        <is>
          <t>CARDONE New</t>
        </is>
      </c>
      <c r="F1172" t="inlineStr">
        <is>
          <t>1248200708</t>
        </is>
      </c>
      <c r="G1172" t="inlineStr">
        <is>
          <t>Mercedes-Benz 260E 1987-1989
Mercedes-Benz 300CE 1988-1993
Mercedes-Benz 300D 1987-1993
Mercedes-Benz 300E 1986-1993
Mercedes-Benz 300TE 1988-1993
Mercedes-Benz 400E 1992-1993
Mercedes-Benz 500E 1992-1993
Mercedes-Benz E300 1995
Mercedes-Benz E320 1994-1995
Mercedes-Benz E420 1994-1995
Mercedes-Benz E500 1994</t>
        </is>
      </c>
      <c r="H1172" t="inlineStr">
        <is>
          <t>Mercedes-Benz 260E 1987-1989 2.6L L6 2599cc
Mercedes-Benz 300CE 1988-1992 3L L6 2962cc
Mercedes-Benz 300CE 1993 3.2L L6 3199cc
Mercedes-Benz 300D 1987 3L L6 2998cc
Mercedes-Benz 300D 1990-1993 2.5L L5 2497cc
Mercedes-Benz 300E 1986-1993 3L L6 2962cc
Mercedes-Benz 300E 1990-1992 2.6L L6 2599cc
Mercedes-Benz 300E 1993 2.8L L6 2799cc
Mercedes-Benz 300E 1993 3.2L L6 3199cc
Mercedes-Benz 300TE 1988-1993 3L L6 2962cc
Mercedes-Benz 300TE 1993 3.2L L6 3199cc
Mercedes-Benz 400E 1992-1993 4.2L V8 4196cc
Mercedes-Benz 500E 1992-1993 5L V8 4973cc
Mercedes-Benz E300 1995 3L L6 2996cc
Mercedes-Benz E320 1994-1995 3.2L L6 3199cc
Mercedes-Benz E420 1994-1995 4.2L V8 4196cc
Mercedes-Benz E500 1994 5L V8 4973cc</t>
        </is>
      </c>
      <c r="I1172" t="inlineStr">
        <is>
          <t>{"0": {"productDeskExternalKey": "CNRD|85-1513"}, "1": {"Package Contents": "Wiper Motor; Instruction Manual"}, "2": {"E-Waste": "Yes"}, "3": {"Product Condition": "New"}, "4": {"Mounting Hole Quantity": "3"}, "5": {"Terminal Type": "Bullet"}, "6": {"Mounting Type": "Direct Bolt"}, "7": {"Weight PG": "3.3500"}, "8": {"Washer Pump Included": "No"}, "9": {"Part Type": "Windshield Wiper Motor"}, "10": {"Warranty Info": "Limited Lifetime"}, "11": {"Lifetime Warranty": "Yes"}, "12": {"Lifecycle Status": "Available to Order"}, "13": {"Application Summary": "Mercedes-Benz 260E 1989-87, 300CE 1993-88, 300D 1993-90 1987, 300E 1993-86, 300TE 1993-88, 400E 1993-92, 500E 1993-92, E300 1995, E320 1995-94, E420 1995-94, E500 1994"}, "14": {"ItemLevelGTIN": "00082617935272"}}</t>
        </is>
      </c>
      <c r="J1172" t="inlineStr">
        <is>
          <t>https://www.cardone.com/product/windshield-wiper-motor-85-1513</t>
        </is>
      </c>
      <c r="K1172">
        <f>DISPIMG("ID_2D8F2884FFD14F2498DF7F09E215100B",1)</f>
        <v/>
      </c>
      <c r="L1172" t="inlineStr">
        <is>
          <t>CNRD|85-1513</t>
        </is>
      </c>
      <c r="M1172" t="inlineStr">
        <is>
          <t>Wiper Motor; Instruction Manual</t>
        </is>
      </c>
      <c r="N1172" t="inlineStr">
        <is>
          <t>Yes</t>
        </is>
      </c>
      <c r="O1172" t="inlineStr">
        <is>
          <t>New</t>
        </is>
      </c>
      <c r="P1172" t="inlineStr">
        <is>
          <t>3</t>
        </is>
      </c>
      <c r="Q1172" t="inlineStr">
        <is>
          <t>Bullet</t>
        </is>
      </c>
      <c r="R1172" t="inlineStr">
        <is>
          <t>Direct Bolt</t>
        </is>
      </c>
      <c r="S1172" t="inlineStr">
        <is>
          <t>3.3500</t>
        </is>
      </c>
      <c r="T1172" t="inlineStr">
        <is>
          <t>No</t>
        </is>
      </c>
      <c r="U1172" t="inlineStr">
        <is>
          <t>Limited Lifetime</t>
        </is>
      </c>
      <c r="V1172" t="inlineStr"/>
      <c r="W1172" t="inlineStr">
        <is>
          <t>Available to Order</t>
        </is>
      </c>
      <c r="X1172" t="inlineStr">
        <is>
          <t>Mercedes-Benz 260E 1989-87, 300CE 1993-88, 300D 1993-90 1987, 300E 1993-86, 300TE 1993-88, 400E 1993-92, 500E 1993-92, E300 1995, E320 1995-94, E420 1995-94, E500 1994</t>
        </is>
      </c>
      <c r="Y1172" t="inlineStr">
        <is>
          <t>00082617935272</t>
        </is>
      </c>
      <c r="Z1172" t="inlineStr"/>
      <c r="AA1172" t="inlineStr"/>
      <c r="AB1172" t="inlineStr"/>
      <c r="AC1172" t="inlineStr">
        <is>
          <t>Yes</t>
        </is>
      </c>
    </row>
    <row r="1173">
      <c r="A1173" t="inlineStr">
        <is>
          <t>1172</t>
        </is>
      </c>
      <c r="B1173" t="inlineStr">
        <is>
          <t>Windshield Wiper Motor</t>
        </is>
      </c>
      <c r="C1173" t="inlineStr">
        <is>
          <t>85-1514</t>
        </is>
      </c>
      <c r="D1173" t="inlineStr">
        <is>
          <t>Windshield Wiper Motor - 85-1514</t>
        </is>
      </c>
      <c r="E1173" t="inlineStr">
        <is>
          <t>CARDONE New</t>
        </is>
      </c>
      <c r="F1173" t="inlineStr">
        <is>
          <t>2028205342</t>
        </is>
      </c>
      <c r="G1173" t="inlineStr">
        <is>
          <t>Mercedes-Benz C220 1994-1996
Mercedes-Benz C230 1997
Mercedes-Benz C280 1994-1997
Mercedes-Benz C36 AMG 1995-1997</t>
        </is>
      </c>
      <c r="H1173" t="inlineStr">
        <is>
          <t>Mercedes-Benz C220 1994-1996 2.2L L4 2199cc
Mercedes-Benz C230 1997 2.3L L4 2295cc
Mercedes-Benz C280 1994-1997 2.8L L6 2799cc
Mercedes-Benz C36 AMG 1995-1997 3.6L L6 3606cc</t>
        </is>
      </c>
      <c r="I1173" t="inlineStr">
        <is>
          <t>{"0": {"productDeskExternalKey": "CNRD|85-1514"}, "1": {"Package Contents": "Wiper Motor; Instruction Manual"}, "2": {"E-Waste": "Yes"}, "3": {"Product Condition": "New"}, "4": {"Mounting Hole Quantity": "3"}, "5": {"Terminal Type": "Bullet"}, "6": {"Mounting Type": "Direct Bolt"}, "7": {"Weight PG": "3.9000"}, "8": {"Washer Pump Included": "No"}, "9": {"Part Type": "Windshield Wiper Motor"}, "10": {"Warranty Info": "Limited Lifetime"}, "11": {"Lifetime Warranty": "Yes"}, "12": {"Lifecycle Status": "Available to Order"}, "13": {"Application Summary": "Mercedes-Benz C220 1996-94, C230 1997, C280 1997-94, C36 AMG 1997-95"}, "14": {"ItemLevelGTIN": "00082617748018"}}</t>
        </is>
      </c>
      <c r="J1173" t="inlineStr">
        <is>
          <t>https://www.cardone.com/product/windshield-wiper-motor-85-1514</t>
        </is>
      </c>
      <c r="K1173">
        <f>DISPIMG("ID_F45565D02E054CC8A649BEC1F4468AAF",1)</f>
        <v/>
      </c>
      <c r="L1173" t="inlineStr">
        <is>
          <t>CNRD|85-1514</t>
        </is>
      </c>
      <c r="M1173" t="inlineStr">
        <is>
          <t>Wiper Motor; Instruction Manual</t>
        </is>
      </c>
      <c r="N1173" t="inlineStr">
        <is>
          <t>Yes</t>
        </is>
      </c>
      <c r="O1173" t="inlineStr">
        <is>
          <t>New</t>
        </is>
      </c>
      <c r="P1173" t="inlineStr">
        <is>
          <t>3</t>
        </is>
      </c>
      <c r="Q1173" t="inlineStr">
        <is>
          <t>Bullet</t>
        </is>
      </c>
      <c r="R1173" t="inlineStr">
        <is>
          <t>Direct Bolt</t>
        </is>
      </c>
      <c r="S1173" t="inlineStr">
        <is>
          <t>3.9000</t>
        </is>
      </c>
      <c r="T1173" t="inlineStr">
        <is>
          <t>No</t>
        </is>
      </c>
      <c r="U1173" t="inlineStr">
        <is>
          <t>Limited Lifetime</t>
        </is>
      </c>
      <c r="V1173" t="inlineStr"/>
      <c r="W1173" t="inlineStr">
        <is>
          <t>Available to Order</t>
        </is>
      </c>
      <c r="X1173" t="inlineStr">
        <is>
          <t>Mercedes-Benz C220 1996-94, C230 1997, C280 1997-94, C36 AMG 1997-95</t>
        </is>
      </c>
      <c r="Y1173" t="inlineStr">
        <is>
          <t>00082617748018</t>
        </is>
      </c>
      <c r="Z1173" t="inlineStr"/>
      <c r="AA1173" t="inlineStr"/>
      <c r="AB1173" t="inlineStr"/>
      <c r="AC1173" t="inlineStr">
        <is>
          <t>Yes</t>
        </is>
      </c>
    </row>
    <row r="1174">
      <c r="A1174" t="inlineStr">
        <is>
          <t>1173</t>
        </is>
      </c>
      <c r="B1174" t="inlineStr">
        <is>
          <t>Windshield Wiper Motor</t>
        </is>
      </c>
      <c r="C1174" t="inlineStr">
        <is>
          <t>85-152</t>
        </is>
      </c>
      <c r="D1174" t="inlineStr">
        <is>
          <t>Windshield Wiper Motor - 85-152</t>
        </is>
      </c>
      <c r="E1174" t="inlineStr">
        <is>
          <t>CARDONE New</t>
        </is>
      </c>
      <c r="F1174" t="inlineStr"/>
      <c r="G1174" t="inlineStr">
        <is>
          <t>Chevrolet Corvette 1969-1972</t>
        </is>
      </c>
      <c r="H1174" t="inlineStr">
        <is>
          <t>Chevrolet Corvette 1969 7L V8 427cid
Chevrolet Corvette 1969-1972 5.7L V8 350cid
Chevrolet Corvette 1970-1972 7.4L V8 454cid</t>
        </is>
      </c>
      <c r="I1174" t="inlineStr">
        <is>
          <t>{"0": {"productDeskExternalKey": "CNRD|85-152"}, "1": {"Package Contents": "Wiper Motor; Instruction Manual; Nut; Alignment Tool"}, "2": {"E-Waste": "Yes"}, "3": {"Product Condition": "New"}, "4": {"Terminal Type": "Blade"}, "5": {"Mounting Type": "Eyelet; Grommet"}, "6": {"Weight PG": "6.4000"}, "7": {"Washer Pump Included": "No"}, "8": {"Part Type": "Windshield Wiper Motor"}, "9": {"Warranty Info": "Limited Lifetime"}, "10": {"Lifetime Warranty": "Yes"}, "11": {"Lifecycle Status": "Available to Order"}, "12": {"Application Summary": "Chevrolet Corvette 1972-69"}, "13": {"ItemLevelGTIN": "00884548176607"}}</t>
        </is>
      </c>
      <c r="J1174" t="inlineStr">
        <is>
          <t>https://www.cardone.com/product/windshield-wiper-motor-85-152</t>
        </is>
      </c>
      <c r="K1174">
        <f>DISPIMG("ID_DF7A0CE3C2B745B4941EC6B1B33DB1F6",1)</f>
        <v/>
      </c>
      <c r="L1174" t="inlineStr">
        <is>
          <t>CNRD|85-152</t>
        </is>
      </c>
      <c r="M1174" t="inlineStr">
        <is>
          <t>Wiper Motor; Instruction Manual; Nut; Alignment Tool</t>
        </is>
      </c>
      <c r="N1174" t="inlineStr">
        <is>
          <t>Yes</t>
        </is>
      </c>
      <c r="O1174" t="inlineStr">
        <is>
          <t>New</t>
        </is>
      </c>
      <c r="P1174" t="inlineStr"/>
      <c r="Q1174" t="inlineStr">
        <is>
          <t>Blade</t>
        </is>
      </c>
      <c r="R1174" t="inlineStr">
        <is>
          <t>Eyelet; Grommet</t>
        </is>
      </c>
      <c r="S1174" t="inlineStr">
        <is>
          <t>6.4000</t>
        </is>
      </c>
      <c r="T1174" t="inlineStr">
        <is>
          <t>No</t>
        </is>
      </c>
      <c r="U1174" t="inlineStr">
        <is>
          <t>Limited Lifetime</t>
        </is>
      </c>
      <c r="V1174" t="inlineStr"/>
      <c r="W1174" t="inlineStr">
        <is>
          <t>Available to Order</t>
        </is>
      </c>
      <c r="X1174" t="inlineStr">
        <is>
          <t>Chevrolet Corvette 1972-69</t>
        </is>
      </c>
      <c r="Y1174" t="inlineStr">
        <is>
          <t>00884548176607</t>
        </is>
      </c>
      <c r="Z1174" t="inlineStr"/>
      <c r="AA1174" t="inlineStr"/>
      <c r="AB1174" t="inlineStr"/>
      <c r="AC1174" t="inlineStr">
        <is>
          <t>Yes</t>
        </is>
      </c>
    </row>
    <row r="1175">
      <c r="A1175" t="inlineStr">
        <is>
          <t>1174</t>
        </is>
      </c>
      <c r="B1175" t="inlineStr">
        <is>
          <t>Windshield Wiper Motor</t>
        </is>
      </c>
      <c r="C1175" t="inlineStr">
        <is>
          <t>85-154</t>
        </is>
      </c>
      <c r="D1175" t="inlineStr">
        <is>
          <t>Windshield Wiper Motor - 85-154</t>
        </is>
      </c>
      <c r="E1175" t="inlineStr">
        <is>
          <t>CARDONE New</t>
        </is>
      </c>
      <c r="F1175" t="inlineStr">
        <is>
          <t>22048237;12368607</t>
        </is>
      </c>
      <c r="G1175" t="inlineStr">
        <is>
          <t>Chevrolet B60 1980-1982
Chevrolet P10 1979-1980
Chevrolet P20 1979-1989
Chevrolet P30 1979-1991
GMC B6000 1980-1982
GMC P1500 1979-1980
GMC P2500 1979-1989
GMC P3500 1979-1991
Jeep Cherokee 1974-1978
Jeep Wagoneer 1963-1978</t>
        </is>
      </c>
      <c r="H1175" t="inlineStr">
        <is>
          <t>Chevrolet B60 1980-1982 5.7L V8 350cid
Chevrolet B60 1980-1982 6L V8 366cid
Chevrolet B60 1980-1982 7L V8 427cid
Chevrolet B60 1981-1982 8.2L V8 501cid
Chevrolet P10 1979 5L V8 305cid
Chevrolet P10 1979-1980 4.8L L6 292cid
Chevrolet P20 1979 7.4L V8 454cid
Chevrolet P20 1979-1989 4.8L L6 292cid
Chevrolet P20 1979-1989 5.7L V8 350cid
Chevrolet P20 1982-1989 6.2L V8 379cid
Chevrolet P30 1979 4.1L L6 250cid
Chevrolet P30 1979-1989 4.8L L6 292cid
Chevrolet P30 1979-1991 5.7L V8 350cid
Chevrolet P30 1979-1991 7.4L V8 454cid
Chevrolet P30 1982-1991 6.2L V8 379cid
Chevrolet P30 1990-1991 3.9L L4 239cid
Chevrolet P30 1990-1991 4.3L V6 262cid
GMC B6000 1980-1982 5.7L V8 350cid
GMC B6000 1980-1982 6L V8 366cid
GMC B6000 1980-1982 7L V8 427cid
GMC B6000 1981-1982 8.2L V8 501cid
GMC P1500 1979 7.4L V8 454cid
GMC P1500 1979-1980 4.8L L6 292cid
GMC P2500 1979-1989 4.8L L6 292cid
GMC P2500 1979-1989 5.7L V8 350cid
GMC P2500 1982-1989 6.2L V8 379cid
GMC P3500 1979-1989 4.8L L6 292cid
GMC P3500 1979-1991 5.7L V8 350cid
GMC P3500 1979-1991 7.4L V8 454cid
GMC P3500 1982-1991 6.2L V8 379cid
GMC P3500 1989-1991 3.9L L4 239cid
GMC P3500 1990-1991 4.3L V6 262cid
Jeep Cherokee 1974-1978 4.2L L6 258cid
Jeep Cherokee 1974-1978 5.9L V8 360cid
Jeep Cherokee 1974-1978 6.6L V8 401cid
Jeep Wagoneer 1963-1967 3.8L L6 230cid
Jeep Wagoneer 1965-1968 5.3L V8 327cid
Jeep Wagoneer 1965-1971 3.8L L6 232cid
Jeep Wagoneer 1968-1971 5.7L V8 350cid
Jeep Wagoneer 1972 5L V8 304cid
Jeep Wagoneer 1972-1973 4.2L L6 258cid
Jeep Wagoneer 1972-1978 5.9L V8 360cid
Jeep Wagoneer 1974-1978 6.6L V8 401cid
Jeep Wagoneer 1975-1978 4.6L L6 282cid</t>
        </is>
      </c>
      <c r="I1175" t="inlineStr">
        <is>
          <t>{"0": {"productDeskExternalKey": "CNRD|85-154"}, "1": {"Package Contents": "Wiper Motor; Instruction Manual"}, "2": {"E-Waste": "Yes"}, "3": {"Product Condition": "New"}, "4": {"Mounting Hole Quantity": "3"}, "5": {"Terminal Type": "Blade"}, "6": {"Mounting Type": "Eyelet; Grommet"}, "7": {"Weight PG": "4.6000"}, "8": {"Washer Pump Included": "No"}, "9": {"Part Type": "Windshield Wiper Motor"}, "10": {"Warranty Info": "Limited Lifetime"}, "11": {"Lifetime Warranty": "Yes"}, "12": {"Lifecycle Status": "Available to Order"}, "13": {"Application Summary": "Chevrolet B60 1982-80, P10 1980-79, P20 1989-79, P30 1991-79; GMC B6000 1982-80, P1500 1980-79, P2500 1989-79, P3500 1991-79; Jeep Cherokee 1978-74, Wagoneer 1978-63"}, "14": {"ItemLevelGTIN": "00884548115606"}}</t>
        </is>
      </c>
      <c r="J1175" t="inlineStr">
        <is>
          <t>https://www.cardone.com/product/windshield-wiper-motor-85-154</t>
        </is>
      </c>
      <c r="K1175">
        <f>DISPIMG("ID_E5828FDC19E24C4EA76BF445062ADF3E",1)</f>
        <v/>
      </c>
      <c r="L1175" t="inlineStr">
        <is>
          <t>CNRD|85-154</t>
        </is>
      </c>
      <c r="M1175" t="inlineStr">
        <is>
          <t>Wiper Motor; Instruction Manual</t>
        </is>
      </c>
      <c r="N1175" t="inlineStr">
        <is>
          <t>Yes</t>
        </is>
      </c>
      <c r="O1175" t="inlineStr">
        <is>
          <t>New</t>
        </is>
      </c>
      <c r="P1175" t="inlineStr">
        <is>
          <t>3</t>
        </is>
      </c>
      <c r="Q1175" t="inlineStr">
        <is>
          <t>Blade</t>
        </is>
      </c>
      <c r="R1175" t="inlineStr">
        <is>
          <t>Eyelet; Grommet</t>
        </is>
      </c>
      <c r="S1175" t="inlineStr">
        <is>
          <t>4.6000</t>
        </is>
      </c>
      <c r="T1175" t="inlineStr">
        <is>
          <t>No</t>
        </is>
      </c>
      <c r="U1175" t="inlineStr">
        <is>
          <t>Limited Lifetime</t>
        </is>
      </c>
      <c r="V1175" t="inlineStr"/>
      <c r="W1175" t="inlineStr">
        <is>
          <t>Available to Order</t>
        </is>
      </c>
      <c r="X1175" t="inlineStr">
        <is>
          <t>Chevrolet B60 1982-80, P10 1980-79, P20 1989-79, P30 1991-79; GMC B6000 1982-80, P1500 1980-79, P2500 1989-79, P3500 1991-79; Jeep Cherokee 1978-74, Wagoneer 1978-63</t>
        </is>
      </c>
      <c r="Y1175" t="inlineStr">
        <is>
          <t>00884548115606</t>
        </is>
      </c>
      <c r="Z1175" t="inlineStr"/>
      <c r="AA1175" t="inlineStr"/>
      <c r="AB1175" t="inlineStr"/>
      <c r="AC1175" t="inlineStr">
        <is>
          <t>Yes</t>
        </is>
      </c>
    </row>
    <row r="1176">
      <c r="A1176" t="inlineStr">
        <is>
          <t>1175</t>
        </is>
      </c>
      <c r="B1176" t="inlineStr">
        <is>
          <t>Windshield Wiper Motor</t>
        </is>
      </c>
      <c r="C1176" t="inlineStr">
        <is>
          <t>85-155</t>
        </is>
      </c>
      <c r="D1176" t="inlineStr">
        <is>
          <t>Windshield Wiper Motor - 85-155</t>
        </is>
      </c>
      <c r="E1176" t="inlineStr">
        <is>
          <t>CARDONE New</t>
        </is>
      </c>
      <c r="F1176" t="inlineStr"/>
      <c r="G1176" t="inlineStr">
        <is>
          <t>Chevrolet Blazer 1969-1972
Chevrolet C10 Panel 1963-1967
Chevrolet C10 Pickup 1963-1972
Chevrolet C10 Suburban 1967-1972
Chevrolet C20 Panel 1967
Chevrolet C20 Pickup 1963-1972
Chevrolet C20 Suburban 1967-1972
Chevrolet C30 Pickup 1963-1972
Chevrolet G10 Van 1964-1969
Chevrolet G20 Van 1967-1969
Chevrolet K10 Pickup 1963-1972
Chevrolet K10 Suburban 1967-1972
Chevrolet K20 Panel 1967
Chevrolet K20 Pickup 1963-1972
Chevrolet K20 Suburban 1967-1972
Chevrolet K30 Pickup 1968-1972
Chevrolet P10 Series 1963-1967
Chevrolet P10 Van 1967-1972
Chevrolet P20 Series 1963-1967
Chevrolet P20 Van 1968-1972
Chevrolet P30 Series 1963-1967
Chevrolet P30 Van 1968-1972
Chevrolet Suburban 1963-1966
GMC 1000 Series 1963-1965
GMC 1500 Series 1963-1965
GMC 2500 Series 1963
GMC C15/C1500 Pickup 1967-1972
GMC C15/C1500 Suburban 1967-1972
GMC C25/C2500 Pickup 1967-1972
GMC C25/C2500 Suburban 1967-1972
GMC C35/C3500 Pickup 1967-1972
GMC G1000 Series 1964-1966
GMC G15/G1500 Van 1967-1969
GMC G25/G2500 Van 1967-1969
GMC I1500 1966
GMC I2500 1966
GMC Jimmy 1970-1972
GMC K15/K1500 Pickup 1966-1972
GMC K15/K1500 Suburban 1967-1972
GMC K25/K2500 Pickup 1967-1972
GMC K25/K2500 Suburban 1967-1972
GMC K35/K3500 Pickup 1968-1972
GMC P15/P1500 Van 1967-1972
GMC P25/P2500 Van 1967-1972
GMC P35/P3500 Van 1967-1972
GMC PB1000 Series 1963-1965
GMC PB15 Series 1966
GMC PB25 Series 1966
GMC PB2500 Series 1963
GMC Suburban 1963-1966
Jeep Cherokee 1974-1978
Jeep Commando 1968-1973
Jeep J-100 1963-1971
Jeep J-2500 1965-1973
Jeep J-2600 1968-1973
Jeep J-2700 1968-1970
Jeep J-2800 1968
Jeep J-3500 1968-1970
Jeep J-3600 1968-1970
Jeep J-3700 1968-1970
Jeep J-3800 1968-1970
Jeep J10 1974-1978
Jeep J20 1974-1978
Jeep Jeepster 1966-1971
Jeep Wagoneer 1963-1978</t>
        </is>
      </c>
      <c r="H1176" t="inlineStr">
        <is>
          <t>Chevrolet Blazer 1969-1972 4.1L L6 250cid
Chevrolet Blazer 1969-1972 4.8L L6 292cid
Chevrolet Blazer 1969-1972 5.7L V8 350cid
Chevrolet Blazer 1969-1972 5L V8 307cid
Chevrolet C10 Panel 1963-1965 3.8L L6 230cid
Chevrolet C10 Panel 1966-1967 4.1L L6 250cid
Chevrolet C10 Pickup 1963-1967 4.6L V8 283cid
Chevrolet C10 Pickup 1963-1969 3.8L L6 230cid
Chevrolet C10 Pickup 1963-1972 4.8L L6 292cid
Chevrolet C10 Pickup 1966-1969 5.3L V8 327cid
Chevrolet C10 Pickup 1966-1972 4.1L L6 250cid
Chevrolet C10 Pickup 1968 5.4L V8 327cid
Chevrolet C10 Pickup 1968-1969 6.5L V8 396cid
Chevrolet C10 Pickup 1968-1972 5L V8 307cid
Chevrolet C10 Pickup 1969-1972 5.7L V8 350cid
Chevrolet C10 Pickup 1970-1972 6.6L V8 402cid
Chevrolet C10 Suburban 1967 4.6L V8 283cid
Chevrolet C10 Suburban 1967-1969 5.3L V8 327cid
Chevrolet C10 Suburban 1967-1972 4.1L L6 250cid
Chevrolet C10 Suburban 1967-1972 4.8L L6 292cid
Chevrolet C10 Suburban 1968 5.4L V8 327cid
Chevrolet C10 Suburban 1968-1969 6.5L V8 396cid
Chevrolet C10 Suburban 1968-1972 5L V8 307cid
Chevrolet C10 Suburban 1969-1972 5.7L V8 350cid
Chevrolet C10 Suburban 1970-1972 6.6L V8 402cid
Chevrolet C20 Panel 1967 4.1L L6 250cid
Chevrolet C20 Pickup 1963-1965 3.8L L6 230cid
Chevrolet C20 Pickup 1963-1967 4.6L V8 283cid
Chevrolet C20 Pickup 1963-1972 4.8L L6 292cid
Chevrolet C20 Pickup 1966-1969 5.3L V8 327cid
Chevrolet C20 Pickup 1966-1972 4.1L L6 250cid
Chevrolet C20 Pickup 1968 5.4L V8 327cid
Chevrolet C20 Pickup 1968-1969 6.5L V8 396cid
Chevrolet C20 Pickup 1968-1972 5L V8 307cid
Chevrolet C20 Pickup 1969-1972 5.7L V8 350cid
Chevrolet C20 Pickup 1970-1972 6.6L V8 402cid
Chevrolet C20 Suburban 1967 4.6L V8 283cid
Chevrolet C20 Suburban 1967-1969 5.3L V8 327cid
Chevrolet C20 Suburban 1967-1972 4.1L L6 250cid
Chevrolet C20 Suburban 1967-1972 4.8L L6 292cid
Chevrolet C20 Suburban 1968-1969 6.5L V8 396cid
Chevrolet C20 Suburban 1968-1972 5L V8 307cid
Chevrolet C20 Suburban 1969-1972 5.7L V8 350cid
Chevrolet C20 Suburban 1970-1972 6.6L V8 402cid
Chevrolet C30 Pickup 1963-1965 3.8L L6 230cid
Chevrolet C30 Pickup 1963-1967 4.6L V8 283cid
Chevrolet C30 Pickup 1963-1972 4.8L L6 292cid
Chevrolet C30 Pickup 1966-1969 5.3L V8 327cid
Chevrolet C30 Pickup 1966-1972 4.1L L6 250cid
Chevrolet C30 Pickup 1968 5.4L V8 327cid
Chevrolet C30 Pickup 1968-1969 6.5L V8 396cid
Chevrolet C30 Pickup 1968-1972 5L V8 307cid
Chevrolet C30 Pickup 1969-1972 5.7L V8 350cid
Chevrolet C30 Pickup 1970-1972 6.6L V8 402cid
Chevrolet G10 Van 1964-1965 2.5L L4 153cid
Chevrolet G10 Van 1964-1966 3.2L L6 194cid
Chevrolet G10 Van 1966-1969 3.8L L6 230cid
Chevrolet G10 Van 1967-1969 4.1L L6 250cid
Chevrolet G10 Van 1968-1969 5L V8 307cid
Chevrolet G20 Van 1967 4.6L V8 283cid
Chevrolet G20 Van 1967-1969 3.8L L6 230cid
Chevrolet G20 Van 1967-1969 4.1L L6 250cid
Chevrolet G20 Van 1968-1969 5L V8 307cid
Chevrolet K10 Pickup 1963-1967 4.6L V8 283cid
Chevrolet K10 Pickup 1963-1969 3.8L L6 230cid
Chevrolet K10 Pickup 1963-1972 4.8L L6 292cid
Chevrolet K10 Pickup 1966-1969 5.3L V8 327cid
Chevrolet K10 Pickup 1966-1972 4.1L L6 250cid
Chevrolet K10 Pickup 1968 5.4L V8 327cid
Chevrolet K10 Pickup 1968-1969 6.5L V8 396cid
Chevrolet K10 Pickup 1968-1972 5L V8 307cid
Chevrolet K10 Pickup 1969-1972 5.7L V8 350cid
Chevrolet K10 Pickup 1970-1972 6.6L V8 402cid
Chevrolet K10 Suburban 1967 4.6L V8 283cid
Chevrolet K10 Suburban 1967-1969 5.3L V8 327cid
Chevrolet K10 Suburban 1967-1970 4.8L L6 292cid
Chevrolet K10 Suburban 1967-1972 4.1L L6 250cid
Chevrolet K10 Suburban 1968 5.4L V8 327cid
Chevrolet K10 Suburban 1968-1969 6.5L V8 396cid
Chevrolet K10 Suburban 1968-1972 5L V8 307cid
Chevrolet K10 Suburban 1969-1972 5.7L V8 350cid
Chevrolet K10 Suburban 1970-1972 6.6L V8 402cid
Chevrolet K20 Panel 1967 4.1L L6 250cid
Chevrolet K20 Panel 1967 4.6L V8 283cid
Chevrolet K20 Panel 1967 5.4L V8 327cid
Chevrolet K20 Pickup 1963 3.8L L6 235cid
Chevrolet K20 Pickup 1963-1965 3.8L L6 230cid
Chevrolet K20 Pickup 1963-1967 4.6L V8 283cid
Chevrolet K20 Pickup 1963-1972 4.8L L6 292cid
Chevrolet K20 Pickup 1966-1969 5.3L V8 327cid
Chevrolet K20 Pickup 1966-1972 4.1L L6 250cid
Chevrolet K20 Pickup 1968 5.4L V8 327cid
Chevrolet K20 Pickup 1968-1969 6.5L V8 396cid
Chevrolet K20 Pickup 1968-1972 5L V8 307cid
Chevrolet K20 Pickup 1969-1972 5.7L V8 350cid
Chevrolet K20 Pickup 1970-1972 6.6L V8 402cid
Chevrolet K20 Suburban 1967 4.6L V8 283cid
Chevrolet K20 Suburban 1967-1969 5.3L V8 327cid
Chevrolet K20 Suburban 1967-1972 4.1L L6 250cid
Chevrolet K20 Suburban 1967-1972 4.8L L6 292cid
Chevrolet K20 Suburban 1968 5.4L V8 327cid
Chevrolet K20 Suburban 1968-1969 6.5L V8 396cid
Chevrolet K20 Suburban 1968-1972 5L V8 307cid
Chevrolet K20 Suburban 1969-1972 5.7L V8 350cid
Chevrolet K20 Suburban 1970-1972 6.6L V8 402cid
Chevrolet K30 Pickup 1968 5.4L V8 327cid
Chevrolet K30 Pickup 1968-1969 5.3L V8 327cid
Chevrolet K30 Pickup 1968-1969 6.5L V8 396cid
Chevrolet K30 Pickup 1968-1972 4.1L L6 250cid
Chevrolet K30 Pickup 1968-1972 4.8L L6 292cid
Chevrolet K30 Pickup 1968-1972 5L V8 307cid
Chevrolet K30 Pickup 1969-1972 5.7L V8 350cid
Chevrolet K30 Pickup 1970-1972 6.6L V8 402cid
Chevrolet P10 Series 1963-1965 2.5L L4 153cid
Chevrolet P10 Series 1963-1967 3.8L L6 230cid
Chevrolet P10 Series 1966 3.2L L6 194cid
Chevrolet P10 Series 1966-1967 4.1L L6 250cid
Chevrolet P10 Series 1967 4.8L L6 292cid
Chevrolet P10 Van 1967
Chevrolet P10 Van 1968-1969 3.8L L6 230cid
Chevrolet P10 Van 1968-1972 4.1L L6 250cid
Chevrolet P20 Series 1963-1965 3.8L L6 230cid
Chevrolet P20 Series 1963-1967 4.8L L6 292cid
Chevrolet P20 Series 1966-1967 2.6L L3 159cid
Chevrolet P20 Series 1966-1967 4.1L L6 250cid
Chevrolet P20 Van 1968-1969 5L V8 307cid
Chevrolet P20 Van 1968-1972 4.8L L6 292cid
Chevrolet P20 Van 1970-1971 7.4L V8 454cid
Chevrolet P20 Van 1970-1972 4.1L L6 250cid
Chevrolet P20 Van 1970-1972 5.7L V8 350cid
Chevrolet P30 Series 1963-1965 3.8L L6 230cid
Chevrolet P30 Series 1963-1965 5.7L V8 348cid
Chevrolet P30 Series 1963-1965 6.7L V8 409cid
Chevrolet P30 Series 1963-1967 4.8L L6 292cid
Chevrolet P30 Series 1965-1967 2.6L L3 159cid
Chevrolet P30 Series 1966-1967 4.1L L6 250cid
Chevrolet P30 Van 1968-1969 5L V8 307cid
Chevrolet P30 Van 1968-1970 2.6L L3 159cid
Chevrolet P30 Van 1968-1972 4.8L L6 292cid
Chevrolet P30 Van 1970-1971 7.4L V8 454cid
Chevrolet P30 Van 1970-1972 4.1L L6 250cid
Chevrolet P30 Van 1970-1972 5.7L V8 350cid
Chevrolet P30 Van 1972 6.6L V8 402cid
Chevrolet Suburban 1963-1966 3.8L L6 230cid
Chevrolet Suburban 1963-1966 4.6L V8 283cid
Chevrolet Suburban 1963-1966 4.8L L6 292cid
Chevrolet Suburban 1966 4.1L L6 250cid
Chevrolet Suburban 1966 5.3L V8 327cid
GMC 1000 Series 1963 4.6L V8 283cid
GMC 1000 Series 1963-1965 3.8L L6 230cid
GMC 1000 Series 1963-1965 4.8L L6 292cid
GMC 1000 Series 1963-1965 5L V6 305cid
GMC 1000 Series 1965 5.7L V6 351cid
GMC 1500 Series 1963 4.6L V8 283cid
GMC 1500 Series 1963-1965 3.8L L6 230cid
GMC 1500 Series 1963-1965 4.8L L6 292cid
GMC 1500 Series 1963-1965 5L V6 305cid
GMC 1500 Series 1965 5.7L V6 351cid
GMC 2500 Series 1963 3.8L L6 230cid
GMC 2500 Series 1963 4.6L V8 283cid
GMC 2500 Series 1963 4.8L L6 292cid
GMC 2500 Series 1963 5L V6 305cid
GMC C15/C1500 Pickup 1967 4.6L V8 283cid
GMC C15/C1500 Pickup 1967-1968 5.3L V8 327cid
GMC C15/C1500 Pickup 1967-1968 5.7L V6 351cid
GMC C15/C1500 Pickup 1967-1969 3.8L L6 230cid
GMC C15/C1500 Pickup 1967-1969 5L V6 305cid
GMC C15/C1500 Pickup 1967-1972 4.1L L6 250cid
GMC C15/C1500 Pickup 1967-1972 4.8L L6 292cid
GMC C15/C1500 Pickup 1968 5.4L V8 327cid
GMC C15/C1500 Pickup 1968-1969 6.5L V8 396cid
GMC C15/C1500 Pickup 1968-1972 5L V8 307cid
GMC C15/C1500 Pickup 1969-1972 5.7L V8 350cid
GMC C15/C1500 Pickup 1970-1972 6.6L V8 402cid
GMC C15/C1500 Suburban 1967 4.6L V8 283cid
GMC C15/C1500 Suburban 1967-1968 5.3L V8 327cid
GMC C15/C1500 Suburban 1967-1968 5.7L V6 351cid
GMC C15/C1500 Suburban 1967-1969 5L V6 305cid
GMC C15/C1500 Suburban 1967-1972 4.1L L6 250cid
GMC C15/C1500 Suburban 1967-1972 4.8L L6 292cid
GMC C15/C1500 Suburban 1968 5.4L V8 327cid
GMC C15/C1500 Suburban 1968-1969 6.5L V8 396cid
GMC C15/C1500 Suburban 1968-1972 5L V8 307cid
GMC C15/C1500 Suburban 1969-1972 5.7L V8 350cid
GMC C15/C1500 Suburban 1970-1972 6.6L V8 402cid
GMC C25/C2500 Pickup 1967 4.6L V8 283cid
GMC C25/C2500 Pickup 1967-1968 5.3L V8 327cid
GMC C25/C2500 Pickup 1967-1968 5.7L V6 351cid
GMC C25/C2500 Pickup 1967-1969 5L V6 305cid
GMC C25/C2500 Pickup 1967-1972 4.1L L6 250cid
GMC C25/C2500 Pickup 1967-1972 4.8L L6 292cid
GMC C25/C2500 Pickup 1968 5.4L V8 327cid
GMC C25/C2500 Pickup 1968-1969 6.5L V8 396cid
GMC C25/C2500 Pickup 1968-1972 5L V8 307cid
GMC C25/C2500 Pickup 1969-1972 5.7L V8 350cid
GMC C25/C2500 Pickup 1970-1972 6.6L V8 402cid
GMC C25/C2500 Suburban 1967 4.6L V8 283cid
GMC C25/C2500 Suburban 1967-1968 5.3L V8 327cid
GMC C25/C2500 Suburban 1967-1968 5.7L V6 351cid
GMC C25/C2500 Suburban 1967-1969 5L V6 305cid
GMC C25/C2500 Suburban 1967-1972 4.1L L6 250cid
GMC C25/C2500 Suburban 1967-1972 4.8L L6 292cid
GMC C25/C2500 Suburban 1968 5.4L V8 327cid
GMC C25/C2500 Suburban 1968-1969 6.5L V8 396cid
GMC C25/C2500 Suburban 1968-1972 5L V8 307cid
GMC C25/C2500 Suburban 1969-1972 5.7L V8 350cid
GMC C25/C2500 Suburban 1970-1972 6.6L V8 402cid
GMC C35/C3500 Pickup 1967 4.6L V8 283cid
GMC C35/C3500 Pickup 1967-1968 5.3L V8 327cid
GMC C35/C3500 Pickup 1967-1968 5.7L V6 351cid
GMC C35/C3500 Pickup 1967-1969 5L V6 305cid
GMC C35/C3500 Pickup 1967-1972 4.1L L6 250cid
GMC C35/C3500 Pickup 1967-1972 4.8L L6 292cid
GMC C35/C3500 Pickup 1968 5.4L V8 327cid
GMC C35/C3500 Pickup 1968-1969 6.5L V8 396cid
GMC C35/C3500 Pickup 1968-1972 5L V8 307cid
GMC C35/C3500 Pickup 1969-1972 5.7L V8 350cid
GMC C35/C3500 Pickup 1970-1972 6.6L V8 402cid
GMC G1000 Series 1964-1966 2.5L L4 153cid
GMC G1000 Series 1964-1966 3.2L L6 194cid
GMC G1000 Series 1964-1966 3.8L L6 230cid
GMC G15/G1500 Van 1967 4.6L V8 283cid
GMC G15/G1500 Van 1967 5.4L V8 327cid
GMC G15/G1500 Van 1967-1969 3.8L L6 230cid
GMC G15/G1500 Van 1967-1969 4.1L L6 250cid
GMC G15/G1500 Van 1968-1969 5L V8 307cid
GMC G25/G2500 Van 1967 4.6L V8 283cid
GMC G25/G2500 Van 1967 5.4L V8 327cid
GMC G25/G2500 Van 1967-1969 3.8L L6 230cid
GMC G25/G2500 Van 1967-1969 4.1L L6 250cid
GMC G25/G2500 Van 1968-1969 5L V8 307cid
GMC I1500 1966 4.1L L6 250cid
GMC I2500 1966 4.1L L6 250cid
GMC Jimmy 1970-1972 4.1L L6 250cid
GMC Jimmy 1970-1972 4.8L L6 292cid
GMC Jimmy 1970-1972 5.7L V8 350cid
GMC Jimmy 1970-1972 5L V8 307cid
GMC K15/K1500 Pickup 1966-1968 5.7L V6 351cid
GMC K15/K1500 Pickup 1966-1969 5L V6 305cid
GMC K15/K1500 Pickup 1967 4.6L V8 283cid
GMC K15/K1500 Pickup 1967-1968 5.3L V8 327cid
GMC K15/K1500 Pickup 1967-1969 3.8L L6 230cid
GMC K15/K1500 Pickup 1967-1972 4.1L L6 250cid
GMC K15/K1500 Pickup 1967-1972 4.8L L6 292cid
GMC K15/K1500 Pickup 1968 5.4L V8 327cid
GMC K15/K1500 Pickup 1968-1969 6.5L V8 396cid
GMC K15/K1500 Pickup 1968-1972 5L V8 307cid
GMC K15/K1500 Pickup 1969-1972 5.7L V8 350cid
GMC K15/K1500 Pickup 1970-1972 6.6L V8 402cid
GMC K15/K1500 Suburban 1967 4.6L V8 283cid
GMC K15/K1500 Suburban 1967-1968 5.3L V8 327cid
GMC K15/K1500 Suburban 1967-1968 5.7L V6 351cid
GMC K15/K1500 Suburban 1967-1969 5L V6 305cid
GMC K15/K1500 Suburban 1967-1971 4.8L L6 292cid
GMC K15/K1500 Suburban 1967-1972 4.1L L6 250cid
GMC K15/K1500 Suburban 1968 5.4L V8 327cid
GMC K15/K1500 Suburban 1968-1969 6.5L V8 396cid
GMC K15/K1500 Suburban 1968-1972 5L V8 307cid
GMC K15/K1500 Suburban 1969-1972 5.7L V8 350cid
GMC K15/K1500 Suburban 1970-1972 6.6L V8 402cid
GMC K25/K2500 Pickup 1967 4.6L V8 283cid
GMC K25/K2500 Pickup 1967-1968 5.3L V8 327cid
GMC K25/K2500 Pickup 1967-1968 5.7L V6 351cid
GMC K25/K2500 Pickup 1967-1969 5L V6 305cid
GMC K25/K2500 Pickup 1967-1972 4.1L L6 250cid
GMC K25/K2500 Pickup 1967-1972 4.8L L6 292cid
GMC K25/K2500 Pickup 1968 5.4L V8 327cid
GMC K25/K2500 Pickup 1968-1969 6.5L V8 396cid
GMC K25/K2500 Pickup 1968-1972 5L V8 307cid
GMC K25/K2500 Pickup 1969-1972 5.7L V8 350cid
GMC K25/K2500 Pickup 1970-1972 6.6L V8 402cid
GMC K25/K2500 Suburban 1967 4.6L V8 283cid
GMC K25/K2500 Suburban 1967-1968 5.3L V8 327cid
GMC K25/K2500 Suburban 1967-1968 5.7L V6 351cid
GMC K25/K2500 Suburban 1967-1969 5L V6 305cid
GMC K25/K2500 Suburban 1967-1972 4.1L L6 250cid
GMC K25/K2500 Suburban 1967-1972 4.8L L6 292cid
GMC K25/K2500 Suburban 1968 5.4L V8 327cid
GMC K25/K2500 Suburban 1968-1969 6.5L V8 396cid
GMC K25/K2500 Suburban 1968-1972 5L V8 307cid
GMC K25/K2500 Suburban 1969-1972 5.7L V8 350cid
GMC K25/K2500 Suburban 1970-1972 6.6L V8 402cid
GMC K35/K3500 Pickup 1968 5.3L V8 327cid
GMC K35/K3500 Pickup 1968 5.4L V8 327cid
GMC K35/K3500 Pickup 1968 5.7L V6 351cid
GMC K35/K3500 Pickup 1968-1969 5L V6 305cid
GMC K35/K3500 Pickup 1968-1969 6.5L V8 396cid
GMC K35/K3500 Pickup 1968-1972 4.1L L6 250cid
GMC K35/K3500 Pickup 1968-1972 4.8L L6 292cid
GMC K35/K3500 Pickup 1968-1972 5L V8 307cid
GMC K35/K3500 Pickup 1969-1972 5.7L V8 350cid
GMC K35/K3500 Pickup 1970-1972 6.6L V8 402cid
GMC P15/P1500 Van 1967 4.6L V8 283cid
GMC P15/P1500 Van 1967 4.8L L6 292cid
GMC P15/P1500 Van 1967-1969 3.8L L6 230cid
GMC P15/P1500 Van 1968-1972 4.1L L6 250cid
GMC P15/P1500 Van 1970-1972 5L V8 307cid
GMC P15/P1500 Van 1971-1972 6.6L V8 400cid
GMC P25/P2500 Van 1967 4.6L V8 283cid
GMC P25/P2500 Van 1967-1969 2.6L L3 159cid
GMC P25/P2500 Van 1967-1972 4.1L L6 250cid
GMC P25/P2500 Van 1967-1972 4.8L L6 292cid
GMC P25/P2500 Van 1968-1972 5L V8 307cid
GMC P25/P2500 Van 1970-1971 7.4L V8 454cid
GMC P25/P2500 Van 1970-1972 5.7L V8 350cid
GMC P25/P2500 Van 1971-1972 6.6L V8 400cid
GMC P35/P3500 Van 1967 4.6L V8 283cid
GMC P35/P3500 Van 1967-1969 2.6L L3 159cid
GMC P35/P3500 Van 1967-1972 4.1L L6 250cid
GMC P35/P3500 Van 1967-1972 4.8L L6 292cid
GMC P35/P3500 Van 1968-1972 5L V8 307cid
GMC P35/P3500 Van 1970-1971 7.4L V8 454cid
GMC P35/P3500 Van 1970-1972 5.7L V8 350cid
GMC P35/P3500 Van 1971-1972 6.6L V8 400cid
GMC PB1000 Series 1963-1965 2.5L L4 153cid
GMC PB1000 Series 1963-1965 3.8L L6 230cid
GMC PB15 Series 1966 4.1L L6 250cid
GMC PB15 Series 1966 4.8L L6 292cid
GMC PB25 Series 1966 4.1L L6 250cid
GMC PB25 Series 1966 4.8L L6 292cid
GMC PB2500 Series 1963 3.8L L6 230cid
GMC Suburban 1963-1965 4.6L V8 283cid
GMC Suburban 1963-1966 2.5L L4 153cid
GMC Suburban 1963-1966 3.8L L6 230cid
GMC Suburban 1963-1966 4.8L L6 292cid
GMC Suburban 1963-1966 5L V6 305cid
GMC Suburban 1965-1966 5.7L V6 351cid
GMC Suburban 1966 4.1L L6 250cid
Jeep Cherokee 1974-1978 4.2L L6 258cid
Jeep Cherokee 1974-1978 5.9L V8 360cid
Jeep Cherokee 1974-1978 6.6L V8 401cid
Jeep Commando 1968-1971 3.7L V6 225cid
Jeep Commando 1968-1973 2.2L L4 134cid
Jeep Commando 1972-1973 3.8L L6 232cid
Jeep Commando 1972-1973 4.2L L6 258cid
Jeep Commando 1972-1973 5L V8 304cid
Jeep J-100 1963-1967
Jeep J-100 1963-1967 3.8L L6 230cid
Jeep J-100 1965-1968 5.3L V8 327cid
Jeep J-100 1965-1971 3.8L L6 232cid
Jeep J-100 1968 5.4L V8 327cid
Jeep J-100 1968-1971 5.7L V8 350cid
Jeep J-100 1971 4.2L L6 258cid
Jeep J-100 1971 5.9L V8 360cid
Jeep J-100 1971 5L V8 304cid
Jeep J-2500 1965-1967
Jeep J-2500 1965-1967 3.8L L6 230cid
Jeep J-2500 1965-1970 5.3L V8 327cid
Jeep J-2500 1965-1971 3.8L L6 232cid
Jeep J-2500 1968 5.4L V8 327cid
Jeep J-2500 1969-1971 5.7L V8 350cid
Jeep J-2500 1970-1973 5.9L V8 360cid
Jeep J-2500 1971-1972 5L V8 304cid
Jeep J-2500 1971-1973 4.2L L6 258cid
Jeep J-2600 1968 5.4L V8 327cid
Jeep J-2600 1968-1970 3.8L L6 232cid
Jeep J-2600 1968-1970 5.3L V8 327cid
Jeep J-2600 1969-1970 5.7L V8 350cid
Jeep J-2600 1970-1973 5.9L V8 360cid
Jeep J-2600 1972 5L V8 304cid
Jeep J-2600 1972-1973 4.2L L6 258cid
Jeep J-2700 1968 5.4L V8 327cid
Jeep J-2700 1968-1970 3.8L L6 232cid
Jeep J-2700 1968-1970 5.3L V8 327cid
Jeep J-2700 1969-1970 5.7L V8 350cid
Jeep J-2800 1968 3.8L L6 232cid
Jeep J-2800 1968 5.3L V8 327cid
Jeep J-2800 1968 5.4L V8 327cid
Jeep J-3500 1968 5.4L V8 327cid
Jeep J-3500 1968-1970 3.8L L6 232cid
Jeep J-3500 1968-1970 5.3L V8 327cid
Jeep J-3500 1969-1970 5.7L V8 350cid
Jeep J-3600 1968 5.4L V8 327cid
Jeep J-3600 1968-1970 3.8L L6 232cid
Jeep J-3600 1968-1970 5.3L V8 327cid
Jeep J-3600 1969-1970 5.7L V8 350cid
Jeep J-3700 1968 5.4L V8 327cid
Jeep J-3700 1968-1970 3.8L L6 232cid
Jeep J-3700 1968-1970 5.3L V8 327cid
Jeep J-3700 1969-1970 5.7L V8 350cid
Jeep J-3800 1968 5.4L V8 327cid
Jeep J-3800 1968-1970 3.8L L6 232cid
Jeep J-3800 1968-1970 5.3L V8 327cid
Jeep J-3800 1969-1970 5.7L V8 350cid
Jeep J-3800 1970 5.9L V8 360cid
Jeep J10 1974-1978 4.2L L6 258cid
Jeep J10 1974-1978 5.9L V8 360cid
Jeep J10 1974-1978 6.6L V8 401cid
Jeep J10 1975-1978 4.6L L6 282cid
Jeep J20 1974-1976 4.2L L6 258cid
Jeep J20 1974-1978 5.9L V8 360cid
Jeep J20 1974-1978 6.6L V8 401cid
Jeep Jeepster 1966-1971 2.2L L4 134cid
Jeep Jeepster 1966-1971 3.7L V6 225cid
Jeep Wagoneer 1963-1967 3.8L L6 230cid
Jeep Wagoneer 1965-1968 5.3L V8 327cid
Jeep Wagoneer 1965-1971 3.8L L6 232cid
Jeep Wagoneer 1968-1971 5.7L V8 350cid
Jeep Wagoneer 1972 5L V8 304cid
Jeep Wagoneer 1972-1973 4.2L L6 258cid
Jeep Wagoneer 1972-1978 5.9L V8 360cid
Jeep Wagoneer 1974-1978 6.6L V8 401cid
Jeep Wagoneer 1975-1978 4.6L L6 282cid</t>
        </is>
      </c>
      <c r="I1176" t="inlineStr">
        <is>
          <t>{"0": {"productDeskExternalKey": "CNRD|85-155"}, "1": {"Package Contents": "Wiper Motor; Instruction Manual"}, "2": {"E-Waste": "Yes"}, "3": {"Product Condition": "New"}, "4": {"Mounting Hole Quantity": "3"}, "5": {"Terminal Type": "Blade"}, "6": {"Mounting Type": "Eyelet; Grommet"}, "7": {"Weight PG": "4.6000"}, "8": {"Washer Pump Included": "No"}, "9": {"Part Type": "Windshield Wiper Motor"}, "10": {"Warranty Info": "Limited Lifetime"}, "11": {"Lifetime Warranty": "Yes"}, "12": {"Lifecycle Status": "Available to Order"}, "13": {"ItemLevelGTIN": "00884548115613"}}</t>
        </is>
      </c>
      <c r="J1176" t="inlineStr">
        <is>
          <t>https://www.cardone.com/product/windshield-wiper-motor-85-155</t>
        </is>
      </c>
      <c r="K1176">
        <f>DISPIMG("ID_19AD5CF6D1364D709B60BC7C109F894F",1)</f>
        <v/>
      </c>
      <c r="L1176" t="inlineStr">
        <is>
          <t>CNRD|85-155</t>
        </is>
      </c>
      <c r="M1176" t="inlineStr">
        <is>
          <t>Wiper Motor; Instruction Manual</t>
        </is>
      </c>
      <c r="N1176" t="inlineStr">
        <is>
          <t>Yes</t>
        </is>
      </c>
      <c r="O1176" t="inlineStr">
        <is>
          <t>New</t>
        </is>
      </c>
      <c r="P1176" t="inlineStr">
        <is>
          <t>3</t>
        </is>
      </c>
      <c r="Q1176" t="inlineStr">
        <is>
          <t>Blade</t>
        </is>
      </c>
      <c r="R1176" t="inlineStr">
        <is>
          <t>Eyelet; Grommet</t>
        </is>
      </c>
      <c r="S1176" t="inlineStr">
        <is>
          <t>4.6000</t>
        </is>
      </c>
      <c r="T1176" t="inlineStr">
        <is>
          <t>No</t>
        </is>
      </c>
      <c r="U1176" t="inlineStr">
        <is>
          <t>Limited Lifetime</t>
        </is>
      </c>
      <c r="V1176" t="inlineStr"/>
      <c r="W1176" t="inlineStr">
        <is>
          <t>Available to Order</t>
        </is>
      </c>
      <c r="X1176" t="inlineStr"/>
      <c r="Y1176" t="inlineStr">
        <is>
          <t>00884548115613</t>
        </is>
      </c>
      <c r="Z1176" t="inlineStr"/>
      <c r="AA1176" t="inlineStr"/>
      <c r="AB1176" t="inlineStr"/>
      <c r="AC1176" t="inlineStr">
        <is>
          <t>Yes</t>
        </is>
      </c>
    </row>
    <row r="1177">
      <c r="A1177" t="inlineStr">
        <is>
          <t>1176</t>
        </is>
      </c>
      <c r="B1177" t="inlineStr">
        <is>
          <t>Windshield Wiper Motor</t>
        </is>
      </c>
      <c r="C1177" t="inlineStr">
        <is>
          <t>85-156</t>
        </is>
      </c>
      <c r="D1177" t="inlineStr">
        <is>
          <t>Windshield Wiper Motor - 85-156</t>
        </is>
      </c>
      <c r="E1177" t="inlineStr">
        <is>
          <t>CARDONE New</t>
        </is>
      </c>
      <c r="F1177" t="inlineStr">
        <is>
          <t>5044747;4919202;5044748;9940969</t>
        </is>
      </c>
      <c r="G1177" t="inlineStr">
        <is>
          <t>Buick Electra 1968-1973
Buick Estate Wagon 1970-1973
Buick LeSabre 1968-1973
Buick Riviera 1968-1973
Buick Skylark 1968-1972
Buick Special 1968-1969
Chevrolet Chevelle 1971
Chevrolet El Camino 1971
Chevrolet Monte Carlo 1971
Oldsmobile 98 1968-1973
Oldsmobile Custom Cruiser 1971-1973
Oldsmobile Cutlass 1968-1972
Oldsmobile Cutlass Supreme 1971-1972
Oldsmobile Delta 88 1968-1973
Oldsmobile F85 1968-1972
Oldsmobile Toronado 1968-1973
Oldsmobile Vista Cruiser 1968-1972</t>
        </is>
      </c>
      <c r="H1177" t="inlineStr">
        <is>
          <t>Buick Electra 1968-1969 7L V8 430cid
Buick Electra 1970-1973 7.5L V8 455cid
Buick Estate Wagon 1970-1973 5.7L V8 350cid
Buick Estate Wagon 1970-1973 7.5L V8 455cid
Buick LeSabre 1968-1973 5.7L V8 350cid
Buick LeSabre 1970-1973 7.5L V8 455cid
Buick Riviera 1968-1969 7L V8 430cid
Buick Riviera 1970-1973 7.5L V8 455cid
Buick Skylark 1968 6.6L V8 400cid
Buick Skylark 1968-1971 4.1L L6 250cid
Buick Skylark 1968-1972 5.7L V8 350cid
Buick Skylark 1970-1971 7.5L V8 455cid
Buick Special 1968-1969 4.1L L6 250cid
Buick Special 1968-1969 5.7L V8 350cid
Chevrolet Chevelle 1971 4.1L L6 250cid
Chevrolet Chevelle 1971 5.7L V8 350cid
Chevrolet Chevelle 1971 5L V8 307cid
Chevrolet Chevelle 1971 6.6L V8 400cid
Chevrolet Chevelle 1971 6.6L V8 402cid
Chevrolet Chevelle 1971 7.4L V8 454cid
Chevrolet El Camino 1971 4.1L L6 250cid
Chevrolet El Camino 1971 5.7L V8 350cid
Chevrolet El Camino 1971 5L V8 307cid
Chevrolet El Camino 1971 6.6L V8 400cid
Chevrolet El Camino 1971 6.6L V8 402cid
Chevrolet El Camino 1971 7.4L V8 454cid
Chevrolet Monte Carlo 1971 5.7L V8 350cid
Chevrolet Monte Carlo 1971 6.6L V8 400cid
Chevrolet Monte Carlo 1971 6.6L V8 402cid
Chevrolet Monte Carlo 1971 7.4L V8 454cid
Oldsmobile 98 1968-1973 7.5L V8 455cid
Oldsmobile Custom Cruiser 1971-1973 7.5L V8 455cid
Oldsmobile Cutlass 1968 6.6L V8 400cid
Oldsmobile Cutlass 1968-1971 4.1L L6 250cid
Oldsmobile Cutlass 1968-1972 5.7L V8 350cid
Oldsmobile Cutlass 1970-1972 7.5L V8 455cid
Oldsmobile Cutlass Supreme 1971-1972 5.7L V8 350cid
Oldsmobile Cutlass Supreme 1971-1972 7.5L V8 455cid
Oldsmobile Delta 88 1968-1973 5.7L V8 350cid
Oldsmobile Delta 88 1968-1973 7.5L V8 455cid
Oldsmobile F85 1968-1971 4.1L L6 250cid
Oldsmobile F85 1968-1972 5.7L V8 350cid
Oldsmobile F85 1970-1972 7.5L V8 455cid
Oldsmobile Toronado 1968-1973 7.5L V8 455cid
Oldsmobile Vista Cruiser 1968-1969 6.6L V8 400cid
Oldsmobile Vista Cruiser 1968-1972 5.7L V8 350cid
Oldsmobile Vista Cruiser 1970-1972 7.5L V8 455cid</t>
        </is>
      </c>
      <c r="I1177" t="inlineStr">
        <is>
          <t>{"0": {"productDeskExternalKey": "CNRD|85-156"}, "1": {"Package Contents": "Wiper Motor; Instruction Manual; Nut; Alignment Tool"}, "2": {"E-Waste": "Yes"}, "3": {"Product Condition": "New"}, "4": {"Terminal Type": "Blade"}, "5": {"Mounting Type": "Eyelet; Grommet"}, "6": {"Weight PG": "6.4000"}, "7": {"Washer Pump Included": "No"}, "8": {"Part Type": "Windshield Wiper Motor"}, "9": {"Warranty Info": "Limited Lifetime"}, "10": {"Lifetime Warranty": "Yes"}, "11": {"Lifecycle Status": "Available to Order"}, "12": {"ItemLevelGTIN": "00884548172548"}}</t>
        </is>
      </c>
      <c r="J1177" t="inlineStr">
        <is>
          <t>https://www.cardone.com/product/windshield-wiper-motor-85-156</t>
        </is>
      </c>
      <c r="K1177">
        <f>DISPIMG("ID_55C20F24082D444D8FFCA492364503CB",1)</f>
        <v/>
      </c>
      <c r="L1177" t="inlineStr">
        <is>
          <t>CNRD|85-156</t>
        </is>
      </c>
      <c r="M1177" t="inlineStr">
        <is>
          <t>Wiper Motor; Instruction Manual; Nut; Alignment Tool</t>
        </is>
      </c>
      <c r="N1177" t="inlineStr">
        <is>
          <t>Yes</t>
        </is>
      </c>
      <c r="O1177" t="inlineStr">
        <is>
          <t>New</t>
        </is>
      </c>
      <c r="P1177" t="inlineStr"/>
      <c r="Q1177" t="inlineStr">
        <is>
          <t>Blade</t>
        </is>
      </c>
      <c r="R1177" t="inlineStr">
        <is>
          <t>Eyelet; Grommet</t>
        </is>
      </c>
      <c r="S1177" t="inlineStr">
        <is>
          <t>6.4000</t>
        </is>
      </c>
      <c r="T1177" t="inlineStr">
        <is>
          <t>No</t>
        </is>
      </c>
      <c r="U1177" t="inlineStr">
        <is>
          <t>Limited Lifetime</t>
        </is>
      </c>
      <c r="V1177" t="inlineStr"/>
      <c r="W1177" t="inlineStr">
        <is>
          <t>Available to Order</t>
        </is>
      </c>
      <c r="X1177" t="inlineStr"/>
      <c r="Y1177" t="inlineStr">
        <is>
          <t>00884548172548</t>
        </is>
      </c>
      <c r="Z1177" t="inlineStr"/>
      <c r="AA1177" t="inlineStr"/>
      <c r="AB1177" t="inlineStr"/>
      <c r="AC1177" t="inlineStr">
        <is>
          <t>Yes</t>
        </is>
      </c>
    </row>
    <row r="1178">
      <c r="A1178" t="inlineStr">
        <is>
          <t>1177</t>
        </is>
      </c>
      <c r="B1178" t="inlineStr">
        <is>
          <t>Windshield Wiper Motor</t>
        </is>
      </c>
      <c r="C1178" t="inlineStr">
        <is>
          <t>85-158</t>
        </is>
      </c>
      <c r="D1178" t="inlineStr">
        <is>
          <t>Windshield Wiper Motor - 85-158</t>
        </is>
      </c>
      <c r="E1178" t="inlineStr">
        <is>
          <t>CARDONE New</t>
        </is>
      </c>
      <c r="F1178" t="inlineStr">
        <is>
          <t>22100736;12368702;15740719</t>
        </is>
      </c>
      <c r="G1178" t="inlineStr">
        <is>
          <t>Cadillac Escalade 1999-2000
Chevrolet Blazer 1992-1994
Chevrolet C1500 1991-1999
Chevrolet C1500 Suburban 1992-1999
Chevrolet C2500 1991-2000
Chevrolet C2500 Suburban 1992-1999
Chevrolet C35 1991-2000
Chevrolet C3500 1991-2000
Chevrolet C3500HD 1991-2002
Chevrolet C50 1990
Chevrolet C5500 Kodiak 1990-1991
Chevrolet C60 1990
Chevrolet C60 Kodiak 1990-1996
Chevrolet C6500 Kodiak 1997-2002
Chevrolet C70 1990
Chevrolet C70 Kodiak 1990-1996
Chevrolet C7500 Kodiak 1997-2002
Chevrolet K1500 1991-1999
Chevrolet K1500 Suburban 1992-1999
Chevrolet K2500 1991-2000
Chevrolet K2500 Suburban 1992-1999
Chevrolet K3500 1991-2000
Chevrolet P30 1991-1993
Chevrolet Silverado 1995-1997
Chevrolet Tahoe 1995-2000
GMC C1500 1991-1999
GMC C1500 Suburban 1992-1999
GMC C2500 1991-2000
GMC C2500 Suburban 1992-1999
GMC C3500 1991-2000
GMC C3500HD 1991-2002
GMC C5000 1990
GMC C5000 Topkick 1990-1991
GMC C6000 1990
GMC C6000 Topkick 1990-1996
GMC C6500 Topkick 1997-2002
GMC C7000 1990
GMC C7000 Topkick 1990-1996
GMC C7500 Topkick 1997-2002
GMC K1500 1991-1999
GMC K1500 Suburban 1992-1999
GMC K2500 1991-2000
GMC K2500 Suburban 1992-1999
GMC K3500 1991-2000
GMC P3500 1991-1993
GMC Yukon 1992-2000</t>
        </is>
      </c>
      <c r="H1178" t="inlineStr">
        <is>
          <t>Cadillac Escalade 1999-2000 5.7L V8 350cid
Chevrolet Blazer 1992-1994 5.7L V8 350cid
Chevrolet Blazer 1994 6.5L V8 395cid
Chevrolet C1500 1991-1993 6.2L V8 379cid
Chevrolet C1500 1991-1993 7.4L V8 454cid
Chevrolet C1500 1991-1998 4.1L L6 250cid
Chevrolet C1500 1991-1999 4.3L V6 262cid
Chevrolet C1500 1991-1999 5.7L V8 350cid
Chevrolet C1500 1991-1999 5L V8 305cid
Chevrolet C1500 1994-1998 6.5L V8 395cid
Chevrolet C1500 Suburban 1992-1999 5.7L V8 350cid
Chevrolet C1500 Suburban 1994-1999 6.5L V8 395cid
Chevrolet C2500 1991-1993 6.2L V8 379cid
Chevrolet C2500 1991-1995 4.3L V6 262cid
Chevrolet C2500 1991-1999 5L V8 305cid
Chevrolet C2500 1991-2000 5.7L V8 350cid
Chevrolet C2500 1991-2000 7.4L V8 454cid
Chevrolet C2500 1992-2000 6.5L V8 395cid
Chevrolet C2500 Suburban 1992-1999 5.7L V8 350cid
Chevrolet C2500 Suburban 1992-1999 7.4L V8 454cid
Chevrolet C2500 Suburban 1994-1999 6.5L V8 395cid
Chevrolet C35 1991-2000 5.7L V8 350cid
Chevrolet C3500 1991-1993 6.2L V8 379cid
Chevrolet C3500 1991-2000 5.7L V8 350cid
Chevrolet C3500 1991-2000 7.4L V8 454cid
Chevrolet C3500 1992-2000 6.5L V8 395cid
Chevrolet C3500HD 1991-1993 6.2L V8 379cid
Chevrolet C3500HD 1991-2000 5.7L V8 350cid
Chevrolet C3500HD 1991-2000 7.4L V8 454cid
Chevrolet C3500HD 1992-2002 6.5L V8 395cid
Chevrolet C3500HD 2001-2002 8.1L V8 496cid
Chevrolet C50 1990 5.7L V8 350cid
Chevrolet C5500 Kodiak 1990-1991 6L V8 366cid
Chevrolet C60 1990 5.7L V8 350cid
Chevrolet C60 1990 6L V8 366cid
Chevrolet C60 1990 7L V8 427cid
Chevrolet C60 1990 8.2L V8 501cid
Chevrolet C60 Kodiak 1990-1996 6.6L L6 403cid
Chevrolet C60 Kodiak 1990-1996 6L V8 366cid
Chevrolet C60 Kodiak 1990-1996 7L V8 427cid
Chevrolet C6500 Kodiak 1997-1998 6.6L L6 403cid
Chevrolet C6500 Kodiak 1997-1998 6L V8 366cid
Chevrolet C6500 Kodiak 1997-1998 7L V8 427cid
Chevrolet C6500 Kodiak 1998-2002 7.2L L6 441cid
Chevrolet C6500 Kodiak 1999-2000 7.4L V8 454cid
Chevrolet C6500 Kodiak 2001-2002 8.1L V8 496cid
Chevrolet C70 1990 10.4L V8 636cid
Chevrolet C70 1990 6L V8 366cid
Chevrolet C70 1990 7L V8 427cid
Chevrolet C70 1990 8.2L V8 501cid
Chevrolet C70 Kodiak 1990-1996 6.6L L6 403cid
Chevrolet C70 Kodiak 1990-1996 6L V8 366cid
Chevrolet C70 Kodiak 1990-1996 7L V8 427cid
Chevrolet C7500 Kodiak 1997-1998 6.6L L6 403cid
Chevrolet C7500 Kodiak 1997-1998 6L V8 366cid
Chevrolet C7500 Kodiak 1997-1998 7L V8 427cid
Chevrolet C7500 Kodiak 1998-2002 7.2L L6 441cid
Chevrolet C7500 Kodiak 1999-2000 7.4L V8 454cid
Chevrolet C7500 Kodiak 2001-2002 8.1L V8 496cid
Chevrolet K1500 1991-1993 6.2L V8 379cid
Chevrolet K1500 1991-1998 4.3L V6 262cid
Chevrolet K1500 1991-1999 5.7L V8 350cid
Chevrolet K1500 1991-1999 5L V8 305cid
Chevrolet K1500 1994-1998 6.5L V8 395cid
Chevrolet K1500 Suburban 1992-1999 5.7L V8 350cid
Chevrolet K1500 Suburban 1994-1999 6.5L V8 395cid
Chevrolet K2500 1991-1993 6.2L V8 379cid
Chevrolet K2500 1991-1995 4.3L V6 262cid
Chevrolet K2500 1991-1998 5L V8 305cid
Chevrolet K2500 1991-2000 5.7L V8 350cid
Chevrolet K2500 1991-2000 7.4L V8 454cid
Chevrolet K2500 1992-2000 6.5L V8 395cid
Chevrolet K2500 Suburban 1992-1999 5.7L V8 350cid
Chevrolet K2500 Suburban 1992-1999 7.4L V8 454cid
Chevrolet K2500 Suburban 1994-1999 6.5L V8 395cid
Chevrolet K3500 1991-1993 6.2L V8 379cid
Chevrolet K3500 1991-2000 5.7L V8 350cid
Chevrolet K3500 1991-2000 7.4L V8 454cid
Chevrolet K3500 1992-2000 6.5L V8 395cid
Chevrolet P30 1991 3.9L L4 239cid
Chevrolet P30 1991-1993 4.3L V6 262cid
Chevrolet P30 1991-1993 5.7L V8 350cid
Chevrolet P30 1991-1993 6.2L V8 379cid
Chevrolet P30 1991-1993 7.4L V8 454cid
Chevrolet Silverado 1995-1997 5.7L V8 350cid
Chevrolet Tahoe 1995-1999 6.5L V8 395cid
Chevrolet Tahoe 1995-2000 5.7L V8 350cid
GMC C1500 1991-1993 6.2L V8 379cid
GMC C1500 1991-1998 4.3L V6 262cid
GMC C1500 1991-1999 5.7L V8 350cid
GMC C1500 1991-1999 5L V8 305cid
GMC C1500 1994-1997 6.5L V8 395cid
GMC C1500 Suburban 1992-1999 5.7L V8 350cid
GMC C1500 Suburban 1995-1999 6.5L V8 395cid
GMC C2500 1991-1993 6.2L V8 379cid
GMC C2500 1991-1995 4.3L V6 262cid
GMC C2500 1991-1999 5L V8 305cid
GMC C2500 1991-2000 5.7L V8 350cid
GMC C2500 1991-2000 7.4L V8 454cid
GMC C2500 1992-2000 6.5L V8 395cid
GMC C2500 Suburban 1992-1999 5.7L V8 350cid
GMC C2500 Suburban 1992-1999 7.4L V8 454cid
GMC C2500 Suburban 1994-1999 6.5L V8 395cid
GMC C3500 1991-1993 6.2L V8 379cid
GMC C3500 1991-2000 5.7L V8 350cid
GMC C3500 1991-2000 7.4L V8 454cid
GMC C3500 1992-2000 6.5L V8 395cid
GMC C3500HD 1991-1993 6.2L V8 379cid
GMC C3500HD 1991-2000 5.7L V8 350cid
GMC C3500HD 1991-2000 7.4L V8 454cid
GMC C3500HD 1992-2002 6.5L V8 395cid
GMC C3500HD 2001-2002 8.1L V8 496cid
GMC C5000 1990 5.7L V8 350cid
GMC C5000 Topkick 1990-1991 6L V8 366cid
GMC C6000 1990 5.7L V8 350cid
GMC C6000 1990 6L V8 366cid
GMC C6000 1990 7L V8 427cid
GMC C6000 1990 8.2L V8 501cid
GMC C6000 Topkick 1990-1996 6.6L L6 403cid
GMC C6000 Topkick 1990-1996 6L V8 366cid
GMC C6000 Topkick 1990-1996 7L V8 427cid
GMC C6500 Topkick 1997-1998 6.6L L6 403cid
GMC C6500 Topkick 1997-1998 6L V8 366cid
GMC C6500 Topkick 1997-1998 7L V8 427cid
GMC C6500 Topkick 1998-2002 7.2L L6 441cid
GMC C6500 Topkick 1999-2000 7.4L V8 454cid
GMC C6500 Topkick 2001-2002 8.1L V8 496cid
GMC C7000 1990 10.4L V8 636cid
GMC C7000 1990 6L V8 366cid
GMC C7000 1990 7L V8 427cid
GMC C7000 1990 8.2L V8 501cid
GMC C7000 Topkick 1990-1996 6.6L L6 403cid
GMC C7000 Topkick 1990-1996 6L V8 366cid
GMC C7000 Topkick 1990-1996 7L V8 427cid
GMC C7500 Topkick 1997-1998 6.6L L6 403cid
GMC C7500 Topkick 1997-1998 6L V8 366cid
GMC C7500 Topkick 1997-1998 7L V8 427cid
GMC C7500 Topkick 1998-2002 7.2L L6 441cid
GMC C7500 Topkick 1999-2000 7.4L V8 454cid
GMC C7500 Topkick 2001-2002 8.1L V8 496cid
GMC K1500 1991-1993 6.2L V8 379cid
GMC K1500 1991-1998 4.3L V6 262cid
GMC K1500 1991-1999 5.7L V8 350cid
GMC K1500 1991-1999 5L V8 305cid
GMC K1500 1994-1998 6.5L V8 395cid
GMC K1500 Suburban 1992-1999 5.7L V8 350cid
GMC K1500 Suburban 1995-1999 6.5L V8 395cid
GMC K2500 1991-1993 6.2L V8 379cid
GMC K2500 1991-1995 4.3L V6 262cid
GMC K2500 1991-1998 5L V8 305cid
GMC K2500 1991-2000 5.7L V8 350cid
GMC K2500 1991-2000 7.4L V8 454cid
GMC K2500 1992-2000 6.5L V8 395cid
GMC K2500 Suburban 1992-1999 5.7L V8 350cid
GMC K2500 Suburban 1992-1999 7.4L V8 454cid
GMC K2500 Suburban 1994-1999 6.5L V8 395cid
GMC K3500 1991-1993 6.2L V8 379cid
GMC K3500 1991-2000 5.7L V8 350cid
GMC K3500 1991-2000 7.4L V8 454cid
GMC K3500 1992-2000 6.5L V8 395cid
GMC P3500 1991 3.9L L4 239cid
GMC P3500 1991-1993 4.3L V6 262cid
GMC P3500 1991-1993 5.7L V8 350cid
GMC P3500 1991-1993 6.2L V8 379cid
GMC P3500 1991-1993 7.4L V8 454cid
GMC Yukon 1992-2000 5.7L V8 350cid
GMC Yukon 1994-1997 6.5L V8 395cid</t>
        </is>
      </c>
      <c r="I1178" t="inlineStr">
        <is>
          <t>{"0": {"productDeskExternalKey": "CNRD|85-158"}, "1": {"Package Contents": "Wiper Motor; Instruction Manual"}, "2": {"E-Waste": "Yes"}, "3": {"Product Condition": "New"}, "4": {"Mounting Hole Quantity": "3"}, "5": {"Terminal Type": "Blade"}, "6": {"Mounting Type": "Grommet"}, "7": {"Weight PG": "3.6000"}, "8": {"Washer Pump Included": "No"}, "9": {"Part Type": "Windshield Wiper Motor"}, "10": {"Warranty Info": "Limited Lifetime"}, "11": {"Lifetime Warranty": "Yes"}, "12": {"Lifecycle Status": "Available to Order"}, "13": {"ItemLevelGTIN": "00082617658034"}}</t>
        </is>
      </c>
      <c r="J1178" t="inlineStr">
        <is>
          <t>https://www.cardone.com/product/windshield-wiper-motor-85-158</t>
        </is>
      </c>
      <c r="K1178">
        <f>DISPIMG("ID_A230EB9E49D142F98A84B93EC08FAFD8",1)</f>
        <v/>
      </c>
      <c r="L1178" t="inlineStr">
        <is>
          <t>CNRD|85-158</t>
        </is>
      </c>
      <c r="M1178" t="inlineStr">
        <is>
          <t>Wiper Motor; Instruction Manual</t>
        </is>
      </c>
      <c r="N1178" t="inlineStr">
        <is>
          <t>Yes</t>
        </is>
      </c>
      <c r="O1178" t="inlineStr">
        <is>
          <t>New</t>
        </is>
      </c>
      <c r="P1178" t="inlineStr">
        <is>
          <t>3</t>
        </is>
      </c>
      <c r="Q1178" t="inlineStr">
        <is>
          <t>Blade</t>
        </is>
      </c>
      <c r="R1178" t="inlineStr">
        <is>
          <t>Grommet</t>
        </is>
      </c>
      <c r="S1178" t="inlineStr">
        <is>
          <t>3.6000</t>
        </is>
      </c>
      <c r="T1178" t="inlineStr">
        <is>
          <t>No</t>
        </is>
      </c>
      <c r="U1178" t="inlineStr">
        <is>
          <t>Limited Lifetime</t>
        </is>
      </c>
      <c r="V1178" t="inlineStr"/>
      <c r="W1178" t="inlineStr">
        <is>
          <t>Available to Order</t>
        </is>
      </c>
      <c r="X1178" t="inlineStr"/>
      <c r="Y1178" t="inlineStr">
        <is>
          <t>00082617658034</t>
        </is>
      </c>
      <c r="Z1178" t="inlineStr"/>
      <c r="AA1178" t="inlineStr"/>
      <c r="AB1178" t="inlineStr"/>
      <c r="AC1178" t="inlineStr">
        <is>
          <t>Yes</t>
        </is>
      </c>
    </row>
    <row r="1179">
      <c r="A1179" t="inlineStr">
        <is>
          <t>1178</t>
        </is>
      </c>
      <c r="B1179" t="inlineStr">
        <is>
          <t>Windshield Wiper Motor</t>
        </is>
      </c>
      <c r="C1179" t="inlineStr">
        <is>
          <t>85-162</t>
        </is>
      </c>
      <c r="D1179" t="inlineStr">
        <is>
          <t>Windshield Wiper Motor - 85-162</t>
        </is>
      </c>
      <c r="E1179" t="inlineStr">
        <is>
          <t>CARDONE New</t>
        </is>
      </c>
      <c r="F1179" t="inlineStr">
        <is>
          <t>22048253;4960974</t>
        </is>
      </c>
      <c r="G1179" t="inlineStr">
        <is>
          <t>Buick Century 1973-1983
Buick Electra 1974-1984
Buick Estate Wagon 1980-1983
Buick LeSabre 1974-1985
Buick Regal 1973-1983
Buick Riviera 1974-1985
Cadillac Brougham 1987-1989
Cadillac Calais 1973-1976
Cadillac Commercial Chassis 1973-1984
Cadillac DeVille 1973-1984
Cadillac Eldorado 1973-1978
Cadillac Fleetwood 1973-1986
Chevrolet Bel Air 1973-1975
Chevrolet Camaro 1973-1983
Chevrolet Caprice 1973-1990
Chevrolet Celebrity 1982-1983
Chevrolet Chevelle 1973
Chevrolet Corvette 1973-1982
Chevrolet El Camino 1973-1983
Chevrolet Impala 1973-1985
Chevrolet Malibu 1973-1983
Chevrolet Monte Carlo 1973-1983
GMC Caballero 1978-1983
Oldsmobile 98 1973-1984
Oldsmobile Custom Cruiser 1973-1990
Oldsmobile Cutlass Ciera 1982-1983
Oldsmobile Delta 88 1973-1985
Oldsmobile Toronado 1973-1985
Pontiac Grand Am 1973-1980
Pontiac Grand Prix 1973-1983
Pontiac LeMans 1973-1981
Pontiac Parisienne 1982-1986
Pontiac Safari 1987-1989</t>
        </is>
      </c>
      <c r="H1179" t="inlineStr">
        <is>
          <t>Buick Century 1973-1974 7.5L V8 455cid
Buick Century 1973-1981 5.7L V8 350cid
Buick Century 1975-1981 3.8L V6 231cid
Buick Century 1977 6.6L V8 403cid
Buick Century 1977-1981 5L V8 305cid
Buick Century 1978-1979 3.2L V6 196cid
Buick Century 1979-1980 4.9L V8 301cid
Buick Century 1980-1981 4.3L V8 265cid
Buick Century 1981 4.4L V8 267cid
Buick Century 1982-1983 2.5L L4 151cid
Buick Century 1982-1983 2.8L V6 173cid
Buick Century 1982-1983 3L V6 181cid
Buick Century 1982-1983 4.3L V6 260cid
Buick Electra 1974-1976 7.5L V8 455cid
Buick Electra 1976-1984 5.7L V8 350cid
Buick Electra 1977-1979 6.6L V8 403cid
Buick Electra 1980 4.9L V8 301cid
Buick Electra 1980-1984 4.1L V6 252cid
Buick Electra 1981-1984 5L V8 307cid
Buick Estate Wagon 1980 4.9L V8 301cid
Buick Estate Wagon 1980-1983 5.7L V8 350cid
Buick Estate Wagon 1981-1983 5L V8 307cid
Buick LeSabre 1974-1976 7.5L V8 455cid
Buick LeSabre 1974-1985 5.7L V8 350cid
Buick LeSabre 1975 6.6L V8 400cid
Buick LeSabre 1976-1985 3.8L V6 231cid
Buick LeSabre 1977-1978 6.6L V8 403cid
Buick LeSabre 1977-1980 4.9L V8 301cid
Buick LeSabre 1978 5L V8 305cid
Buick LeSabre 1980-1984 4.1L V6 252cid
Buick LeSabre 1981-1985 5L V8 307cid
Buick LeSabre 1982 4.4L V8 267cid
Buick Regal 1973-1974 7.5L V8 455cid
Buick Regal 1973-1983 5.7L V8 350cid
Buick Regal 1975-1983 3.8L V6 231cid
Buick Regal 1977-1983 5L V8 305cid
Buick Regal 1978-1979 3.2L V6 196cid
Buick Regal 1979-1980 4.9L V8 301cid
Buick Regal 1980-1981 4.3L V8 265cid
Buick Regal 1981-1982 4.4L V8 267cid
Buick Regal 1982-1983 4.1L V6 252cid
Buick Regal 1982-1983 4.3L V6 260cid
Buick Riviera 1974-1976 7.5L V8 455cid
Buick Riviera 1977-1978 6.6L V8 403cid
Buick Riviera 1977-1985 5.7L V8 350cid
Buick Riviera 1979-1985 3.8L V6 231cid
Buick Riviera 1980-1985 5L V8 307cid
Buick Riviera 1981-1984 4.1L V6 252cid
Cadillac Brougham 1987-1989 5L V8 307cid
Cadillac Calais 1973-1974 7.7L V8 472cid
Cadillac Calais 1975-1976 8.2L V8 500cid
Cadillac Commercial Chassis 1973-1974
Cadillac Commercial Chassis 1973-1974 7.7L V8 472cid
Cadillac Commercial Chassis 1975-1976 8.2L V8 500cid
Cadillac Commercial Chassis 1977-1979 7L V8 425cid
Cadillac Commercial Chassis 1980-1984 6L V8 368cid
Cadillac DeVille 1973-1974 7.7L V8 472cid
Cadillac DeVille 1975-1976 8.2L V8 500cid
Cadillac DeVille 1977-1979 7L V8 425cid
Cadillac DeVille 1979-1984 5.7L V8 350cid
Cadillac DeVille 1980-1981 6L V8 368cid
Cadillac DeVille 1980-1982 4.1L V6 252cid
Cadillac DeVille 1982-1984 4.1L V8 250cid
Cadillac Eldorado 1973-1976 8.2L V8 500cid
Cadillac Eldorado 1977-1978 7L V8 425cid
Cadillac Fleetwood 1973-1974 7.7L V8 472cid
Cadillac Fleetwood 1975-1976 8.2L V8 500cid
Cadillac Fleetwood 1977-1979 7L V8 425cid
Cadillac Fleetwood 1979-1985 5.7L V8 350cid
Cadillac Fleetwood 1980-1982 4.1L V6 252cid
Cadillac Fleetwood 1980-1984 6L V8 368cid
Cadillac Fleetwood 1982-1986 4.1L V8 250cid
Cadillac Fleetwood 1985 4.3L V6 260cid
Cadillac Fleetwood 1986 5L V8 307cid
Chevrolet Bel Air 1973 4.1L L6 250cid
Chevrolet Bel Air 1973-1975 5.7L V8 350cid
Chevrolet Bel Air 1973-1975 6.6L V8 400cid
Chevrolet Bel Air 1973-1975 7.4L V8 454cid
Chevrolet Camaro 1973 5L V8 307cid
Chevrolet Camaro 1973-1979 4.1L L6 250cid
Chevrolet Camaro 1973-1981 5.7L V8 350cid
Chevrolet Camaro 1976-1983 5L V8 305cid
Chevrolet Camaro 1980-1981 3.8L V6 229cid
Chevrolet Camaro 1980-1981 3.8L V6 231cid
Chevrolet Camaro 1980-1981 4.4L V8 267cid
Chevrolet Camaro 1982-1983 2.5L L4 151cid
Chevrolet Camaro 1982-1983 2.8L V6 173cid
Chevrolet Caprice 1973-1976 6.6L V8 400cid
Chevrolet Caprice 1973-1976 7.4L V8 454cid
Chevrolet Caprice 1973-1979 4.1L L6 250cid
Chevrolet Caprice 1973-1990 5.7L V8 350cid
Chevrolet Caprice 1973-1990 5L V8 307cid
Chevrolet Caprice 1977-1990 5L V8 305cid
Chevrolet Caprice 1980-1982 4.4L V8 267cid
Chevrolet Caprice 1980-1984 3.8L V6 229cid
Chevrolet Caprice 1980-1985 3.8L V6 231cid
Chevrolet Caprice 1985-1990 4.3L V6 262cid
Chevrolet Celebrity 1982-1983 2.5L L4 151cid
Chevrolet Celebrity 1982-1983 2.8L V6 173cid
Chevrolet Celebrity 1982-1983 4.3L V6 260cid
Chevrolet Chevelle 1973 4.1L L6 250cid
Chevrolet Chevelle 1973 5.7L V8 350cid
Chevrolet Chevelle 1973 5L V8 307cid
Chevrolet Chevelle 1973 6.6L V8 400cid
Chevrolet Chevelle 1973 7.4L V8 454cid
Chevrolet Corvette 1973-1974 7.4L V8 454cid
Chevrolet Corvette 1973-1982 5.7L V8 350cid
Chevrolet Corvette 1980 5L V8 305cid
Chevrolet El Camino 1973 5L V8 307cid
Chevrolet El Camino 1973-1975 7.4L V8 454cid
Chevrolet El Camino 1973-1976 6.6L V8 400cid
Chevrolet El Camino 1973-1977 4.1L L6 250cid
Chevrolet El Camino 1973-1983 5.7L V8 350cid
Chevrolet El Camino 1976-1983 5L V8 305cid
Chevrolet El Camino 1978-1979 3.3L V6 200cid
Chevrolet El Camino 1978-1983 3.8L V6 231cid
Chevrolet El Camino 1979-1982 4.4L V8 267cid
Chevrolet El Camino 1980-1983 3.8L V6 229cid
Chevrolet Impala 1973 5L V8 307cid
Chevrolet Impala 1973-1976 6.6L V8 400cid
Chevrolet Impala 1973-1976 7.4L V8 454cid
Chevrolet Impala 1973-1979 4.1L L6 250cid
Chevrolet Impala 1973-1985 5.7L V8 350cid
Chevrolet Impala 1977-1985 5L V8 305cid
Chevrolet Impala 1980-1982 4.4L V8 267cid
Chevrolet Impala 1980-1984 3.8L V6 229cid
Chevrolet Impala 1980-1985 3.8L V6 231cid
Chevrolet Impala 1985 4.3L V6 262cid
Chevrolet Malibu 1973 5L V8 307cid
Chevrolet Malibu 1973-1975 7.4L V8 454cid
Chevrolet Malibu 1973-1976 6.6L V8 400cid
Chevrolet Malibu 1973-1981 4.1L L6 250cid
Chevrolet Malibu 1973-1983 5.7L V8 350cid
Chevrolet Malibu 1976-1983 5L V8 305cid
Chevrolet Malibu 1978-1979 3.3L V6 200cid
Chevrolet Malibu 1978-1983 3.8L V6 231cid
Chevrolet Malibu 1979-1982 4.4L V8 267cid
Chevrolet Malibu 1980-1983 3.8L V6 229cid
Chevrolet Malibu 1982-1983 4.3L V6 260cid
Chevrolet Monte Carlo 1973-1975 7.4L V8 454cid
Chevrolet Monte Carlo 1973-1976 6.6L V8 400cid
Chevrolet Monte Carlo 1973-1983 5.7L V8 350cid
Chevrolet Monte Carlo 1976-1983 5L V8 305cid
Chevrolet Monte Carlo 1978-1979 3.3L V6 200cid
Chevrolet Monte Carlo 1978-1983 3.8L V6 231cid
Chevrolet Monte Carlo 1979-1982 4.4L V8 267cid
Chevrolet Monte Carlo 1980-1983 3.8L V6 229cid
Chevrolet Monte Carlo 1982-1983 4.3L V6 260cid
GMC Caballero 1978-1979 3.3L V6 200cid
GMC Caballero 1978-1983 3.8L V6 231cid
GMC Caballero 1978-1983 5.7L V8 350cid
GMC Caballero 1978-1983 5L V8 305cid
GMC Caballero 1979-1982 4.4L V8 267cid
GMC Caballero 1980-1983 3.8L V6 229cid
Oldsmobile 98 1973-1976 7.5L V8 455cid
Oldsmobile 98 1975 6.6L V8 400cid
Oldsmobile 98 1977-1979 6.6L V8 403cid
Oldsmobile 98 1977-1984 5.7L V8 350cid
Oldsmobile 98 1980-1984 5L V8 307cid
Oldsmobile 98 1981-1983 4.1L V6 252cid
Oldsmobile Custom Cruiser 1973-1976 7.5L V8 455cid
Oldsmobile Custom Cruiser 1975 6.6L V8 400cid
Oldsmobile Custom Cruiser 1977-1979 6.6L V8 403cid
Oldsmobile Custom Cruiser 1977-1985 5.7L V8 350cid
Oldsmobile Custom Cruiser 1980-1990 5L V8 307cid
Oldsmobile Cutlass Ciera 1982-1983 2.5L L4 151cid
Oldsmobile Cutlass Ciera 1982-1983 2.8L V6 173cid
Oldsmobile Cutlass Ciera 1982-1983 3L V6 181cid
Oldsmobile Cutlass Ciera 1982-1983 4.3L V6 260cid
Oldsmobile Delta 88 1973-1976 7.5L V8 455cid
Oldsmobile Delta 88 1973-1985 5.7L V8 350cid
Oldsmobile Delta 88 1975 6.6L V8 400cid
Oldsmobile Delta 88 1977-1979 6.6L V8 403cid
Oldsmobile Delta 88 1977-1982 4.3L V8 260cid
Oldsmobile Delta 88 1977-1985 3.8L V6 231cid
Oldsmobile Delta 88 1979 4.9L V8 301cid
Oldsmobile Delta 88 1980-1985 5L V8 307cid
Oldsmobile Delta 88 1981-1982 4.4L V8 267cid
Oldsmobile Toronado 1973-1976 7.5L V8 455cid
Oldsmobile Toronado 1977-1978 6.6L V8 403cid
Oldsmobile Toronado 1979-1985 5.7L V8 350cid
Oldsmobile Toronado 1980-1985 5L V8 307cid
Oldsmobile Toronado 1981-1984 4.1L V6 252cid
Pontiac Grand Am 1973-1975 5.7L V8 350cid
Pontiac Grand Am 1973-1975 6.6L V8 400cid
Pontiac Grand Am 1973-1975 7.5L V8 455cid
Pontiac Grand Am 1978-1980 4.9L V8 301cid
Pontiac Grand Am 1978-1980 5L V8 305cid
Pontiac Grand Am 1979 3.8L V6 231cid
Pontiac Grand Prix 1973-1976 7.5L V8 455cid
Pontiac Grand Prix 1973-1977 6.6L V8 400cid
Pontiac Grand Prix 1976-1983 5.7L V8 350cid
Pontiac Grand Prix 1977 6.6L V8 403cid
Pontiac Grand Prix 1977-1980 4.9L V8 301cid
Pontiac Grand Prix 1978-1983 3.8L V6 231cid
Pontiac Grand Prix 1978-1983 5L V8 305cid
Pontiac Grand Prix 1980-1981 4.3L V8 265cid
Pontiac Grand Prix 1981-1982 4.4L V8 267cid
Pontiac Grand Prix 1982 4.1L V6 252cid
Pontiac LeMans 1973-1976 7.5L V8 455cid
Pontiac LeMans 1973-1977 4.1L L6 250cid
Pontiac LeMans 1973-1977 6.6L V8 400cid
Pontiac LeMans 1973-1979 5.7L V8 350cid
Pontiac LeMans 1976 4.3L V8 260cid
Pontiac LeMans 1976-1981 5L V8 305cid
Pontiac LeMans 1977 6.6L V8 403cid
Pontiac LeMans 1977-1981 3.8L V6 231cid
Pontiac LeMans 1977-1981 4.9L V8 301cid
Pontiac LeMans 1978-1979 3.3L V6 200cid
Pontiac LeMans 1979-1981 4.4L V8 267cid
Pontiac LeMans 1980-1981 3.8L V6 229cid
Pontiac LeMans 1980-1981 4.3L V8 265cid
Pontiac Parisienne 1982 4.4L V8 267cid
Pontiac Parisienne 1982-1985 3.8L V6 231cid
Pontiac Parisienne 1982-1985 5.7L V8 350cid
Pontiac Parisienne 1982-1986 5L V8 305cid
Pontiac Parisienne 1985-1986 4.3L V6 262cid
Pontiac Parisienne 1986 5L V8 307cid
Pontiac Safari 1987-1989 5L V8 307cid</t>
        </is>
      </c>
      <c r="I1179" t="inlineStr">
        <is>
          <t>{"0": {"productDeskExternalKey": "CNRD|85-162"}, "1": {"Package Contents": "Wiper Motor; Instruction Manual; Nut; Alignment Tool"}, "2": {"E-Waste": "Yes"}, "3": {"Product Condition": "New"}, "4": {"Terminal Type": "Blade"}, "5": {"Mounting Type": "Eyelet; Grommet"}, "6": {"Weight PG": "6.4000"}, "7": {"Washer Pump Included": "No"}, "8": {"Part Type": "Windshield Wiper Motor"}, "9": {"Warranty Info": "Limited Lifetime"}, "10": {"Lifetime Warranty": "Yes"}, "11": {"Lifecycle Status": "Available to Order"}, "12": {"ItemLevelGTIN": "00884548170483"}}</t>
        </is>
      </c>
      <c r="J1179" t="inlineStr">
        <is>
          <t>https://www.cardone.com/product/windshield-wiper-motor-85-162</t>
        </is>
      </c>
      <c r="K1179">
        <f>DISPIMG("ID_1033933A612A4D7CA0DFB2C881350CF8",1)</f>
        <v/>
      </c>
      <c r="L1179" t="inlineStr">
        <is>
          <t>CNRD|85-162</t>
        </is>
      </c>
      <c r="M1179" t="inlineStr">
        <is>
          <t>Wiper Motor; Instruction Manual; Nut; Alignment Tool</t>
        </is>
      </c>
      <c r="N1179" t="inlineStr">
        <is>
          <t>Yes</t>
        </is>
      </c>
      <c r="O1179" t="inlineStr">
        <is>
          <t>New</t>
        </is>
      </c>
      <c r="P1179" t="inlineStr"/>
      <c r="Q1179" t="inlineStr">
        <is>
          <t>Blade</t>
        </is>
      </c>
      <c r="R1179" t="inlineStr">
        <is>
          <t>Eyelet; Grommet</t>
        </is>
      </c>
      <c r="S1179" t="inlineStr">
        <is>
          <t>6.4000</t>
        </is>
      </c>
      <c r="T1179" t="inlineStr">
        <is>
          <t>No</t>
        </is>
      </c>
      <c r="U1179" t="inlineStr">
        <is>
          <t>Limited Lifetime</t>
        </is>
      </c>
      <c r="V1179" t="inlineStr"/>
      <c r="W1179" t="inlineStr">
        <is>
          <t>Available to Order</t>
        </is>
      </c>
      <c r="X1179" t="inlineStr"/>
      <c r="Y1179" t="inlineStr">
        <is>
          <t>00884548170483</t>
        </is>
      </c>
      <c r="Z1179" t="inlineStr"/>
      <c r="AA1179" t="inlineStr"/>
      <c r="AB1179" t="inlineStr"/>
      <c r="AC1179" t="inlineStr">
        <is>
          <t>Yes</t>
        </is>
      </c>
    </row>
    <row r="1180">
      <c r="A1180" t="inlineStr">
        <is>
          <t>1179</t>
        </is>
      </c>
      <c r="B1180" t="inlineStr">
        <is>
          <t>Windshield Wiper Motor</t>
        </is>
      </c>
      <c r="C1180" t="inlineStr">
        <is>
          <t>85-163</t>
        </is>
      </c>
      <c r="D1180" t="inlineStr">
        <is>
          <t>Windshield Wiper Motor - 85-163</t>
        </is>
      </c>
      <c r="E1180" t="inlineStr">
        <is>
          <t>CARDONE New</t>
        </is>
      </c>
      <c r="F1180" t="inlineStr">
        <is>
          <t>220994381;22094381</t>
        </is>
      </c>
      <c r="G1180" t="inlineStr">
        <is>
          <t>Chevrolet Lumina APV 1990-1993
Oldsmobile Silhouette 1990-1993
Pontiac Trans Sport 1990-1993</t>
        </is>
      </c>
      <c r="H1180" t="inlineStr">
        <is>
          <t>Chevrolet Lumina APV 1990-1993 3.1L V6 189cid
Chevrolet Lumina APV 1992-1993 3.8L V6 231cid
Oldsmobile Silhouette 1990-1993 3.1L V6 189cid
Oldsmobile Silhouette 1992-1993 3.8L V6 231cid
Pontiac Trans Sport 1990-1993 3.1L V6 189cid
Pontiac Trans Sport 1992-1993 3.8L V6 231cid</t>
        </is>
      </c>
      <c r="I1180" t="inlineStr">
        <is>
          <t>{"0": {"productDeskExternalKey": "CNRD|85-163"}, "1": {"Package Contents": "Wiper Motor; Instruction Manual"}, "2": {"E-Waste": "Yes"}, "3": {"Product Condition": "New"}, "4": {"Mounting Hole Quantity": "2"}, "5": {"Terminal Type": "Blade"}, "6": {"Mounting Type": "Grommet"}, "7": {"Weight PG": "2.8500"}, "8": {"Washer Pump Included": "No"}, "9": {"Part Type": "Windshield Wiper Motor"}, "10": {"Warranty Info": "Limited Lifetime"}, "11": {"Lifetime Warranty": "Yes"}, "12": {"Lifecycle Status": "Available to Order"}, "13": {"Application Summary": "Chevrolet Lumina APV 1993-90; Oldsmobile Silhouette 1993-90; Pontiac Trans Sport 1993-90"}, "14": {"ItemLevelGTIN": "00082617718820"}}</t>
        </is>
      </c>
      <c r="J1180" t="inlineStr">
        <is>
          <t>https://www.cardone.com/product/windshield-wiper-motor-85-163</t>
        </is>
      </c>
      <c r="K1180">
        <f>DISPIMG("ID_08EE6FD87BD7412A830F0EEA9B2B5480",1)</f>
        <v/>
      </c>
      <c r="L1180" t="inlineStr">
        <is>
          <t>CNRD|85-163</t>
        </is>
      </c>
      <c r="M1180" t="inlineStr">
        <is>
          <t>Wiper Motor; Instruction Manual</t>
        </is>
      </c>
      <c r="N1180" t="inlineStr">
        <is>
          <t>Yes</t>
        </is>
      </c>
      <c r="O1180" t="inlineStr">
        <is>
          <t>New</t>
        </is>
      </c>
      <c r="P1180" t="inlineStr">
        <is>
          <t>2</t>
        </is>
      </c>
      <c r="Q1180" t="inlineStr">
        <is>
          <t>Blade</t>
        </is>
      </c>
      <c r="R1180" t="inlineStr">
        <is>
          <t>Grommet</t>
        </is>
      </c>
      <c r="S1180" t="inlineStr">
        <is>
          <t>2.8500</t>
        </is>
      </c>
      <c r="T1180" t="inlineStr">
        <is>
          <t>No</t>
        </is>
      </c>
      <c r="U1180" t="inlineStr">
        <is>
          <t>Limited Lifetime</t>
        </is>
      </c>
      <c r="V1180" t="inlineStr"/>
      <c r="W1180" t="inlineStr">
        <is>
          <t>Available to Order</t>
        </is>
      </c>
      <c r="X1180" t="inlineStr">
        <is>
          <t>Chevrolet Lumina APV 1993-90; Oldsmobile Silhouette 1993-90; Pontiac Trans Sport 1993-90</t>
        </is>
      </c>
      <c r="Y1180" t="inlineStr">
        <is>
          <t>00082617718820</t>
        </is>
      </c>
      <c r="Z1180" t="inlineStr"/>
      <c r="AA1180" t="inlineStr"/>
      <c r="AB1180" t="inlineStr"/>
      <c r="AC1180" t="inlineStr">
        <is>
          <t>Yes</t>
        </is>
      </c>
    </row>
    <row r="1181">
      <c r="A1181" t="inlineStr">
        <is>
          <t>1180</t>
        </is>
      </c>
      <c r="B1181" t="inlineStr">
        <is>
          <t>Windshield Wiper Motor</t>
        </is>
      </c>
      <c r="C1181" t="inlineStr">
        <is>
          <t>85-168</t>
        </is>
      </c>
      <c r="D1181" t="inlineStr">
        <is>
          <t>Windshield Wiper Motor - 85-168</t>
        </is>
      </c>
      <c r="E1181" t="inlineStr">
        <is>
          <t>CARDONE New</t>
        </is>
      </c>
      <c r="F1181" t="inlineStr">
        <is>
          <t>4961608</t>
        </is>
      </c>
      <c r="G1181" t="inlineStr">
        <is>
          <t>Buick Century 1974-1983
Buick Electra 1975-1984
Buick Estate Wagon 1980-1983
Buick LeSabre 1975-1985
Buick Regal 1975-1983
Buick Riviera 1975-1985
Cadillac Brougham 1987-1991
Cadillac Calais 1975-1976
Cadillac Commercial Chassis 1975-1984
Cadillac DeVille 1975-1984
Cadillac Eldorado 1975-1985
Cadillac Fleetwood 1975-1991
Cadillac Seville 1976-1985
Chevrolet Bel Air 1975
Chevrolet Camaro 1977-1983
Chevrolet Caprice 1975-1990
Chevrolet Celebrity 1982-1983
Chevrolet El Camino 1975-1983
Chevrolet Impala 1975-1985
Chevrolet Malibu 1975-1983
Chevrolet Monte Carlo 1975-1983
GMC Caballero 1978-1983
Oldsmobile 98 1975-1984
Oldsmobile Custom Cruiser 1975-1990
Oldsmobile Cutlass 1974-1981
Oldsmobile Cutlass Ciera 1982-1983
Oldsmobile Cutlass Cruiser 1980-1983
Oldsmobile Cutlass Salon 1975-1980
Oldsmobile Delta 88 1975-1985
Oldsmobile Toronado 1975-1985
Pontiac 6000 1982-1983
Pontiac Bonneville 1975-1983
Pontiac Firebird 1979-1983
Pontiac Grand Am 1975-1980
Pontiac Grand Prix 1975-1983
Pontiac LeMans 1975-1981
Pontiac Parisienne 1982-1986
Pontiac Safari 1987-1989</t>
        </is>
      </c>
      <c r="H1181" t="inlineStr">
        <is>
          <t>Buick Century 1974 7.5L V8 455cid
Buick Century 1974-1981 5.7L V8 350cid
Buick Century 1975-1981 3.8L V6 231cid
Buick Century 1977 6.6L V8 403cid
Buick Century 1977-1981 5L V8 305cid
Buick Century 1978-1979 3.2L V6 196cid
Buick Century 1979-1980 4.9L V8 301cid
Buick Century 1980-1981 4.3L V8 265cid
Buick Century 1981 4.4L V8 267cid
Buick Century 1982-1983 2.5L L4 151cid
Buick Century 1982-1983 2.8L V6 173cid
Buick Century 1982-1983 3L V6 181cid
Buick Century 1982-1983 4.3L V6 260cid
Buick Electra 1975-1976 7.5L V8 455cid
Buick Electra 1976-1984 5.7L V8 350cid
Buick Electra 1977-1979 6.6L V8 403cid
Buick Electra 1980 4.9L V8 301cid
Buick Electra 1980-1984 4.1L V6 252cid
Buick Electra 1981-1984 5L V8 307cid
Buick Estate Wagon 1980 4.9L V8 301cid
Buick Estate Wagon 1980-1983 5.7L V8 350cid
Buick Estate Wagon 1981-1983 5L V8 307cid
Buick LeSabre 1975 6.6L V8 400cid
Buick LeSabre 1975-1976 7.5L V8 455cid
Buick LeSabre 1975-1985 5.7L V8 350cid
Buick LeSabre 1976-1985 3.8L V6 231cid
Buick LeSabre 1977-1978 6.6L V8 403cid
Buick LeSabre 1977-1980 4.9L V8 301cid
Buick LeSabre 1978 5L V8 305cid
Buick LeSabre 1980-1984 4.1L V6 252cid
Buick LeSabre 1981-1985 5L V8 307cid
Buick LeSabre 1982 4.4L V8 267cid
Buick Regal 1975-1983 3.8L V6 231cid
Buick Regal 1975-1983 5.7L V8 350cid
Buick Regal 1977-1983 5L V8 305cid
Buick Regal 1978-1979 3.2L V6 196cid
Buick Regal 1979-1980 4.9L V8 301cid
Buick Regal 1980-1981 4.3L V8 265cid
Buick Regal 1981-1982 4.4L V8 267cid
Buick Regal 1982-1983 4.1L V6 252cid
Buick Regal 1982-1983 4.3L V6 260cid
Buick Riviera 1975-1976 7.5L V8 455cid
Buick Riviera 1977-1978 6.6L V8 403cid
Buick Riviera 1977-1985 5.7L V8 350cid
Buick Riviera 1979-1985 3.8L V6 231cid
Buick Riviera 1980-1985 5L V8 307cid
Buick Riviera 1981-1984 4.1L V6 252cid
Cadillac Brougham 1987-1990 5L V8 307cid
Cadillac Brougham 1990-1991 5.7L V8 350cid
Cadillac Brougham 1991 5L V8 305cid
Cadillac Calais 1975-1976 8.2L V8 500cid
Cadillac Commercial Chassis 1975-1976 8.2L V8 500cid
Cadillac Commercial Chassis 1977-1979 7L V8 425cid
Cadillac Commercial Chassis 1980-1984 6L V8 368cid
Cadillac DeVille 1975-1976 8.2L V8 500cid
Cadillac DeVille 1977-1979 7L V8 425cid
Cadillac DeVille 1979-1984 5.7L V8 350cid
Cadillac DeVille 1980-1981 6L V8 368cid
Cadillac DeVille 1980-1982 4.1L V6 252cid
Cadillac DeVille 1982-1984 4.1L V8 250cid
Cadillac Eldorado 1975-1976 8.2L V8 500cid
Cadillac Eldorado 1977-1978 7L V8 425cid
Cadillac Eldorado 1979-1985 5.7L V8 350cid
Cadillac Eldorado 1980-1981 6L V8 368cid
Cadillac Eldorado 1981-1982 4.1L V6 252cid
Cadillac Eldorado 1982-1985 4.1L V8 250cid
Cadillac Fleetwood 1975-1976 8.2L V8 500cid
Cadillac Fleetwood 1977-1979 7L V8 425cid
Cadillac Fleetwood 1979-1985 5.7L V8 350cid
Cadillac Fleetwood 1980-1982 4.1L V6 252cid
Cadillac Fleetwood 1980-1984 6L V8 368cid
Cadillac Fleetwood 1982-1987 4.1L V8 250cid
Cadillac Fleetwood 1985 4.3L V6 260cid
Cadillac Fleetwood 1986 5L V8 307cid
Cadillac Fleetwood 1988-1990 4.5L V8 273cid
Cadillac Fleetwood 1991 4.9L V8 300cid
Cadillac Seville 1976-1985 5.7L V8 350cid
Cadillac Seville 1980-1981 6L V8 368cid
Cadillac Seville 1981-1982 4.1L V6 252cid
Cadillac Seville 1982-1985 4.1L V8 250cid
Chevrolet Bel Air 1975 5.7L V8 350cid
Chevrolet Bel Air 1975 6.6L V8 400cid
Chevrolet Bel Air 1975 7.4L V8 454cid
Chevrolet Camaro 1977-1979 4.1L L6 250cid
Chevrolet Camaro 1977-1981 5.7L V8 350cid
Chevrolet Camaro 1977-1983 5L V8 305cid
Chevrolet Camaro 1980-1981 3.8L V6 229cid
Chevrolet Camaro 1980-1981 3.8L V6 231cid
Chevrolet Camaro 1980-1981 4.4L V8 267cid
Chevrolet Camaro 1982-1983 2.5L L4 151cid
Chevrolet Camaro 1982-1983 2.8L V6 173cid
Chevrolet Caprice 1975-1976 6.6L V8 400cid
Chevrolet Caprice 1975-1976 7.4L V8 454cid
Chevrolet Caprice 1975-1990 5.7L V8 350cid
Chevrolet Caprice 1977-1979 4.1L L6 250cid
Chevrolet Caprice 1977-1990 5L V8 305cid
Chevrolet Caprice 1980-1982 4.4L V8 267cid
Chevrolet Caprice 1980-1984 3.8L V6 229cid
Chevrolet Caprice 1980-1985 3.8L V6 231cid
Chevrolet Caprice 1985-1990 4.3L V6 262cid
Chevrolet Caprice 1986-1990 5L V8 307cid
Chevrolet Celebrity 1982-1983 2.5L L4 151cid
Chevrolet Celebrity 1982-1983 2.8L V6 173cid
Chevrolet Celebrity 1982-1983 4.3L V6 260cid
Chevrolet El Camino 1975 7.4L V8 454cid
Chevrolet El Camino 1975-1976 6.6L V8 400cid
Chevrolet El Camino 1975-1977 4.1L L6 250cid
Chevrolet El Camino 1975-1983 5.7L V8 350cid
Chevrolet El Camino 1976-1983 5L V8 305cid
Chevrolet El Camino 1978-1979 3.3L V6 200cid
Chevrolet El Camino 1978-1983 3.8L V6 231cid
Chevrolet El Camino 1979-1982 4.4L V8 267cid
Chevrolet El Camino 1980-1983 3.8L V6 229cid
Chevrolet Impala 1975-1976 6.6L V8 400cid
Chevrolet Impala 1975-1976 7.4L V8 454cid
Chevrolet Impala 1975-1985 5.7L V8 350cid
Chevrolet Impala 1977-1979 4.1L L6 250cid
Chevrolet Impala 1977-1985 5L V8 305cid
Chevrolet Impala 1980-1982 4.4L V8 267cid
Chevrolet Impala 1980-1984 3.8L V6 229cid
Chevrolet Impala 1980-1985 3.8L V6 231cid
Chevrolet Impala 1985 4.3L V6 262cid
Chevrolet Malibu 1975 7.4L V8 454cid
Chevrolet Malibu 1975-1976 6.6L V8 400cid
Chevrolet Malibu 1975-1981 4.1L L6 250cid
Chevrolet Malibu 1975-1983 5.7L V8 350cid
Chevrolet Malibu 1976-1983 5L V8 305cid
Chevrolet Malibu 1978-1979 3.3L V6 200cid
Chevrolet Malibu 1978-1983 3.8L V6 231cid
Chevrolet Malibu 1979-1982 4.4L V8 267cid
Chevrolet Malibu 1980-1983 3.8L V6 229cid
Chevrolet Malibu 1982-1983 4.3L V6 260cid
Chevrolet Monte Carlo 1975 7.4L V8 454cid
Chevrolet Monte Carlo 1975-1976 6.6L V8 400cid
Chevrolet Monte Carlo 1975-1983 5.7L V8 350cid
Chevrolet Monte Carlo 1976-1983 5L V8 305cid
Chevrolet Monte Carlo 1978-1979 3.3L V6 200cid
Chevrolet Monte Carlo 1978-1983 3.8L V6 231cid
Chevrolet Monte Carlo 1979-1982 4.4L V8 267cid
Chevrolet Monte Carlo 1980-1983 3.8L V6 229cid
Chevrolet Monte Carlo 1982-1983 4.3L V6 260cid
GMC Caballero 1978-1979 3.3L V6 200cid
GMC Caballero 1978-1983 3.8L V6 231cid
GMC Caballero 1978-1983 5.7L V8 350cid
GMC Caballero 1978-1983 5L V8 305cid
GMC Caballero 1979-1982 4.4L V8 267cid
GMC Caballero 1980-1983 3.8L V6 229cid
Oldsmobile 98 1975 6.6L V8 400cid
Oldsmobile 98 1975-1976 7.5L V8 455cid
Oldsmobile 98 1977-1979 6.6L V8 403cid
Oldsmobile 98 1977-1984 5.7L V8 350cid
Oldsmobile 98 1980-1984 5L V8 307cid
Oldsmobile 98 1981-1983 4.1L V6 252cid
Oldsmobile Custom Cruiser 1975 6.6L V8 400cid
Oldsmobile Custom Cruiser 1975-1976 7.5L V8 455cid
Oldsmobile Custom Cruiser 1977-1979 6.6L V8 403cid
Oldsmobile Custom Cruiser 1977-1985 5.7L V8 350cid
Oldsmobile Custom Cruiser 1980-1990 5L V8 307cid
Oldsmobile Cutlass 1974-1976 7.5L V8 455cid
Oldsmobile Cutlass 1974-1981 5.7L V8 350cid
Oldsmobile Cutlass 1975-1976 4.1L L6 250cid
Oldsmobile Cutlass 1975-1981 4.3L V8 260cid
Oldsmobile Cutlass 1977 6.6L V8 403cid
Oldsmobile Cutlass 1977-1981 3.8L V6 231cid
Oldsmobile Cutlass 1978-1980 5L V8 305cid
Oldsmobile Cutlass 1981 4.4L V8 267cid
Oldsmobile Cutlass Ciera 1982-1983 2.5L L4 151cid
Oldsmobile Cutlass Ciera 1982-1983 2.8L V6 173cid
Oldsmobile Cutlass Ciera 1982-1983 3L V6 181cid
Oldsmobile Cutlass Ciera 1982-1983 4.3L V6 260cid
Oldsmobile Cutlass Cruiser 1980-1982 4.3L V8 260cid
Oldsmobile Cutlass Cruiser 1980-1983 3.8L V6 231cid
Oldsmobile Cutlass Cruiser 1980-1983 5.7L V8 350cid
Oldsmobile Cutlass Cruiser 1980-1983 5L V8 305cid
Oldsmobile Cutlass Cruiser 1981-1983 5L V8 307cid
Oldsmobile Cutlass Cruiser 1982 4.4L V8 267cid
Oldsmobile Cutlass Salon 1975-1976 7.5L V8 455cid
Oldsmobile Cutlass Salon 1975-1980 4.3L V8 260cid
Oldsmobile Cutlass Salon 1975-1980 5.7L V8 350cid
Oldsmobile Cutlass Salon 1977 6.6L V8 403cid
Oldsmobile Cutlass Salon 1978-1980 3.8L V6 231cid
Oldsmobile Cutlass Salon 1978-1980 5L V8 305cid
Oldsmobile Delta 88 1975 6.6L V8 400cid
Oldsmobile Delta 88 1975-1976 7.5L V8 455cid
Oldsmobile Delta 88 1975-1985 5.7L V8 350cid
Oldsmobile Delta 88 1977-1979 6.6L V8 403cid
Oldsmobile Delta 88 1977-1982 4.3L V8 260cid
Oldsmobile Delta 88 1977-1985 3.8L V6 231cid
Oldsmobile Delta 88 1979 4.9L V8 301cid
Oldsmobile Delta 88 1980-1985 5L V8 307cid
Oldsmobile Delta 88 1981-1982 4.4L V8 267cid
Oldsmobile Toronado 1975-1976 7.5L V8 455cid
Oldsmobile Toronado 1977-1978 6.6L V8 403cid
Oldsmobile Toronado 1979-1985 5.7L V8 350cid
Oldsmobile Toronado 1980-1985 5L V8 307cid
Oldsmobile Toronado 1981-1984 4.1L V6 252cid
Pontiac 6000 1982-1983 2.5L L4 151cid
Pontiac 6000 1982-1983 2.8L V6 173cid
Pontiac 6000 1982-1983 4.3L V6 260cid
Pontiac Bonneville 1975-1976 7.5L V8 455cid
Pontiac Bonneville 1975-1978 6.6L V8 400cid
Pontiac Bonneville 1977-1979 6.6L V8 403cid
Pontiac Bonneville 1977-1980 4.9L V8 301cid
Pontiac Bonneville 1977-1983 5.7L V8 350cid
Pontiac Bonneville 1980-1981 4.3L V8 265cid
Pontiac Bonneville 1980-1983 3.8L V6 231cid
Pontiac Bonneville 1981 5L V8 307cid
Pontiac Bonneville 1982 4.1L V6 252cid
Pontiac Bonneville 1983 5L V8 305cid
Pontiac Firebird 1979 5.7L V8 350cid
Pontiac Firebird 1979 6.6L V8 400cid
Pontiac Firebird 1979 6.6L V8 403cid
Pontiac Firebird 1979-1981 3.8L V6 231cid
Pontiac Firebird 1979-1981 4.9L V8 301cid
Pontiac Firebird 1979-1983 5L V8 305cid
Pontiac Firebird 1980-1981 4.3L V8 265cid
Pontiac Firebird 1981 4.4L V8 267cid
Pontiac Firebird 1982-1983 2.5L L4 151cid
Pontiac Firebird 1982-1983 2.8L V6 173cid
Pontiac Grand Am 1975 5.7L V8 350cid
Pontiac Grand Am 1975 6.6L V8 400cid
Pontiac Grand Am 1975 7.5L V8 455cid
Pontiac Grand Am 1978-1980 4.9L V8 301cid
Pontiac Grand Am 1978-1980 5L V8 305cid
Pontiac Grand Am 1979 3.8L V6 231cid
Pontiac Grand Prix 1975-1976 7.5L V8 455cid
Pontiac Grand Prix 1975-1977 6.6L V8 400cid
Pontiac Grand Prix 1976-1983 5.7L V8 350cid
Pontiac Grand Prix 1977 6.6L V8 403cid
Pontiac Grand Prix 1977-1980 4.9L V8 301cid
Pontiac Grand Prix 1978-1983 3.8L V6 231cid
Pontiac Grand Prix 1978-1983 5L V8 305cid
Pontiac Grand Prix 1980-1981 4.3L V8 265cid
Pontiac Grand Prix 1981-1982 4.4L V8 267cid
Pontiac Grand Prix 1982 4.1L V6 252cid
Pontiac LeMans 1975-1977 4.1L L6 250cid
Pontiac LeMans 1975-1977 6.6L V8 400cid
Pontiac LeMans 1975-1979 5.7L V8 350cid
Pontiac LeMans 1976 4.3L V8 260cid
Pontiac LeMans 1976 7.5L V8 455cid
Pontiac LeMans 1976-1981 5L V8 305cid
Pontiac LeMans 1977 6.6L V8 403cid
Pontiac LeMans 1977-1981 3.8L V6 231cid
Pontiac LeMans 1977-1981 4.9L V8 301cid
Pontiac LeMans 1978-1979 3.3L V6 200cid
Pontiac LeMans 1979-1981 4.4L V8 267cid
Pontiac LeMans 1980-1981 3.8L V6 229cid
Pontiac LeMans 1980-1981 4.3L V8 265cid
Pontiac Parisienne 1982 4.4L V8 267cid
Pontiac Parisienne 1982-1985 3.8L V6 231cid
Pontiac Parisienne 1982-1985 5.7L V8 350cid
Pontiac Parisienne 1982-1986 5L V8 305cid
Pontiac Parisienne 1985-1986 4.3L V6 262cid
Pontiac Parisienne 1986 5L V8 307cid
Pontiac Safari 1987-1989 5L V8 307cid</t>
        </is>
      </c>
      <c r="I1181" t="inlineStr">
        <is>
          <t>{"0": {"productDeskExternalKey": "CNRD|85-168"}, "1": {"Package Contents": "Wiper Motor; Instruction Manual; Nut; Alignment Tool"}, "2": {"E-Waste": "Yes"}, "3": {"Product Condition": "New"}, "4": {"Terminal Type": "Blade"}, "5": {"Mounting Type": "Eyelet; Grommet"}, "6": {"Weight PG": "6.4000"}, "7": {"Washer Pump Included": "No"}, "8": {"Part Type": "Windshield Wiper Motor"}, "9": {"Warranty Info": "Limited Lifetime"}, "10": {"Lifetime Warranty": "Yes"}, "11": {"Lifecycle Status": "Available to Order"}, "12": {"ItemLevelGTIN": "00884548170490"}}</t>
        </is>
      </c>
      <c r="J1181" t="inlineStr">
        <is>
          <t>https://www.cardone.com/product/windshield-wiper-motor-85-168</t>
        </is>
      </c>
      <c r="K1181">
        <f>DISPIMG("ID_5BA7390771AD421A827652C88F2009DD",1)</f>
        <v/>
      </c>
      <c r="L1181" t="inlineStr">
        <is>
          <t>CNRD|85-168</t>
        </is>
      </c>
      <c r="M1181" t="inlineStr">
        <is>
          <t>Wiper Motor; Instruction Manual; Nut; Alignment Tool</t>
        </is>
      </c>
      <c r="N1181" t="inlineStr">
        <is>
          <t>Yes</t>
        </is>
      </c>
      <c r="O1181" t="inlineStr">
        <is>
          <t>New</t>
        </is>
      </c>
      <c r="P1181" t="inlineStr"/>
      <c r="Q1181" t="inlineStr">
        <is>
          <t>Blade</t>
        </is>
      </c>
      <c r="R1181" t="inlineStr">
        <is>
          <t>Eyelet; Grommet</t>
        </is>
      </c>
      <c r="S1181" t="inlineStr">
        <is>
          <t>6.4000</t>
        </is>
      </c>
      <c r="T1181" t="inlineStr">
        <is>
          <t>No</t>
        </is>
      </c>
      <c r="U1181" t="inlineStr">
        <is>
          <t>Limited Lifetime</t>
        </is>
      </c>
      <c r="V1181" t="inlineStr"/>
      <c r="W1181" t="inlineStr">
        <is>
          <t>Available to Order</t>
        </is>
      </c>
      <c r="X1181" t="inlineStr"/>
      <c r="Y1181" t="inlineStr">
        <is>
          <t>00884548170490</t>
        </is>
      </c>
      <c r="Z1181" t="inlineStr"/>
      <c r="AA1181" t="inlineStr"/>
      <c r="AB1181" t="inlineStr"/>
      <c r="AC1181" t="inlineStr">
        <is>
          <t>Yes</t>
        </is>
      </c>
    </row>
    <row r="1182">
      <c r="A1182" t="inlineStr">
        <is>
          <t>1181</t>
        </is>
      </c>
      <c r="B1182" t="inlineStr">
        <is>
          <t>Windshield Wiper Motor</t>
        </is>
      </c>
      <c r="C1182" t="inlineStr">
        <is>
          <t>85-1690</t>
        </is>
      </c>
      <c r="D1182" t="inlineStr">
        <is>
          <t>Windshield Wiper Motor - 85-1690</t>
        </is>
      </c>
      <c r="E1182" t="inlineStr">
        <is>
          <t>CARDONE New</t>
        </is>
      </c>
      <c r="F1182" t="inlineStr">
        <is>
          <t>22101097;22100736</t>
        </is>
      </c>
      <c r="G1182" t="inlineStr">
        <is>
          <t>Cadillac Escalade 1999-2000
Chevrolet Blazer 1992-1994
Chevrolet C1500 1991-1999
Chevrolet C1500 Suburban 1992-1999
Chevrolet C2500 1991-2000
Chevrolet C2500 Suburban 1992-1999
Chevrolet C35 1991-2000
Chevrolet C3500 1991-2000
Chevrolet C3500HD 1991-2000
Chevrolet C50 1990
Chevrolet C5500 Kodiak 1990-1991
Chevrolet C60 1990
Chevrolet C60 Kodiak 1990-1996
Chevrolet C6500 Kodiak 1997-2001
Chevrolet C70 1990
Chevrolet C70 Kodiak 1990-1996
Chevrolet C7500 Kodiak 1997-2001
Chevrolet K1500 1991-1999
Chevrolet K2500 1991-2000
Chevrolet K3500 1991-2000
Chevrolet P30 1991-1993
Chevrolet Silverado 1995-1997
Chevrolet Tahoe 1995-2000
GMC C1500 1991-1999
GMC C1500 Suburban 1992-1999
GMC C2500 1991-2000
GMC C2500 Suburban 1992-1999
GMC C3500 1991-2000
GMC C3500HD 1991-2000
GMC C5000 1990
GMC C5000 Topkick 1990-1991
GMC C6000 1990
GMC C6000 Topkick 1990-1996
GMC C6500 Topkick 1997-2001
GMC C7000 1990
GMC C7000 Topkick 1990-1996
GMC C7500 Topkick 1997-2001
GMC K1500 1991-1999
GMC K2500 1991-2000
GMC K3500 1991-2000
GMC P3500 1991-1993
GMC Yukon 1992-2000</t>
        </is>
      </c>
      <c r="H1182" t="inlineStr">
        <is>
          <t>Cadillac Escalade 1999-2000 5.7L V8 350cid
Chevrolet Blazer 1992-1994 5.7L V8 350cid
Chevrolet Blazer 1994 6.5L V8 395cid
Chevrolet C1500 1991-1993 6.2L V8 379cid
Chevrolet C1500 1991-1993 7.4L V8 454cid
Chevrolet C1500 1991-1998 4.1L L6 250cid
Chevrolet C1500 1991-1999 4.3L V6 262cid
Chevrolet C1500 1991-1999 5.7L V8 350cid
Chevrolet C1500 1991-1999 5L V8 305cid
Chevrolet C1500 1994-1998 6.5L V8 395cid
Chevrolet C1500 Suburban 1992-1999 5.7L V8 350cid
Chevrolet C1500 Suburban 1994-1999 6.5L V8 395cid
Chevrolet C2500 1991-1993 6.2L V8 379cid
Chevrolet C2500 1991-1995 4.3L V6 262cid
Chevrolet C2500 1991-1999 5L V8 305cid
Chevrolet C2500 1991-2000 5.7L V8 350cid
Chevrolet C2500 1991-2000 7.4L V8 454cid
Chevrolet C2500 1992-2000 6.5L V8 395cid
Chevrolet C2500 Suburban 1992-1999 5.7L V8 350cid
Chevrolet C2500 Suburban 1992-1999 7.4L V8 454cid
Chevrolet C2500 Suburban 1994-1999 6.5L V8 395cid
Chevrolet C35 1991-2000 5.7L V8 350cid
Chevrolet C3500 1991-1993 6.2L V8 379cid
Chevrolet C3500 1991-2000 5.7L V8 350cid
Chevrolet C3500 1991-2000 7.4L V8 454cid
Chevrolet C3500 1992-2000 6.5L V8 395cid
Chevrolet C3500HD 1991-1993 6.2L V8 379cid
Chevrolet C3500HD 1991-2000 5.7L V8 350cid
Chevrolet C3500HD 1991-2000 7.4L V8 454cid
Chevrolet C3500HD 1992-2000 6.5L V8 395cid
Chevrolet C50 1990 5.7L V8 350cid
Chevrolet C5500 Kodiak 1990-1991 6L V8 366cid
Chevrolet C60 1990 5.7L V8 350cid
Chevrolet C60 1990 6L V8 366cid
Chevrolet C60 1990 7L V8 427cid
Chevrolet C60 1990 8.2L V8 501cid
Chevrolet C60 Kodiak 1990-1996 6.6L L6 403cid
Chevrolet C60 Kodiak 1990-1996 6L V8 366cid
Chevrolet C60 Kodiak 1990-1996 7L V8 427cid
Chevrolet C6500 Kodiak 1997-1998 6.6L L6 403cid
Chevrolet C6500 Kodiak 1997-1998 6L V8 366cid
Chevrolet C6500 Kodiak 1997-1998 7L V8 427cid
Chevrolet C6500 Kodiak 1998-2001 7.2L L6 441cid
Chevrolet C6500 Kodiak 1999-2000 7.4L V8 454cid
Chevrolet C6500 Kodiak 2001 8.1L V8 496cid
Chevrolet C70 1990 10.4L V8 636cid
Chevrolet C70 1990 6L V8 366cid
Chevrolet C70 1990 7L V8 427cid
Chevrolet C70 1990 8.2L V8 501cid
Chevrolet C70 Kodiak 1990-1996 6.6L L6 403cid
Chevrolet C70 Kodiak 1990-1996 6L V8 366cid
Chevrolet C70 Kodiak 1990-1996 7L V8 427cid
Chevrolet C7500 Kodiak 1997-1998 6.6L L6 403cid
Chevrolet C7500 Kodiak 1997-1998 6L V8 366cid
Chevrolet C7500 Kodiak 1997-1998 7L V8 427cid
Chevrolet C7500 Kodiak 1998-2001 7.2L L6 441cid
Chevrolet C7500 Kodiak 1999-2000 7.4L V8 454cid
Chevrolet C7500 Kodiak 2001 8.1L V8 496cid
Chevrolet K1500 1991-1993 6.2L V8 379cid
Chevrolet K1500 1991-1998 4.3L V6 262cid
Chevrolet K1500 1991-1999 5.7L V8 350cid
Chevrolet K1500 1991-1999 5L V8 305cid
Chevrolet K1500 1994-1998 6.5L V8 395cid
Chevrolet K2500 1991-1993 6.2L V8 379cid
Chevrolet K2500 1991-1995 4.3L V6 262cid
Chevrolet K2500 1991-1998 5L V8 305cid
Chevrolet K2500 1991-2000 5.7L V8 350cid
Chevrolet K2500 1991-2000 7.4L V8 454cid
Chevrolet K2500 1992-2000 6.5L V8 395cid
Chevrolet K3500 1991-1993 6.2L V8 379cid
Chevrolet K3500 1991-2000 5.7L V8 350cid
Chevrolet K3500 1991-2000 7.4L V8 454cid
Chevrolet K3500 1992-2000 6.5L V8 395cid
Chevrolet P30 1991 3.9L L4 239cid
Chevrolet P30 1991-1993 4.3L V6 262cid
Chevrolet P30 1991-1993 5.7L V8 350cid
Chevrolet P30 1991-1993 6.2L V8 379cid
Chevrolet P30 1991-1993 7.4L V8 454cid
Chevrolet Silverado 1995-1997 5.7L V8 350cid
Chevrolet Tahoe 1995-1999 6.5L V8 395cid
Chevrolet Tahoe 1995-2000 5.7L V8 350cid
GMC C1500 1991-1993 6.2L V8 379cid
GMC C1500 1991-1998 4.3L V6 262cid
GMC C1500 1991-1999 5.7L V8 350cid
GMC C1500 1991-1999 5L V8 305cid
GMC C1500 1994-1997 6.5L V8 395cid
GMC C1500 Suburban 1992-1999 5.7L V8 350cid
GMC C1500 Suburban 1995-1999 6.5L V8 395cid
GMC C2500 1991-1993 6.2L V8 379cid
GMC C2500 1991-1995 4.3L V6 262cid
GMC C2500 1991-1999 5L V8 305cid
GMC C2500 1991-2000 5.7L V8 350cid
GMC C2500 1991-2000 7.4L V8 454cid
GMC C2500 1992-2000 6.5L V8 395cid
GMC C2500 Suburban 1992-1999 5.7L V8 350cid
GMC C2500 Suburban 1992-1999 7.4L V8 454cid
GMC C2500 Suburban 1994-1999 6.5L V8 395cid
GMC C3500 1991-1993 6.2L V8 379cid
GMC C3500 1991-2000 5.7L V8 350cid
GMC C3500 1991-2000 7.4L V8 454cid
GMC C3500 1992-2000 6.5L V8 395cid
GMC C3500HD 1991-1993 6.2L V8 379cid
GMC C3500HD 1991-2000 5.7L V8 350cid
GMC C3500HD 1991-2000 7.4L V8 454cid
GMC C3500HD 1992-2000 6.5L V8 395cid
GMC C5000 1990 5.7L V8 350cid
GMC C5000 Topkick 1990-1991 6L V8 366cid
GMC C6000 1990 5.7L V8 350cid
GMC C6000 1990 6L V8 366cid
GMC C6000 1990 7L V8 427cid
GMC C6000 1990 8.2L V8 501cid
GMC C6000 Topkick 1990-1996 6.6L L6 403cid
GMC C6000 Topkick 1990-1996 6L V8 366cid
GMC C6000 Topkick 1990-1996 7L V8 427cid
GMC C6500 Topkick 1997-1998 6.6L L6 403cid
GMC C6500 Topkick 1997-1998 6L V8 366cid
GMC C6500 Topkick 1997-1998 7L V8 427cid
GMC C6500 Topkick 1998-2001 7.2L L6 441cid
GMC C6500 Topkick 1999-2000 7.4L V8 454cid
GMC C6500 Topkick 2001 8.1L V8 496cid
GMC C7000 1990 10.4L V8 636cid
GMC C7000 1990 6L V8 366cid
GMC C7000 1990 7L V8 427cid
GMC C7000 1990 8.2L V8 501cid
GMC C7000 Topkick 1990-1996 6.6L L6 403cid
GMC C7000 Topkick 1990-1996 6L V8 366cid
GMC C7000 Topkick 1990-1996 7L V8 427cid
GMC C7500 Topkick 1997-1998 6.6L L6 403cid
GMC C7500 Topkick 1997-1998 6L V8 366cid
GMC C7500 Topkick 1997-1998 7L V8 427cid
GMC C7500 Topkick 1998-2001 7.2L L6 441cid
GMC C7500 Topkick 1999-2000 7.4L V8 454cid
GMC C7500 Topkick 2001 8.1L V8 496cid
GMC K1500 1991-1993 6.2L V8 379cid
GMC K1500 1991-1998 4.3L V6 262cid
GMC K1500 1991-1999 5.7L V8 350cid
GMC K1500 1991-1999 5L V8 305cid
GMC K1500 1994-1998 6.5L V8 395cid
GMC K2500 1991-1993 6.2L V8 379cid
GMC K2500 1991-1995 4.3L V6 262cid
GMC K2500 1991-1998 5L V8 305cid
GMC K2500 1991-2000 5.7L V8 350cid
GMC K2500 1991-2000 7.4L V8 454cid
GMC K2500 1992-2000 6.5L V8 395cid
GMC K3500 1991-1993 6.2L V8 379cid
GMC K3500 1991-2000 5.7L V8 350cid
GMC K3500 1991-2000 7.4L V8 454cid
GMC K3500 1992-2000 6.5L V8 395cid
GMC P3500 1991 3.9L L4 239cid
GMC P3500 1991-1993 4.3L V6 262cid
GMC P3500 1991-1993 5.7L V8 350cid
GMC P3500 1991-1993 6.2L V8 379cid
GMC P3500 1991-1993 7.4L V8 454cid
GMC Yukon 1992-2000 5.7L V8 350cid
GMC Yukon 1994-1997 6.5L V8 395cid</t>
        </is>
      </c>
      <c r="I1182" t="inlineStr">
        <is>
          <t>{"0": {"productDeskExternalKey": "CNRD|85-1690"}, "1": {"Package Contents": "Wiper Motor; Instruction Manual"}, "2": {"E-Waste": "Yes"}, "3": {"Product Condition": "New"}, "4": {"Terminal Type": "Blade"}, "5": {"Mounting Type": "Eyelet; Grommet"}, "6": {"Weight PG": "3.8000"}, "7": {"Washer Pump Included": "No"}, "8": {"Part Type": "Windshield Wiper Motor"}, "9": {"Warranty Info": "Limited Lifetime"}, "10": {"Lifetime Warranty": "Yes"}, "11": {"Lifecycle Status": "Available to Order"}, "12": {"ItemLevelGTIN": "00884548154957"}}</t>
        </is>
      </c>
      <c r="J1182" t="inlineStr">
        <is>
          <t>https://www.cardone.com/product/windshield-wiper-motor-85-1690</t>
        </is>
      </c>
      <c r="K1182">
        <f>DISPIMG("ID_B418B105A1034D489D48C1F48A1F6E3E",1)</f>
        <v/>
      </c>
      <c r="L1182" t="inlineStr">
        <is>
          <t>CNRD|85-1690</t>
        </is>
      </c>
      <c r="M1182" t="inlineStr">
        <is>
          <t>Wiper Motor; Instruction Manual</t>
        </is>
      </c>
      <c r="N1182" t="inlineStr">
        <is>
          <t>Yes</t>
        </is>
      </c>
      <c r="O1182" t="inlineStr">
        <is>
          <t>New</t>
        </is>
      </c>
      <c r="P1182" t="inlineStr"/>
      <c r="Q1182" t="inlineStr">
        <is>
          <t>Blade</t>
        </is>
      </c>
      <c r="R1182" t="inlineStr">
        <is>
          <t>Eyelet; Grommet</t>
        </is>
      </c>
      <c r="S1182" t="inlineStr">
        <is>
          <t>3.8000</t>
        </is>
      </c>
      <c r="T1182" t="inlineStr">
        <is>
          <t>No</t>
        </is>
      </c>
      <c r="U1182" t="inlineStr">
        <is>
          <t>Limited Lifetime</t>
        </is>
      </c>
      <c r="V1182" t="inlineStr"/>
      <c r="W1182" t="inlineStr">
        <is>
          <t>Available to Order</t>
        </is>
      </c>
      <c r="X1182" t="inlineStr"/>
      <c r="Y1182" t="inlineStr">
        <is>
          <t>00884548154957</t>
        </is>
      </c>
      <c r="Z1182" t="inlineStr"/>
      <c r="AA1182" t="inlineStr"/>
      <c r="AB1182" t="inlineStr"/>
      <c r="AC1182" t="inlineStr">
        <is>
          <t>Yes</t>
        </is>
      </c>
    </row>
    <row r="1183">
      <c r="A1183" t="inlineStr">
        <is>
          <t>1182</t>
        </is>
      </c>
      <c r="B1183" t="inlineStr">
        <is>
          <t>Windshield Wiper Motor</t>
        </is>
      </c>
      <c r="C1183" t="inlineStr">
        <is>
          <t>85-1735</t>
        </is>
      </c>
      <c r="D1183" t="inlineStr">
        <is>
          <t>Windshield Wiper Motor - 85-1735</t>
        </is>
      </c>
      <c r="E1183" t="inlineStr">
        <is>
          <t>CARDONE New</t>
        </is>
      </c>
      <c r="F1183" t="inlineStr">
        <is>
          <t>8511016430;8511035090;8511016371;8511089143;8511014232;8511032271;8511016370;8511032241;8511016420;8511016460;8511089144;8511035100;8511035280;8511014230;8511032270;8511032242;8511035130</t>
        </is>
      </c>
      <c r="G1183" t="inlineStr">
        <is>
          <t>Lexus ES250 1990-1991
Toyota 4Runner 1989-2002
Toyota Camry 1987-1991
Toyota Celica 1986
Toyota Paseo 1992
Toyota Pickup 1989-1995
Toyota Supra 1986-1993
Toyota Tercel 1989-1992</t>
        </is>
      </c>
      <c r="H1183" t="inlineStr">
        <is>
          <t>Lexus ES250 1990-1991 2.5L V6 2508cc
Toyota 4Runner 1989-1995 2.4L L4 2366cc
Toyota 4Runner 1989-1995 3L V6 2959cc
Toyota 4Runner 2001-2002 3.4L V6 3378cc
Toyota Camry 1987-1991 2L L4 122cid
Toyota Camry 1988-1991 2.5L V6 2508cc
Toyota Celica 1986 2.8L L6 2754cc
Toyota Paseo 1992 1.5L L4 1497cc
Toyota Pickup 1989-1995 2.4L L4 2366cc
Toyota Pickup 1989-1995 3L V6 2959cc
Toyota Supra 1986-1992 3L L6 2954cc
Toyota Supra 1993 3L L6 2997cc
Toyota Tercel 1989-1992 1.5L L4 1456cc</t>
        </is>
      </c>
      <c r="I1183" t="inlineStr">
        <is>
          <t>{"0": {"productDeskExternalKey": "CNRD|85-1735"}, "1": {"Package Contents": "Wiper Motor; Instruction Manual"}, "2": {"E-Waste": "Yes"}, "3": {"Product Condition": "New"}, "4": {"Mounting Hole Quantity": "4"}, "5": {"Terminal Type": "Blade"}, "6": {"Mounting Type": "Eyelet; Grommet"}, "7": {"Weight PG": "3.0000"}, "8": {"Washer Pump Included": "No"}, "9": {"Part Type": "Windshield Wiper Motor"}, "10": {"Warranty Info": "Limited Lifetime"}, "11": {"Lifetime Warranty": "Yes"}, "12": {"Lifecycle Status": "Available to Order"}, "13": {"Application Summary": "Lexus ES250 1991-90; Toyota 4Runner 2002-01 1995-89, Camry 1991-87, Celica 1986, Paseo 1992, Pickup 1995-89, Supra 1993-86, Tercel 1992-89"}, "14": {"ItemLevelGTIN": "00884548192324"}}</t>
        </is>
      </c>
      <c r="J1183" t="inlineStr">
        <is>
          <t>https://www.cardone.com/product/windshield-wiper-motor-85-1735</t>
        </is>
      </c>
      <c r="K1183">
        <f>DISPIMG("ID_0AF82D46F0C541529B7B20E7E176074C",1)</f>
        <v/>
      </c>
      <c r="L1183" t="inlineStr">
        <is>
          <t>CNRD|85-1735</t>
        </is>
      </c>
      <c r="M1183" t="inlineStr">
        <is>
          <t>Wiper Motor; Instruction Manual</t>
        </is>
      </c>
      <c r="N1183" t="inlineStr">
        <is>
          <t>Yes</t>
        </is>
      </c>
      <c r="O1183" t="inlineStr">
        <is>
          <t>New</t>
        </is>
      </c>
      <c r="P1183" t="inlineStr">
        <is>
          <t>4</t>
        </is>
      </c>
      <c r="Q1183" t="inlineStr">
        <is>
          <t>Blade</t>
        </is>
      </c>
      <c r="R1183" t="inlineStr">
        <is>
          <t>Eyelet; Grommet</t>
        </is>
      </c>
      <c r="S1183" t="inlineStr">
        <is>
          <t>3.0000</t>
        </is>
      </c>
      <c r="T1183" t="inlineStr">
        <is>
          <t>No</t>
        </is>
      </c>
      <c r="U1183" t="inlineStr">
        <is>
          <t>Limited Lifetime</t>
        </is>
      </c>
      <c r="V1183" t="inlineStr"/>
      <c r="W1183" t="inlineStr">
        <is>
          <t>Available to Order</t>
        </is>
      </c>
      <c r="X1183" t="inlineStr">
        <is>
          <t>Lexus ES250 1991-90; Toyota 4Runner 2002-01 1995-89, Camry 1991-87, Celica 1986, Paseo 1992, Pickup 1995-89, Supra 1993-86, Tercel 1992-89</t>
        </is>
      </c>
      <c r="Y1183" t="inlineStr">
        <is>
          <t>00884548192324</t>
        </is>
      </c>
      <c r="Z1183" t="inlineStr"/>
      <c r="AA1183" t="inlineStr"/>
      <c r="AB1183" t="inlineStr"/>
      <c r="AC1183" t="inlineStr">
        <is>
          <t>Yes</t>
        </is>
      </c>
    </row>
    <row r="1184">
      <c r="A1184" t="inlineStr">
        <is>
          <t>1183</t>
        </is>
      </c>
      <c r="B1184" t="inlineStr">
        <is>
          <t>Windshield Wiper Motor</t>
        </is>
      </c>
      <c r="C1184" t="inlineStr">
        <is>
          <t>85-1743</t>
        </is>
      </c>
      <c r="D1184" t="inlineStr">
        <is>
          <t>Windshield Wiper Motor - 85-1743</t>
        </is>
      </c>
      <c r="E1184" t="inlineStr">
        <is>
          <t>CARDONE New</t>
        </is>
      </c>
      <c r="F1184" t="inlineStr">
        <is>
          <t>8511006010;8511006020;8511033020</t>
        </is>
      </c>
      <c r="G1184" t="inlineStr">
        <is>
          <t>Toyota Camry 1992-1996</t>
        </is>
      </c>
      <c r="H1184" t="inlineStr">
        <is>
          <t>Toyota Camry 1992-1993 3L V6 2959cc
Toyota Camry 1992-1996 2.2L L4 2164cc
Toyota Camry 1994-1996 3L V6 2995cc</t>
        </is>
      </c>
      <c r="I1184" t="inlineStr">
        <is>
          <t>{"0": {"productDeskExternalKey": "CNRD|85-1743"}, "1": {"Package Contents": "Wiper Motor; Instruction Manual"}, "2": {"E-Waste": "Yes"}, "3": {"Product Condition": "New"}, "4": {"Mounting Hole Quantity": "4"}, "5": {"Terminal Type": "Blade"}, "6": {"Mounting Type": "Eyelet; Grommet"}, "7": {"Weight PG": "3.2400"}, "8": {"Washer Pump Included": "No"}, "9": {"Part Type": "Windshield Wiper Motor"}, "10": {"Warranty Info": "Limited Lifetime"}, "11": {"Lifetime Warranty": "Yes"}, "12": {"Lifecycle Status": "Available to Order"}, "13": {"Application Summary": "Toyota Camry 1996-92"}, "14": {"ItemLevelGTIN": "00884548035690"}}</t>
        </is>
      </c>
      <c r="J1184" t="inlineStr">
        <is>
          <t>https://www.cardone.com/product/windshield-wiper-motor-85-1743</t>
        </is>
      </c>
      <c r="K1184">
        <f>DISPIMG("ID_F58C300232AD4AC096C41EAE2946F5B4",1)</f>
        <v/>
      </c>
      <c r="L1184" t="inlineStr">
        <is>
          <t>CNRD|85-1743</t>
        </is>
      </c>
      <c r="M1184" t="inlineStr">
        <is>
          <t>Wiper Motor; Instruction Manual</t>
        </is>
      </c>
      <c r="N1184" t="inlineStr">
        <is>
          <t>Yes</t>
        </is>
      </c>
      <c r="O1184" t="inlineStr">
        <is>
          <t>New</t>
        </is>
      </c>
      <c r="P1184" t="inlineStr">
        <is>
          <t>4</t>
        </is>
      </c>
      <c r="Q1184" t="inlineStr">
        <is>
          <t>Blade</t>
        </is>
      </c>
      <c r="R1184" t="inlineStr">
        <is>
          <t>Eyelet; Grommet</t>
        </is>
      </c>
      <c r="S1184" t="inlineStr">
        <is>
          <t>3.2400</t>
        </is>
      </c>
      <c r="T1184" t="inlineStr">
        <is>
          <t>No</t>
        </is>
      </c>
      <c r="U1184" t="inlineStr">
        <is>
          <t>Limited Lifetime</t>
        </is>
      </c>
      <c r="V1184" t="inlineStr"/>
      <c r="W1184" t="inlineStr">
        <is>
          <t>Available to Order</t>
        </is>
      </c>
      <c r="X1184" t="inlineStr">
        <is>
          <t>Toyota Camry 1996-92</t>
        </is>
      </c>
      <c r="Y1184" t="inlineStr">
        <is>
          <t>00884548035690</t>
        </is>
      </c>
      <c r="Z1184" t="inlineStr"/>
      <c r="AA1184" t="inlineStr"/>
      <c r="AB1184" t="inlineStr"/>
      <c r="AC1184" t="inlineStr">
        <is>
          <t>Yes</t>
        </is>
      </c>
    </row>
    <row r="1185">
      <c r="A1185" t="inlineStr">
        <is>
          <t>1184</t>
        </is>
      </c>
      <c r="B1185" t="inlineStr">
        <is>
          <t>Windshield Wiper Motor</t>
        </is>
      </c>
      <c r="C1185" t="inlineStr">
        <is>
          <t>85-175</t>
        </is>
      </c>
      <c r="D1185" t="inlineStr">
        <is>
          <t>Windshield Wiper Motor - 85-175</t>
        </is>
      </c>
      <c r="E1185" t="inlineStr">
        <is>
          <t>CARDONE New</t>
        </is>
      </c>
      <c r="F1185" t="inlineStr">
        <is>
          <t>22072790;22039687</t>
        </is>
      </c>
      <c r="G1185" t="inlineStr">
        <is>
          <t>Buick Century 1984-1986
Buick Regal 1984-1987
Chevrolet Camaro 1984-1987
Chevrolet Celebrity 1984-1986
Chevrolet Corvette 1984-1988
Chevrolet El Camino 1984-1987
Chevrolet Monte Carlo 1984-1987
GMC Caballero 1984-1987
Oldsmobile Cutlass 1985-1987
Oldsmobile Cutlass Ciera 1984-1986
Oldsmobile Cutlass Salon 1985-1987
Oldsmobile Cutlass Supreme 1984-1987
Pontiac 6000 1984-1986
Pontiac Bonneville 1984-1986
Pontiac Firebird 1984-1987
Pontiac Grand Prix 1984-1987</t>
        </is>
      </c>
      <c r="H1185" t="inlineStr">
        <is>
          <t>Buick Century 1984-1985 3L V6 181cid
Buick Century 1984-1985 4.3L V6 260cid
Buick Century 1984-1986 2.5L L4 151cid
Buick Century 1984-1986 2.8L V6 173cid
Buick Century 1984-1986 3.8L V6 231cid
Buick Regal 1984 4.1L V6 252cid
Buick Regal 1984-1985 4.3L V6 260cid
Buick Regal 1984-1987 3.8L V6 231cid
Buick Regal 1984-1987 5L V8 305cid
Buick Regal 1985 5.7L V8 350cid
Buick Regal 1986-1987 5L V8 307cid
Chevrolet Camaro 1984-1986 2.5L L4 151cid
Chevrolet Camaro 1984-1987 2.8L V6 173cid
Chevrolet Camaro 1984-1987 5L V8 305cid
Chevrolet Camaro 1987 5.7L V8 350cid
Chevrolet Celebrity 1984-1985 4.3L V6 260cid
Chevrolet Celebrity 1984-1986 2.5L L4 151cid
Chevrolet Celebrity 1984-1986 2.8L V6 173cid
Chevrolet Corvette 1984-1988 5.7L V8 350cid
Chevrolet El Camino 1984 3.8L V6 229cid
Chevrolet El Camino 1984 3.8L V6 231cid
Chevrolet El Camino 1984 5.7L V8 350cid
Chevrolet El Camino 1984-1987 5L V8 305cid
Chevrolet El Camino 1985-1987 4.3L V6 262cid
Chevrolet Monte Carlo 1984 3.8L V6 229cid
Chevrolet Monte Carlo 1984 5.7L V8 350cid
Chevrolet Monte Carlo 1984-1987 3.8L V6 231cid
Chevrolet Monte Carlo 1984-1987 5L V8 305cid
Chevrolet Monte Carlo 1985-1987 4.3L V6 262cid
GMC Caballero 1984 3.8L V6 229cid
GMC Caballero 1984 3.8L V6 231cid
GMC Caballero 1984 5.7L V8 350cid
GMC Caballero 1984-1987 5L V8 305cid
GMC Caballero 1985-1987 4.3L V6 262cid
Oldsmobile Cutlass 1985-1987 5L V8 305cid
Oldsmobile Cutlass 1987 2.8L V6 173cid
Oldsmobile Cutlass 1987 3.1L V6 189cid
Oldsmobile Cutlass Ciera 1984-1985 3L V6 181cid
Oldsmobile Cutlass Ciera 1984-1985 4.3L V6 260cid
Oldsmobile Cutlass Ciera 1984-1986 2.5L L4 151cid
Oldsmobile Cutlass Ciera 1984-1986 2.8L V6 173cid
Oldsmobile Cutlass Ciera 1984-1986 3.8L V6 231cid
Oldsmobile Cutlass Salon 1985 5.7L V8 350cid
Oldsmobile Cutlass Salon 1985-1987 3.8L V6 231cid
Oldsmobile Cutlass Salon 1985-1987 5L V8 307cid
Oldsmobile Cutlass Supreme 1984 4.3L V6 260cid
Oldsmobile Cutlass Supreme 1984-1985 5.7L V8 350cid
Oldsmobile Cutlass Supreme 1984-1987 3.8L V6 231cid
Oldsmobile Cutlass Supreme 1984-1987 5L V8 307cid
Oldsmobile Cutlass Supreme 1985-1987 5L V8 305cid
Pontiac 6000 1984-1985 4.3L V6 260cid
Pontiac 6000 1984-1986 2.5L L4 151cid
Pontiac 6000 1984-1986 2.8L V6 173cid
Pontiac Bonneville 1984 5.7L V8 350cid
Pontiac Bonneville 1984-1986 3.8L V6 231cid
Pontiac Bonneville 1984-1986 5L V8 305cid
Pontiac Bonneville 1986 4.3L V6 262cid
Pontiac Firebird 1984-1986 2.5L L4 151cid
Pontiac Firebird 1984-1987 2.8L V6 173cid
Pontiac Firebird 1984-1987 5L V8 305cid
Pontiac Firebird 1987 5.7L V8 350cid
Pontiac Grand Prix 1984 5.7L V8 350cid
Pontiac Grand Prix 1984-1987 3.8L V6 231cid
Pontiac Grand Prix 1984-1987 5L V8 305cid
Pontiac Grand Prix 1986-1987 4.3L V6 262cid</t>
        </is>
      </c>
      <c r="I1185" t="inlineStr">
        <is>
          <t>{"0": {"productDeskExternalKey": "CNRD|85-175"}, "1": {"Package Contents": "Wiper Motor; Instruction Manual"}, "2": {"E-Waste": "Yes"}, "3": {"Product Condition": "New"}, "4": {"Mounting Hole Quantity": "3"}, "5": {"Terminal Type": "Blade"}, "6": {"Mounting Type": "Grommet"}, "7": {"Weight PG": "4.4400"}, "8": {"Washer Pump Included": "No"}, "9": {"Part Type": "Windshield Wiper Motor"}, "10": {"Warranty Info": "Limited Lifetime"}, "11": {"Lifetime Warranty": "Yes"}, "12": {"Lifecycle Status": "Available to Order"}, "13": {"ItemLevelGTIN": "00884548329638"}}</t>
        </is>
      </c>
      <c r="J1185" t="inlineStr">
        <is>
          <t>https://www.cardone.com/product/windshield-wiper-motor-85-175</t>
        </is>
      </c>
      <c r="K1185">
        <f>DISPIMG("ID_339BB008B5104564B09D787D39164CE5",1)</f>
        <v/>
      </c>
      <c r="L1185" t="inlineStr">
        <is>
          <t>CNRD|85-175</t>
        </is>
      </c>
      <c r="M1185" t="inlineStr">
        <is>
          <t>Wiper Motor; Instruction Manual</t>
        </is>
      </c>
      <c r="N1185" t="inlineStr">
        <is>
          <t>Yes</t>
        </is>
      </c>
      <c r="O1185" t="inlineStr">
        <is>
          <t>New</t>
        </is>
      </c>
      <c r="P1185" t="inlineStr">
        <is>
          <t>3</t>
        </is>
      </c>
      <c r="Q1185" t="inlineStr">
        <is>
          <t>Blade</t>
        </is>
      </c>
      <c r="R1185" t="inlineStr">
        <is>
          <t>Grommet</t>
        </is>
      </c>
      <c r="S1185" t="inlineStr">
        <is>
          <t>4.4400</t>
        </is>
      </c>
      <c r="T1185" t="inlineStr">
        <is>
          <t>No</t>
        </is>
      </c>
      <c r="U1185" t="inlineStr">
        <is>
          <t>Limited Lifetime</t>
        </is>
      </c>
      <c r="V1185" t="inlineStr"/>
      <c r="W1185" t="inlineStr">
        <is>
          <t>Available to Order</t>
        </is>
      </c>
      <c r="X1185" t="inlineStr"/>
      <c r="Y1185" t="inlineStr">
        <is>
          <t>00884548329638</t>
        </is>
      </c>
      <c r="Z1185" t="inlineStr"/>
      <c r="AA1185" t="inlineStr"/>
      <c r="AB1185" t="inlineStr"/>
      <c r="AC1185" t="inlineStr">
        <is>
          <t>Yes</t>
        </is>
      </c>
    </row>
    <row r="1186">
      <c r="A1186" t="inlineStr">
        <is>
          <t>1185</t>
        </is>
      </c>
      <c r="B1186" t="inlineStr">
        <is>
          <t>Windshield Wiper Motor</t>
        </is>
      </c>
      <c r="C1186" t="inlineStr">
        <is>
          <t>85-178</t>
        </is>
      </c>
      <c r="D1186" t="inlineStr">
        <is>
          <t>Windshield Wiper Motor - 85-178</t>
        </is>
      </c>
      <c r="E1186" t="inlineStr">
        <is>
          <t>CARDONE New</t>
        </is>
      </c>
      <c r="F1186" t="inlineStr">
        <is>
          <t>22110871</t>
        </is>
      </c>
      <c r="G1186" t="inlineStr">
        <is>
          <t>Buick Electra 1987-1990
Buick LeSabre 1987-1999
Buick Park Avenue 1991-1996
Buick Reatta 1988-1991
Buick Riviera 1988-1999
Buick Roadmaster 1991-1996
Buick Skylark 1988-1998
Cadillac Allante 1990-1993
Cadillac Brougham 1990-1992
Cadillac Commercial Chassis 1987-1996
Cadillac DeVille 1987-1999
Cadillac Eldorado 1988-2002
Cadillac Fleetwood 1987-1992
Cadillac Seville 1988-1997
Chevrolet Beretta 1989-1996
Chevrolet Caprice 1991-1996
Chevrolet Corsica 1989-1996
Chevrolet Impala 1994-1996
Oldsmobile 88 1992-1999
Oldsmobile 98 1987-1996
Oldsmobile Achieva 1992-1998
Oldsmobile Aurora 1995-1999
Oldsmobile Custom Cruiser 1991-1992
Oldsmobile Cutlass Calais 1988-1991
Oldsmobile Delta 88 1987-1991
Oldsmobile LSS 1996-1999
Oldsmobile Regency 1997-1998
Oldsmobile Toronado 1988-1992
Pontiac Bonneville 1987-1999
Pontiac Grand Am 1988-1998</t>
        </is>
      </c>
      <c r="H1186" t="inlineStr">
        <is>
          <t>Buick Electra 1987-1990 3.8L V6 231cid
Buick LeSabre 1987-1999 3.8L V6 231cid
Buick Park Avenue 1991-1996 3.8L V6 231cid
Buick Reatta 1988-1991 3.8L V6 231cid
Buick Riviera 1988-1999 3.8L V6 231cid
Buick Roadmaster 1991 5L V8 305cid
Buick Roadmaster 1992-1996 5.7L V8 350cid
Buick Skylark 1988 3L V6 181cid
Buick Skylark 1988-1991 2.5L L4 151cid
Buick Skylark 1988-1995 2.3L L4 138cid
Buick Skylark 1989-1993 3.3L V6 204cid
Buick Skylark 1994-1998 3.1L V6 189cid
Buick Skylark 1996-1998 2.4L L4 146cid
Cadillac Allante 1990-1992 4.5L V8 273cid
Cadillac Allante 1993 4.6L V8 281cid
Cadillac Brougham 1990 5L V8 307cid
Cadillac Brougham 1990-1992 5.7L V8 350cid
Cadillac Brougham 1991-1992 5L V8 305cid
Cadillac Commercial Chassis 1987 4.1L V8 250cid
Cadillac Commercial Chassis 1988-1990 4.5L V8 273cid
Cadillac Commercial Chassis 1991-1993 4.9L V8 300cid
Cadillac Commercial Chassis 1992-1996 5.7L V8 350cid
Cadillac DeVille 1987 4.1L V8 250cid
Cadillac DeVille 1988-1990 4.5L V8 273cid
Cadillac DeVille 1991-1995 4.9L V8 300cid
Cadillac DeVille 1994-1999 4.6L V8 281cid
Cadillac Eldorado 1988-1990 4.5L V8 273cid
Cadillac Eldorado 1991-1993 4.9L V8 300cid
Cadillac Eldorado 1993-2002 4.6L V8 281cid
Cadillac Fleetwood 1987 4.1L V8 250cid
Cadillac Fleetwood 1988-1990 4.5L V8 273cid
Cadillac Fleetwood 1991-1992 4.9L V8 300cid
Cadillac Seville 1988-1990 4.5L V8 273cid
Cadillac Seville 1991-1993 4.9L V8 300cid
Cadillac Seville 1993-1997 4.6L V8 281cid
Chevrolet Beretta 1989 2.8L V6 173cid
Chevrolet Beretta 1989 2L L4 122cid
Chevrolet Beretta 1990-1994 2.3L L4 140cid
Chevrolet Beretta 1990-1996 2.2L L4 134cid
Chevrolet Beretta 1990-1996 3.1L V6 189cid
Chevrolet Caprice 1991-1993 5L V8 305cid
Chevrolet Caprice 1991-1996 5.7L V8 350cid
Chevrolet Caprice 1992-1993 4.3L V6 262cid
Chevrolet Caprice 1994-1996 4.3L V8 265cid
Chevrolet Corsica 1989 2.8L V6 173cid
Chevrolet Corsica 1989 2L L4 122cid
Chevrolet Corsica 1990-1996 2.2L L4 134cid
Chevrolet Corsica 1990-1996 3.1L V6 189cid
Chevrolet Impala 1994-1996 5.7L V8 350cid
Oldsmobile 88 1992-1999 3.8L V6 231cid
Oldsmobile 98 1987-1996 3.8L V6 231cid
Oldsmobile Achieva 1992-1993 3.3L V6 204cid
Oldsmobile Achieva 1992-1994 2.3L L4 140cid
Oldsmobile Achieva 1992-1995 2.3L L4 138cid
Oldsmobile Achieva 1994-1998 3.1L V6 189cid
Oldsmobile Achieva 1996-1998 2.4L L4 146cid
Oldsmobile Aurora 1995-1999 4L V8 244cid
Oldsmobile Custom Cruiser 1991-1992 5L V8 305cid
Oldsmobile Custom Cruiser 1992 5.7L V8 350cid
Oldsmobile Cutlass Calais 1988 3L V6 181cid
Oldsmobile Cutlass Calais 1988-1991 2.3L L4 138cid
Oldsmobile Cutlass Calais 1988-1991 2.5L L4 151cid
Oldsmobile Cutlass Calais 1989-1991 2.3L L4 140cid
Oldsmobile Cutlass Calais 1989-1991 3.3L V6 204cid
Oldsmobile Delta 88 1987-1991 3.8L V6 231cid
Oldsmobile LSS 1996-1999 3.8L V6 231cid
Oldsmobile Regency 1997-1998 3.8L V6 231cid
Oldsmobile Toronado 1988-1992 3.8L V6 231cid
Pontiac Bonneville 1987-1999 3.8L V6 231cid
Pontiac Grand Am 1988-1989 2L L4 122cid
Pontiac Grand Am 1988-1991 2.5L L4 151cid
Pontiac Grand Am 1988-1995 2.3L L4 138cid
Pontiac Grand Am 1989-1994 2.3L L4 140cid
Pontiac Grand Am 1992-1993 3.3L V6 204cid
Pontiac Grand Am 1994-1998 3.1L V6 189cid
Pontiac Grand Am 1996-1998 2.4L L4 146cid</t>
        </is>
      </c>
      <c r="I1186" t="inlineStr">
        <is>
          <t>{"0": {"productDeskExternalKey": "CNRD|85-178"}, "1": {"Package Contents": "Wiper Motor; Instruction Manual"}, "2": {"E-Waste": "Yes"}, "3": {"Product Condition": "New"}, "4": {"Mounting Hole Quantity": "3"}, "5": {"Terminal Type": "Blade"}, "6": {"Mounting Type": "Grommet"}, "7": {"Weight PG": "4.3800"}, "8": {"Washer Pump Included": "No"}, "9": {"Part Type": "Windshield Wiper Motor"}, "10": {"Warranty Info": "Limited Lifetime"}, "11": {"Lifetime Warranty": "Yes"}, "12": {"Lifecycle Status": "Available to Order"}, "13": {"ItemLevelGTIN": "00884548329621"}}</t>
        </is>
      </c>
      <c r="J1186" t="inlineStr">
        <is>
          <t>https://www.cardone.com/product/windshield-wiper-motor-85-178</t>
        </is>
      </c>
      <c r="K1186">
        <f>DISPIMG("ID_342EB1C534DE455CA7820D640588E653",1)</f>
        <v/>
      </c>
      <c r="L1186" t="inlineStr">
        <is>
          <t>CNRD|85-178</t>
        </is>
      </c>
      <c r="M1186" t="inlineStr">
        <is>
          <t>Wiper Motor; Instruction Manual</t>
        </is>
      </c>
      <c r="N1186" t="inlineStr">
        <is>
          <t>Yes</t>
        </is>
      </c>
      <c r="O1186" t="inlineStr">
        <is>
          <t>New</t>
        </is>
      </c>
      <c r="P1186" t="inlineStr">
        <is>
          <t>3</t>
        </is>
      </c>
      <c r="Q1186" t="inlineStr">
        <is>
          <t>Blade</t>
        </is>
      </c>
      <c r="R1186" t="inlineStr">
        <is>
          <t>Grommet</t>
        </is>
      </c>
      <c r="S1186" t="inlineStr">
        <is>
          <t>4.3800</t>
        </is>
      </c>
      <c r="T1186" t="inlineStr">
        <is>
          <t>No</t>
        </is>
      </c>
      <c r="U1186" t="inlineStr">
        <is>
          <t>Limited Lifetime</t>
        </is>
      </c>
      <c r="V1186" t="inlineStr"/>
      <c r="W1186" t="inlineStr">
        <is>
          <t>Available to Order</t>
        </is>
      </c>
      <c r="X1186" t="inlineStr"/>
      <c r="Y1186" t="inlineStr">
        <is>
          <t>00884548329621</t>
        </is>
      </c>
      <c r="Z1186" t="inlineStr"/>
      <c r="AA1186" t="inlineStr"/>
      <c r="AB1186" t="inlineStr"/>
      <c r="AC1186" t="inlineStr">
        <is>
          <t>Yes</t>
        </is>
      </c>
    </row>
    <row r="1187">
      <c r="A1187" t="inlineStr">
        <is>
          <t>1186</t>
        </is>
      </c>
      <c r="B1187" t="inlineStr">
        <is>
          <t>Windshield Wiper Motor</t>
        </is>
      </c>
      <c r="C1187" t="inlineStr">
        <is>
          <t>85-180</t>
        </is>
      </c>
      <c r="D1187" t="inlineStr">
        <is>
          <t>Windshield Wiper Motor - 85-180</t>
        </is>
      </c>
      <c r="E1187" t="inlineStr">
        <is>
          <t>CARDONE New</t>
        </is>
      </c>
      <c r="F1187" t="inlineStr">
        <is>
          <t>22048352</t>
        </is>
      </c>
      <c r="G1187" t="inlineStr">
        <is>
          <t>Chevrolet C10 1978-1984
Chevrolet C10 Suburban 1978-1984
Chevrolet C20 1978-1984
Chevrolet C20 Suburban 1978-1984
Chevrolet C30 1978-1984
Chevrolet C50 1983-1987
Chevrolet C60 1983-1987
Chevrolet C70 1983-1987
Chevrolet G10 1978-1982
Chevrolet G20 1978-1982
Chevrolet G30 1978-1982
Chevrolet K10 1978-1984
Chevrolet K10 Suburban 1978-1984
Chevrolet K20 1978-1984
Chevrolet K20 Suburban 1978-1984
Chevrolet K30 1978-1984
Chevrolet K5 Blazer 1978-1984
GMC C15 1978
GMC C15 Suburban 1978
GMC C1500 1979-1984
GMC C1500 Suburban 1979-1984
GMC C25 1978
GMC C25 Suburban 1978
GMC C2500 1979-1984
GMC C2500 Suburban 1979-1984
GMC C35 1978
GMC C3500 1979-1984
GMC G15 1978
GMC G1500 1979-1982
GMC G25 1978
GMC G2500 1979-1982
GMC G35 1978
GMC G3500 1979-1982
GMC Jimmy 1978-1984
GMC K15 1978
GMC K15 Suburban 1978
GMC K1500 1979-1984
GMC K1500 Suburban 1979-1984
GMC K25 1978
GMC K25 Suburban 1978
GMC K2500 1979-1984
GMC K2500 Suburban 1979-1984
GMC K35 1978
GMC K3500 1979-1984</t>
        </is>
      </c>
      <c r="H1187" t="inlineStr">
        <is>
          <t>Chevrolet C10 1978-1980 6.6L V8 400cid
Chevrolet C10 1978-1980 7.4L V8 454cid
Chevrolet C10 1978-1981 4.8L L6 292cid
Chevrolet C10 1978-1984 4.1L L6 250cid
Chevrolet C10 1978-1984 5.7L V8 350cid
Chevrolet C10 1978-1984 5L V8 305cid
Chevrolet C10 1982-1984 6.2L V8 379cid
Chevrolet C10 Suburban 1978-1980 4.1L L6 250cid
Chevrolet C10 Suburban 1978-1980 7.4L V8 454cid
Chevrolet C10 Suburban 1978-1984 5.7L V8 350cid
Chevrolet C10 Suburban 1978-1984 5L V8 305cid
Chevrolet C10 Suburban 1982-1984 6.2L V8 379cid
Chevrolet C20 1978-1980 6.6L V8 400cid
Chevrolet C20 1978-1984 4.1L L6 250cid
Chevrolet C20 1978-1984 4.8L L6 292cid
Chevrolet C20 1978-1984 5.7L V8 350cid
Chevrolet C20 1978-1984 5L V8 305cid
Chevrolet C20 1978-1984 7.4L V8 454cid
Chevrolet C20 1982-1984 6.2L V8 379cid
Chevrolet C20 Suburban 1978-1980 6.6L V8 400cid
Chevrolet C20 Suburban 1978-1982 4.8L L6 292cid
Chevrolet C20 Suburban 1978-1984 5.7L V8 350cid
Chevrolet C20 Suburban 1978-1984 5L V8 305cid
Chevrolet C20 Suburban 1978-1984 7.4L V8 454cid
Chevrolet C20 Suburban 1982-1984 6.2L V8 379cid
Chevrolet C30 1978 5L V8 305cid
Chevrolet C30 1978 6.6L V8 400cid
Chevrolet C30 1978-1982 4.1L L6 250cid
Chevrolet C30 1978-1984 4.8L L6 292cid
Chevrolet C30 1978-1984 5.7L V8 350cid
Chevrolet C30 1978-1984 7.4L V8 454cid
Chevrolet C30 1982-1984 6.2L V8 379cid
Chevrolet C50 1983-1986 4.8L L6 292cid
Chevrolet C50 1983-1987 5.7L V8 350cid
Chevrolet C50 1986 7L V8 427cid
Chevrolet C60 1983 6.1L L6 374cid
Chevrolet C60 1983-1985 10.4L V8 636cid
Chevrolet C60 1983-1986 4.8L L6 292cid
Chevrolet C60 1983-1987 5.7L V8 350cid
Chevrolet C60 1983-1987 6L V8 366cid
Chevrolet C60 1983-1987 8.2L V8 501cid
Chevrolet C60 1985 7L V8 427cid
Chevrolet C60 1986 14L L6 855cid
Chevrolet C70 1983-1985 6.1L L6 374cid
Chevrolet C70 1983-1987 10.4L V8 636cid
Chevrolet C70 1983-1987 6L V8 366cid
Chevrolet C70 1983-1987 7L V8 427cid
Chevrolet C70 1983-1987 8.2L V8 501cid
Chevrolet C70 1986 14L L6 855cid
Chevrolet C70 1986 5.7L V8 350cid
Chevrolet G10 1978-1982 4.1L L6 250cid
Chevrolet G10 1978-1982 5.7L V8 350cid
Chevrolet G10 1978-1982 5L V8 305cid
Chevrolet G20 1978 4.8L L6 292cid
Chevrolet G20 1978-1980 6.6L V8 400cid
Chevrolet G20 1978-1982 5.7L V8 350cid
Chevrolet G20 1979-1982 4.1L L6 250cid
Chevrolet G20 1980-1982 5L V8 305cid
Chevrolet G30 1978-1979 4.8L L6 292cid
Chevrolet G30 1978-1980 6.6L V8 400cid
Chevrolet G30 1978-1982 4.1L L6 250cid
Chevrolet G30 1978-1982 5.7L V8 350cid
Chevrolet G30 1978-1982 5L V8 305cid
Chevrolet K10 1978-1980 6.6L V8 400cid
Chevrolet K10 1978-1984 4.1L L6 250cid
Chevrolet K10 1978-1984 5.7L V8 350cid
Chevrolet K10 1978-1984 5L V8 305cid
Chevrolet K10 1980 4.8L L6 292cid
Chevrolet K10 1980 7.4L V8 454cid
Chevrolet K10 1982-1984 6.2L V8 379cid
Chevrolet K10 Suburban 1978-1979 6.6L V8 400cid
Chevrolet K10 Suburban 1978-1980 4.1L L6 250cid
Chevrolet K10 Suburban 1978-1983 5L V8 305cid
Chevrolet K10 Suburban 1978-1984 5.7L V8 350cid
Chevrolet K10 Suburban 1982-1984 6.2L V8 379cid
Chevrolet K20 1978 5L V8 305cid
Chevrolet K20 1978 7.4L V8 454cid
Chevrolet K20 1978-1980 4.1L L6 250cid
Chevrolet K20 1978-1980 6.6L V8 400cid
Chevrolet K20 1978-1984 4.8L L6 292cid
Chevrolet K20 1978-1984 5.7L V8 350cid
Chevrolet K20 1982-1984 6.2L V8 379cid
Chevrolet K20 Suburban 1978 5L V8 305cid
Chevrolet K20 Suburban 1978-1980 6.6L V8 400cid
Chevrolet K20 Suburban 1978-1982 4.8L L6 292cid
Chevrolet K20 Suburban 1978-1984 5.7L V8 350cid
Chevrolet K20 Suburban 1982-1984 6.2L V8 379cid
Chevrolet K30 1978-1980 6.6L V8 400cid
Chevrolet K30 1978-1984 4.8L L6 292cid
Chevrolet K30 1978-1984 5.7L V8 350cid
Chevrolet K30 1980-1984 7.4L V8 454cid
Chevrolet K30 1982-1984 6.2L V8 379cid
Chevrolet K5 Blazer 1978 7.4L V8 454cid
Chevrolet K5 Blazer 1978-1979 6.6L V8 400cid
Chevrolet K5 Blazer 1978-1982 4.1L L6 250cid
Chevrolet K5 Blazer 1978-1984 5.7L V8 350cid
Chevrolet K5 Blazer 1978-1984 5L V8 305cid
Chevrolet K5 Blazer 1982-1984 6.2L V8 379cid
GMC C15 1978 4.1L L6 250cid
GMC C15 1978 4.8L L6 292cid
GMC C15 1978 5.7L V8 350cid
GMC C15 1978 5L V8 305cid
GMC C15 1978 6.6L V8 400cid
GMC C15 1978 7.4L V8 454cid
GMC C15 Suburban 1978 4.1L L6 250cid
GMC C15 Suburban 1978 5.7L V8 350cid
GMC C15 Suburban 1978 5L V8 305cid
GMC C15 Suburban 1978 7.4L V8 454cid
GMC C1500 1979-1980 4.8L L6 292cid
GMC C1500 1979-1980 6.6L V8 400cid
GMC C1500 1979-1980 7.4L V8 454cid
GMC C1500 1979-1984 4.1L L6 250cid
GMC C1500 1979-1984 5.7L V8 350cid
GMC C1500 1979-1984 5L V8 305cid
GMC C1500 1982-1984 6.2L V8 379cid
GMC C1500 Suburban 1979-1980 4.1L L6 250cid
GMC C1500 Suburban 1979-1980 7.4L V8 454cid
GMC C1500 Suburban 1979-1984 5.7L V8 350cid
GMC C1500 Suburban 1979-1984 5L V8 305cid
GMC C1500 Suburban 1982-1984 6.2L V8 379cid
GMC C25 1978 4.1L L6 250cid
GMC C25 1978 4.8L L6 292cid
GMC C25 1978 5.7L V8 350cid
GMC C25 1978 5L V8 305cid
GMC C25 1978 6.6L V8 400cid
GMC C25 1978 7.4L V8 454cid
GMC C25 Suburban 1978 4.8L L6 292cid
GMC C25 Suburban 1978 5.7L V8 350cid
GMC C25 Suburban 1978 5L V8 305cid
GMC C25 Suburban 1978 6.6L V8 400cid
GMC C25 Suburban 1978 7.4L V8 454cid
GMC C2500 1979 6.6L V8 400cid
GMC C2500 1979-1984 4.1L L6 250cid
GMC C2500 1979-1984 5.7L V8 350cid
GMC C2500 1979-1984 7.4L V8 454cid
GMC C2500 1980-1984 4.8L L6 292cid
GMC C2500 1980-1984 5L V8 305cid
GMC C2500 1982-1984 6.2L V8 379cid
GMC C2500 Suburban 1979-1984 4.8L L6 292cid
GMC C2500 Suburban 1979-1984 5.7L V8 350cid
GMC C2500 Suburban 1979-1984 7.4L V8 454cid
GMC C2500 Suburban 1980 6.6L V8 400cid
GMC C2500 Suburban 1982-1984 5L V8 305cid
GMC C2500 Suburban 1982-1984 6.2L V8 379cid
GMC C35 1978 4.1L L6 250cid
GMC C35 1978 4.8L L6 292cid
GMC C35 1978 5.7L V8 350cid
GMC C35 1978 5L V8 305cid
GMC C35 1978 6.6L V8 400cid
GMC C35 1978 7.4L V8 454cid
GMC C3500 1979 6.6L V8 400cid
GMC C3500 1979-1980 4.1L L6 250cid
GMC C3500 1979-1984 4.8L L6 292cid
GMC C3500 1979-1984 5.7L V8 350cid
GMC C3500 1979-1984 7.4L V8 454cid
GMC C3500 1982-1984 6.2L V8 379cid
GMC G15 1978 4.1L L6 250cid
GMC G15 1978 5.7L V8 350cid
GMC G15 1978 5L V8 305cid
GMC G1500 1979 6.6L V8 400cid
GMC G1500 1979-1982 4.1L L6 250cid
GMC G1500 1979-1982 5.7L V8 350cid
GMC G1500 1979-1982 5L V8 305cid
GMC G25 1978 4.8L L6 292cid
GMC G25 1978 5.7L V8 350cid
GMC G25 1978 6.6L V8 400cid
GMC G2500 1979-1980 6.6L V8 400cid
GMC G2500 1979-1982 4.1L L6 250cid
GMC G2500 1979-1982 5.7L V8 350cid
GMC G2500 1981-1982 5L V8 305cid
GMC G35 1978 4.1L L6 250cid
GMC G35 1978 4.8L L6 292cid
GMC G35 1978 5.7L V8 350cid
GMC G35 1978 6.6L V8 400cid
GMC G3500 1979-1980 6.6L V8 400cid
GMC G3500 1979-1982 4.1L L6 250cid
GMC G3500 1979-1982 5.7L V8 350cid
GMC Jimmy 1978-1979 6.6L V8 400cid
GMC Jimmy 1978-1982 4.1L L6 250cid
GMC Jimmy 1978-1984 5.7L V8 350cid
GMC Jimmy 1978-1984 5L V8 305cid
GMC Jimmy 1982-1984 6.2L V8 379cid
GMC K15 1978 4.1L L6 250cid
GMC K15 1978 5.7L V8 350cid
GMC K15 1978 5L V8 305cid
GMC K15 1978 6.6L V8 400cid
GMC K15 Suburban 1978 4.1L L6 250cid
GMC K15 Suburban 1978 5.7L V8 350cid
GMC K15 Suburban 1978 5L V8 305cid
GMC K15 Suburban 1978 6.6L V8 400cid
GMC K1500 1979-1980 6.6L V8 400cid
GMC K1500 1979-1984 4.1L L6 250cid
GMC K1500 1979-1984 5.7L V8 350cid
GMC K1500 1980 4.8L L6 292cid
GMC K1500 1980 7.4L V8 454cid
GMC K1500 1981-1984 5L V8 305cid
GMC K1500 1982-1984 6.2L V8 379cid
GMC K1500 Suburban 1979-1980 4.1L L6 250cid
GMC K1500 Suburban 1979-1980 6.6L V8 400cid
GMC K1500 Suburban 1979-1982 5L V8 305cid
GMC K1500 Suburban 1979-1984 5.7L V8 350cid
GMC K1500 Suburban 1982-1984 6.2L V8 379cid
GMC K25 1978 4.1L L6 250cid
GMC K25 1978 4.8L L6 292cid
GMC K25 1978 5.7L V8 350cid
GMC K25 1978 5L V8 305cid
GMC K25 1978 6.6L V8 400cid
GMC K25 1978 7.4L V8 454cid
GMC K25 Suburban 1978 4.8L L6 292cid
GMC K25 Suburban 1978 5.7L V8 350cid
GMC K25 Suburban 1978 5L V8 305cid
GMC K25 Suburban 1978 6.6L V8 400cid
GMC K2500 1979-1980 6.6L V8 400cid
GMC K2500 1979-1984 4.8L L6 292cid
GMC K2500 1979-1984 5.7L V8 350cid
GMC K2500 1980 4.1L L6 250cid
GMC K2500 1982-1984 6.2L V8 379cid
GMC K2500 Suburban 1979-1980 6.6L V8 400cid
GMC K2500 Suburban 1979-1984 4.8L L6 292cid
GMC K2500 Suburban 1979-1984 5.7L V8 350cid
GMC K2500 Suburban 1982-1984 6.2L V8 379cid
GMC K35 1978 4.8L L6 292cid
GMC K35 1978 5.7L V8 350cid
GMC K35 1978 6.6L V8 400cid
GMC K3500 1979-1980 6.6L V8 400cid
GMC K3500 1979-1984 4.8L L6 292cid
GMC K3500 1979-1984 5.7L V8 350cid
GMC K3500 1979-1984 7.4L V8 454cid
GMC K3500 1982-1984 6.2L V8 379cid</t>
        </is>
      </c>
      <c r="I1187" t="inlineStr">
        <is>
          <t>{"0": {"productDeskExternalKey": "CNRD|85-180"}, "1": {"Package Contents": "Wiper Motor; Instruction Manual"}, "2": {"E-Waste": "Yes"}, "3": {"Product Condition": "New"}, "4": {"Terminal Type": "Blade"}, "5": {"Mounting Type": "Grommet"}, "6": {"Weight PG": "4.9900"}, "7": {"Washer Pump Included": "No"}, "8": {"Part Type": "Windshield Wiper Motor"}, "9": {"Warranty Info": "Limited Lifetime"}, "10": {"Lifetime Warranty": "Yes"}, "11": {"Lifecycle Status": "Available to Order"}, "12": {"ItemLevelGTIN": "00082617672405"}}</t>
        </is>
      </c>
      <c r="J1187" t="inlineStr">
        <is>
          <t>https://www.cardone.com/product/windshield-wiper-motor-85-180</t>
        </is>
      </c>
      <c r="K1187">
        <f>DISPIMG("ID_30931BB5A6F2449F8D6281E52DA0D4E4",1)</f>
        <v/>
      </c>
      <c r="L1187" t="inlineStr">
        <is>
          <t>CNRD|85-180</t>
        </is>
      </c>
      <c r="M1187" t="inlineStr">
        <is>
          <t>Wiper Motor; Instruction Manual</t>
        </is>
      </c>
      <c r="N1187" t="inlineStr">
        <is>
          <t>Yes</t>
        </is>
      </c>
      <c r="O1187" t="inlineStr">
        <is>
          <t>New</t>
        </is>
      </c>
      <c r="P1187" t="inlineStr"/>
      <c r="Q1187" t="inlineStr">
        <is>
          <t>Blade</t>
        </is>
      </c>
      <c r="R1187" t="inlineStr">
        <is>
          <t>Grommet</t>
        </is>
      </c>
      <c r="S1187" t="inlineStr">
        <is>
          <t>4.9900</t>
        </is>
      </c>
      <c r="T1187" t="inlineStr">
        <is>
          <t>No</t>
        </is>
      </c>
      <c r="U1187" t="inlineStr">
        <is>
          <t>Limited Lifetime</t>
        </is>
      </c>
      <c r="V1187" t="inlineStr"/>
      <c r="W1187" t="inlineStr">
        <is>
          <t>Available to Order</t>
        </is>
      </c>
      <c r="X1187" t="inlineStr"/>
      <c r="Y1187" t="inlineStr">
        <is>
          <t>00082617672405</t>
        </is>
      </c>
      <c r="Z1187" t="inlineStr"/>
      <c r="AA1187" t="inlineStr"/>
      <c r="AB1187" t="inlineStr"/>
      <c r="AC1187" t="inlineStr">
        <is>
          <t>Yes</t>
        </is>
      </c>
    </row>
    <row r="1188">
      <c r="A1188" t="inlineStr">
        <is>
          <t>1187</t>
        </is>
      </c>
      <c r="B1188" t="inlineStr">
        <is>
          <t>Windshield Wiper Motor</t>
        </is>
      </c>
      <c r="C1188" t="inlineStr">
        <is>
          <t>85-182</t>
        </is>
      </c>
      <c r="D1188" t="inlineStr">
        <is>
          <t>Windshield Wiper Motor - 85-182</t>
        </is>
      </c>
      <c r="E1188" t="inlineStr">
        <is>
          <t>CARDONE New</t>
        </is>
      </c>
      <c r="F1188" t="inlineStr">
        <is>
          <t>22038804;22049809</t>
        </is>
      </c>
      <c r="G1188" t="inlineStr">
        <is>
          <t>Chevrolet Blazer 1987-1991
Chevrolet C10 1985-1986
Chevrolet C10 Suburban 1985-1986
Chevrolet C20 1985-1986
Chevrolet C20 Suburban 1985-1986
Chevrolet C30 1985-1986
Chevrolet G10 1983-1991
Chevrolet G20 1983-1991
Chevrolet G30 1983-1991
Chevrolet K10 1985-1986
Chevrolet K10 Suburban 1985-1986
Chevrolet K20 1985-1986
Chevrolet K20 Suburban 1985-1986
Chevrolet K30 1985-1986
Chevrolet K5 Blazer 1985-1986
Chevrolet R10 1987
Chevrolet R10 Suburban 1987-1988
Chevrolet R1500 Suburban 1989-1991
Chevrolet R20 1987-1988
Chevrolet R20 Suburban 1987-1988
Chevrolet R2500 1989
Chevrolet R2500 Suburban 1989-1991
Chevrolet R30 1987-1988
Chevrolet R3500 1989-1991
Chevrolet V10 1987
Chevrolet V10 Suburban 1987-1988
Chevrolet V1500 Suburban 1989-1991
Chevrolet V20 1987
Chevrolet V20 Suburban 1987-1988
Chevrolet V2500 Suburban 1989-1991
Chevrolet V30 1987-1988
Chevrolet V3500 1989-1991
GMC C1500 1985-1986
GMC C1500 Suburban 1985-1986
GMC C2500 1985-1986
GMC C2500 Suburban 1985-1986
GMC C3500 1985-1986
GMC G1500 1983-1991
GMC G2500 1983-1991
GMC G3500 1983-1991
GMC Jimmy 1985-1991
GMC K1500 1985-1986
GMC K1500 Suburban 1985-1986
GMC K2500 1985-1986
GMC K2500 Suburban 1985-1986
GMC K3500 1985-1986
GMC R1500 1987
GMC R1500 Suburban 1987-1991
GMC R2500 1987-1989
GMC R2500 Suburban 1987-1991
GMC R3500 1987-1991
GMC V1500 1987
GMC V1500 Suburban 1987-1991
GMC V2500 1987
GMC V2500 Suburban 1987-1991
GMC V3500 1987-1991</t>
        </is>
      </c>
      <c r="H1188" t="inlineStr">
        <is>
          <t>Chevrolet Blazer 1987 5L V8 305cid
Chevrolet Blazer 1987-1991 5.7L V8 350cid
Chevrolet Blazer 1987-1991 6.2L V8 379cid
Chevrolet C10 1985-1986 4.3L V6 262cid
Chevrolet C10 1985-1986 5.7L V8 350cid
Chevrolet C10 1985-1986 5L V8 305cid
Chevrolet C10 1985-1986 6.2L V8 379cid
Chevrolet C10 Suburban 1985-1986 5.7L V8 350cid
Chevrolet C10 Suburban 1985-1986 5L V8 305cid
Chevrolet C10 Suburban 1985-1986 6.2L V8 379cid
Chevrolet C20 1985-1986 4.3L V6 262cid
Chevrolet C20 1985-1986 4.8L L6 292cid
Chevrolet C20 1985-1986 5.7L V8 350cid
Chevrolet C20 1985-1986 5L V8 305cid
Chevrolet C20 1985-1986 6.2L V8 379cid
Chevrolet C20 1985-1986 7.4L V8 454cid
Chevrolet C20 Suburban 1985-1986 5.7L V8 350cid
Chevrolet C20 Suburban 1985-1986 5L V8 305cid
Chevrolet C20 Suburban 1985-1986 6.2L V8 379cid
Chevrolet C20 Suburban 1985-1986 7.4L V8 454cid
Chevrolet C30 1985-1986 4.8L L6 292cid
Chevrolet C30 1985-1986 5.7L V8 350cid
Chevrolet C30 1985-1986 6.2L V8 379cid
Chevrolet C30 1985-1986 7.4L V8 454cid
Chevrolet G10 1983-1984 4.1L L6 250cid
Chevrolet G10 1983-1991 5.7L V8 350cid
Chevrolet G10 1983-1991 5L V8 305cid
Chevrolet G10 1985-1991 4.3L V6 262cid
Chevrolet G20 1983-1984 4.1L L6 250cid
Chevrolet G20 1983-1991 5.7L V8 350cid
Chevrolet G20 1983-1991 5L V8 305cid
Chevrolet G20 1983-1991 6.2L V8 379cid
Chevrolet G20 1985-1991 4.3L V6 262cid
Chevrolet G30 1983-1984 4.1L L6 250cid
Chevrolet G30 1983-1991 5.7L V8 350cid
Chevrolet G30 1983-1991 6.2L V8 379cid
Chevrolet G30 1985 5L V8 305cid
Chevrolet G30 1985-1991 4.3L V6 262cid
Chevrolet G30 1988-1991 7.4L V8 454cid
Chevrolet K10 1985-1986 4.3L V6 262cid
Chevrolet K10 1985-1986 5.7L V8 350cid
Chevrolet K10 1985-1986 5L V8 305cid
Chevrolet K10 1985-1986 6.2L V8 379cid
Chevrolet K10 Suburban 1985-1986 5.7L V8 350cid
Chevrolet K10 Suburban 1985-1986 6.2L V8 379cid
Chevrolet K10 Suburban 1986 5L V8 305cid
Chevrolet K20 1985 4.3L V6 262cid
Chevrolet K20 1985 5L V8 305cid
Chevrolet K20 1985-1986 4.8L L6 292cid
Chevrolet K20 1985-1986 5.7L V8 350cid
Chevrolet K20 1985-1986 6.2L V8 379cid
Chevrolet K20 Suburban 1985 7.4L V8 454cid
Chevrolet K20 Suburban 1985-1986 5.7L V8 350cid
Chevrolet K20 Suburban 1985-1986 5L V8 305cid
Chevrolet K20 Suburban 1985-1986 6.2L V8 379cid
Chevrolet K30 1985-1986 4.8L L6 292cid
Chevrolet K30 1985-1986 5.7L V8 350cid
Chevrolet K30 1985-1986 6.2L V8 379cid
Chevrolet K30 1985-1986 7.4L V8 454cid
Chevrolet K5 Blazer 1985-1986 5.7L V8 350cid
Chevrolet K5 Blazer 1985-1986 5L V8 305cid
Chevrolet K5 Blazer 1985-1986 6.2L V8 379cid
Chevrolet R10 1987 4.3L V6 262cid
Chevrolet R10 1987 5.7L V8 350cid
Chevrolet R10 1987 5L V8 305cid
Chevrolet R10 1987 6.2L V8 379cid
Chevrolet R10 Suburban 1987 5L V8 305cid
Chevrolet R10 Suburban 1987-1988 5.7L V8 350cid
Chevrolet R10 Suburban 1987-1988 6.2L V8 379cid
Chevrolet R1500 Suburban 1989-1991 5.7L V8 350cid
Chevrolet R1500 Suburban 1989-1991 6.2L V8 379cid
Chevrolet R20 1987-1988 4.3L V6 262cid
Chevrolet R20 1987-1988 4.8L L6 292cid
Chevrolet R20 1987-1988 5.7L V8 350cid
Chevrolet R20 1987-1988 5L V8 305cid
Chevrolet R20 1987-1988 6.2L V8 379cid
Chevrolet R20 1987-1988 7.4L V8 454cid
Chevrolet R20 Suburban 1987-1988 5.7L V8 350cid
Chevrolet R20 Suburban 1987-1988 6.2L V8 379cid
Chevrolet R20 Suburban 1987-1988 7.4L V8 454cid
Chevrolet R2500 1989 5.7L V8 350cid
Chevrolet R2500 1989 6.2L V8 379cid
Chevrolet R2500 1989 7.4L V8 454cid
Chevrolet R2500 Suburban 1989-1991 5.7L V8 350cid
Chevrolet R2500 Suburban 1989-1991 6.2L V8 379cid
Chevrolet R2500 Suburban 1989-1991 7.4L V8 454cid
Chevrolet R30 1987-1988 4.8L L6 292cid
Chevrolet R30 1987-1988 5.7L V8 350cid
Chevrolet R30 1987-1988 6.2L V8 379cid
Chevrolet R30 1987-1988 7.4L V8 454cid
Chevrolet R3500 1989-1991 5.7L V8 350cid
Chevrolet R3500 1989-1991 6.2L V8 379cid
Chevrolet R3500 1989-1991 7.4L V8 454cid
Chevrolet V10 1987 4.3L V6 262cid
Chevrolet V10 1987 5.7L V8 350cid
Chevrolet V10 1987 5L V8 305cid
Chevrolet V10 1987 6.2L V8 379cid
Chevrolet V10 Suburban 1987-1988 5.7L V8 350cid
Chevrolet V10 Suburban 1987-1988 6.2L V8 379cid
Chevrolet V1500 Suburban 1989-1991 5.7L V8 350cid
Chevrolet V1500 Suburban 1989-1991 6.2L V8 379cid
Chevrolet V20 1987 4.8L L6 292cid
Chevrolet V20 1987 5.7L V8 350cid
Chevrolet V20 1987 6.2L V8 379cid
Chevrolet V20 Suburban 1987-1988 5.7L V8 350cid
Chevrolet V20 Suburban 1987-1988 6.2L V8 379cid
Chevrolet V20 Suburban 1987-1988 7.4L V8 454cid
Chevrolet V2500 Suburban 1989-1991 5.7L V8 350cid
Chevrolet V2500 Suburban 1989-1991 6.2L V8 379cid
Chevrolet V2500 Suburban 1990 7.4L V8 454cid
Chevrolet V30 1987-1988 4.8L L6 292cid
Chevrolet V30 1987-1988 5.7L V8 350cid
Chevrolet V30 1987-1988 6.2L V8 379cid
Chevrolet V30 1987-1988 7.4L V8 454cid
Chevrolet V3500 1989-1991 5.7L V8 350cid
Chevrolet V3500 1989-1991 6.2L V8 379cid
Chevrolet V3500 1989-1991 7.4L V8 454cid
GMC C1500 1985-1986 4.3L V6 262cid
GMC C1500 1985-1986 5.7L V8 350cid
GMC C1500 1985-1986 5L V8 305cid
GMC C1500 1985-1986 6.2L V8 379cid
GMC C1500 Suburban 1985-1986 5.7L V8 350cid
GMC C1500 Suburban 1985-1986 5L V8 305cid
GMC C1500 Suburban 1985-1986 6.2L V8 379cid
GMC C2500 1985-1986 4.3L V6 262cid
GMC C2500 1985-1986 4.8L L6 292cid
GMC C2500 1985-1986 5.7L V8 350cid
GMC C2500 1985-1986 5L V8 305cid
GMC C2500 1985-1986 6.2L V8 379cid
GMC C2500 1985-1986 7.4L V8 454cid
GMC C2500 Suburban 1985-1986 5.7L V8 350cid
GMC C2500 Suburban 1985-1986 5L V8 305cid
GMC C2500 Suburban 1985-1986 6.2L V8 379cid
GMC C2500 Suburban 1985-1986 7.4L V8 454cid
GMC C3500 1985-1986 4.8L L6 292cid
GMC C3500 1985-1986 5.7L V8 350cid
GMC C3500 1985-1986 6.2L V8 379cid
GMC C3500 1985-1986 7.4L V8 454cid
GMC C3500 1986 5L V8 305cid
GMC G1500 1983-1984 4.1L L6 250cid
GMC G1500 1983-1991 5.7L V8 350cid
GMC G1500 1983-1991 5L V8 305cid
GMC G1500 1985-1991 4.3L V6 262cid
GMC G2500 1983-1984 4.1L L6 250cid
GMC G2500 1983-1991 5.7L V8 350cid
GMC G2500 1983-1991 5L V8 305cid
GMC G2500 1983-1991 6.2L V8 379cid
GMC G2500 1985-1991 4.3L V6 262cid
GMC G3500 1983-1984 4.1L L6 250cid
GMC G3500 1983-1991 5.7L V8 350cid
GMC G3500 1983-1991 6.2L V8 379cid
GMC G3500 1985-1991 4.3L V6 262cid
GMC G3500 1988-1991 7.4L V8 454cid
GMC Jimmy 1985-1987 5L V8 305cid
GMC Jimmy 1985-1991 5.7L V8 350cid
GMC Jimmy 1985-1991 6.2L V8 379cid
GMC K1500 1985-1986 4.3L V6 262cid
GMC K1500 1985-1986 5.7L V8 350cid
GMC K1500 1985-1986 5L V8 305cid
GMC K1500 1985-1986 6.2L V8 379cid
GMC K1500 Suburban 1985-1986 5.7L V8 350cid
GMC K1500 Suburban 1985-1986 6.2L V8 379cid
GMC K2500 1985 4.3L V6 262cid
GMC K2500 1985-1986 4.8L L6 292cid
GMC K2500 1985-1986 5.7L V8 350cid
GMC K2500 1985-1986 6.2L V8 379cid
GMC K2500 Suburban 1985-1986 5.7L V8 350cid
GMC K2500 Suburban 1985-1986 6.2L V8 379cid
GMC K3500 1985-1986 4.8L L6 292cid
GMC K3500 1985-1986 5.7L V8 350cid
GMC K3500 1985-1986 6.2L V8 379cid
GMC K3500 1985-1986 7.4L V8 454cid
GMC R1500 1987 4.3L V6 262cid
GMC R1500 1987 5.7L V8 350cid
GMC R1500 1987 5L V8 305cid
GMC R1500 1987 6.2L V8 379cid
GMC R1500 Suburban 1987 5L V8 305cid
GMC R1500 Suburban 1987-1991 5.7L V8 350cid
GMC R1500 Suburban 1987-1991 6.2L V8 379cid
GMC R2500 1987 4.3L V6 262cid
GMC R2500 1987 5L V8 305cid
GMC R2500 1987-1988 4.8L L6 292cid
GMC R2500 1987-1989 5.7L V8 350cid
GMC R2500 1987-1989 6.2L V8 379cid
GMC R2500 1987-1989 7.4L V8 454cid
GMC R2500 Suburban 1987-1991 5.7L V8 350cid
GMC R2500 Suburban 1987-1991 6.2L V8 379cid
GMC R2500 Suburban 1987-1991 7.4L V8 454cid
GMC R3500 1987-1988 4.8L L6 292cid
GMC R3500 1987-1991 5.7L V8 350cid
GMC R3500 1987-1991 6.2L V8 379cid
GMC R3500 1987-1991 7.4L V8 454cid
GMC V1500 1987 4.3L V6 262cid
GMC V1500 1987 5.7L V8 350cid
GMC V1500 1987 5L V8 305cid
GMC V1500 1987 6.2L V8 379cid
GMC V1500 Suburban 1987-1991 5.7L V8 350cid
GMC V1500 Suburban 1987-1991 6.2L V8 379cid
GMC V2500 1987 4.8L L6 292cid
GMC V2500 1987 5.7L V8 350cid
GMC V2500 1987 6.2L V8 379cid
GMC V2500 Suburban 1987-1991 5.7L V8 350cid
GMC V2500 Suburban 1987-1991 6.2L V8 379cid
GMC V3500 1987-1988 4.8L L6 292cid
GMC V3500 1987-1991 5.7L V8 350cid
GMC V3500 1987-1991 6.2L V8 379cid
GMC V3500 1987-1991 7.4L V8 454cid</t>
        </is>
      </c>
      <c r="I1188" t="inlineStr">
        <is>
          <t>{"0": {"productDeskExternalKey": "CNRD|85-182"}, "1": {"Package Contents": "Wiper Motor; Instruction Manual"}, "2": {"E-Waste": "Yes"}, "3": {"Product Condition": "New"}, "4": {"Terminal Type": "Blade"}, "5": {"Mounting Type": "Grommet"}, "6": {"Weight PG": "4.4200"}, "7": {"Washer Pump Included": "No"}, "8": {"Part Type": "Windshield Wiper Motor"}, "9": {"Warranty Info": "Limited Lifetime"}, "10": {"Lifetime Warranty": "Yes"}, "11": {"Lifecycle Status": "Available to Order"}, "12": {"ItemLevelGTIN": "00082617672412"}}</t>
        </is>
      </c>
      <c r="J1188" t="inlineStr">
        <is>
          <t>https://www.cardone.com/product/windshield-wiper-motor-85-182</t>
        </is>
      </c>
      <c r="K1188">
        <f>DISPIMG("ID_D93FD906EFDA41B2B6585CF9B652E178",1)</f>
        <v/>
      </c>
      <c r="L1188" t="inlineStr">
        <is>
          <t>CNRD|85-182</t>
        </is>
      </c>
      <c r="M1188" t="inlineStr">
        <is>
          <t>Wiper Motor; Instruction Manual</t>
        </is>
      </c>
      <c r="N1188" t="inlineStr">
        <is>
          <t>Yes</t>
        </is>
      </c>
      <c r="O1188" t="inlineStr">
        <is>
          <t>New</t>
        </is>
      </c>
      <c r="P1188" t="inlineStr"/>
      <c r="Q1188" t="inlineStr">
        <is>
          <t>Blade</t>
        </is>
      </c>
      <c r="R1188" t="inlineStr">
        <is>
          <t>Grommet</t>
        </is>
      </c>
      <c r="S1188" t="inlineStr">
        <is>
          <t>4.4200</t>
        </is>
      </c>
      <c r="T1188" t="inlineStr">
        <is>
          <t>No</t>
        </is>
      </c>
      <c r="U1188" t="inlineStr">
        <is>
          <t>Limited Lifetime</t>
        </is>
      </c>
      <c r="V1188" t="inlineStr"/>
      <c r="W1188" t="inlineStr">
        <is>
          <t>Available to Order</t>
        </is>
      </c>
      <c r="X1188" t="inlineStr"/>
      <c r="Y1188" t="inlineStr">
        <is>
          <t>00082617672412</t>
        </is>
      </c>
      <c r="Z1188" t="inlineStr"/>
      <c r="AA1188" t="inlineStr"/>
      <c r="AB1188" t="inlineStr"/>
      <c r="AC1188" t="inlineStr">
        <is>
          <t>Yes</t>
        </is>
      </c>
    </row>
    <row r="1189">
      <c r="A1189" t="inlineStr">
        <is>
          <t>1188</t>
        </is>
      </c>
      <c r="B1189" t="inlineStr">
        <is>
          <t>Windshield Wiper Motor</t>
        </is>
      </c>
      <c r="C1189" t="inlineStr">
        <is>
          <t>85-1835</t>
        </is>
      </c>
      <c r="D1189" t="inlineStr">
        <is>
          <t>Windshield Wiper Motor - 85-1835</t>
        </is>
      </c>
      <c r="E1189" t="inlineStr">
        <is>
          <t>CARDONE New</t>
        </is>
      </c>
      <c r="F1189" t="inlineStr">
        <is>
          <t>535955119;535955119A;1H1955119;1H0955119;535955119C;1J0955119;1C0955119;1HM955113C</t>
        </is>
      </c>
      <c r="G1189" t="inlineStr">
        <is>
          <t>Volkswagen Beetle 1998-2010
Volkswagen Beetle Cabrio 2010
Volkswagen Cabrio 1995-2002
Volkswagen Corrado 1990-1994
Volkswagen EuroVan 1993-2003
Volkswagen Golf 1991-2001
Volkswagen Jetta 1993-2001
Volkswagen Passat 1990-1997</t>
        </is>
      </c>
      <c r="H1189" t="inlineStr">
        <is>
          <t>Volkswagen Beetle 1998-2006 1.9L L4 116cid
Volkswagen Beetle 1998-2010 2L L4 121cid
Volkswagen Beetle 1999-2005 1.8L L4 1781cc
Volkswagen Beetle 2006-2010 2.5L L5 151cid
Volkswagen Beetle Cabrio 2010 2.5L L5 151cid
Volkswagen Cabrio 1995-2002 2L L4 121cid
Volkswagen Corrado 1990-1992 1.8L L4 1781cc
Volkswagen Corrado 1992-1994 2.8L V6 2771cc
Volkswagen EuroVan 1993-1996 2.4L L5 144cid
Volkswagen EuroVan 1993-2003 2.5L L5 150cid
Volkswagen EuroVan 1997 2.4L L5 146cid
Volkswagen EuroVan 1997-2003 2.8L V6 2771cc
Volkswagen Golf 1991-2001 1.8L L4 1781cc
Volkswagen Golf 1993 1.8L L4 109cid
Volkswagen Golf 1993-2001 1.9L L4 116cid
Volkswagen Golf 1993-2001 2L L4 121cid
Volkswagen Golf 1996-2001 2.8L V6 2771cc
Volkswagen Jetta 1993-1995 1.8L L4 109cid
Volkswagen Jetta 1993-2001 1.8L L4 1781cc
Volkswagen Jetta 1993-2001 1.9L L4 116cid
Volkswagen Jetta 1993-2001 2L L4 121cid
Volkswagen Jetta 1994-2001 2.8L V6 2771cc
Volkswagen Passat 1990-1996 2L L4 121cid
Volkswagen Passat 1991-1993 1.8L L4 1781cc
Volkswagen Passat 1993-1997 1.9L L4 116cid
Volkswagen Passat 1993-1997 2.8L V6 2771cc</t>
        </is>
      </c>
      <c r="I1189" t="inlineStr">
        <is>
          <t>{"0": {"productDeskExternalKey": "CNRD|85-1835"}, "1": {"Package Contents": "Wiper Motor; Instruction Manual"}, "2": {"E-Waste": "Yes"}, "3": {"Product Condition": "New"}, "4": {"Mounting Hole Quantity": "3"}, "5": {"Terminal Type": "Blade"}, "6": {"Mounting Type": "Direct Bolt"}, "7": {"Weight PG": "3.0000"}, "8": {"Washer Pump Included": "No"}, "9": {"Part Type": "Windshield Wiper Motor"}, "10": {"Warranty Info": "Limited Lifetime"}, "11": {"Lifetime Warranty": "Yes"}, "12": {"Lifecycle Status": "Available to Order"}, "13": {"Application Summary": "Volkswagen Beetle 2010-98, Beetle Cabrio 2010, Cabrio 2002-00 1997-95, Corrado 1994-90, EuroVan 2003-99 1997-93, Golf 2001-00 1997-91, Jetta 2001-93, Passat 1997-90"}, "14": {"ItemLevelGTIN": "00082617935296"}}</t>
        </is>
      </c>
      <c r="J1189" t="inlineStr">
        <is>
          <t>https://www.cardone.com/product/windshield-wiper-motor-85-1835</t>
        </is>
      </c>
      <c r="K1189">
        <f>DISPIMG("ID_C0815394F2CD4630B76B5DB4D1FD7CB6",1)</f>
        <v/>
      </c>
      <c r="L1189" t="inlineStr">
        <is>
          <t>CNRD|85-1835</t>
        </is>
      </c>
      <c r="M1189" t="inlineStr">
        <is>
          <t>Wiper Motor; Instruction Manual</t>
        </is>
      </c>
      <c r="N1189" t="inlineStr">
        <is>
          <t>Yes</t>
        </is>
      </c>
      <c r="O1189" t="inlineStr">
        <is>
          <t>New</t>
        </is>
      </c>
      <c r="P1189" t="inlineStr">
        <is>
          <t>3</t>
        </is>
      </c>
      <c r="Q1189" t="inlineStr">
        <is>
          <t>Blade</t>
        </is>
      </c>
      <c r="R1189" t="inlineStr">
        <is>
          <t>Direct Bolt</t>
        </is>
      </c>
      <c r="S1189" t="inlineStr">
        <is>
          <t>3.0000</t>
        </is>
      </c>
      <c r="T1189" t="inlineStr">
        <is>
          <t>No</t>
        </is>
      </c>
      <c r="U1189" t="inlineStr">
        <is>
          <t>Limited Lifetime</t>
        </is>
      </c>
      <c r="V1189" t="inlineStr"/>
      <c r="W1189" t="inlineStr">
        <is>
          <t>Available to Order</t>
        </is>
      </c>
      <c r="X1189" t="inlineStr">
        <is>
          <t>Volkswagen Beetle 2010-98, Beetle Cabrio 2010, Cabrio 2002-00 1997-95, Corrado 1994-90, EuroVan 2003-99 1997-93, Golf 2001-00 1997-91, Jetta 2001-93, Passat 1997-90</t>
        </is>
      </c>
      <c r="Y1189" t="inlineStr">
        <is>
          <t>00082617935296</t>
        </is>
      </c>
      <c r="Z1189" t="inlineStr"/>
      <c r="AA1189" t="inlineStr"/>
      <c r="AB1189" t="inlineStr"/>
      <c r="AC1189" t="inlineStr">
        <is>
          <t>Yes</t>
        </is>
      </c>
    </row>
    <row r="1190">
      <c r="A1190" t="inlineStr">
        <is>
          <t>1189</t>
        </is>
      </c>
      <c r="B1190" t="inlineStr">
        <is>
          <t>Windshield Wiper Motor</t>
        </is>
      </c>
      <c r="C1190" t="inlineStr">
        <is>
          <t>85-1836</t>
        </is>
      </c>
      <c r="D1190" t="inlineStr">
        <is>
          <t>Windshield Wiper Motor - 85-1836</t>
        </is>
      </c>
      <c r="E1190" t="inlineStr">
        <is>
          <t>CARDONE New</t>
        </is>
      </c>
      <c r="F1190" t="inlineStr">
        <is>
          <t>1HM955113A;1638201042;1HM955113</t>
        </is>
      </c>
      <c r="G1190" t="inlineStr">
        <is>
          <t>Mercedes-Benz ML320 1998
Mercedes-Benz ML430 1999
Volkswagen Cabrio 1998-1999
Volkswagen Golf 1994-1999
Volkswagen Jetta 1993-1997</t>
        </is>
      </c>
      <c r="H1190" t="inlineStr">
        <is>
          <t>Mercedes-Benz ML320 1998 3.2L V6 3199cc
Mercedes-Benz ML430 1999 4.3L V8 4266cc
Volkswagen Cabrio 1998-1999 2L L4 121cid
Volkswagen Golf 1994-1998 1.8L L4 109cid
Volkswagen Golf 1994-1999 1.9L L4 116cid
Volkswagen Golf 1994-1999 2L L4 121cid
Volkswagen Golf 1995-1999 2.8L V6 2771cc
Volkswagen Jetta 1993-1995 1.8L L4 109cid
Volkswagen Jetta 1993-1997 1.8L L4 1781cc
Volkswagen Jetta 1993-1997 1.9L L4 116cid
Volkswagen Jetta 1993-1997 2L L4 121cid
Volkswagen Jetta 1994-1997 2.8L V6 2771cc</t>
        </is>
      </c>
      <c r="I1190" t="inlineStr">
        <is>
          <t>{"0": {"productDeskExternalKey": "CNRD|85-1836"}, "1": {"Package Contents": "Wiper Motor; Instruction Manual"}, "2": {"E-Waste": "Yes"}, "3": {"Product Condition": "New"}, "4": {"Terminal Type": "Blade"}, "5": {"Mounting Type": "Direct Bolt"}, "6": {"Weight PG": "2.7000"}, "7": {"Washer Pump Included": "No"}, "8": {"Part Type": "Windshield Wiper Motor"}, "9": {"Warranty Info": "Limited Lifetime"}, "10": {"Lifetime Warranty": "Yes"}, "11": {"Lifecycle Status": "Available to Order"}, "12": {"Application Summary": "Mercedes-Benz ML320 1998, ML430 1999; Volkswagen Cabrio 1999-98, Golf 1999-94, Jetta 1997-93"}, "13": {"ItemLevelGTIN": "00082617748049"}}</t>
        </is>
      </c>
      <c r="J1190" t="inlineStr">
        <is>
          <t>https://www.cardone.com/product/windshield-wiper-motor-85-1836</t>
        </is>
      </c>
      <c r="K1190">
        <f>DISPIMG("ID_58E76DB983434BB0A7C0837F0F25976E",1)</f>
        <v/>
      </c>
      <c r="L1190" t="inlineStr">
        <is>
          <t>CNRD|85-1836</t>
        </is>
      </c>
      <c r="M1190" t="inlineStr">
        <is>
          <t>Wiper Motor; Instruction Manual</t>
        </is>
      </c>
      <c r="N1190" t="inlineStr">
        <is>
          <t>Yes</t>
        </is>
      </c>
      <c r="O1190" t="inlineStr">
        <is>
          <t>New</t>
        </is>
      </c>
      <c r="P1190" t="inlineStr"/>
      <c r="Q1190" t="inlineStr">
        <is>
          <t>Blade</t>
        </is>
      </c>
      <c r="R1190" t="inlineStr">
        <is>
          <t>Direct Bolt</t>
        </is>
      </c>
      <c r="S1190" t="inlineStr">
        <is>
          <t>2.7000</t>
        </is>
      </c>
      <c r="T1190" t="inlineStr">
        <is>
          <t>No</t>
        </is>
      </c>
      <c r="U1190" t="inlineStr">
        <is>
          <t>Limited Lifetime</t>
        </is>
      </c>
      <c r="V1190" t="inlineStr"/>
      <c r="W1190" t="inlineStr">
        <is>
          <t>Available to Order</t>
        </is>
      </c>
      <c r="X1190" t="inlineStr">
        <is>
          <t>Mercedes-Benz ML320 1998, ML430 1999; Volkswagen Cabrio 1999-98, Golf 1999-94, Jetta 1997-93</t>
        </is>
      </c>
      <c r="Y1190" t="inlineStr">
        <is>
          <t>00082617748049</t>
        </is>
      </c>
      <c r="Z1190" t="inlineStr"/>
      <c r="AA1190" t="inlineStr"/>
      <c r="AB1190" t="inlineStr"/>
      <c r="AC1190" t="inlineStr">
        <is>
          <t>Yes</t>
        </is>
      </c>
    </row>
    <row r="1191">
      <c r="A1191" t="inlineStr">
        <is>
          <t>1190</t>
        </is>
      </c>
      <c r="B1191" t="inlineStr">
        <is>
          <t>Windshield Wiper Motor</t>
        </is>
      </c>
      <c r="C1191" t="inlineStr">
        <is>
          <t>85-190</t>
        </is>
      </c>
      <c r="D1191" t="inlineStr">
        <is>
          <t>Windshield Wiper Motor - 85-190</t>
        </is>
      </c>
      <c r="E1191" t="inlineStr">
        <is>
          <t>CARDONE New</t>
        </is>
      </c>
      <c r="F1191" t="inlineStr">
        <is>
          <t>22062915</t>
        </is>
      </c>
      <c r="G1191" t="inlineStr">
        <is>
          <t>Buick Skyhawk 1982-1989
Cadillac Cimarron 1982-1988
Chevrolet Astro 1985-1989
Chevrolet Cavalier 1982-1994
Chevrolet S10 1982-1993
Chevrolet S10 Blazer 1983-1994
GMC Jimmy 1992-1994
GMC S15 1982-1990
GMC S15 Jimmy 1983-1991
GMC Safari 1985-1989
GMC Sonoma 1991-1993
GMC Syclone 1991
GMC Typhoon 1992-1993
Oldsmobile Bravada 1991-1993
Oldsmobile Firenza 1982-1988
Pontiac Fiero 1984-1988
Pontiac J2000 1982-1983
Pontiac J2000 Sunbird 1984-1985
Pontiac Sunbird 1986-1994
Pontiac Tempest 1987-1991</t>
        </is>
      </c>
      <c r="H1191" t="inlineStr">
        <is>
          <t>Buick Skyhawk 1982-1986 1.8L L4 112cid
Buick Skyhawk 1983-1989 2L L4 122cid
Cadillac Cimarron 1982 1.8L L4 112cid
Cadillac Cimarron 1983-1986 2L L4 122cid
Cadillac Cimarron 1985-1988 2.8L V6 173cid
Chevrolet Astro 1985-1989 2.5L L4 151cid
Chevrolet Astro 1985-1989 4.3L V6 262cid
Chevrolet Cavalier 1982 1.8L L4 112cid
Chevrolet Cavalier 1983-1989 2L L4 122cid
Chevrolet Cavalier 1985-1994 2.8L V6 173cid
Chevrolet Cavalier 1990-1994 2.2L L4 134cid
Chevrolet Cavalier 1990-1994 3.1L V6 189cid
Chevrolet S10 1982-1985 1.9L L4 119cid
Chevrolet S10 1982-1993 2.8L V6 173cid
Chevrolet S10 1983-1984 2L L4 122cid
Chevrolet S10 1983-1985 2.2L L4 134cid
Chevrolet S10 1985-1993 2.5L L4 151cid
Chevrolet S10 1988-1993 4.3L V6 262cid
Chevrolet S10 1991-1993 3.1L V6 3137cc
Chevrolet S10 Blazer 1983-1984 1.9L L4 119cid
Chevrolet S10 Blazer 1983-1984 2L L4 122cid
Chevrolet S10 Blazer 1983-1989 2.8L V6 173cid
Chevrolet S10 Blazer 1984 2.2L L4 134cid
Chevrolet S10 Blazer 1985-1988 2.5L L4 151cid
Chevrolet S10 Blazer 1988-1994 4.3L V6 262cid
GMC Jimmy 1992-1994 4.3L V6 262cid
GMC S15 1982-1985 1.9L L4 119cid
GMC S15 1982-1990 2.8L V6 173cid
GMC S15 1983-1984 2L L4 122cid
GMC S15 1984-1985 2.2L L4 134cid
GMC S15 1985-1990 2.5L L4 151cid
GMC S15 1988-1990 4.3L V6 262cid
GMC S15 Jimmy 1983-1984 1.9L L4 119cid
GMC S15 Jimmy 1983-1984 2L L4 122cid
GMC S15 Jimmy 1983-1989 2.8L V6 173cid
GMC S15 Jimmy 1985-1988 2.5L L4 151cid
GMC S15 Jimmy 1988-1991 4.3L V6 262cid
GMC Safari 1985-1989 2.5L L4 151cid
GMC Safari 1985-1989 4.3L V6 262cid
GMC Sonoma 1991-1993 2.5L L4 151cid
GMC Sonoma 1991-1993 2.8L V6 173cid
GMC Sonoma 1991-1993 4.3L V6 262cid
GMC Syclone 1991 4.3L V6 262cid
GMC Typhoon 1992-1993 4.3L V6 262cid
Oldsmobile Bravada 1991-1993 4.3L V6 262cid
Oldsmobile Firenza 1982-1986 1.8L L4 112cid
Oldsmobile Firenza 1983-1988 2L L4 122cid
Oldsmobile Firenza 1985-1987 2.8L V6 173cid
Pontiac Fiero 1984-1988 2.5L L4 151cid
Pontiac Fiero 1985-1988 2.8L V6 173cid
Pontiac J2000 1982-1983 1.8L L4 112cid
Pontiac J2000 1983 2L L4 122cid
Pontiac J2000 Sunbird 1984-1985 1.8L L4 112cid
Pontiac J2000 Sunbird 1984-1985 2L L4 122cid
Pontiac Sunbird 1986 1.8L L4 112cid
Pontiac Sunbird 1986-1994 2L L4 122cid
Pontiac Sunbird 1991-1994 3.1L V6 189cid
Pontiac Tempest 1987-1989 2.8L V6 173cid
Pontiac Tempest 1987-1989 2L L4 122cid
Pontiac Tempest 1990-1991 2.2L L4 134cid
Pontiac Tempest 1990-1991 3.1L V6 189cid</t>
        </is>
      </c>
      <c r="I1191" t="inlineStr">
        <is>
          <t>{"0": {"productDeskExternalKey": "CNRD|85-190"}, "1": {"Package Contents": "Wiper Motor; Instruction Manual"}, "2": {"E-Waste": "Yes"}, "3": {"Product Condition": "New"}, "4": {"Terminal Type": "Blade"}, "5": {"Mounting Type": "Eyelet; Grommet"}, "6": {"Weight PG": "4.0000"}, "7": {"Washer Pump Included": "No"}, "8": {"Part Type": "Windshield Wiper Motor"}, "9": {"Warranty Info": "Limited Lifetime"}, "10": {"Lifetime Warranty": "Yes"}, "11": {"Lifecycle Status": "Available to Order"}, "12": {"ItemLevelGTIN": "00082617868020"}}</t>
        </is>
      </c>
      <c r="J1191" t="inlineStr">
        <is>
          <t>https://www.cardone.com/product/windshield-wiper-motor-85-190</t>
        </is>
      </c>
      <c r="K1191">
        <f>DISPIMG("ID_98828F5CE3D242FC93210343CAE97E94",1)</f>
        <v/>
      </c>
      <c r="L1191" t="inlineStr">
        <is>
          <t>CNRD|85-190</t>
        </is>
      </c>
      <c r="M1191" t="inlineStr">
        <is>
          <t>Wiper Motor; Instruction Manual</t>
        </is>
      </c>
      <c r="N1191" t="inlineStr">
        <is>
          <t>Yes</t>
        </is>
      </c>
      <c r="O1191" t="inlineStr">
        <is>
          <t>New</t>
        </is>
      </c>
      <c r="P1191" t="inlineStr"/>
      <c r="Q1191" t="inlineStr">
        <is>
          <t>Blade</t>
        </is>
      </c>
      <c r="R1191" t="inlineStr">
        <is>
          <t>Eyelet; Grommet</t>
        </is>
      </c>
      <c r="S1191" t="inlineStr">
        <is>
          <t>4.0000</t>
        </is>
      </c>
      <c r="T1191" t="inlineStr">
        <is>
          <t>No</t>
        </is>
      </c>
      <c r="U1191" t="inlineStr">
        <is>
          <t>Limited Lifetime</t>
        </is>
      </c>
      <c r="V1191" t="inlineStr"/>
      <c r="W1191" t="inlineStr">
        <is>
          <t>Available to Order</t>
        </is>
      </c>
      <c r="X1191" t="inlineStr"/>
      <c r="Y1191" t="inlineStr">
        <is>
          <t>00082617868020</t>
        </is>
      </c>
      <c r="Z1191" t="inlineStr"/>
      <c r="AA1191" t="inlineStr"/>
      <c r="AB1191" t="inlineStr"/>
      <c r="AC1191" t="inlineStr">
        <is>
          <t>Yes</t>
        </is>
      </c>
    </row>
    <row r="1192">
      <c r="A1192" t="inlineStr">
        <is>
          <t>1191</t>
        </is>
      </c>
      <c r="B1192" t="inlineStr">
        <is>
          <t>Windshield Wiper Motor</t>
        </is>
      </c>
      <c r="C1192" t="inlineStr">
        <is>
          <t>85-1911</t>
        </is>
      </c>
      <c r="D1192" t="inlineStr">
        <is>
          <t>Windshield Wiper Motor - 85-1911</t>
        </is>
      </c>
      <c r="E1192" t="inlineStr">
        <is>
          <t>CARDONE New</t>
        </is>
      </c>
      <c r="F1192" t="inlineStr">
        <is>
          <t>22049816;22049813;22062913</t>
        </is>
      </c>
      <c r="G1192" t="inlineStr">
        <is>
          <t>Buick Skyhawk 1984-1989
Cadillac Cimarron 1984-1988
Chevrolet Astro 1985-1993
Chevrolet Cavalier 1984-1994
Chevrolet S10 1985-1993
Chevrolet S10 Blazer 1985-1994
GMC Jimmy 1992-1994
GMC S15 1985-1990
GMC S15 Jimmy 1985-1991
GMC Safari 1985-1993
GMC Sonoma 1991-1993
GMC Syclone 1991
GMC Typhoon 1992-1993
Oldsmobile Bravada 1991-1994
Oldsmobile Firenza 1984-1988
Pontiac Fiero 1985-1988
Pontiac J2000 Sunbird 1984
Pontiac Sunbird 1986-1994
Pontiac Tempest 1987-1991</t>
        </is>
      </c>
      <c r="H1192" t="inlineStr">
        <is>
          <t>Buick Skyhawk 1984-1986 1.8L L4 112cid
Buick Skyhawk 1984-1989 2L L4 122cid
Cadillac Cimarron 1984-1986 2L L4 122cid
Cadillac Cimarron 1985-1988 2.8L V6 173cid
Chevrolet Astro 1985-1990 2.5L L4 151cid
Chevrolet Astro 1985-1993 4.3L V6 262cid
Chevrolet Cavalier 1984-1989 2L L4 122cid
Chevrolet Cavalier 1985-1994 2.8L V6 173cid
Chevrolet Cavalier 1990-1994 2.2L L4 134cid
Chevrolet Cavalier 1990-1994 3.1L V6 189cid
Chevrolet S10 1985 1.9L L4 119cid
Chevrolet S10 1985 2.2L L4 134cid
Chevrolet S10 1985-1993 2.5L L4 151cid
Chevrolet S10 1985-1993 2.8L V6 173cid
Chevrolet S10 1988-1993 4.3L V6 262cid
Chevrolet S10 1991-1993 3.1L V6 3137cc
Chevrolet S10 Blazer 1985-1988 2.5L L4 151cid
Chevrolet S10 Blazer 1985-1989 2.8L V6 173cid
Chevrolet S10 Blazer 1988-1994 4.3L V6 262cid
GMC Jimmy 1992-1994 4.3L V6 262cid
GMC S15 1985 1.9L L4 119cid
GMC S15 1985 2.2L L4 134cid
GMC S15 1985-1990 2.5L L4 151cid
GMC S15 1985-1990 2.8L V6 173cid
GMC S15 1988-1990 4.3L V6 262cid
GMC S15 Jimmy 1985-1988 2.5L L4 151cid
GMC S15 Jimmy 1985-1989 2.8L V6 173cid
GMC S15 Jimmy 1988-1991 4.3L V6 262cid
GMC Safari 1985-1990 2.5L L4 151cid
GMC Safari 1985-1993 4.3L V6 262cid
GMC Sonoma 1991-1993 2.5L L4 151cid
GMC Sonoma 1991-1993 2.8L V6 173cid
GMC Sonoma 1991-1993 4.3L V6 262cid
GMC Syclone 1991 4.3L V6 262cid
GMC Typhoon 1992-1993 4.3L V6 262cid
Oldsmobile Bravada 1991-1994 4.3L V6 262cid
Oldsmobile Firenza 1984-1986 1.8L L4 112cid
Oldsmobile Firenza 1984-1988 2L L4 122cid
Oldsmobile Firenza 1985-1987 2.8L V6 173cid
Pontiac Fiero 1985-1988 2.5L L4 151cid
Pontiac Fiero 1985-1988 2.8L V6 173cid
Pontiac J2000 Sunbird 1984 1.8L L4 112cid
Pontiac J2000 Sunbird 1984 2L L4 122cid
Pontiac Sunbird 1986 1.8L L4 112cid
Pontiac Sunbird 1986-1994 2L L4 122cid
Pontiac Sunbird 1991-1994 3.1L V6 189cid
Pontiac Tempest 1987-1989 2.8L V6 173cid
Pontiac Tempest 1987-1989 2L L4 122cid
Pontiac Tempest 1990-1991 2.2L L4 134cid
Pontiac Tempest 1990-1991 3.1L V6 189cid</t>
        </is>
      </c>
      <c r="I1192" t="inlineStr">
        <is>
          <t>{"0": {"productDeskExternalKey": "CNRD|85-1911"}, "1": {"Package Contents": "Wiper Motor; Instruction Manual"}, "2": {"E-Waste": "Yes"}, "3": {"Product Condition": "New"}, "4": {"Terminal Type": "Blade"}, "5": {"Mounting Type": "Eyelet; Grommet"}, "6": {"Weight PG": "3.8000"}, "7": {"Washer Pump Included": "No"}, "8": {"Part Type": "Windshield Wiper Motor"}, "9": {"Warranty Info": "Limited Lifetime"}, "10": {"Lifetime Warranty": "Yes"}, "11": {"Lifecycle Status": "Available to Order"}, "12": {"ItemLevelGTIN": "00884548280106"}}</t>
        </is>
      </c>
      <c r="J1192" t="inlineStr">
        <is>
          <t>https://www.cardone.com/product/windshield-wiper-motor-85-1911</t>
        </is>
      </c>
      <c r="K1192">
        <f>DISPIMG("ID_94974395FF254F8E9A9F7316F34D7F05",1)</f>
        <v/>
      </c>
      <c r="L1192" t="inlineStr">
        <is>
          <t>CNRD|85-1911</t>
        </is>
      </c>
      <c r="M1192" t="inlineStr">
        <is>
          <t>Wiper Motor; Instruction Manual</t>
        </is>
      </c>
      <c r="N1192" t="inlineStr">
        <is>
          <t>Yes</t>
        </is>
      </c>
      <c r="O1192" t="inlineStr">
        <is>
          <t>New</t>
        </is>
      </c>
      <c r="P1192" t="inlineStr"/>
      <c r="Q1192" t="inlineStr">
        <is>
          <t>Blade</t>
        </is>
      </c>
      <c r="R1192" t="inlineStr">
        <is>
          <t>Eyelet; Grommet</t>
        </is>
      </c>
      <c r="S1192" t="inlineStr">
        <is>
          <t>3.8000</t>
        </is>
      </c>
      <c r="T1192" t="inlineStr">
        <is>
          <t>No</t>
        </is>
      </c>
      <c r="U1192" t="inlineStr">
        <is>
          <t>Limited Lifetime</t>
        </is>
      </c>
      <c r="V1192" t="inlineStr"/>
      <c r="W1192" t="inlineStr">
        <is>
          <t>Available to Order</t>
        </is>
      </c>
      <c r="X1192" t="inlineStr"/>
      <c r="Y1192" t="inlineStr">
        <is>
          <t>00884548280106</t>
        </is>
      </c>
      <c r="Z1192" t="inlineStr"/>
      <c r="AA1192" t="inlineStr"/>
      <c r="AB1192" t="inlineStr"/>
      <c r="AC1192" t="inlineStr">
        <is>
          <t>Yes</t>
        </is>
      </c>
    </row>
    <row r="1193">
      <c r="A1193" t="inlineStr">
        <is>
          <t>1192</t>
        </is>
      </c>
      <c r="B1193" t="inlineStr">
        <is>
          <t>Windshield Wiper Motor</t>
        </is>
      </c>
      <c r="C1193" t="inlineStr">
        <is>
          <t>85-192</t>
        </is>
      </c>
      <c r="D1193" t="inlineStr">
        <is>
          <t>Windshield Wiper Motor - 85-192</t>
        </is>
      </c>
      <c r="E1193" t="inlineStr">
        <is>
          <t>CARDONE New</t>
        </is>
      </c>
      <c r="F1193" t="inlineStr">
        <is>
          <t>22101637</t>
        </is>
      </c>
      <c r="G1193" t="inlineStr">
        <is>
          <t>Chevrolet Lumina APV 1990-1996
Chevrolet Lumina Van 1995-1996
Oldsmobile Silhouette 1990-1996
Pontiac Trans Sport 1990-1996</t>
        </is>
      </c>
      <c r="H1193" t="inlineStr">
        <is>
          <t>Chevrolet Lumina APV 1990-1995 3.1L V6 189cid
Chevrolet Lumina APV 1992-1995 3.8L V6 231cid
Chevrolet Lumina APV 1996 3.4L V6 207cid
Chevrolet Lumina Van 1995-1996 3.8L V6 232cid
Oldsmobile Silhouette 1990-1994 3.1L V6 189cid
Oldsmobile Silhouette 1992-1995 3.8L V6 231cid
Oldsmobile Silhouette 1996 3.4L V6 207cid
Pontiac Trans Sport 1990-1995 3.1L V6 189cid
Pontiac Trans Sport 1992-1995 3.8L V6 231cid
Pontiac Trans Sport 1996 3.4L V6 207cid</t>
        </is>
      </c>
      <c r="I1193" t="inlineStr">
        <is>
          <t>{"0": {"productDeskExternalKey": "CNRD|85-192"}, "1": {"Package Contents": "Wiper Motor; Instruction Manual"}, "2": {"E-Waste": "Yes"}, "3": {"Product Condition": "New"}, "4": {"Mounting Hole Quantity": "3"}, "5": {"Terminal Type": "Blade"}, "6": {"Mounting Type": "Direct Bolt"}, "7": {"Weight PG": "3.8000"}, "8": {"Washer Pump Included": "No"}, "9": {"Part Type": "Windshield Wiper Motor"}, "10": {"Warranty Info": "Limited Lifetime"}, "11": {"Lifetime Warranty": "Yes"}, "12": {"Lifecycle Status": "Available to Order"}, "13": {"Application Summary": "Chevrolet Lumina APV 1996-90, Lumina Van 1996-95; Oldsmobile Silhouette 1996-90; Pontiac Trans Sport 1996-90"}, "14": {"ItemLevelGTIN": "00082617657761"}}</t>
        </is>
      </c>
      <c r="J1193" t="inlineStr">
        <is>
          <t>https://www.cardone.com/product/windshield-wiper-motor-85-192</t>
        </is>
      </c>
      <c r="K1193">
        <f>DISPIMG("ID_E5790A77121E454C943969F671169C2D",1)</f>
        <v/>
      </c>
      <c r="L1193" t="inlineStr">
        <is>
          <t>CNRD|85-192</t>
        </is>
      </c>
      <c r="M1193" t="inlineStr">
        <is>
          <t>Wiper Motor; Instruction Manual</t>
        </is>
      </c>
      <c r="N1193" t="inlineStr">
        <is>
          <t>Yes</t>
        </is>
      </c>
      <c r="O1193" t="inlineStr">
        <is>
          <t>New</t>
        </is>
      </c>
      <c r="P1193" t="inlineStr">
        <is>
          <t>3</t>
        </is>
      </c>
      <c r="Q1193" t="inlineStr">
        <is>
          <t>Blade</t>
        </is>
      </c>
      <c r="R1193" t="inlineStr">
        <is>
          <t>Direct Bolt</t>
        </is>
      </c>
      <c r="S1193" t="inlineStr">
        <is>
          <t>3.8000</t>
        </is>
      </c>
      <c r="T1193" t="inlineStr">
        <is>
          <t>No</t>
        </is>
      </c>
      <c r="U1193" t="inlineStr">
        <is>
          <t>Limited Lifetime</t>
        </is>
      </c>
      <c r="V1193" t="inlineStr"/>
      <c r="W1193" t="inlineStr">
        <is>
          <t>Available to Order</t>
        </is>
      </c>
      <c r="X1193" t="inlineStr">
        <is>
          <t>Chevrolet Lumina APV 1996-90, Lumina Van 1996-95; Oldsmobile Silhouette 1996-90; Pontiac Trans Sport 1996-90</t>
        </is>
      </c>
      <c r="Y1193" t="inlineStr">
        <is>
          <t>00082617657761</t>
        </is>
      </c>
      <c r="Z1193" t="inlineStr"/>
      <c r="AA1193" t="inlineStr"/>
      <c r="AB1193" t="inlineStr"/>
      <c r="AC1193" t="inlineStr">
        <is>
          <t>Yes</t>
        </is>
      </c>
    </row>
    <row r="1194">
      <c r="A1194" t="inlineStr">
        <is>
          <t>1193</t>
        </is>
      </c>
      <c r="B1194" t="inlineStr">
        <is>
          <t>Windshield Wiper Motor</t>
        </is>
      </c>
      <c r="C1194" t="inlineStr">
        <is>
          <t>85-2001</t>
        </is>
      </c>
      <c r="D1194" t="inlineStr">
        <is>
          <t>Windshield Wiper Motor - 85-2001</t>
        </is>
      </c>
      <c r="E1194" t="inlineStr">
        <is>
          <t>CARDONE New</t>
        </is>
      </c>
      <c r="F1194" t="inlineStr">
        <is>
          <t>F50Y17508A;F4DZ17508B</t>
        </is>
      </c>
      <c r="G1194" t="inlineStr">
        <is>
          <t>Ford Sable 1994-1995
Ford Taurus 1987-1995
Lincoln Continental 1988-1997
Mercury Sable 1987-1995</t>
        </is>
      </c>
      <c r="H1194" t="inlineStr">
        <is>
          <t>Ford Sable 1994-1995 3.8L V6 232cid
Ford Taurus 1987-1991 2.5L L4 153cid
Ford Taurus 1987-1995 3L V6 182cid
Ford Taurus 1988-1995 3.8L V6 232cid
Ford Taurus 1993-1995 3.2L V6 195cid
Lincoln Continental 1988-1994 3.8L V6 232cid
Lincoln Continental 1995-1997 4.6L V8 281cid
Mercury Sable 1987-1995 3L V6 182cid
Mercury Sable 1988-1995 3.8L V6 232cid</t>
        </is>
      </c>
      <c r="I1194" t="inlineStr">
        <is>
          <t>{"0": {"productDeskExternalKey": "CNRD|85-2001"}, "1": {"Package Contents": "Wiper Motor; Instruction Manual"}, "2": {"E-Waste": "Yes"}, "3": {"Product Condition": "New"}, "4": {"Terminal Type": "Blade"}, "5": {"Mounting Type": "Eyelet; Grommet"}, "6": {"Weight PG": "5.0000"}, "7": {"Washer Pump Included": "No"}, "8": {"Part Type": "Windshield Wiper Motor"}, "9": {"Warranty Info": "Limited Lifetime"}, "10": {"Lifetime Warranty": "Yes"}, "11": {"Lifecycle Status": "Available to Order"}, "12": {"Application Summary": "Ford Sable 1995-94, Taurus 1995-87; Lincoln Continental 1997-88; Mercury Sable 1995-87"}, "13": {"ItemLevelGTIN": "00884548122307"}}</t>
        </is>
      </c>
      <c r="J1194" t="inlineStr">
        <is>
          <t>https://www.cardone.com/product/windshield-wiper-motor-85-2001</t>
        </is>
      </c>
      <c r="K1194">
        <f>DISPIMG("ID_37D76C513C524E10B6E2C56336BC1178",1)</f>
        <v/>
      </c>
      <c r="L1194" t="inlineStr">
        <is>
          <t>CNRD|85-2001</t>
        </is>
      </c>
      <c r="M1194" t="inlineStr">
        <is>
          <t>Wiper Motor; Instruction Manual</t>
        </is>
      </c>
      <c r="N1194" t="inlineStr">
        <is>
          <t>Yes</t>
        </is>
      </c>
      <c r="O1194" t="inlineStr">
        <is>
          <t>New</t>
        </is>
      </c>
      <c r="P1194" t="inlineStr"/>
      <c r="Q1194" t="inlineStr">
        <is>
          <t>Blade</t>
        </is>
      </c>
      <c r="R1194" t="inlineStr">
        <is>
          <t>Eyelet; Grommet</t>
        </is>
      </c>
      <c r="S1194" t="inlineStr">
        <is>
          <t>5.0000</t>
        </is>
      </c>
      <c r="T1194" t="inlineStr">
        <is>
          <t>No</t>
        </is>
      </c>
      <c r="U1194" t="inlineStr">
        <is>
          <t>Limited Lifetime</t>
        </is>
      </c>
      <c r="V1194" t="inlineStr"/>
      <c r="W1194" t="inlineStr">
        <is>
          <t>Available to Order</t>
        </is>
      </c>
      <c r="X1194" t="inlineStr">
        <is>
          <t>Ford Sable 1995-94, Taurus 1995-87; Lincoln Continental 1997-88; Mercury Sable 1995-87</t>
        </is>
      </c>
      <c r="Y1194" t="inlineStr">
        <is>
          <t>00884548122307</t>
        </is>
      </c>
      <c r="Z1194" t="inlineStr"/>
      <c r="AA1194" t="inlineStr"/>
      <c r="AB1194" t="inlineStr"/>
      <c r="AC1194" t="inlineStr">
        <is>
          <t>Yes</t>
        </is>
      </c>
    </row>
    <row r="1195">
      <c r="A1195" t="inlineStr">
        <is>
          <t>1194</t>
        </is>
      </c>
      <c r="B1195" t="inlineStr">
        <is>
          <t>Windshield Wiper Motor</t>
        </is>
      </c>
      <c r="C1195" t="inlineStr">
        <is>
          <t>85-20010</t>
        </is>
      </c>
      <c r="D1195" t="inlineStr">
        <is>
          <t>Windshield Wiper Motor - 85-20010</t>
        </is>
      </c>
      <c r="E1195" t="inlineStr">
        <is>
          <t>CARDONE New</t>
        </is>
      </c>
      <c r="F1195" t="inlineStr">
        <is>
          <t>8511060141;8511020780;8511020840</t>
        </is>
      </c>
      <c r="G1195" t="inlineStr">
        <is>
          <t>Lexus LX450 1996-1997
Toyota Celica 1994-1999
Toyota Land Cruiser 1993-1997</t>
        </is>
      </c>
      <c r="H1195" t="inlineStr">
        <is>
          <t>Lexus LX450 1996-1997 4.5L L6 4477cc
Toyota Celica 1994-1997 1.8L L4 107cid
Toyota Celica 1994-1999 2.2L L4 2164cc
Toyota Land Cruiser 1993-1997 4.5L L6 4477cc</t>
        </is>
      </c>
      <c r="I1195" t="inlineStr">
        <is>
          <t>{"0": {"productDeskExternalKey": "CNRD|85-20010"}, "1": {"Package Contents": "Wiper Motor; Instruction Manual"}, "2": {"E-Waste": "Yes"}, "3": {"Product Condition": "New"}, "4": {"Mounting Hole Quantity": "4"}, "5": {"Terminal Type": "Blade"}, "6": {"Mounting Type": "Eyelet; Grommet"}, "7": {"Weight PG": "3.0000"}, "8": {"Washer Pump Included": "No"}, "9": {"Part Type": "Windshield Wiper Motor"}, "10": {"Warranty Info": "Limited Lifetime"}, "11": {"Lifetime Warranty": "Yes"}, "12": {"Lifecycle Status": "Available to Order"}, "13": {"Application Summary": "Lexus LX450 1997-96; Toyota Celica 1999-94, Land Cruiser 1997-93"}, "14": {"ItemLevelGTIN": "00884548035423"}}</t>
        </is>
      </c>
      <c r="J1195" t="inlineStr">
        <is>
          <t>https://www.cardone.com/product/windshield-wiper-motor-85-20010</t>
        </is>
      </c>
      <c r="K1195">
        <f>DISPIMG("ID_46A0C74F26E14B1F8B5C23BA13718239",1)</f>
        <v/>
      </c>
      <c r="L1195" t="inlineStr">
        <is>
          <t>CNRD|85-20010</t>
        </is>
      </c>
      <c r="M1195" t="inlineStr">
        <is>
          <t>Wiper Motor; Instruction Manual</t>
        </is>
      </c>
      <c r="N1195" t="inlineStr">
        <is>
          <t>Yes</t>
        </is>
      </c>
      <c r="O1195" t="inlineStr">
        <is>
          <t>New</t>
        </is>
      </c>
      <c r="P1195" t="inlineStr">
        <is>
          <t>4</t>
        </is>
      </c>
      <c r="Q1195" t="inlineStr">
        <is>
          <t>Blade</t>
        </is>
      </c>
      <c r="R1195" t="inlineStr">
        <is>
          <t>Eyelet; Grommet</t>
        </is>
      </c>
      <c r="S1195" t="inlineStr">
        <is>
          <t>3.0000</t>
        </is>
      </c>
      <c r="T1195" t="inlineStr">
        <is>
          <t>No</t>
        </is>
      </c>
      <c r="U1195" t="inlineStr">
        <is>
          <t>Limited Lifetime</t>
        </is>
      </c>
      <c r="V1195" t="inlineStr"/>
      <c r="W1195" t="inlineStr">
        <is>
          <t>Available to Order</t>
        </is>
      </c>
      <c r="X1195" t="inlineStr">
        <is>
          <t>Lexus LX450 1997-96; Toyota Celica 1999-94, Land Cruiser 1997-93</t>
        </is>
      </c>
      <c r="Y1195" t="inlineStr">
        <is>
          <t>00884548035423</t>
        </is>
      </c>
      <c r="Z1195" t="inlineStr"/>
      <c r="AA1195" t="inlineStr"/>
      <c r="AB1195" t="inlineStr"/>
      <c r="AC1195" t="inlineStr">
        <is>
          <t>Yes</t>
        </is>
      </c>
    </row>
    <row r="1196">
      <c r="A1196" t="inlineStr">
        <is>
          <t>1195</t>
        </is>
      </c>
      <c r="B1196" t="inlineStr">
        <is>
          <t>Windshield Wiper Motor</t>
        </is>
      </c>
      <c r="C1196" t="inlineStr">
        <is>
          <t>85-20014</t>
        </is>
      </c>
      <c r="D1196" t="inlineStr">
        <is>
          <t>Windshield Wiper Motor - 85-20014</t>
        </is>
      </c>
      <c r="E1196" t="inlineStr">
        <is>
          <t>CARDONE New</t>
        </is>
      </c>
      <c r="F1196" t="inlineStr">
        <is>
          <t>8513048050</t>
        </is>
      </c>
      <c r="G1196" t="inlineStr">
        <is>
          <t>Toyota Highlander 2008-2013</t>
        </is>
      </c>
      <c r="H1196" t="inlineStr">
        <is>
          <t>Toyota Highlander 2008-2010 3.3L V6 202cid
Toyota Highlander 2008-2013 3.5L V6 3456cc
Toyota Highlander 2009-2013 2.7L L4 163cid</t>
        </is>
      </c>
      <c r="I1196" t="inlineStr">
        <is>
          <t>{"0": {"productDeskExternalKey": "CNRD|85-20014"}, "1": {"Package Contents": "Wiper Motor; Instruction Sheet"}, "2": {"E-Waste": "Yes"}, "3": {"Product Condition": "New"}, "4": {"Mounting Hole Quantity": "4"}, "5": {"Terminal Type": "Blade"}, "6": {"Mounting Type": "Grommet"}, "7": {"Weight PG": "2.5000"}, "8": {"Washer Pump Included": "No"}, "9": {"Part Type": "Windshield Wiper Motor"}, "10": {"Warranty Info": "Limited Lifetime"}, "11": {"Lifetime Warranty": "Yes"}, "12": {"Lifecycle Status": "Available to Order"}, "13": {"Application Summary": "Toyota Highlander 2013-08"}, "14": {"ItemLevelGTIN": "00884548310247"}}</t>
        </is>
      </c>
      <c r="J1196" t="inlineStr">
        <is>
          <t>https://www.cardone.com/product/windshield-wiper-motor-85-20014</t>
        </is>
      </c>
      <c r="K1196">
        <f>DISPIMG("ID_99FD9C9BF70849848942ED577068B2DA",1)</f>
        <v/>
      </c>
      <c r="L1196" t="inlineStr">
        <is>
          <t>CNRD|85-20014</t>
        </is>
      </c>
      <c r="M1196" t="inlineStr">
        <is>
          <t>Wiper Motor; Instruction Sheet</t>
        </is>
      </c>
      <c r="N1196" t="inlineStr">
        <is>
          <t>Yes</t>
        </is>
      </c>
      <c r="O1196" t="inlineStr">
        <is>
          <t>New</t>
        </is>
      </c>
      <c r="P1196" t="inlineStr">
        <is>
          <t>4</t>
        </is>
      </c>
      <c r="Q1196" t="inlineStr">
        <is>
          <t>Blade</t>
        </is>
      </c>
      <c r="R1196" t="inlineStr">
        <is>
          <t>Grommet</t>
        </is>
      </c>
      <c r="S1196" t="inlineStr">
        <is>
          <t>2.5000</t>
        </is>
      </c>
      <c r="T1196" t="inlineStr">
        <is>
          <t>No</t>
        </is>
      </c>
      <c r="U1196" t="inlineStr">
        <is>
          <t>Limited Lifetime</t>
        </is>
      </c>
      <c r="V1196" t="inlineStr"/>
      <c r="W1196" t="inlineStr">
        <is>
          <t>Available to Order</t>
        </is>
      </c>
      <c r="X1196" t="inlineStr">
        <is>
          <t>Toyota Highlander 2013-08</t>
        </is>
      </c>
      <c r="Y1196" t="inlineStr">
        <is>
          <t>00884548310247</t>
        </is>
      </c>
      <c r="Z1196" t="inlineStr"/>
      <c r="AA1196" t="inlineStr"/>
      <c r="AB1196" t="inlineStr"/>
      <c r="AC1196" t="inlineStr">
        <is>
          <t>Yes</t>
        </is>
      </c>
    </row>
    <row r="1197">
      <c r="A1197" t="inlineStr">
        <is>
          <t>1196</t>
        </is>
      </c>
      <c r="B1197" t="inlineStr">
        <is>
          <t>Windshield Wiper Motor</t>
        </is>
      </c>
      <c r="C1197" t="inlineStr">
        <is>
          <t>85-20020</t>
        </is>
      </c>
      <c r="D1197" t="inlineStr">
        <is>
          <t>Windshield Wiper Motor - 85-20020</t>
        </is>
      </c>
      <c r="E1197" t="inlineStr">
        <is>
          <t>CARDONE New</t>
        </is>
      </c>
      <c r="F1197" t="inlineStr">
        <is>
          <t>8511048120</t>
        </is>
      </c>
      <c r="G1197" t="inlineStr">
        <is>
          <t>Toyota Highlander 2008-2010</t>
        </is>
      </c>
      <c r="H1197" t="inlineStr">
        <is>
          <t>Toyota Highlander 2008-2010 3.5L V6 3456cc
Toyota Highlander 2009-2010 2.7L L4 163cid
Toyota Highlander 2009-2010 3.3L V6 202cid</t>
        </is>
      </c>
      <c r="I1197" t="inlineStr">
        <is>
          <t>{"0": {"productDeskExternalKey": "CNRD|85-20020"}, "1": {"Package Contents": "Wiper Motor; Instruction Manual"}, "2": {"E-Waste": "Yes"}, "3": {"Product Condition": "New"}, "4": {"Terminal Type": "Blade"}, "5": {"Mounting Type": "Direct Bolt"}, "6": {"Weight PG": "2.9600"}, "7": {"Washer Pump Included": "No"}, "8": {"Part Type": "Windshield Wiper Motor"}, "9": {"Warranty Info": "Limited Lifetime"}, "10": {"Lifetime Warranty": "Yes"}, "11": {"Lifecycle Status": "Available to Order"}, "12": {"Application Summary": "Toyota Highlander 2010-08"}, "13": {"ItemLevelGTIN": "00884548320390"}}</t>
        </is>
      </c>
      <c r="J1197" t="inlineStr">
        <is>
          <t>https://www.cardone.com/product/windshield-wiper-motor-85-20020</t>
        </is>
      </c>
      <c r="K1197">
        <f>DISPIMG("ID_7E8F4A770FDE4DC890C9BEE8E449C552",1)</f>
        <v/>
      </c>
      <c r="L1197" t="inlineStr">
        <is>
          <t>CNRD|85-20020</t>
        </is>
      </c>
      <c r="M1197" t="inlineStr">
        <is>
          <t>Wiper Motor; Instruction Manual</t>
        </is>
      </c>
      <c r="N1197" t="inlineStr">
        <is>
          <t>Yes</t>
        </is>
      </c>
      <c r="O1197" t="inlineStr">
        <is>
          <t>New</t>
        </is>
      </c>
      <c r="P1197" t="inlineStr"/>
      <c r="Q1197" t="inlineStr">
        <is>
          <t>Blade</t>
        </is>
      </c>
      <c r="R1197" t="inlineStr">
        <is>
          <t>Direct Bolt</t>
        </is>
      </c>
      <c r="S1197" t="inlineStr">
        <is>
          <t>2.9600</t>
        </is>
      </c>
      <c r="T1197" t="inlineStr">
        <is>
          <t>No</t>
        </is>
      </c>
      <c r="U1197" t="inlineStr">
        <is>
          <t>Limited Lifetime</t>
        </is>
      </c>
      <c r="V1197" t="inlineStr"/>
      <c r="W1197" t="inlineStr">
        <is>
          <t>Available to Order</t>
        </is>
      </c>
      <c r="X1197" t="inlineStr">
        <is>
          <t>Toyota Highlander 2010-08</t>
        </is>
      </c>
      <c r="Y1197" t="inlineStr">
        <is>
          <t>00884548320390</t>
        </is>
      </c>
      <c r="Z1197" t="inlineStr"/>
      <c r="AA1197" t="inlineStr"/>
      <c r="AB1197" t="inlineStr"/>
      <c r="AC1197" t="inlineStr">
        <is>
          <t>Yes</t>
        </is>
      </c>
    </row>
    <row r="1198">
      <c r="A1198" t="inlineStr">
        <is>
          <t>1197</t>
        </is>
      </c>
      <c r="B1198" t="inlineStr">
        <is>
          <t>Windshield Wiper Motor</t>
        </is>
      </c>
      <c r="C1198" t="inlineStr">
        <is>
          <t>85-20034</t>
        </is>
      </c>
      <c r="D1198" t="inlineStr">
        <is>
          <t>Windshield Wiper Motor - 85-20034</t>
        </is>
      </c>
      <c r="E1198" t="inlineStr">
        <is>
          <t>CARDONE New</t>
        </is>
      </c>
      <c r="F1198" t="inlineStr">
        <is>
          <t>8513048040;851300E050</t>
        </is>
      </c>
      <c r="G1198" t="inlineStr">
        <is>
          <t>Toyota Highlander 2008-2013</t>
        </is>
      </c>
      <c r="H1198" t="inlineStr">
        <is>
          <t>Toyota Highlander 2008-2010 3.3L V6 202cid
Toyota Highlander 2008-2013 3.5L V6 3456cc
Toyota Highlander 2009-2013 2.7L L4 163cid</t>
        </is>
      </c>
      <c r="I1198" t="inlineStr">
        <is>
          <t>{"0": {"productDeskExternalKey": "CNRD|85-20034"}, "1": {"Package Contents": "Wiper Motor; Instruction Sheet"}, "2": {"E-Waste": "Yes"}, "3": {"Product Condition": "New"}, "4": {"Mounting Hole Quantity": "4"}, "5": {"Terminal Type": "Blade"}, "6": {"Mounting Type": "Direct Bolt; Grommet"}, "7": {"Weight PG": "2.8200"}, "8": {"Washer Pump Included": "No"}, "9": {"Part Type": "Windshield Wiper Motor"}, "10": {"Warranty Info": "Limited Lifetime"}, "11": {"Lifetime Warranty": "Yes"}, "12": {"Lifecycle Status": "Available to Order"}, "13": {"Application Summary": "Toyota Highlander 2013-08"}, "14": {"ItemLevelGTIN": "00884548322264"}}</t>
        </is>
      </c>
      <c r="J1198" t="inlineStr">
        <is>
          <t>https://www.cardone.com/product/windshield-wiper-motor-85-20034</t>
        </is>
      </c>
      <c r="K1198">
        <f>DISPIMG("ID_FDB7BCA96E284C9B978BC629C5DE8C3A",1)</f>
        <v/>
      </c>
      <c r="L1198" t="inlineStr">
        <is>
          <t>CNRD|85-20034</t>
        </is>
      </c>
      <c r="M1198" t="inlineStr">
        <is>
          <t>Wiper Motor; Instruction Sheet</t>
        </is>
      </c>
      <c r="N1198" t="inlineStr">
        <is>
          <t>Yes</t>
        </is>
      </c>
      <c r="O1198" t="inlineStr">
        <is>
          <t>New</t>
        </is>
      </c>
      <c r="P1198" t="inlineStr">
        <is>
          <t>4</t>
        </is>
      </c>
      <c r="Q1198" t="inlineStr">
        <is>
          <t>Blade</t>
        </is>
      </c>
      <c r="R1198" t="inlineStr">
        <is>
          <t>Direct Bolt; Grommet</t>
        </is>
      </c>
      <c r="S1198" t="inlineStr">
        <is>
          <t>2.8200</t>
        </is>
      </c>
      <c r="T1198" t="inlineStr">
        <is>
          <t>No</t>
        </is>
      </c>
      <c r="U1198" t="inlineStr">
        <is>
          <t>Limited Lifetime</t>
        </is>
      </c>
      <c r="V1198" t="inlineStr"/>
      <c r="W1198" t="inlineStr">
        <is>
          <t>Available to Order</t>
        </is>
      </c>
      <c r="X1198" t="inlineStr">
        <is>
          <t>Toyota Highlander 2013-08</t>
        </is>
      </c>
      <c r="Y1198" t="inlineStr">
        <is>
          <t>00884548322264</t>
        </is>
      </c>
      <c r="Z1198" t="inlineStr"/>
      <c r="AA1198" t="inlineStr"/>
      <c r="AB1198" t="inlineStr"/>
      <c r="AC1198" t="inlineStr">
        <is>
          <t>Yes</t>
        </is>
      </c>
    </row>
    <row r="1199">
      <c r="A1199" t="inlineStr">
        <is>
          <t>1198</t>
        </is>
      </c>
      <c r="B1199" t="inlineStr">
        <is>
          <t>Windshield Wiper Motor</t>
        </is>
      </c>
      <c r="C1199" t="inlineStr">
        <is>
          <t>85-20037</t>
        </is>
      </c>
      <c r="D1199" t="inlineStr">
        <is>
          <t>Windshield Wiper Motor - 85-20037</t>
        </is>
      </c>
      <c r="E1199" t="inlineStr">
        <is>
          <t>CARDONE New</t>
        </is>
      </c>
      <c r="F1199" t="inlineStr">
        <is>
          <t>8513008010</t>
        </is>
      </c>
      <c r="G1199" t="inlineStr">
        <is>
          <t>Toyota Sienna 2011-2020</t>
        </is>
      </c>
      <c r="H1199" t="inlineStr">
        <is>
          <t>Toyota Sienna 2011-2013 2.7L L4 163cid
Toyota Sienna 2011-2020 3.5L V6 3456cc</t>
        </is>
      </c>
      <c r="I1199" t="inlineStr">
        <is>
          <t>{"0": {"productDeskExternalKey": "CNRD|85-20037"}, "1": {"Package Contents": "Wiper Motor; Instruction Manual"}, "2": {"E-Waste": "Yes"}, "3": {"Product Condition": "New"}, "4": {"Terminal Type": "Blade"}, "5": {"Mounting Type": "Eyelet; Grommet"}, "6": {"Weight PG": "2.2000"}, "7": {"Washer Pump Included": "No"}, "8": {"Part Type": "Windshield Wiper Motor"}, "9": {"Warranty Info": "Limited Lifetime"}, "10": {"Lifetime Warranty": "Yes"}, "11": {"Lifecycle Status": "Available to Order"}, "12": {"Application Summary": "Toyota Sienna 2020-11"}, "13": {"ItemLevelGTIN": "00884548295056"}}</t>
        </is>
      </c>
      <c r="J1199" t="inlineStr">
        <is>
          <t>https://www.cardone.com/product/windshield-wiper-motor-85-20037</t>
        </is>
      </c>
      <c r="K1199">
        <f>DISPIMG("ID_B48DC4BD9A3143BEAAAC263CC670C48A",1)</f>
        <v/>
      </c>
      <c r="L1199" t="inlineStr">
        <is>
          <t>CNRD|85-20037</t>
        </is>
      </c>
      <c r="M1199" t="inlineStr">
        <is>
          <t>Wiper Motor; Instruction Manual</t>
        </is>
      </c>
      <c r="N1199" t="inlineStr">
        <is>
          <t>Yes</t>
        </is>
      </c>
      <c r="O1199" t="inlineStr">
        <is>
          <t>New</t>
        </is>
      </c>
      <c r="P1199" t="inlineStr"/>
      <c r="Q1199" t="inlineStr">
        <is>
          <t>Blade</t>
        </is>
      </c>
      <c r="R1199" t="inlineStr">
        <is>
          <t>Eyelet; Grommet</t>
        </is>
      </c>
      <c r="S1199" t="inlineStr">
        <is>
          <t>2.2000</t>
        </is>
      </c>
      <c r="T1199" t="inlineStr">
        <is>
          <t>No</t>
        </is>
      </c>
      <c r="U1199" t="inlineStr">
        <is>
          <t>Limited Lifetime</t>
        </is>
      </c>
      <c r="V1199" t="inlineStr"/>
      <c r="W1199" t="inlineStr">
        <is>
          <t>Available to Order</t>
        </is>
      </c>
      <c r="X1199" t="inlineStr">
        <is>
          <t>Toyota Sienna 2020-11</t>
        </is>
      </c>
      <c r="Y1199" t="inlineStr">
        <is>
          <t>00884548295056</t>
        </is>
      </c>
      <c r="Z1199" t="inlineStr"/>
      <c r="AA1199" t="inlineStr"/>
      <c r="AB1199" t="inlineStr"/>
      <c r="AC1199" t="inlineStr">
        <is>
          <t>Yes</t>
        </is>
      </c>
    </row>
    <row r="1200">
      <c r="A1200" t="inlineStr">
        <is>
          <t>1199</t>
        </is>
      </c>
      <c r="B1200" t="inlineStr">
        <is>
          <t>Windshield Wiper Motor</t>
        </is>
      </c>
      <c r="C1200" t="inlineStr">
        <is>
          <t>85-2004</t>
        </is>
      </c>
      <c r="D1200" t="inlineStr">
        <is>
          <t>Windshield Wiper Motor - 85-2004</t>
        </is>
      </c>
      <c r="E1200" t="inlineStr">
        <is>
          <t>CARDONE New</t>
        </is>
      </c>
      <c r="F1200" t="inlineStr">
        <is>
          <t>F4ZZ17508A;F58Z17508B</t>
        </is>
      </c>
      <c r="G1200" t="inlineStr">
        <is>
          <t>Ford Mustang 1994-1998
Ford Windstar 1995</t>
        </is>
      </c>
      <c r="H1200" t="inlineStr">
        <is>
          <t>Ford Mustang 1994-1995 5L V8 302cid
Ford Mustang 1994-1998 3.8L V6 232cid
Ford Mustang 1995 5.8L V8 351cid
Ford Mustang 1996-1998 4.6L V8 281cid
Ford Windstar 1995 3.8L V6 232cid
Ford Windstar 1995 3L V6 182cid</t>
        </is>
      </c>
      <c r="I1200" t="inlineStr">
        <is>
          <t>{"0": {"productDeskExternalKey": "CNRD|85-2004"}, "1": {"Package Contents": "Wiper Motor; Instruction Manual"}, "2": {"E-Waste": "Yes"}, "3": {"Product Condition": "New"}, "4": {"Terminal Type": "Blade"}, "5": {"Mounting Type": "Direct Bolt"}, "6": {"Weight PG": "3.4000"}, "7": {"Washer Pump Included": "No"}, "8": {"Part Type": "Windshield Wiper Motor"}, "9": {"Warranty Info": "Limited Lifetime"}, "10": {"Lifetime Warranty": "Yes"}, "11": {"Lifecycle Status": "Available to Order"}, "12": {"Application Summary": "Ford Mustang 1998-94, Windstar 1995"}, "13": {"ItemLevelGTIN": "00884548147324"}}</t>
        </is>
      </c>
      <c r="J1200" t="inlineStr">
        <is>
          <t>https://www.cardone.com/product/windshield-wiper-motor-85-2004</t>
        </is>
      </c>
      <c r="K1200">
        <f>DISPIMG("ID_475EA30D9C9D4F2EA90FFFE6212DF678",1)</f>
        <v/>
      </c>
      <c r="L1200" t="inlineStr">
        <is>
          <t>CNRD|85-2004</t>
        </is>
      </c>
      <c r="M1200" t="inlineStr">
        <is>
          <t>Wiper Motor; Instruction Manual</t>
        </is>
      </c>
      <c r="N1200" t="inlineStr">
        <is>
          <t>Yes</t>
        </is>
      </c>
      <c r="O1200" t="inlineStr">
        <is>
          <t>New</t>
        </is>
      </c>
      <c r="P1200" t="inlineStr"/>
      <c r="Q1200" t="inlineStr">
        <is>
          <t>Blade</t>
        </is>
      </c>
      <c r="R1200" t="inlineStr">
        <is>
          <t>Direct Bolt</t>
        </is>
      </c>
      <c r="S1200" t="inlineStr">
        <is>
          <t>3.4000</t>
        </is>
      </c>
      <c r="T1200" t="inlineStr">
        <is>
          <t>No</t>
        </is>
      </c>
      <c r="U1200" t="inlineStr">
        <is>
          <t>Limited Lifetime</t>
        </is>
      </c>
      <c r="V1200" t="inlineStr"/>
      <c r="W1200" t="inlineStr">
        <is>
          <t>Available to Order</t>
        </is>
      </c>
      <c r="X1200" t="inlineStr">
        <is>
          <t>Ford Mustang 1998-94, Windstar 1995</t>
        </is>
      </c>
      <c r="Y1200" t="inlineStr">
        <is>
          <t>00884548147324</t>
        </is>
      </c>
      <c r="Z1200" t="inlineStr"/>
      <c r="AA1200" t="inlineStr"/>
      <c r="AB1200" t="inlineStr"/>
      <c r="AC1200" t="inlineStr">
        <is>
          <t>Yes</t>
        </is>
      </c>
    </row>
    <row r="1201">
      <c r="A1201" t="inlineStr">
        <is>
          <t>1200</t>
        </is>
      </c>
      <c r="B1201" t="inlineStr">
        <is>
          <t>Windshield Wiper Motor</t>
        </is>
      </c>
      <c r="C1201" t="inlineStr">
        <is>
          <t>85-20040</t>
        </is>
      </c>
      <c r="D1201" t="inlineStr">
        <is>
          <t>Windshield Wiper Motor - 85-20040</t>
        </is>
      </c>
      <c r="E1201" t="inlineStr">
        <is>
          <t>CARDONE New</t>
        </is>
      </c>
      <c r="F1201" t="inlineStr">
        <is>
          <t>85110AA020;3811054G00</t>
        </is>
      </c>
      <c r="G1201" t="inlineStr">
        <is>
          <t>Mitsubishi Outlander 2003-2006
Suzuki Aerio 2002-2007
Toyota Camry 1997-2001</t>
        </is>
      </c>
      <c r="H1201" t="inlineStr">
        <is>
          <t>Mitsubishi Outlander 2003-2004 2.4L L4 2351cc
Mitsubishi Outlander 2004-2006 2.4L L4 2378cc
Suzuki Aerio 2002-2003 2L L4 2000cc
Suzuki Aerio 2004-2007 2.3L L4 140cid
Toyota Camry 1997-2001 2.2L L4 2164cc
Toyota Camry 1997-2001 3L V6 2995cc</t>
        </is>
      </c>
      <c r="I1201" t="inlineStr">
        <is>
          <t>{"0": {"productDeskExternalKey": "CNRD|85-20040"}, "1": {"Package Contents": "Wiper Motor; Instruction Manual"}, "2": {"E-Waste": "Yes"}, "3": {"Product Condition": "New"}, "4": {"Terminal Type": "Blade"}, "5": {"Mounting Type": "Direct Bolt"}, "6": {"Weight PG": "3.2000"}, "7": {"Washer Pump Included": "No"}, "8": {"Part Type": "Windshield Wiper Motor"}, "9": {"Warranty Info": "Limited Lifetime"}, "10": {"Lifetime Warranty": "Yes"}, "11": {"Lifecycle Status": "Available to Order"}, "12": {"Application Summary": "Mitsubishi Outlander 2006-03; Suzuki Aerio 2007-02; Toyota Camry 2001-97"}, "13": {"ItemLevelGTIN": "00884548166493"}}</t>
        </is>
      </c>
      <c r="J1201" t="inlineStr">
        <is>
          <t>https://www.cardone.com/product/windshield-wiper-motor-85-20040</t>
        </is>
      </c>
      <c r="K1201">
        <f>DISPIMG("ID_4D57F44AB8F54A3688D9A6BA01EFC7FC",1)</f>
        <v/>
      </c>
      <c r="L1201" t="inlineStr">
        <is>
          <t>CNRD|85-20040</t>
        </is>
      </c>
      <c r="M1201" t="inlineStr">
        <is>
          <t>Wiper Motor; Instruction Manual</t>
        </is>
      </c>
      <c r="N1201" t="inlineStr">
        <is>
          <t>Yes</t>
        </is>
      </c>
      <c r="O1201" t="inlineStr">
        <is>
          <t>New</t>
        </is>
      </c>
      <c r="P1201" t="inlineStr"/>
      <c r="Q1201" t="inlineStr">
        <is>
          <t>Blade</t>
        </is>
      </c>
      <c r="R1201" t="inlineStr">
        <is>
          <t>Direct Bolt</t>
        </is>
      </c>
      <c r="S1201" t="inlineStr">
        <is>
          <t>3.2000</t>
        </is>
      </c>
      <c r="T1201" t="inlineStr">
        <is>
          <t>No</t>
        </is>
      </c>
      <c r="U1201" t="inlineStr">
        <is>
          <t>Limited Lifetime</t>
        </is>
      </c>
      <c r="V1201" t="inlineStr"/>
      <c r="W1201" t="inlineStr">
        <is>
          <t>Available to Order</t>
        </is>
      </c>
      <c r="X1201" t="inlineStr">
        <is>
          <t>Mitsubishi Outlander 2006-03; Suzuki Aerio 2007-02; Toyota Camry 2001-97</t>
        </is>
      </c>
      <c r="Y1201" t="inlineStr">
        <is>
          <t>00884548166493</t>
        </is>
      </c>
      <c r="Z1201" t="inlineStr"/>
      <c r="AA1201" t="inlineStr"/>
      <c r="AB1201" t="inlineStr"/>
      <c r="AC1201" t="inlineStr">
        <is>
          <t>Yes</t>
        </is>
      </c>
    </row>
    <row r="1202">
      <c r="A1202" t="inlineStr">
        <is>
          <t>1201</t>
        </is>
      </c>
      <c r="B1202" t="inlineStr">
        <is>
          <t>Windshield Wiper Motor</t>
        </is>
      </c>
      <c r="C1202" t="inlineStr">
        <is>
          <t>85-20046</t>
        </is>
      </c>
      <c r="D1202" t="inlineStr">
        <is>
          <t>Windshield Wiper Motor - 85-20046</t>
        </is>
      </c>
      <c r="E1202" t="inlineStr">
        <is>
          <t>CARDONE New</t>
        </is>
      </c>
      <c r="F1202" t="inlineStr">
        <is>
          <t>8511002350</t>
        </is>
      </c>
      <c r="G1202" t="inlineStr">
        <is>
          <t>Lexus NX200t 2015-2017
Lexus NX300 2018-2021
Lexus NX300h 2015-2021
Subaru Crosstrek 2016-2020
Subaru Forester 2014-2018
Subaru Impreza 2015-2017
Subaru Legacy 2015-2019
Subaru Outback 2015-2019
Subaru XV Crosstrek 2014-2015
Toyota Corolla 2014-2018
Toyota RAV4 2013-2018</t>
        </is>
      </c>
      <c r="H1202" t="inlineStr">
        <is>
          <t>Lexus NX200t 2015-2017 2L L4 122cid
Lexus NX300 2018-2021 2L L4 122cid
Lexus NX300h 2015-2021 2.5L L4 152cid
Subaru Crosstrek 2016-2020 2L H4 1995cc
Subaru Forester 2014-2018 2.5L H4 152cid
Subaru Forester 2014-2018 2L H4 122cid
Subaru Impreza 2015-2016 2L H4 122cid
Subaru Impreza 2015-2017 2L H4 1995cc
Subaru Legacy 2015-2019 2.5L H4 152cid
Subaru Legacy 2015-2019 3.6L H6 3630cc
Subaru Outback 2015 2.5L H4 2458cc
Subaru Outback 2015-2019 2.5L H4 152cid
Subaru Outback 2015-2019 3.6L H6 3630cc
Subaru XV Crosstrek 2014-2015 2L H4 1995cc
Toyota Corolla 2014-2018 1.8L L4 110cid
Toyota RAV4 2013-2014
Toyota RAV4 2013-2018 2.5L L4 152cid</t>
        </is>
      </c>
      <c r="I1202" t="inlineStr">
        <is>
          <t>{"0": {"productDeskExternalKey": "CNRD|85-20046"}, "1": {"Package Contents": "Wiper Motor; Instruction Manual"}, "2": {"E-Waste": "Yes"}, "3": {"Product Condition": "New"}, "4": {"Terminal Type": "Blade"}, "5": {"Mounting Type": "Direct Bolt"}, "6": {"Weight PG": "2.5200"}, "7": {"Washer Pump Included": "No"}, "8": {"Part Type": "Windshield Wiper Motor"}, "9": {"Warranty Info": "Limited Lifetime"}, "10": {"Lifetime Warranty": "Yes"}, "11": {"Lifecycle Status": "Available to Order"}, "12": {"Application Summary": "Lexus NX200t 2017-15, NX300 2021-18, NX300h 2021-15; Subaru Crosstrek 2020-16, Forester 2018-14, Impreza 2017-15, Legacy 2019-15, Outback 2019-15, XV Crosstrek 2015-14; Toyota Corolla 2018-14, RAV4 2018-13"}, "13": {"ItemLevelGTIN": "00884548310391"}}</t>
        </is>
      </c>
      <c r="J1202" t="inlineStr">
        <is>
          <t>https://www.cardone.com/product/windshield-wiper-motor-85-20046</t>
        </is>
      </c>
      <c r="K1202">
        <f>DISPIMG("ID_946CD03D8FE74C89B6DF898752D731B8",1)</f>
        <v/>
      </c>
      <c r="L1202" t="inlineStr">
        <is>
          <t>CNRD|85-20046</t>
        </is>
      </c>
      <c r="M1202" t="inlineStr">
        <is>
          <t>Wiper Motor; Instruction Manual</t>
        </is>
      </c>
      <c r="N1202" t="inlineStr">
        <is>
          <t>Yes</t>
        </is>
      </c>
      <c r="O1202" t="inlineStr">
        <is>
          <t>New</t>
        </is>
      </c>
      <c r="P1202" t="inlineStr"/>
      <c r="Q1202" t="inlineStr">
        <is>
          <t>Blade</t>
        </is>
      </c>
      <c r="R1202" t="inlineStr">
        <is>
          <t>Direct Bolt</t>
        </is>
      </c>
      <c r="S1202" t="inlineStr">
        <is>
          <t>2.5200</t>
        </is>
      </c>
      <c r="T1202" t="inlineStr">
        <is>
          <t>No</t>
        </is>
      </c>
      <c r="U1202" t="inlineStr">
        <is>
          <t>Limited Lifetime</t>
        </is>
      </c>
      <c r="V1202" t="inlineStr"/>
      <c r="W1202" t="inlineStr">
        <is>
          <t>Available to Order</t>
        </is>
      </c>
      <c r="X1202" t="inlineStr">
        <is>
          <t>Lexus NX200t 2017-15, NX300 2021-18, NX300h 2021-15; Subaru Crosstrek 2020-16, Forester 2018-14, Impreza 2017-15, Legacy 2019-15, Outback 2019-15, XV Crosstrek 2015-14; Toyota Corolla 2018-14, RAV4 2018-13</t>
        </is>
      </c>
      <c r="Y1202" t="inlineStr">
        <is>
          <t>00884548310391</t>
        </is>
      </c>
      <c r="Z1202" t="inlineStr"/>
      <c r="AA1202" t="inlineStr"/>
      <c r="AB1202" t="inlineStr"/>
      <c r="AC1202" t="inlineStr">
        <is>
          <t>Yes</t>
        </is>
      </c>
    </row>
    <row r="1203">
      <c r="A1203" t="inlineStr">
        <is>
          <t>1202</t>
        </is>
      </c>
      <c r="B1203" t="inlineStr">
        <is>
          <t>Windshield Wiper Motor</t>
        </is>
      </c>
      <c r="C1203" t="inlineStr">
        <is>
          <t>85-2005</t>
        </is>
      </c>
      <c r="D1203" t="inlineStr">
        <is>
          <t>Windshield Wiper Motor - 85-2005</t>
        </is>
      </c>
      <c r="E1203" t="inlineStr">
        <is>
          <t>CARDONE New</t>
        </is>
      </c>
      <c r="F1203" t="inlineStr">
        <is>
          <t>F7AZ17508AA;F5AZ17508A;F5AZI17508AA</t>
        </is>
      </c>
      <c r="G1203" t="inlineStr">
        <is>
          <t>Ford Crown Victoria 1995-2002
Ford Grand Marquis 1995-2002
Lincoln Town Car 1995-1997
Mercury Grand Marquis 1995-2002</t>
        </is>
      </c>
      <c r="H1203" t="inlineStr">
        <is>
          <t>Ford Crown Victoria 1995-2002 4.6L V8 281cid
Ford Grand Marquis 1995-2002 4.6L V8 281cid
Lincoln Town Car 1995-1997 4.6L V8 281cid
Mercury Grand Marquis 1995-2002 4.6L V8 281cid</t>
        </is>
      </c>
      <c r="I1203" t="inlineStr">
        <is>
          <t>{"0": {"productDeskExternalKey": "CNRD|85-2005"}, "1": {"Package Contents": "Wiper Motor; Instruction Manual"}, "2": {"E-Waste": "Yes"}, "3": {"Product Condition": "New"}, "4": {"Mounting Hole Quantity": "3"}, "5": {"Terminal Type": "Blade"}, "6": {"Mounting Type": "Direct Bolt"}, "7": {"Weight PG": "4.6500"}, "8": {"Washer Pump Included": "No"}, "9": {"Part Type": "Windshield Wiper Motor"}, "10": {"Warranty Info": "Limited Lifetime"}, "11": {"Lifetime Warranty": "Yes"}, "12": {"Lifecycle Status": "Available to Order"}, "13": {"Application Summary": "Ford Crown Victoria 2002-95, Grand Marquis 2002-95; Lincoln Town Car 1997-95; Mercury Grand Marquis 2002-95"}, "14": {"ItemLevelGTIN": "00082617703727"}}</t>
        </is>
      </c>
      <c r="J1203" t="inlineStr">
        <is>
          <t>https://www.cardone.com/product/windshield-wiper-motor-85-2005</t>
        </is>
      </c>
      <c r="K1203">
        <f>DISPIMG("ID_428E35F627A64B93BCEDC504E2C70161",1)</f>
        <v/>
      </c>
      <c r="L1203" t="inlineStr">
        <is>
          <t>CNRD|85-2005</t>
        </is>
      </c>
      <c r="M1203" t="inlineStr">
        <is>
          <t>Wiper Motor; Instruction Manual</t>
        </is>
      </c>
      <c r="N1203" t="inlineStr">
        <is>
          <t>Yes</t>
        </is>
      </c>
      <c r="O1203" t="inlineStr">
        <is>
          <t>New</t>
        </is>
      </c>
      <c r="P1203" t="inlineStr">
        <is>
          <t>3</t>
        </is>
      </c>
      <c r="Q1203" t="inlineStr">
        <is>
          <t>Blade</t>
        </is>
      </c>
      <c r="R1203" t="inlineStr">
        <is>
          <t>Direct Bolt</t>
        </is>
      </c>
      <c r="S1203" t="inlineStr">
        <is>
          <t>4.6500</t>
        </is>
      </c>
      <c r="T1203" t="inlineStr">
        <is>
          <t>No</t>
        </is>
      </c>
      <c r="U1203" t="inlineStr">
        <is>
          <t>Limited Lifetime</t>
        </is>
      </c>
      <c r="V1203" t="inlineStr"/>
      <c r="W1203" t="inlineStr">
        <is>
          <t>Available to Order</t>
        </is>
      </c>
      <c r="X1203" t="inlineStr">
        <is>
          <t>Ford Crown Victoria 2002-95, Grand Marquis 2002-95; Lincoln Town Car 1997-95; Mercury Grand Marquis 2002-95</t>
        </is>
      </c>
      <c r="Y1203" t="inlineStr">
        <is>
          <t>00082617703727</t>
        </is>
      </c>
      <c r="Z1203" t="inlineStr"/>
      <c r="AA1203" t="inlineStr"/>
      <c r="AB1203" t="inlineStr"/>
      <c r="AC1203" t="inlineStr">
        <is>
          <t>Yes</t>
        </is>
      </c>
    </row>
    <row r="1204">
      <c r="A1204" t="inlineStr">
        <is>
          <t>1203</t>
        </is>
      </c>
      <c r="B1204" t="inlineStr">
        <is>
          <t>Windshield Wiper Motor</t>
        </is>
      </c>
      <c r="C1204" t="inlineStr">
        <is>
          <t>85-2008</t>
        </is>
      </c>
      <c r="D1204" t="inlineStr">
        <is>
          <t>Windshield Wiper Motor - 85-2008</t>
        </is>
      </c>
      <c r="E1204" t="inlineStr">
        <is>
          <t>CARDONE New</t>
        </is>
      </c>
      <c r="F1204" t="inlineStr">
        <is>
          <t>F4LY17508A;F7LZ17508AA</t>
        </is>
      </c>
      <c r="G1204" t="inlineStr">
        <is>
          <t>Lincoln Mark VIII 1994-1998</t>
        </is>
      </c>
      <c r="H1204" t="inlineStr">
        <is>
          <t>Lincoln Mark VIII 1994-1998 4.6L V8 281cid</t>
        </is>
      </c>
      <c r="I1204" t="inlineStr">
        <is>
          <t>{"0": {"productDeskExternalKey": "CNRD|85-2008"}, "1": {"Package Contents": "Wiper Motor; Instruction Manual"}, "2": {"E-Waste": "Yes"}, "3": {"Product Condition": "New"}, "4": {"Terminal Type": "Blade"}, "5": {"Mounting Type": "Direct Bolt; Grommet"}, "6": {"Weight PG": "4.8000"}, "7": {"Washer Pump Included": "No"}, "8": {"Part Type": "Windshield Wiper Motor"}, "9": {"Warranty Info": "Limited Lifetime"}, "10": {"Lifetime Warranty": "Yes"}, "11": {"Lifecycle Status": "Available to Order"}, "12": {"Application Summary": "Lincoln Mark VIII 1998-94"}, "13": {"ItemLevelGTIN": "00884548220171"}}</t>
        </is>
      </c>
      <c r="J1204" t="inlineStr">
        <is>
          <t>https://www.cardone.com/product/windshield-wiper-motor-85-2008</t>
        </is>
      </c>
      <c r="K1204">
        <f>DISPIMG("ID_B18DF9CC3EE347DD927ECAF37BE89D7B",1)</f>
        <v/>
      </c>
      <c r="L1204" t="inlineStr">
        <is>
          <t>CNRD|85-2008</t>
        </is>
      </c>
      <c r="M1204" t="inlineStr">
        <is>
          <t>Wiper Motor; Instruction Manual</t>
        </is>
      </c>
      <c r="N1204" t="inlineStr">
        <is>
          <t>Yes</t>
        </is>
      </c>
      <c r="O1204" t="inlineStr">
        <is>
          <t>New</t>
        </is>
      </c>
      <c r="P1204" t="inlineStr"/>
      <c r="Q1204" t="inlineStr">
        <is>
          <t>Blade</t>
        </is>
      </c>
      <c r="R1204" t="inlineStr">
        <is>
          <t>Direct Bolt; Grommet</t>
        </is>
      </c>
      <c r="S1204" t="inlineStr">
        <is>
          <t>4.8000</t>
        </is>
      </c>
      <c r="T1204" t="inlineStr">
        <is>
          <t>No</t>
        </is>
      </c>
      <c r="U1204" t="inlineStr">
        <is>
          <t>Limited Lifetime</t>
        </is>
      </c>
      <c r="V1204" t="inlineStr"/>
      <c r="W1204" t="inlineStr">
        <is>
          <t>Available to Order</t>
        </is>
      </c>
      <c r="X1204" t="inlineStr">
        <is>
          <t>Lincoln Mark VIII 1998-94</t>
        </is>
      </c>
      <c r="Y1204" t="inlineStr">
        <is>
          <t>00884548220171</t>
        </is>
      </c>
      <c r="Z1204" t="inlineStr"/>
      <c r="AA1204" t="inlineStr"/>
      <c r="AB1204" t="inlineStr"/>
      <c r="AC1204" t="inlineStr">
        <is>
          <t>Yes</t>
        </is>
      </c>
    </row>
    <row r="1205">
      <c r="A1205" t="inlineStr">
        <is>
          <t>1204</t>
        </is>
      </c>
      <c r="B1205" t="inlineStr">
        <is>
          <t>Windshield Wiper Motor</t>
        </is>
      </c>
      <c r="C1205" t="inlineStr">
        <is>
          <t>85-2009</t>
        </is>
      </c>
      <c r="D1205" t="inlineStr">
        <is>
          <t>Windshield Wiper Motor - 85-2009</t>
        </is>
      </c>
      <c r="E1205" t="inlineStr">
        <is>
          <t>CARDONE New</t>
        </is>
      </c>
      <c r="F1205" t="inlineStr">
        <is>
          <t>F5RZ17508E</t>
        </is>
      </c>
      <c r="G1205" t="inlineStr">
        <is>
          <t>Ford Contour 1995-1997
Ford Mystique 1995-1997
Mercury Mystique 1995-1997</t>
        </is>
      </c>
      <c r="H1205" t="inlineStr">
        <is>
          <t>Ford Contour 1995-1997 2.5L V6 155cid
Ford Contour 1995-1997 2L L4 121cid
Ford Mystique 1995 2L L4 121cid
Ford Mystique 1995-1997 2.5L V6 155cid
Mercury Mystique 1995-1997 2.5L V6 155cid
Mercury Mystique 1995-1997 2L L4 121cid</t>
        </is>
      </c>
      <c r="I1205" t="inlineStr">
        <is>
          <t>{"0": {"productDeskExternalKey": "CNRD|85-2009"}, "1": {"Package Contents": "Wiper Motor; Instruction Manual"}, "2": {"E-Waste": "Yes"}, "3": {"Product Condition": "New"}, "4": {"Terminal Type": "Blade"}, "5": {"Mounting Type": "Direct Bolt"}, "6": {"Weight PG": "3.4000"}, "7": {"Washer Pump Included": "No"}, "8": {"Part Type": "Windshield Wiper Motor"}, "9": {"Warranty Info": "Limited Lifetime"}, "10": {"Lifetime Warranty": "Yes"}, "11": {"Lifecycle Status": "Available to Order"}, "12": {"Application Summary": "Ford Contour 1997-95, Mystique 1997-95; Mercury Mystique 1997-95"}, "13": {"ItemLevelGTIN": "00884548138773"}}</t>
        </is>
      </c>
      <c r="J1205" t="inlineStr">
        <is>
          <t>https://www.cardone.com/product/windshield-wiper-motor-85-2009</t>
        </is>
      </c>
      <c r="K1205">
        <f>DISPIMG("ID_08F526A5E3AF4C089B506C34CC59ABAA",1)</f>
        <v/>
      </c>
      <c r="L1205" t="inlineStr">
        <is>
          <t>CNRD|85-2009</t>
        </is>
      </c>
      <c r="M1205" t="inlineStr">
        <is>
          <t>Wiper Motor; Instruction Manual</t>
        </is>
      </c>
      <c r="N1205" t="inlineStr">
        <is>
          <t>Yes</t>
        </is>
      </c>
      <c r="O1205" t="inlineStr">
        <is>
          <t>New</t>
        </is>
      </c>
      <c r="P1205" t="inlineStr"/>
      <c r="Q1205" t="inlineStr">
        <is>
          <t>Blade</t>
        </is>
      </c>
      <c r="R1205" t="inlineStr">
        <is>
          <t>Direct Bolt</t>
        </is>
      </c>
      <c r="S1205" t="inlineStr">
        <is>
          <t>3.4000</t>
        </is>
      </c>
      <c r="T1205" t="inlineStr">
        <is>
          <t>No</t>
        </is>
      </c>
      <c r="U1205" t="inlineStr">
        <is>
          <t>Limited Lifetime</t>
        </is>
      </c>
      <c r="V1205" t="inlineStr"/>
      <c r="W1205" t="inlineStr">
        <is>
          <t>Available to Order</t>
        </is>
      </c>
      <c r="X1205" t="inlineStr">
        <is>
          <t>Ford Contour 1997-95, Mystique 1997-95; Mercury Mystique 1997-95</t>
        </is>
      </c>
      <c r="Y1205" t="inlineStr">
        <is>
          <t>00884548138773</t>
        </is>
      </c>
      <c r="Z1205" t="inlineStr"/>
      <c r="AA1205" t="inlineStr"/>
      <c r="AB1205" t="inlineStr"/>
      <c r="AC1205" t="inlineStr">
        <is>
          <t>Yes</t>
        </is>
      </c>
    </row>
    <row r="1206">
      <c r="A1206" t="inlineStr">
        <is>
          <t>1205</t>
        </is>
      </c>
      <c r="B1206" t="inlineStr">
        <is>
          <t>Windshield Wiper Motor</t>
        </is>
      </c>
      <c r="C1206" t="inlineStr">
        <is>
          <t>85-2010</t>
        </is>
      </c>
      <c r="D1206" t="inlineStr">
        <is>
          <t>Windshield Wiper Motor - 85-2010</t>
        </is>
      </c>
      <c r="E1206" t="inlineStr">
        <is>
          <t>CARDONE New</t>
        </is>
      </c>
      <c r="F1206" t="inlineStr">
        <is>
          <t>F8VZ17508BA;F7RZ17508AA;XR845459;F65Z17508AB;XW4Z17508AA;EC0167340;F81Z17508AA;F8RZ17508DA;F80Z17508BA;F8OZ17508BA;F6DZ17508AA;1C3Z17508AA;1L2Z17508AB;YL3Z17508AB;F8RZ17508GA;EC0167340R0A;XW4Z17508CA;YL8Z17508AA;F8RZ17508AA;2C3Z17508BA;6L8Z17508AA;4F1Z17508AB;ZZC067350R00</t>
        </is>
      </c>
      <c r="G1206" t="inlineStr">
        <is>
          <t>Ford Contour 1995-2000
Ford Escape 2001-2007
Ford Excursion 2000-2001
Ford Expedition 1997-2002
Ford Explorer 2002
Ford F-150 1997-2003
Ford F-150 Heritage 2004
Ford F-250 1997-1999
Ford F-250 Super Duty 1999-2001
Ford F-350 2000
Ford F-350 Super Duty 1999-2001
Ford F-450 Super Duty 1999-2001
Ford F-53 Motorhome Chassis 1999-2003
Ford F-550 Super Duty 1999-2001
Ford F-650 2000-2007
Ford F-750 2000-2007
Ford Lobo 1997-2004
Ford Mystique 1995-2000
Ford Sable 1996-2000
Ford Taurus 1996-2007
Ford Thunderbird 2002
Jaguar S-Type 2000-2006
Lincoln Blackwood 2002-2003
Lincoln Continental 1998-2002
Lincoln LS 2000-2002
Lincoln Navigator 1998-2002
Lincoln Town Car 1998-2002
Mazda Tribute 2001-2010
Mercury Cougar 1999-2002
Mercury Mariner 2005-2007
Mercury Mountaineer 2002
Mercury Mystique 1995-2000
Mercury Sable 1996-2005</t>
        </is>
      </c>
      <c r="H1206" t="inlineStr">
        <is>
          <t>Ford Contour 1995-2000 2.5L V6 155cid
Ford Contour 1995-2000 2L L4 121cid
Ford Escape 2001-2004 2L L4 121cid
Ford Escape 2001-2007 3L V6 181cid
Ford Escape 2005-2007 2.3L L4 140cid
Ford Excursion 2000-2001 5.4L V8 330cid
Ford Excursion 2000-2001 6.8L V10 415cid
Ford Excursion 2000-2001 7.3L V8 445cid
Ford Expedition 1997-2002 4.6L V8 281cid
Ford Expedition 1997-2002 5.4L V8 330cid
Ford Explorer 2002 4.6L V8 281cid
Ford Explorer 2002 4L V6 245cid
Ford F-150 1997 4.9L L6 300cid
Ford F-150 1997-2003 4.2L V6 256cid
Ford F-150 1997-2003 4.6L V8 281cid
Ford F-150 1997-2003 5.4L V8 330cid
Ford F-150 Heritage 2004 4.2L V6 256cid
Ford F-150 Heritage 2004 4.6L V8 281cid
Ford F-150 Heritage 2004 5.4L V8 330cid
Ford F-250 1997 5.8L V8 351cid
Ford F-250 1997 5L V8 302cid
Ford F-250 1997-1999 4.6L V8 281cid
Ford F-250 1997-1999 5.4L V8 330cid
Ford F-250 Super Duty 1999-2001 5.4L V8 330cid
Ford F-250 Super Duty 1999-2001 6.8L V10 415cid
Ford F-250 Super Duty 1999-2001 7.3L V8 445cid
Ford F-350 2000 5.4L V8 330cid
Ford F-350 Super Duty 1999-2001 5.4L V8 330cid
Ford F-350 Super Duty 1999-2001 6.8L V10 415cid
Ford F-350 Super Duty 1999-2001 7.3L V8 445cid
Ford F-450 Super Duty 1999-2001 6.8L V10 415cid
Ford F-450 Super Duty 1999-2001 7.3L V8 445cid
Ford F-53 Motorhome Chassis 1999-2003 6.8L V10 415cid
Ford F-550 Super Duty 1999-2001 6.8L V10 415cid
Ford F-550 Super Duty 1999-2001 7.3L V8 445cid
Ford F-650 2000-2003 7.3L V8 444cid
Ford F-650 2000-2007 5.9L L6 359cid
Ford F-650 2000-2007 7.2L L6 441cid
Ford F-650 2004-2007 6L V8 365cid
Ford F-750 2000-2003 7.3L V8 444cid
Ford F-750 2000-2007 5.9L L6 359cid
Ford F-750 2000-2007 7.2L L6 441cid
Ford F-750 2004-2007 6L V8 365cid
Ford Lobo 1997-2004 4.6L V8 281cid
Ford Lobo 1999-2004 5.4L V8 330cid
Ford Mystique 1995 2L L4 121cid
Ford Mystique 1995-2000 2.5L V6 155cid
Ford Sable 1996-2000 3L V6 181cid
Ford Taurus 1996-1999 3.4L V8 207cid
Ford Taurus 1996-2005 3L V6 181cid
Ford Taurus 1996-2007 3L V6 182cid
Ford Thunderbird 2002 3.9L V8 242cid
Jaguar S-Type 2000-2002 4L V8 244cid
Jaguar S-Type 2000-2006 3L V6 181cid
Jaguar S-Type 2003-2006 4.2L V8 256cid
Lincoln Blackwood 2002-2003 5.4L V8 330cid
Lincoln Continental 1998-2002 4.6L V8 281cid
Lincoln LS 2000-2002 3.9L V8 242cid
Lincoln LS 2000-2002 3L V6 181cid
Lincoln Navigator 1998-2002 5.4L V8 330cid
Lincoln Town Car 1998-2002 4.6L V8 281cid
Mazda Tribute 2001-2004 2L L4 121cid
Mazda Tribute 2001-2010 3L V6 181cid
Mazda Tribute 2005-2008 2.3L L4 140cid
Mazda Tribute 2009-2010 2.5L L4 152cid
Mercury Cougar 1999-2002 2.5L V6 155cid
Mercury Cougar 1999-2002 2L L4 121cid
Mercury Mariner 2005-2007 2.3L L4 140cid
Mercury Mariner 2005-2007 3L V6 181cid
Mercury Mountaineer 2002 4.6L V8 281cid
Mercury Mountaineer 2002 4L V6 245cid
Mercury Mystique 1995-2000 2.5L V6 155cid
Mercury Mystique 1995-2000 2L L4 121cid
Mercury Sable 1996-2005 3L V6 181cid
Mercury Sable 1996-2005 3L V6 182cid</t>
        </is>
      </c>
      <c r="I1206" t="inlineStr">
        <is>
          <t>{"0": {"productDeskExternalKey": "CNRD|85-2010"}, "1": {"Package Contents": "Wiper Motor; Instruction Manual"}, "2": {"E-Waste": "Yes"}, "3": {"Product Condition": "New"}, "4": {"Mounting Hole Quantity": "3"}, "5": {"Terminal Type": "Blade"}, "6": {"Mounting Type": "Direct Bolt"}, "7": {"Weight PG": "3.4000"}, "8": {"Washer Pump Included": "No"}, "9": {"Part Type": "Windshield Wiper Motor"}, "10": {"Warranty Info": "Limited Lifetime"}, "11": {"Lifetime Warranty": "Yes"}, "12": {"Lifecycle Status": "Available to Order"}, "13": {"ItemLevelGTIN": "00082617692496"}}</t>
        </is>
      </c>
      <c r="J1206" t="inlineStr">
        <is>
          <t>https://www.cardone.com/product/windshield-wiper-motor-85-2010</t>
        </is>
      </c>
      <c r="K1206">
        <f>DISPIMG("ID_69EC56C54EDF45F3A3A7310B5EB9B970",1)</f>
        <v/>
      </c>
      <c r="L1206" t="inlineStr">
        <is>
          <t>CNRD|85-2010</t>
        </is>
      </c>
      <c r="M1206" t="inlineStr">
        <is>
          <t>Wiper Motor; Instruction Manual</t>
        </is>
      </c>
      <c r="N1206" t="inlineStr">
        <is>
          <t>Yes</t>
        </is>
      </c>
      <c r="O1206" t="inlineStr">
        <is>
          <t>New</t>
        </is>
      </c>
      <c r="P1206" t="inlineStr">
        <is>
          <t>3</t>
        </is>
      </c>
      <c r="Q1206" t="inlineStr">
        <is>
          <t>Blade</t>
        </is>
      </c>
      <c r="R1206" t="inlineStr">
        <is>
          <t>Direct Bolt</t>
        </is>
      </c>
      <c r="S1206" t="inlineStr">
        <is>
          <t>3.4000</t>
        </is>
      </c>
      <c r="T1206" t="inlineStr">
        <is>
          <t>No</t>
        </is>
      </c>
      <c r="U1206" t="inlineStr">
        <is>
          <t>Limited Lifetime</t>
        </is>
      </c>
      <c r="V1206" t="inlineStr"/>
      <c r="W1206" t="inlineStr">
        <is>
          <t>Available to Order</t>
        </is>
      </c>
      <c r="X1206" t="inlineStr"/>
      <c r="Y1206" t="inlineStr">
        <is>
          <t>00082617692496</t>
        </is>
      </c>
      <c r="Z1206" t="inlineStr"/>
      <c r="AA1206" t="inlineStr"/>
      <c r="AB1206" t="inlineStr"/>
      <c r="AC1206" t="inlineStr">
        <is>
          <t>Yes</t>
        </is>
      </c>
    </row>
    <row r="1207">
      <c r="A1207" t="inlineStr">
        <is>
          <t>1206</t>
        </is>
      </c>
      <c r="B1207" t="inlineStr">
        <is>
          <t>Windshield Wiper Motor</t>
        </is>
      </c>
      <c r="C1207" t="inlineStr">
        <is>
          <t>85-2011</t>
        </is>
      </c>
      <c r="D1207" t="inlineStr">
        <is>
          <t>Windshield Wiper Motor - 85-2011</t>
        </is>
      </c>
      <c r="E1207" t="inlineStr">
        <is>
          <t>CARDONE New</t>
        </is>
      </c>
      <c r="F1207" t="inlineStr">
        <is>
          <t>F58Z17508B;F58Z17508C</t>
        </is>
      </c>
      <c r="G1207" t="inlineStr">
        <is>
          <t>Ford Windstar 1995-1996</t>
        </is>
      </c>
      <c r="H1207" t="inlineStr">
        <is>
          <t>Ford Windstar 1995-1996 3.8L V6 232cid
Ford Windstar 1995-1996 3L V6 182cid</t>
        </is>
      </c>
      <c r="I1207" t="inlineStr">
        <is>
          <t>{"0": {"productDeskExternalKey": "CNRD|85-2011"}, "1": {"Package Contents": "Wiper Motor; Instruction Manual"}, "2": {"E-Waste": "Yes"}, "3": {"Product Condition": "New"}, "4": {"Mounting Hole Quantity": "3"}, "5": {"Terminal Type": "Blade"}, "6": {"Mounting Type": "Direct Bolt"}, "7": {"Weight PG": "3.2000"}, "8": {"Washer Pump Included": "No"}, "9": {"Part Type": "Windshield Wiper Motor"}, "10": {"Warranty Info": "Limited Lifetime"}, "11": {"Lifetime Warranty": "Yes"}, "12": {"Lifecycle Status": "Available to Order"}, "13": {"Application Summary": "Ford Windstar 1996-95"}, "14": {"ItemLevelGTIN": "00884548138780"}}</t>
        </is>
      </c>
      <c r="J1207" t="inlineStr">
        <is>
          <t>https://www.cardone.com/product/windshield-wiper-motor-85-2011</t>
        </is>
      </c>
      <c r="K1207">
        <f>DISPIMG("ID_293A9510DCF446D4BD66BFCB45AC0579",1)</f>
        <v/>
      </c>
      <c r="L1207" t="inlineStr">
        <is>
          <t>CNRD|85-2011</t>
        </is>
      </c>
      <c r="M1207" t="inlineStr">
        <is>
          <t>Wiper Motor; Instruction Manual</t>
        </is>
      </c>
      <c r="N1207" t="inlineStr">
        <is>
          <t>Yes</t>
        </is>
      </c>
      <c r="O1207" t="inlineStr">
        <is>
          <t>New</t>
        </is>
      </c>
      <c r="P1207" t="inlineStr">
        <is>
          <t>3</t>
        </is>
      </c>
      <c r="Q1207" t="inlineStr">
        <is>
          <t>Blade</t>
        </is>
      </c>
      <c r="R1207" t="inlineStr">
        <is>
          <t>Direct Bolt</t>
        </is>
      </c>
      <c r="S1207" t="inlineStr">
        <is>
          <t>3.2000</t>
        </is>
      </c>
      <c r="T1207" t="inlineStr">
        <is>
          <t>No</t>
        </is>
      </c>
      <c r="U1207" t="inlineStr">
        <is>
          <t>Limited Lifetime</t>
        </is>
      </c>
      <c r="V1207" t="inlineStr"/>
      <c r="W1207" t="inlineStr">
        <is>
          <t>Available to Order</t>
        </is>
      </c>
      <c r="X1207" t="inlineStr">
        <is>
          <t>Ford Windstar 1996-95</t>
        </is>
      </c>
      <c r="Y1207" t="inlineStr">
        <is>
          <t>00884548138780</t>
        </is>
      </c>
      <c r="Z1207" t="inlineStr"/>
      <c r="AA1207" t="inlineStr"/>
      <c r="AB1207" t="inlineStr"/>
      <c r="AC1207" t="inlineStr">
        <is>
          <t>Yes</t>
        </is>
      </c>
    </row>
    <row r="1208">
      <c r="A1208" t="inlineStr">
        <is>
          <t>1207</t>
        </is>
      </c>
      <c r="B1208" t="inlineStr">
        <is>
          <t>Windshield Wiper Motor</t>
        </is>
      </c>
      <c r="C1208" t="inlineStr">
        <is>
          <t>85-2013</t>
        </is>
      </c>
      <c r="D1208" t="inlineStr">
        <is>
          <t>Windshield Wiper Motor - 85-2013</t>
        </is>
      </c>
      <c r="E1208" t="inlineStr">
        <is>
          <t>CARDONE New</t>
        </is>
      </c>
      <c r="F1208" t="inlineStr">
        <is>
          <t>F7CZ17508AA;F7SZ17508AA;F8SZ17508AA</t>
        </is>
      </c>
      <c r="G1208" t="inlineStr">
        <is>
          <t>Ford Cougar 1990-1995
Ford E-150 2002-2004
Ford E-150 Club Wagon 2003-2004
Ford E-150 Econoline 1995-2002
Ford E-150 Econoline Club Wagon 1995-2002
Ford E-250 2003-2004
Ford E-250 Econoline 1995-2002
Ford E-350 Club Wagon 2002-2004
Ford E-350 Econoline 1995-2000
Ford E-350 Econoline Club Wagon 1995-2002
Ford E-350 Super Duty 1999-2004
Ford E-450 Econoline Super Duty 1999-2002
Ford E-450 Super Duty 2003-2004
Ford E-550 Econoline Super Duty 2002
Ford E-550 Super Duty 2003
Ford Econoline 1999-2004
Ford Econoline Super Duty 1997-1999
Ford Escort 1991-2003
Ford Explorer 1995-2001
Ford Explorer Sport 2001-2003
Ford Explorer Sport Trac 2001-2003
Ford F-100 Ranger 1996-2001
Ford Ranger 1995-2007
Ford Thunderbird 1990-1997
Mazda B2300 2001-2007
Mazda B2500 1998-2001
Mazda B3000 1998-2007
Mazda B4000 1998-2007
Mercury Cougar 1990-1997
Mercury Mountaineer 1998-2001
Mercury Tracer 1991-1999</t>
        </is>
      </c>
      <c r="H1208" t="inlineStr">
        <is>
          <t>Ford Cougar 1990-1993 5L V8 302cid
Ford Cougar 1990-1994 3.8L V6 232cid
Ford Cougar 1994-1995 4.6L V8 281cid
Ford E-150 2002-2003 4.2L V6 256cid
Ford E-150 2002-2004 5.4L V8 330cid
Ford E-150 2003-2004 4.6L V8 281cid
Ford E-150 Club Wagon 2003 4.2L V6 256cid
Ford E-150 Club Wagon 2003-2004 4.6L V8 281cid
Ford E-150 Club Wagon 2003-2004 5.4L V8 330cid
Ford E-150 Econoline 1995-1996 4.9L L6 300cid
Ford E-150 Econoline 1995-1996 5.8L V8 351cid
Ford E-150 Econoline 1995-1996 5L V8 302cid
Ford E-150 Econoline 1997-2002 4.2L V6 256cid
Ford E-150 Econoline 1997-2002 4.6L V8 281cid
Ford E-150 Econoline 1997-2002 5.4L V8 330cid
Ford E-150 Econoline Club Wagon 1995-1996 4.9L L6 300cid
Ford E-150 Econoline Club Wagon 1995-1996 5.8L V8 351cid
Ford E-150 Econoline Club Wagon 1995-1996 5L V8 302cid
Ford E-150 Econoline Club Wagon 1997-2002 4.2L V6 256cid
Ford E-150 Econoline Club Wagon 1997-2002 4.6L V8 281cid
Ford E-150 Econoline Club Wagon 1997-2002 5.4L V8 330cid
Ford E-250 2003 4.2L V6 256cid
Ford E-250 2003-2004 4.6L V8 281cid
Ford E-250 2003-2004 5.4L V8 330cid
Ford E-250 Econoline 1995-1996 4.9L L6 300cid
Ford E-250 Econoline 1995-1996 5.8L V8 351cid
Ford E-250 Econoline 1997-2002 4.2L V6 256cid
Ford E-250 Econoline 1997-2002 5.4L V8 330cid
Ford E-350 Club Wagon 2002-2004 5.4L V8 330cid
Ford E-350 Club Wagon 2003 6.8L V10 415cid
Ford E-350 Club Wagon 2003-2004 7.3L V8 445cid
Ford E-350 Club Wagon 2004 6L V8 363cid
Ford E-350 Econoline 1995-1996 4.9L L6 300cid
Ford E-350 Econoline 1995-1996 5.8L V8 351cid
Ford E-350 Econoline 1995-1996 7.5L V8 460cid
Ford E-350 Econoline 1995-1998 7.3L V8 445cid
Ford E-350 Econoline 1997-1998 6.8L V10 415cid
Ford E-350 Econoline 1997-2000 5.4L V8 330cid
Ford E-350 Econoline Club Wagon 1995-1996 4.9L L6 300cid
Ford E-350 Econoline Club Wagon 1995-1996 5.8L V8 351cid
Ford E-350 Econoline Club Wagon 1995-1996 7.5L V8 460cid
Ford E-350 Econoline Club Wagon 1995-2002 7.3L V8 445cid
Ford E-350 Econoline Club Wagon 1997-2002 5.4L V8 330cid
Ford E-350 Econoline Club Wagon 1997-2002 6.8L V10 415cid
Ford E-350 Super Duty 1999-2003 7.3L V8 445cid
Ford E-350 Super Duty 1999-2004 5.4L V8 330cid
Ford E-350 Super Duty 1999-2004 6.8L V10 415cid
Ford E-350 Super Duty 2004 6L V8 363cid
Ford E-450 Econoline Super Duty 1999-2002 6.8L V10 415cid
Ford E-450 Econoline Super Duty 1999-2002 7.3L V8 445cid
Ford E-450 Econoline Super Duty 2000-2002 5.4L V8 330cid
Ford E-450 Super Duty 2003 7.3L V8 445cid
Ford E-450 Super Duty 2003-2004 5.4L V8 330cid
Ford E-450 Super Duty 2003-2004 6.8L V10 415cid
Ford E-450 Super Duty 2004 6L V8 363cid
Ford E-550 Econoline Super Duty 2002 6.8L V10 415cid
Ford E-550 Econoline Super Duty 2002 7.3L V8 445cid
Ford E-550 Super Duty 2003 6.8L V10 415cid
Ford E-550 Super Duty 2003 7.3L V8 445cid
Ford Econoline 1999-2003 4.2L V6 256cid
Ford Econoline 1999-2004 5.4L V8 330cid
Ford Econoline 2004 4.6L V8 281cid
Ford Econoline Super Duty 1997-1999 5.4L V8 330cid
Ford Econoline Super Duty 1997-1999 6.8L V10 415cid
Ford Econoline Super Duty 1997-1999 7.3L V8 445cid
Ford Escort 1991-1996 1.8L L4 112cid
Ford Escort 1991-1996 1.9L L4 116cid
Ford Escort 1994-1996 1.9L L4 113cid
Ford Escort 1997-2003 2L L4 121cid
Ford Explorer 1995-2001 4L V6 245cid
Ford Explorer 1996-2001 5L V8 302cid
Ford Explorer Sport 2001-2003 4L V6 245cid
Ford Explorer Sport Trac 2001-2003 4L V6 245cid
Ford F-100 Ranger 1996-2001 2.3L L4 140cid
Ford F-100 Ranger 1996-2001 3L V6 182cid
Ford F-100 Ranger 1998-2000 2.5L L4 153cid
Ford Ranger 1995-2007 2.3L L4 140cid
Ford Ranger 1995-2007 3L V6 182cid
Ford Ranger 1995-2007 4L V6 245cid
Ford Ranger 1998-2001 2.5L L4 153cid
Ford Ranger 1998-2002
Ford Thunderbird 1990-1997 3.8L V6 232cid
Ford Thunderbird 1991-1992 5L V8 302cid
Ford Thunderbird 1994-1997 4.6L V8 281cid
Mazda B2300 2001-2007 2.3L L4 140cid
Mazda B2500 1998-2001 2.5L L4 2492cc
Mazda B3000 1998-2007 3L V6 182cid
Mazda B4000 1998-2007 4L V6 245cid
Mercury Cougar 1990-1997 3.8L V6 232cid
Mercury Cougar 1991-1992 5L V8 302cid
Mercury Cougar 1994-1997 4.6L V8 281cid
Mercury Mountaineer 1998-2001 4L V6 245cid
Mercury Mountaineer 1998-2001 5L V8 302cid
Mercury Tracer 1991-1996 1.8L L4 112cid
Mercury Tracer 1991-1996 1.9L L4 116cid
Mercury Tracer 1997-1999 2L L4 121cid</t>
        </is>
      </c>
      <c r="I1208" t="inlineStr">
        <is>
          <t>{"0": {"productDeskExternalKey": "CNRD|85-2013"}, "1": {"Package Contents": "Wiper Motor; Instruction Manual"}, "2": {"E-Waste": "Yes"}, "3": {"Product Condition": "New"}, "4": {"Terminal Type": "Blade"}, "5": {"Mounting Type": "Direct Bolt"}, "6": {"Weight PG": "3.4000"}, "7": {"Washer Pump Included": "No"}, "8": {"Part Type": "Windshield Wiper Motor"}, "9": {"Warranty Info": "Limited Lifetime"}, "10": {"Lifetime Warranty": "Yes"}, "11": {"Lifecycle Status": "Available to Order"}, "12": {"ItemLevelGTIN": "00884548118539"}}</t>
        </is>
      </c>
      <c r="J1208" t="inlineStr">
        <is>
          <t>https://www.cardone.com/product/windshield-wiper-motor-85-2013</t>
        </is>
      </c>
      <c r="K1208">
        <f>DISPIMG("ID_7A66C23F690245248512A80EF712CACA",1)</f>
        <v/>
      </c>
      <c r="L1208" t="inlineStr">
        <is>
          <t>CNRD|85-2013</t>
        </is>
      </c>
      <c r="M1208" t="inlineStr">
        <is>
          <t>Wiper Motor; Instruction Manual</t>
        </is>
      </c>
      <c r="N1208" t="inlineStr">
        <is>
          <t>Yes</t>
        </is>
      </c>
      <c r="O1208" t="inlineStr">
        <is>
          <t>New</t>
        </is>
      </c>
      <c r="P1208" t="inlineStr"/>
      <c r="Q1208" t="inlineStr">
        <is>
          <t>Blade</t>
        </is>
      </c>
      <c r="R1208" t="inlineStr">
        <is>
          <t>Direct Bolt</t>
        </is>
      </c>
      <c r="S1208" t="inlineStr">
        <is>
          <t>3.4000</t>
        </is>
      </c>
      <c r="T1208" t="inlineStr">
        <is>
          <t>No</t>
        </is>
      </c>
      <c r="U1208" t="inlineStr">
        <is>
          <t>Limited Lifetime</t>
        </is>
      </c>
      <c r="V1208" t="inlineStr"/>
      <c r="W1208" t="inlineStr">
        <is>
          <t>Available to Order</t>
        </is>
      </c>
      <c r="X1208" t="inlineStr"/>
      <c r="Y1208" t="inlineStr">
        <is>
          <t>00884548118539</t>
        </is>
      </c>
      <c r="Z1208" t="inlineStr"/>
      <c r="AA1208" t="inlineStr"/>
      <c r="AB1208" t="inlineStr"/>
      <c r="AC1208" t="inlineStr">
        <is>
          <t>Yes</t>
        </is>
      </c>
    </row>
    <row r="1209">
      <c r="A1209" t="inlineStr">
        <is>
          <t>1208</t>
        </is>
      </c>
      <c r="B1209" t="inlineStr">
        <is>
          <t>Windshield Wiper Motor</t>
        </is>
      </c>
      <c r="C1209" t="inlineStr">
        <is>
          <t>85-2015</t>
        </is>
      </c>
      <c r="D1209" t="inlineStr">
        <is>
          <t>Windshield Wiper Motor - 85-2015</t>
        </is>
      </c>
      <c r="E1209" t="inlineStr">
        <is>
          <t>CARDONE New</t>
        </is>
      </c>
      <c r="F1209" t="inlineStr">
        <is>
          <t>851100E010;8511052240;85110AA030;8511033220;8511033160;85110AA050;8511006030;8511033270;8511053030</t>
        </is>
      </c>
      <c r="G1209" t="inlineStr">
        <is>
          <t>Lexus ES300 1997-2003
Lexus ES330 2004-2006
Lexus IS300 2001-2005
Scion xB 2004-2006
Toyota Camry 2002-2006
Toyota RAV4 2001-2005
Toyota Sienna 2004-2010
Toyota Solara 1999-2008</t>
        </is>
      </c>
      <c r="H1209" t="inlineStr">
        <is>
          <t>Lexus ES300 1997-2003 3L V6 2995cc
Lexus ES330 2004-2006 3.3L V6 202cid
Lexus IS300 2001-2005 3L L6 2997cc
Scion xB 2004-2006 1.5L L4 1497cc
Toyota Camry 2002-2006 2.4L L4 2362cc
Toyota Camry 2002-2006 3L V6 2995cc
Toyota Camry 2004 3.3L V6 3300cc
Toyota Camry 2005-2006 3.3L V6 202cid
Toyota RAV4 2001-2003
Toyota RAV4 2001-2003 2L L4 122cid
Toyota RAV4 2004-2005 2.4L L4 2362cc
Toyota Sienna 2004-2006 3.3L V6 202cid
Toyota Sienna 2007-2010 3.5L V6 3456cc
Toyota Solara 1999-2001 2.2L L4 2164cc
Toyota Solara 1999-2003 3L V6 2995cc
Toyota Solara 2002-2008 2.4L L4 2362cc
Toyota Solara 2004 3.3L V6 3300cc
Toyota Solara 2005-2008 3.3L V6 202cid</t>
        </is>
      </c>
      <c r="I1209" t="inlineStr">
        <is>
          <t>{"0": {"productDeskExternalKey": "CNRD|85-2015"}, "1": {"Package Contents": "Wiper Motor; Instruction Manual"}, "2": {"E-Waste": "Yes"}, "3": {"Product Condition": "New"}, "4": {"Mounting Hole Quantity": "3"}, "5": {"Terminal Type": "Blade"}, "6": {"Mounting Type": "Direct Bolt"}, "7": {"Weight PG": "3.2000"}, "8": {"Washer Pump Included": "No"}, "9": {"Part Type": "Windshield Wiper Motor"}, "10": {"Warranty Info": "Limited Lifetime"}, "11": {"Lifetime Warranty": "Yes"}, "12": {"Lifecycle Status": "Available to Order"}, "13": {"Application Summary": "Lexus ES300 2003-97, ES330 2006-04, IS300 2005-01; Scion xB 2006-04; Toyota Camry 2006-02, RAV4 2005-01, Sienna 2010-04, Solara 2008-99"}, "14": {"ItemLevelGTIN": "00884548167247"}}</t>
        </is>
      </c>
      <c r="J1209" t="inlineStr">
        <is>
          <t>https://www.cardone.com/product/windshield-wiper-motor-85-2015</t>
        </is>
      </c>
      <c r="K1209">
        <f>DISPIMG("ID_AA152C0523234B9BB0A3B1495EAC845D",1)</f>
        <v/>
      </c>
      <c r="L1209" t="inlineStr">
        <is>
          <t>CNRD|85-2015</t>
        </is>
      </c>
      <c r="M1209" t="inlineStr">
        <is>
          <t>Wiper Motor; Instruction Manual</t>
        </is>
      </c>
      <c r="N1209" t="inlineStr">
        <is>
          <t>Yes</t>
        </is>
      </c>
      <c r="O1209" t="inlineStr">
        <is>
          <t>New</t>
        </is>
      </c>
      <c r="P1209" t="inlineStr">
        <is>
          <t>3</t>
        </is>
      </c>
      <c r="Q1209" t="inlineStr">
        <is>
          <t>Blade</t>
        </is>
      </c>
      <c r="R1209" t="inlineStr">
        <is>
          <t>Direct Bolt</t>
        </is>
      </c>
      <c r="S1209" t="inlineStr">
        <is>
          <t>3.2000</t>
        </is>
      </c>
      <c r="T1209" t="inlineStr">
        <is>
          <t>No</t>
        </is>
      </c>
      <c r="U1209" t="inlineStr">
        <is>
          <t>Limited Lifetime</t>
        </is>
      </c>
      <c r="V1209" t="inlineStr"/>
      <c r="W1209" t="inlineStr">
        <is>
          <t>Available to Order</t>
        </is>
      </c>
      <c r="X1209" t="inlineStr">
        <is>
          <t>Lexus ES300 2003-97, ES330 2006-04, IS300 2005-01; Scion xB 2006-04; Toyota Camry 2006-02, RAV4 2005-01, Sienna 2010-04, Solara 2008-99</t>
        </is>
      </c>
      <c r="Y1209" t="inlineStr">
        <is>
          <t>00884548167247</t>
        </is>
      </c>
      <c r="Z1209" t="inlineStr"/>
      <c r="AA1209" t="inlineStr"/>
      <c r="AB1209" t="inlineStr"/>
      <c r="AC1209" t="inlineStr">
        <is>
          <t>Yes</t>
        </is>
      </c>
    </row>
    <row r="1210">
      <c r="A1210" t="inlineStr">
        <is>
          <t>1209</t>
        </is>
      </c>
      <c r="B1210" t="inlineStr">
        <is>
          <t>Windshield Wiper Motor</t>
        </is>
      </c>
      <c r="C1210" t="inlineStr">
        <is>
          <t>85-2026</t>
        </is>
      </c>
      <c r="D1210" t="inlineStr">
        <is>
          <t>Windshield Wiper Motor - 85-2026</t>
        </is>
      </c>
      <c r="E1210" t="inlineStr">
        <is>
          <t>CARDONE New</t>
        </is>
      </c>
      <c r="F1210" t="inlineStr">
        <is>
          <t>MR192794;851100C010;8511004010;8511004020;851100C020</t>
        </is>
      </c>
      <c r="G1210" t="inlineStr">
        <is>
          <t>Mitsubishi Galant 1999-2003
Toyota Hilux 2004
Toyota Sequoia 2001-2007
Toyota Tacoma 1998-2004
Toyota Tundra 2000-2006</t>
        </is>
      </c>
      <c r="H1210" t="inlineStr">
        <is>
          <t>Mitsubishi Galant 1999-2003 2.4L L4 2351cc
Mitsubishi Galant 1999-2003 3L V6 181cid
Toyota Hilux 2004 2.7L L4 2694cc
Toyota Sequoia 2001-2007 4.7L V8 285cid
Toyota Tacoma 1998-2004 2.4L L4 2438cc
Toyota Tacoma 1998-2004 2.7L L4 2694cc
Toyota Tacoma 1998-2004 3.4L V6 3378cc
Toyota Tundra 2000-2004 3.4L V6 3378cc
Toyota Tundra 2000-2006 4.7L V8 285cid
Toyota Tundra 2005-2006 4L V6 241cid</t>
        </is>
      </c>
      <c r="I1210" t="inlineStr">
        <is>
          <t>{"0": {"productDeskExternalKey": "CNRD|85-2026"}, "1": {"Package Contents": "Wiper Motor; Instruction Manual"}, "2": {"E-Waste": "Yes"}, "3": {"Product Condition": "New"}, "4": {"Terminal Type": "Blade"}, "5": {"Mounting Type": "Grommet"}, "6": {"Weight PG": "3.4000"}, "7": {"Washer Pump Included": "No"}, "8": {"Part Type": "Windshield Wiper Motor"}, "9": {"Warranty Info": "Limited Lifetime"}, "10": {"Lifetime Warranty": "Yes"}, "11": {"Lifecycle Status": "Available to Order"}, "12": {"Application Summary": "Mitsubishi Galant 2003-99; Toyota Hilux 2004, Sequoia 2007-01, Tacoma 2004-98, Tundra 2006-00"}, "13": {"ItemLevelGTIN": "00884548295025"}}</t>
        </is>
      </c>
      <c r="J1210" t="inlineStr">
        <is>
          <t>https://www.cardone.com/product/windshield-wiper-motor-85-2026</t>
        </is>
      </c>
      <c r="K1210">
        <f>DISPIMG("ID_BF2F98B77238419EA11FC25DAFEB461A",1)</f>
        <v/>
      </c>
      <c r="L1210" t="inlineStr">
        <is>
          <t>CNRD|85-2026</t>
        </is>
      </c>
      <c r="M1210" t="inlineStr">
        <is>
          <t>Wiper Motor; Instruction Manual</t>
        </is>
      </c>
      <c r="N1210" t="inlineStr">
        <is>
          <t>Yes</t>
        </is>
      </c>
      <c r="O1210" t="inlineStr">
        <is>
          <t>New</t>
        </is>
      </c>
      <c r="P1210" t="inlineStr"/>
      <c r="Q1210" t="inlineStr">
        <is>
          <t>Blade</t>
        </is>
      </c>
      <c r="R1210" t="inlineStr">
        <is>
          <t>Grommet</t>
        </is>
      </c>
      <c r="S1210" t="inlineStr">
        <is>
          <t>3.4000</t>
        </is>
      </c>
      <c r="T1210" t="inlineStr">
        <is>
          <t>No</t>
        </is>
      </c>
      <c r="U1210" t="inlineStr">
        <is>
          <t>Limited Lifetime</t>
        </is>
      </c>
      <c r="V1210" t="inlineStr"/>
      <c r="W1210" t="inlineStr">
        <is>
          <t>Available to Order</t>
        </is>
      </c>
      <c r="X1210" t="inlineStr">
        <is>
          <t>Mitsubishi Galant 2003-99; Toyota Hilux 2004, Sequoia 2007-01, Tacoma 2004-98, Tundra 2006-00</t>
        </is>
      </c>
      <c r="Y1210" t="inlineStr">
        <is>
          <t>00884548295025</t>
        </is>
      </c>
      <c r="Z1210" t="inlineStr"/>
      <c r="AA1210" t="inlineStr"/>
      <c r="AB1210" t="inlineStr"/>
      <c r="AC1210" t="inlineStr">
        <is>
          <t>Yes</t>
        </is>
      </c>
    </row>
    <row r="1211">
      <c r="A1211" t="inlineStr">
        <is>
          <t>1210</t>
        </is>
      </c>
      <c r="B1211" t="inlineStr">
        <is>
          <t>Windshield Wiper Motor</t>
        </is>
      </c>
      <c r="C1211" t="inlineStr">
        <is>
          <t>85-2028</t>
        </is>
      </c>
      <c r="D1211" t="inlineStr">
        <is>
          <t>Windshield Wiper Motor - 85-2028</t>
        </is>
      </c>
      <c r="E1211" t="inlineStr">
        <is>
          <t>CARDONE New</t>
        </is>
      </c>
      <c r="F1211" t="inlineStr">
        <is>
          <t>88987070;12335959;8511008010</t>
        </is>
      </c>
      <c r="G1211" t="inlineStr">
        <is>
          <t>Cadillac XLR 2004-2009
Chevrolet Corvette 2005-2013
Toyota Sienna 1998-2003</t>
        </is>
      </c>
      <c r="H1211" t="inlineStr">
        <is>
          <t>Cadillac XLR 2004-2009 4.6L V8 281cid
Cadillac XLR 2006-2009 4.4L V8 267cid
Chevrolet Corvette 2005-2007 6L V8 364cid
Chevrolet Corvette 2006-2013 7L V8 427cid
Chevrolet Corvette 2008-2013 6.2L V8 376cid
Toyota Sienna 1998-2003 3L V6 2995cc</t>
        </is>
      </c>
      <c r="I1211" t="inlineStr">
        <is>
          <t>{"0": {"productDeskExternalKey": "CNRD|85-2028"}, "1": {"Package Contents": "Wiper Motor; Instruction Sheet"}, "2": {"E-Waste": "Yes"}, "3": {"Product Condition": "New"}, "4": {"Mounting Hole Quantity": "3"}, "5": {"Terminal Type": "Blade"}, "6": {"Mounting Type": "Direct Bolt"}, "7": {"Application Summary": "Cadillac XLR 2009-04; Chevrolet Corvette 2013-05; Toyota Sienna 2003-98"}, "8": {"Washer Pump Included": "No"}, "9": {"Warranty Info": "Limited Lifetime"}, "10": {"Lifecycle Status": "Available to Order"}, "11": {"ItemLevelGTIN": "00884548321137"}, "12": {"Part Type": "Windshield Wiper Motor"}, "13": {"Weight PG": "2.9000"}, "14": {"Lifetime Warranty": "Yes"}}</t>
        </is>
      </c>
      <c r="J1211" t="inlineStr">
        <is>
          <t>https://www.cardone.com/product/windshield-wiper-motor-85-2028</t>
        </is>
      </c>
      <c r="K1211">
        <f>DISPIMG("ID_DF2E0B2AA81C42D096688F9F2EF1C3F4",1)</f>
        <v/>
      </c>
      <c r="L1211" t="inlineStr">
        <is>
          <t>CNRD|85-2028</t>
        </is>
      </c>
      <c r="M1211" t="inlineStr">
        <is>
          <t>Wiper Motor; Instruction Sheet</t>
        </is>
      </c>
      <c r="N1211" t="inlineStr">
        <is>
          <t>Yes</t>
        </is>
      </c>
      <c r="O1211" t="inlineStr">
        <is>
          <t>New</t>
        </is>
      </c>
      <c r="P1211" t="inlineStr">
        <is>
          <t>3</t>
        </is>
      </c>
      <c r="Q1211" t="inlineStr">
        <is>
          <t>Blade</t>
        </is>
      </c>
      <c r="R1211" t="inlineStr">
        <is>
          <t>Direct Bolt</t>
        </is>
      </c>
      <c r="S1211" t="inlineStr">
        <is>
          <t>2.9000</t>
        </is>
      </c>
      <c r="T1211" t="inlineStr">
        <is>
          <t>No</t>
        </is>
      </c>
      <c r="U1211" t="inlineStr">
        <is>
          <t>Limited Lifetime</t>
        </is>
      </c>
      <c r="V1211" t="inlineStr"/>
      <c r="W1211" t="inlineStr">
        <is>
          <t>Available to Order</t>
        </is>
      </c>
      <c r="X1211" t="inlineStr">
        <is>
          <t>Cadillac XLR 2009-04; Chevrolet Corvette 2013-05; Toyota Sienna 2003-98</t>
        </is>
      </c>
      <c r="Y1211" t="inlineStr">
        <is>
          <t>00884548321137</t>
        </is>
      </c>
      <c r="Z1211" t="inlineStr"/>
      <c r="AA1211" t="inlineStr"/>
      <c r="AB1211" t="inlineStr"/>
      <c r="AC1211" t="inlineStr">
        <is>
          <t>Yes</t>
        </is>
      </c>
    </row>
    <row r="1212">
      <c r="A1212" t="inlineStr">
        <is>
          <t>1211</t>
        </is>
      </c>
      <c r="B1212" t="inlineStr">
        <is>
          <t>Windshield Wiper Motor</t>
        </is>
      </c>
      <c r="C1212" t="inlineStr">
        <is>
          <t>85-2033</t>
        </is>
      </c>
      <c r="D1212" t="inlineStr">
        <is>
          <t>Windshield Wiper Motor - 85-2033</t>
        </is>
      </c>
      <c r="E1212" t="inlineStr">
        <is>
          <t>CARDONE New</t>
        </is>
      </c>
      <c r="F1212" t="inlineStr">
        <is>
          <t>XF2Z17508AA</t>
        </is>
      </c>
      <c r="G1212" t="inlineStr">
        <is>
          <t>Ford Windstar 1999-2001</t>
        </is>
      </c>
      <c r="H1212" t="inlineStr">
        <is>
          <t>Ford Windstar 1999-2000 3L V6 182cid
Ford Windstar 1999-2001 3.8L V6 232cid</t>
        </is>
      </c>
      <c r="I1212" t="inlineStr">
        <is>
          <t>{"0": {"productDeskExternalKey": "CNRD|85-2033"}, "1": {"Package Contents": "Wiper Motor; Instruction Manual"}, "2": {"E-Waste": "Yes"}, "3": {"Product Condition": "New"}, "4": {"Terminal Type": "Blade"}, "5": {"Mounting Type": "Eyelet; Grommet"}, "6": {"Weight PG": "2.6000"}, "7": {"Washer Pump Included": "No"}, "8": {"Part Type": "Windshield Wiper Motor"}, "9": {"Warranty Info": "Limited Lifetime"}, "10": {"Lifetime Warranty": "Yes"}, "11": {"Lifecycle Status": "Available to Order"}, "12": {"Application Summary": "Ford Windstar 2001-99"}, "13": {"ItemLevelGTIN": "00884548176102"}}</t>
        </is>
      </c>
      <c r="J1212" t="inlineStr">
        <is>
          <t>https://www.cardone.com/product/windshield-wiper-motor-85-2033</t>
        </is>
      </c>
      <c r="K1212">
        <f>DISPIMG("ID_80AC668256FB42279EE840153C32782B",1)</f>
        <v/>
      </c>
      <c r="L1212" t="inlineStr">
        <is>
          <t>CNRD|85-2033</t>
        </is>
      </c>
      <c r="M1212" t="inlineStr">
        <is>
          <t>Wiper Motor; Instruction Manual</t>
        </is>
      </c>
      <c r="N1212" t="inlineStr">
        <is>
          <t>Yes</t>
        </is>
      </c>
      <c r="O1212" t="inlineStr">
        <is>
          <t>New</t>
        </is>
      </c>
      <c r="P1212" t="inlineStr"/>
      <c r="Q1212" t="inlineStr">
        <is>
          <t>Blade</t>
        </is>
      </c>
      <c r="R1212" t="inlineStr">
        <is>
          <t>Eyelet; Grommet</t>
        </is>
      </c>
      <c r="S1212" t="inlineStr">
        <is>
          <t>2.6000</t>
        </is>
      </c>
      <c r="T1212" t="inlineStr">
        <is>
          <t>No</t>
        </is>
      </c>
      <c r="U1212" t="inlineStr">
        <is>
          <t>Limited Lifetime</t>
        </is>
      </c>
      <c r="V1212" t="inlineStr"/>
      <c r="W1212" t="inlineStr">
        <is>
          <t>Available to Order</t>
        </is>
      </c>
      <c r="X1212" t="inlineStr">
        <is>
          <t>Ford Windstar 2001-99</t>
        </is>
      </c>
      <c r="Y1212" t="inlineStr">
        <is>
          <t>00884548176102</t>
        </is>
      </c>
      <c r="Z1212" t="inlineStr"/>
      <c r="AA1212" t="inlineStr"/>
      <c r="AB1212" t="inlineStr"/>
      <c r="AC1212" t="inlineStr">
        <is>
          <t>Yes</t>
        </is>
      </c>
    </row>
    <row r="1213">
      <c r="A1213" t="inlineStr">
        <is>
          <t>1212</t>
        </is>
      </c>
      <c r="B1213" t="inlineStr">
        <is>
          <t>Windshield Wiper Motor</t>
        </is>
      </c>
      <c r="C1213" t="inlineStr">
        <is>
          <t>85-2035</t>
        </is>
      </c>
      <c r="D1213" t="inlineStr">
        <is>
          <t>Windshield Wiper Motor - 85-2035</t>
        </is>
      </c>
      <c r="E1213" t="inlineStr">
        <is>
          <t>CARDONE New</t>
        </is>
      </c>
      <c r="F1213" t="inlineStr">
        <is>
          <t>XR3Z17508AB</t>
        </is>
      </c>
      <c r="G1213" t="inlineStr">
        <is>
          <t>Ford Mustang 1999-2004</t>
        </is>
      </c>
      <c r="H1213" t="inlineStr">
        <is>
          <t>Ford Mustang 1999-2004 3.8L V6 232cid
Ford Mustang 1999-2004 4.6L V8 281cid
Ford Mustang 2000 5.4L V8 330cid
Ford Mustang 2004 3.9L V6 238cid</t>
        </is>
      </c>
      <c r="I1213" t="inlineStr">
        <is>
          <t>{"0": {"productDeskExternalKey": "CNRD|85-2035"}, "1": {"Package Contents": "Wiper Motor; Instruction Manual"}, "2": {"E-Waste": "Yes"}, "3": {"Product Condition": "New"}, "4": {"Mounting Hole Quantity": "3"}, "5": {"Terminal Type": "Blade"}, "6": {"Mounting Type": "Direct Bolt"}, "7": {"Weight PG": "3.6000"}, "8": {"Washer Pump Included": "No"}, "9": {"Part Type": "Windshield Wiper Motor"}, "10": {"Warranty Info": "Limited Lifetime"}, "11": {"Lifetime Warranty": "Yes"}, "12": {"Lifecycle Status": "Available to Order"}, "13": {"Application Summary": "Ford Mustang 2004-99"}, "14": {"ItemLevelGTIN": "00082617813174"}}</t>
        </is>
      </c>
      <c r="J1213" t="inlineStr">
        <is>
          <t>https://www.cardone.com/product/windshield-wiper-motor-85-2035</t>
        </is>
      </c>
      <c r="K1213">
        <f>DISPIMG("ID_3B60FBCF7B9941D3A94C4F58915E6DB5",1)</f>
        <v/>
      </c>
      <c r="L1213" t="inlineStr">
        <is>
          <t>CNRD|85-2035</t>
        </is>
      </c>
      <c r="M1213" t="inlineStr">
        <is>
          <t>Wiper Motor; Instruction Manual</t>
        </is>
      </c>
      <c r="N1213" t="inlineStr">
        <is>
          <t>Yes</t>
        </is>
      </c>
      <c r="O1213" t="inlineStr">
        <is>
          <t>New</t>
        </is>
      </c>
      <c r="P1213" t="inlineStr">
        <is>
          <t>3</t>
        </is>
      </c>
      <c r="Q1213" t="inlineStr">
        <is>
          <t>Blade</t>
        </is>
      </c>
      <c r="R1213" t="inlineStr">
        <is>
          <t>Direct Bolt</t>
        </is>
      </c>
      <c r="S1213" t="inlineStr">
        <is>
          <t>3.6000</t>
        </is>
      </c>
      <c r="T1213" t="inlineStr">
        <is>
          <t>No</t>
        </is>
      </c>
      <c r="U1213" t="inlineStr">
        <is>
          <t>Limited Lifetime</t>
        </is>
      </c>
      <c r="V1213" t="inlineStr"/>
      <c r="W1213" t="inlineStr">
        <is>
          <t>Available to Order</t>
        </is>
      </c>
      <c r="X1213" t="inlineStr">
        <is>
          <t>Ford Mustang 2004-99</t>
        </is>
      </c>
      <c r="Y1213" t="inlineStr">
        <is>
          <t>00082617813174</t>
        </is>
      </c>
      <c r="Z1213" t="inlineStr"/>
      <c r="AA1213" t="inlineStr"/>
      <c r="AB1213" t="inlineStr"/>
      <c r="AC1213" t="inlineStr">
        <is>
          <t>Yes</t>
        </is>
      </c>
    </row>
    <row r="1214">
      <c r="A1214" t="inlineStr">
        <is>
          <t>1213</t>
        </is>
      </c>
      <c r="B1214" t="inlineStr">
        <is>
          <t>Windshield Wiper Motor</t>
        </is>
      </c>
      <c r="C1214" t="inlineStr">
        <is>
          <t>85-2036</t>
        </is>
      </c>
      <c r="D1214" t="inlineStr">
        <is>
          <t>Windshield Wiper Motor - 85-2036</t>
        </is>
      </c>
      <c r="E1214" t="inlineStr">
        <is>
          <t>CARDONE New</t>
        </is>
      </c>
      <c r="F1214" t="inlineStr">
        <is>
          <t>YL3Z17508AA;6L2Z17508AA;4L3Z17508AA;3L2Z17508AA;2C3Z17508AA;3L2Z17508AB;8C3Z17508A;6L1Z17508BA;6W4Z7508AA;2L2Z17508AB;2C3Z17508AB;6L1Z17508AB;6W1Z17508AA;2L1Z17508AA;6L3Z17508AC;4C3Z17508AA;2L1Z17508AB;8G1Z17508A;8C3Z17508D;3W1Z17508AA</t>
        </is>
      </c>
      <c r="G1214" t="inlineStr">
        <is>
          <t>Ford Excursion 2002-2005
Ford Expedition 2002-2006
Ford Explorer 2002-2007
Ford Explorer Sport Trac 2007
Ford F-150 2004-2007
Ford F-150 Heritage 2004
Ford F-250 Super Duty 2002-2007
Ford F-350 Super Duty 2002-2007
Ford F-450 Super Duty 2002-2007
Ford F-550 Super Duty 2002-2007
Ford Five Hundred 2005-2007
Ford Freestyle 2005-2007
Ford Lobo 2004-2007
Ford Mustang 2005-2007
Ford Thunderbird 2003-2005
Lincoln Aviator 2003-2005
Lincoln LS 2003-2006
Lincoln MKX 2007-2009
Lincoln Mark LT 2006-2007
Lincoln Navigator 2002-2007
Lincoln Town Car 2003-2007
Mercury Montego 2005-2007
Mercury Mountaineer 2002-2007</t>
        </is>
      </c>
      <c r="H1214" t="inlineStr">
        <is>
          <t>Ford Excursion 2002-2003 7.3L V8 445cid
Ford Excursion 2002-2005 5.4L V8 330cid
Ford Excursion 2002-2005 6.8L V10 415cid
Ford Excursion 2003-2005 6L V8 363cid
Ford Expedition 2002-2004 4.6L V8 281cid
Ford Expedition 2002-2006 5.4L V8 330cid
Ford Explorer 2002-2007 4.6L V8 281cid
Ford Explorer 2002-2007 4L V6 245cid
Ford Explorer Sport Trac 2007 4.6L V8 281cid
Ford Explorer Sport Trac 2007 4L V6 245cid
Ford F-150 2004-2007 4.2L V6 256cid
Ford F-150 2004-2007 4.6L V8 281cid
Ford F-150 2004-2007 5.4L V8 330cid
Ford F-150 Heritage 2004 4.2L V6 256cid
Ford F-150 Heritage 2004 4.6L V8 281cid
Ford F-150 Heritage 2004 5.4L V8 330cid
Ford F-250 Super Duty 2002-2003 7.3L V8 445cid
Ford F-250 Super Duty 2002-2007 5.4L V8 330cid
Ford F-250 Super Duty 2002-2007 6.8L V10 415cid
Ford F-250 Super Duty 2003-2007 6L V8 363cid
Ford F-350 Super Duty 2002-2003 7.3L V8 445cid
Ford F-350 Super Duty 2002-2007 5.4L V8 330cid
Ford F-350 Super Duty 2002-2007 6.8L V10 415cid
Ford F-350 Super Duty 2003-2007 6L V8 363cid
Ford F-450 Super Duty 2002-2003 7.3L V8 445cid
Ford F-450 Super Duty 2002-2007 6.8L V10 415cid
Ford F-450 Super Duty 2003-2007 6L V8 363cid
Ford F-550 Super Duty 2002-2003 7.3L V8 445cid
Ford F-550 Super Duty 2002-2007 6.8L V10 415cid
Ford F-550 Super Duty 2003-2007 6L V8 363cid
Ford Five Hundred 2005-2007 3L V6 181cid
Ford Freestyle 2005-2007 3L V6 181cid
Ford Lobo 2004-2007 4.6L V8 281cid
Ford Lobo 2004-2007 5.4L V8 330cid
Ford Mustang 2005-2007 4.6L V8 281cid
Ford Mustang 2005-2007 4L V6 245cid
Ford Mustang 2007 5.4L V8 330cid
Ford Thunderbird 2003-2005 3.9L V8 242cid
Lincoln Aviator 2003-2005 4.6L V8 281cid
Lincoln LS 2003-2005 3L V6 181cid
Lincoln LS 2003-2006 3.9L V8 242cid
Lincoln MKX 2007-2009 3.5L V6 213cid
Lincoln Mark LT 2006-2007 5.4L V8 330cid
Lincoln Navigator 2002-2007 5.4L V8 330cid
Lincoln Town Car 2003-2007 4.6L V8 281cid
Mercury Montego 2005-2007 3L V6 181cid
Mercury Mountaineer 2002-2007 4.6L V8 281cid
Mercury Mountaineer 2002-2007 4L V6 245cid</t>
        </is>
      </c>
      <c r="I1214" t="inlineStr">
        <is>
          <t>{"0": {"productDeskExternalKey": "CNRD|85-2036"}, "1": {"Package Contents": "Wiper Motor; Instruction Manual"}, "2": {"E-Waste": "Yes"}, "3": {"Product Condition": "New"}, "4": {"Terminal Type": "Blade"}, "5": {"Mounting Type": "Direct Bolt"}, "6": {"Weight PG": "3.2000"}, "7": {"Washer Pump Included": "No"}, "8": {"Part Type": "Windshield Wiper Motor"}, "9": {"Warranty Info": "Limited Lifetime"}, "10": {"Lifetime Warranty": "Yes"}, "11": {"Lifecycle Status": "Available to Order"}, "12": {"ItemLevelGTIN": "00082617747998"}}</t>
        </is>
      </c>
      <c r="J1214" t="inlineStr">
        <is>
          <t>https://www.cardone.com/product/windshield-wiper-motor-85-2036</t>
        </is>
      </c>
      <c r="K1214">
        <f>DISPIMG("ID_B009EA2A42114C8C8212A7369957483A",1)</f>
        <v/>
      </c>
      <c r="L1214" t="inlineStr">
        <is>
          <t>CNRD|85-2036</t>
        </is>
      </c>
      <c r="M1214" t="inlineStr">
        <is>
          <t>Wiper Motor; Instruction Manual</t>
        </is>
      </c>
      <c r="N1214" t="inlineStr">
        <is>
          <t>Yes</t>
        </is>
      </c>
      <c r="O1214" t="inlineStr">
        <is>
          <t>New</t>
        </is>
      </c>
      <c r="P1214" t="inlineStr"/>
      <c r="Q1214" t="inlineStr">
        <is>
          <t>Blade</t>
        </is>
      </c>
      <c r="R1214" t="inlineStr">
        <is>
          <t>Direct Bolt</t>
        </is>
      </c>
      <c r="S1214" t="inlineStr">
        <is>
          <t>3.2000</t>
        </is>
      </c>
      <c r="T1214" t="inlineStr">
        <is>
          <t>No</t>
        </is>
      </c>
      <c r="U1214" t="inlineStr">
        <is>
          <t>Limited Lifetime</t>
        </is>
      </c>
      <c r="V1214" t="inlineStr"/>
      <c r="W1214" t="inlineStr">
        <is>
          <t>Available to Order</t>
        </is>
      </c>
      <c r="X1214" t="inlineStr"/>
      <c r="Y1214" t="inlineStr">
        <is>
          <t>00082617747998</t>
        </is>
      </c>
      <c r="Z1214" t="inlineStr"/>
      <c r="AA1214" t="inlineStr"/>
      <c r="AB1214" t="inlineStr"/>
      <c r="AC1214" t="inlineStr">
        <is>
          <t>Yes</t>
        </is>
      </c>
    </row>
    <row r="1215">
      <c r="A1215" t="inlineStr">
        <is>
          <t>1214</t>
        </is>
      </c>
      <c r="B1215" t="inlineStr">
        <is>
          <t>Windshield Wiper Motor</t>
        </is>
      </c>
      <c r="C1215" t="inlineStr">
        <is>
          <t>85-2038</t>
        </is>
      </c>
      <c r="D1215" t="inlineStr">
        <is>
          <t>Windshield Wiper Motor - 85-2038</t>
        </is>
      </c>
      <c r="E1215" t="inlineStr">
        <is>
          <t>CARDONE New</t>
        </is>
      </c>
      <c r="F1215" t="inlineStr">
        <is>
          <t>2M5Z17508AB;5S4Z17508AA;6S4Z17508AA;YS4Z17508CA;2M5Z17508AA</t>
        </is>
      </c>
      <c r="G1215" t="inlineStr">
        <is>
          <t>Ford Focus 2000-2007</t>
        </is>
      </c>
      <c r="H1215" t="inlineStr">
        <is>
          <t>Ford Focus 2000-2004 2L L4 121cid
Ford Focus 2003-2007 2.3L L4 140cid
Ford Focus 2005-2007 2L L4 122cid</t>
        </is>
      </c>
      <c r="I1215" t="inlineStr">
        <is>
          <t>{"0": {"productDeskExternalKey": "CNRD|85-2038"}, "1": {"Package Contents": "Wiper Motor; Instruction Manual"}, "2": {"E-Waste": "Yes"}, "3": {"Product Condition": "New"}, "4": {"Terminal Type": "Blade"}, "5": {"Mounting Type": "Direct Bolt"}, "6": {"Weight PG": "3.2600"}, "7": {"Washer Pump Included": "No"}, "8": {"Part Type": "Windshield Wiper Motor"}, "9": {"Warranty Info": "Limited Lifetime"}, "10": {"Lifetime Warranty": "Yes"}, "11": {"Lifecycle Status": "Available to Order"}, "12": {"Application Summary": "Ford Focus 2007-00"}, "13": {"ItemLevelGTIN": "00082617736404"}}</t>
        </is>
      </c>
      <c r="J1215" t="inlineStr">
        <is>
          <t>https://www.cardone.com/product/windshield-wiper-motor-85-2038</t>
        </is>
      </c>
      <c r="K1215">
        <f>DISPIMG("ID_CDE4F843DF5746B49210509B6153F138",1)</f>
        <v/>
      </c>
      <c r="L1215" t="inlineStr">
        <is>
          <t>CNRD|85-2038</t>
        </is>
      </c>
      <c r="M1215" t="inlineStr">
        <is>
          <t>Wiper Motor; Instruction Manual</t>
        </is>
      </c>
      <c r="N1215" t="inlineStr">
        <is>
          <t>Yes</t>
        </is>
      </c>
      <c r="O1215" t="inlineStr">
        <is>
          <t>New</t>
        </is>
      </c>
      <c r="P1215" t="inlineStr"/>
      <c r="Q1215" t="inlineStr">
        <is>
          <t>Blade</t>
        </is>
      </c>
      <c r="R1215" t="inlineStr">
        <is>
          <t>Direct Bolt</t>
        </is>
      </c>
      <c r="S1215" t="inlineStr">
        <is>
          <t>3.2600</t>
        </is>
      </c>
      <c r="T1215" t="inlineStr">
        <is>
          <t>No</t>
        </is>
      </c>
      <c r="U1215" t="inlineStr">
        <is>
          <t>Limited Lifetime</t>
        </is>
      </c>
      <c r="V1215" t="inlineStr"/>
      <c r="W1215" t="inlineStr">
        <is>
          <t>Available to Order</t>
        </is>
      </c>
      <c r="X1215" t="inlineStr">
        <is>
          <t>Ford Focus 2007-00</t>
        </is>
      </c>
      <c r="Y1215" t="inlineStr">
        <is>
          <t>00082617736404</t>
        </is>
      </c>
      <c r="Z1215" t="inlineStr"/>
      <c r="AA1215" t="inlineStr"/>
      <c r="AB1215" t="inlineStr"/>
      <c r="AC1215" t="inlineStr">
        <is>
          <t>Yes</t>
        </is>
      </c>
    </row>
    <row r="1216">
      <c r="A1216" t="inlineStr">
        <is>
          <t>1215</t>
        </is>
      </c>
      <c r="B1216" t="inlineStr">
        <is>
          <t>Windshield Wiper Motor</t>
        </is>
      </c>
      <c r="C1216" t="inlineStr">
        <is>
          <t>85-20380</t>
        </is>
      </c>
      <c r="D1216" t="inlineStr">
        <is>
          <t>Windshield Wiper Motor - 85-20380</t>
        </is>
      </c>
      <c r="E1216" t="inlineStr">
        <is>
          <t>CARDONE New</t>
        </is>
      </c>
      <c r="F1216" t="inlineStr">
        <is>
          <t>851102B040</t>
        </is>
      </c>
      <c r="G1216" t="inlineStr">
        <is>
          <t>Toyota Celica 2000-2005</t>
        </is>
      </c>
      <c r="H1216" t="inlineStr">
        <is>
          <t>Toyota Celica 2000-2005 1.8L L4 1794cc
Toyota Celica 2000-2005 1.8L L4 1795cc</t>
        </is>
      </c>
      <c r="I1216" t="inlineStr">
        <is>
          <t>{"0": {"productDeskExternalKey": "CNRD|85-20380"},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"Toyota Celica 2005-00"}, "13": {"ItemLevelGTIN": "00884548168046"}}</t>
        </is>
      </c>
      <c r="J1216" t="inlineStr">
        <is>
          <t>https://www.cardone.com/product/windshield-wiper-motor-85-20380</t>
        </is>
      </c>
      <c r="K1216">
        <f>DISPIMG("ID_617D75685FE446D5BCD6D6D38486D61D",1)</f>
        <v/>
      </c>
      <c r="L1216" t="inlineStr">
        <is>
          <t>CNRD|85-20380</t>
        </is>
      </c>
      <c r="M1216" t="inlineStr">
        <is>
          <t>Wiper Motor; Instruction Manual</t>
        </is>
      </c>
      <c r="N1216" t="inlineStr">
        <is>
          <t>Yes</t>
        </is>
      </c>
      <c r="O1216" t="inlineStr">
        <is>
          <t>New</t>
        </is>
      </c>
      <c r="P1216" t="inlineStr"/>
      <c r="Q1216" t="inlineStr">
        <is>
          <t>Blade</t>
        </is>
      </c>
      <c r="R1216" t="inlineStr">
        <is>
          <t>Direct Bolt</t>
        </is>
      </c>
      <c r="S1216" t="inlineStr">
        <is>
          <t>3.0000</t>
        </is>
      </c>
      <c r="T1216" t="inlineStr">
        <is>
          <t>No</t>
        </is>
      </c>
      <c r="U1216" t="inlineStr">
        <is>
          <t>Limited Lifetime</t>
        </is>
      </c>
      <c r="V1216" t="inlineStr"/>
      <c r="W1216" t="inlineStr">
        <is>
          <t>Available to Order</t>
        </is>
      </c>
      <c r="X1216" t="inlineStr">
        <is>
          <t>Toyota Celica 2005-00</t>
        </is>
      </c>
      <c r="Y1216" t="inlineStr">
        <is>
          <t>00884548168046</t>
        </is>
      </c>
      <c r="Z1216" t="inlineStr"/>
      <c r="AA1216" t="inlineStr"/>
      <c r="AB1216" t="inlineStr"/>
      <c r="AC1216" t="inlineStr">
        <is>
          <t>Yes</t>
        </is>
      </c>
    </row>
    <row r="1217">
      <c r="A1217" t="inlineStr">
        <is>
          <t>1216</t>
        </is>
      </c>
      <c r="B1217" t="inlineStr">
        <is>
          <t>Windshield Wiper Motor</t>
        </is>
      </c>
      <c r="C1217" t="inlineStr">
        <is>
          <t>85-2039</t>
        </is>
      </c>
      <c r="D1217" t="inlineStr">
        <is>
          <t>Windshield Wiper Motor - 85-2039</t>
        </is>
      </c>
      <c r="E1217" t="inlineStr">
        <is>
          <t>CARDONE New</t>
        </is>
      </c>
      <c r="F1217" t="inlineStr">
        <is>
          <t>2F2Z17508AA</t>
        </is>
      </c>
      <c r="G1217" t="inlineStr">
        <is>
          <t>Ford Windstar 2002-2003</t>
        </is>
      </c>
      <c r="H1217" t="inlineStr">
        <is>
          <t>Ford Windstar 2002-2003 3.8L V6 232cid</t>
        </is>
      </c>
      <c r="I1217" t="inlineStr">
        <is>
          <t>{"0": {"productDeskExternalKey": "CNRD|85-2039"}, "1": {"Package Contents": "Wiper Motor; Instruction Manual"}, "2": {"E-Waste": "Yes"}, "3": {"Product Condition": "New"}, "4": {"Terminal Type": "Bullet"}, "5": {"Mounting Type": "Eyelet; Grommet"}, "6": {"Weight PG": "2.2000"}, "7": {"Washer Pump Included": "No"}, "8": {"Part Type": "Windshield Wiper Motor"}, "9": {"Warranty Info": "Limited Lifetime"}, "10": {"Lifetime Warranty": "Yes"}, "11": {"Lifecycle Status": "Available to Order"}, "12": {"Application Summary": "Ford Windstar 2003-02"}, "13": {"ItemLevelGTIN": "00884548138759"}}</t>
        </is>
      </c>
      <c r="J1217" t="inlineStr">
        <is>
          <t>https://www.cardone.com/product/windshield-wiper-motor-85-2039</t>
        </is>
      </c>
      <c r="K1217">
        <f>DISPIMG("ID_7325B2212BE04D089B95E2C3F4E5D85B",1)</f>
        <v/>
      </c>
      <c r="L1217" t="inlineStr">
        <is>
          <t>CNRD|85-2039</t>
        </is>
      </c>
      <c r="M1217" t="inlineStr">
        <is>
          <t>Wiper Motor; Instruction Manual</t>
        </is>
      </c>
      <c r="N1217" t="inlineStr">
        <is>
          <t>Yes</t>
        </is>
      </c>
      <c r="O1217" t="inlineStr">
        <is>
          <t>New</t>
        </is>
      </c>
      <c r="P1217" t="inlineStr"/>
      <c r="Q1217" t="inlineStr">
        <is>
          <t>Bullet</t>
        </is>
      </c>
      <c r="R1217" t="inlineStr">
        <is>
          <t>Eyelet; Grommet</t>
        </is>
      </c>
      <c r="S1217" t="inlineStr">
        <is>
          <t>2.2000</t>
        </is>
      </c>
      <c r="T1217" t="inlineStr">
        <is>
          <t>No</t>
        </is>
      </c>
      <c r="U1217" t="inlineStr">
        <is>
          <t>Limited Lifetime</t>
        </is>
      </c>
      <c r="V1217" t="inlineStr"/>
      <c r="W1217" t="inlineStr">
        <is>
          <t>Available to Order</t>
        </is>
      </c>
      <c r="X1217" t="inlineStr">
        <is>
          <t>Ford Windstar 2003-02</t>
        </is>
      </c>
      <c r="Y1217" t="inlineStr">
        <is>
          <t>00884548138759</t>
        </is>
      </c>
      <c r="Z1217" t="inlineStr"/>
      <c r="AA1217" t="inlineStr"/>
      <c r="AB1217" t="inlineStr"/>
      <c r="AC1217" t="inlineStr">
        <is>
          <t>Yes</t>
        </is>
      </c>
    </row>
    <row r="1218">
      <c r="A1218" t="inlineStr">
        <is>
          <t>1217</t>
        </is>
      </c>
      <c r="B1218" t="inlineStr">
        <is>
          <t>Windshield Wiper Motor</t>
        </is>
      </c>
      <c r="C1218" t="inlineStr">
        <is>
          <t>85-2043</t>
        </is>
      </c>
      <c r="D1218" t="inlineStr">
        <is>
          <t>Windshield Wiper Motor - 85-2043</t>
        </is>
      </c>
      <c r="E1218" t="inlineStr">
        <is>
          <t>CARDONE New</t>
        </is>
      </c>
      <c r="F1218" t="inlineStr">
        <is>
          <t>8513020780</t>
        </is>
      </c>
      <c r="G1218" t="inlineStr">
        <is>
          <t>Toyota Celica 2000-2005</t>
        </is>
      </c>
      <c r="H1218" t="inlineStr">
        <is>
          <t>Toyota Celica 2000-2005 1.8L L4 1794cc
Toyota Celica 2000-2005 1.8L L4 1795cc</t>
        </is>
      </c>
      <c r="I1218" t="inlineStr">
        <is>
          <t>{"0": {"productDeskExternalKey": "CNRD|85-2043"}, "1": {"Package Contents": "Wiper Motor; Instruction Manual"}, "2": {"E-Waste": "Yes"}, "3": {"Product Condition": "New"}, "4": {"Mounting Hole Quantity": "3"}, "5": {"Terminal Type": "Blade"}, "6": {"Mounting Type": "Eyelet; Grommet"}, "7": {"Weight PG": "2.8000"}, "8": {"Washer Pump Included": "No"}, "9": {"Part Type": "Windshield Wiper Motor"}, "10": {"Warranty Info": "Limited Lifetime"}, "11": {"Lifetime Warranty": "Yes"}, "12": {"Lifecycle Status": "Available to Order"}, "13": {"Application Summary": "Toyota Celica 2005-00"}, "14": {"ItemLevelGTIN": "00884548196872"}}</t>
        </is>
      </c>
      <c r="J1218" t="inlineStr">
        <is>
          <t>https://www.cardone.com/product/windshield-wiper-motor-85-2043</t>
        </is>
      </c>
      <c r="K1218">
        <f>DISPIMG("ID_284BCCB039F74A968DD6FB3AED901CD8",1)</f>
        <v/>
      </c>
      <c r="L1218" t="inlineStr">
        <is>
          <t>CNRD|85-2043</t>
        </is>
      </c>
      <c r="M1218" t="inlineStr">
        <is>
          <t>Wiper Motor; Instruction Manual</t>
        </is>
      </c>
      <c r="N1218" t="inlineStr">
        <is>
          <t>Yes</t>
        </is>
      </c>
      <c r="O1218" t="inlineStr">
        <is>
          <t>New</t>
        </is>
      </c>
      <c r="P1218" t="inlineStr">
        <is>
          <t>3</t>
        </is>
      </c>
      <c r="Q1218" t="inlineStr">
        <is>
          <t>Blade</t>
        </is>
      </c>
      <c r="R1218" t="inlineStr">
        <is>
          <t>Eyelet; Grommet</t>
        </is>
      </c>
      <c r="S1218" t="inlineStr">
        <is>
          <t>2.8000</t>
        </is>
      </c>
      <c r="T1218" t="inlineStr">
        <is>
          <t>No</t>
        </is>
      </c>
      <c r="U1218" t="inlineStr">
        <is>
          <t>Limited Lifetime</t>
        </is>
      </c>
      <c r="V1218" t="inlineStr"/>
      <c r="W1218" t="inlineStr">
        <is>
          <t>Available to Order</t>
        </is>
      </c>
      <c r="X1218" t="inlineStr">
        <is>
          <t>Toyota Celica 2005-00</t>
        </is>
      </c>
      <c r="Y1218" t="inlineStr">
        <is>
          <t>00884548196872</t>
        </is>
      </c>
      <c r="Z1218" t="inlineStr"/>
      <c r="AA1218" t="inlineStr"/>
      <c r="AB1218" t="inlineStr"/>
      <c r="AC1218" t="inlineStr">
        <is>
          <t>Yes</t>
        </is>
      </c>
    </row>
    <row r="1219">
      <c r="A1219" t="inlineStr">
        <is>
          <t>1218</t>
        </is>
      </c>
      <c r="B1219" t="inlineStr">
        <is>
          <t>Windshield Wiper Motor</t>
        </is>
      </c>
      <c r="C1219" t="inlineStr">
        <is>
          <t>85-2044</t>
        </is>
      </c>
      <c r="D1219" t="inlineStr">
        <is>
          <t>Windshield Wiper Motor - 85-2044</t>
        </is>
      </c>
      <c r="E1219" t="inlineStr">
        <is>
          <t>CARDONE New</t>
        </is>
      </c>
      <c r="F1219" t="inlineStr">
        <is>
          <t>ECY1674L0G;YL8Z17508AB;ECY1677L0A;4L8Z17508AB;EC0167450A</t>
        </is>
      </c>
      <c r="G1219" t="inlineStr">
        <is>
          <t>Ford Escape 2001-2007
Mazda Tribute 2001-2006
Mercury Mariner 2005-2007</t>
        </is>
      </c>
      <c r="H1219" t="inlineStr">
        <is>
          <t>Ford Escape 2001-2004 2L L4 121cid
Ford Escape 2001-2007 3L V6 181cid
Ford Escape 2005-2007 2.3L L4 140cid
Mazda Tribute 2001-2004 2L L4 121cid
Mazda Tribute 2001-2006 3L V6 181cid
Mazda Tribute 2005-2006 2.3L L4 140cid
Mercury Mariner 2005-2007 2.3L L4 140cid
Mercury Mariner 2005-2007 3L V6 181cid</t>
        </is>
      </c>
      <c r="I1219" t="inlineStr">
        <is>
          <t>{"0": {"productDeskExternalKey": "CNRD|85-2044"}, "1": {"Package Contents": "Wiper Motor; Instruction Manual"}, "2": {"E-Waste": "Yes"}, "3": {"Product Condition": "New"}, "4": {"Mounting Hole Quantity": "2"}, "5": {"Terminal Type": "Blade"}, "6": {"Mounting Type": "Eyelet; Grommet"}, "7": {"Weight PG": "3.2000"}, "8": {"Washer Pump Included": "No"}, "9": {"Part Type": "Windshield Wiper Motor"}, "10": {"Warranty Info": "Limited Lifetime"}, "11": {"Lifetime Warranty": "Yes"}, "12": {"Lifecycle Status": "Available to Order"}, "13": {"Application Summary": "Ford Escape 2007-01; Mazda Tribute 2006-01; Mercury Mariner 2007-05"}, "14": {"ItemLevelGTIN": "00884548016972"}}</t>
        </is>
      </c>
      <c r="J1219" t="inlineStr">
        <is>
          <t>https://www.cardone.com/product/windshield-wiper-motor-85-2044</t>
        </is>
      </c>
      <c r="K1219">
        <f>DISPIMG("ID_7EE1C6652ADD4E6BAB2D68995724C6BB",1)</f>
        <v/>
      </c>
      <c r="L1219" t="inlineStr">
        <is>
          <t>CNRD|85-2044</t>
        </is>
      </c>
      <c r="M1219" t="inlineStr">
        <is>
          <t>Wiper Motor; Instruction Manual</t>
        </is>
      </c>
      <c r="N1219" t="inlineStr">
        <is>
          <t>Yes</t>
        </is>
      </c>
      <c r="O1219" t="inlineStr">
        <is>
          <t>New</t>
        </is>
      </c>
      <c r="P1219" t="inlineStr">
        <is>
          <t>2</t>
        </is>
      </c>
      <c r="Q1219" t="inlineStr">
        <is>
          <t>Blade</t>
        </is>
      </c>
      <c r="R1219" t="inlineStr">
        <is>
          <t>Eyelet; Grommet</t>
        </is>
      </c>
      <c r="S1219" t="inlineStr">
        <is>
          <t>3.2000</t>
        </is>
      </c>
      <c r="T1219" t="inlineStr">
        <is>
          <t>No</t>
        </is>
      </c>
      <c r="U1219" t="inlineStr">
        <is>
          <t>Limited Lifetime</t>
        </is>
      </c>
      <c r="V1219" t="inlineStr"/>
      <c r="W1219" t="inlineStr">
        <is>
          <t>Available to Order</t>
        </is>
      </c>
      <c r="X1219" t="inlineStr">
        <is>
          <t>Ford Escape 2007-01; Mazda Tribute 2006-01; Mercury Mariner 2007-05</t>
        </is>
      </c>
      <c r="Y1219" t="inlineStr">
        <is>
          <t>00884548016972</t>
        </is>
      </c>
      <c r="Z1219" t="inlineStr"/>
      <c r="AA1219" t="inlineStr"/>
      <c r="AB1219" t="inlineStr"/>
      <c r="AC1219" t="inlineStr">
        <is>
          <t>Yes</t>
        </is>
      </c>
    </row>
    <row r="1220">
      <c r="A1220" t="inlineStr">
        <is>
          <t>1219</t>
        </is>
      </c>
      <c r="B1220" t="inlineStr">
        <is>
          <t>Windshield Wiper Motor</t>
        </is>
      </c>
      <c r="C1220" t="inlineStr">
        <is>
          <t>85-2048</t>
        </is>
      </c>
      <c r="D1220" t="inlineStr">
        <is>
          <t>Windshield Wiper Motor - 85-2048</t>
        </is>
      </c>
      <c r="E1220" t="inlineStr">
        <is>
          <t>CARDONE New</t>
        </is>
      </c>
      <c r="F1220" t="inlineStr">
        <is>
          <t>5L2Z17508AB;3W7Z17508AA;5C2Z17508AA;8C2Z17508B;3L5Z17508AA</t>
        </is>
      </c>
      <c r="G1220" t="inlineStr">
        <is>
          <t>Ford Crown Victoria 2003-2006
Ford E-150 2005-2014
Ford E-150 Club Wagon 2005
Ford E-150 Econoline 2007-2008
Ford E-250 2005-2014
Ford E-350 Club Wagon 2005
Ford E-350 Super Duty 2005-2021
Ford E-450 Super Duty 2005-2019
Ford Econoline 2005-2006
Ford Econoline Van 2010-2014
Ford Econoline Wagon 2010-2014
Ford Explorer Sport Trac 2004-2005
Ford Grand Marquis 2003-2004
Mercury Grand Marquis 2003-2006
Mercury Marauder 2003-2004</t>
        </is>
      </c>
      <c r="H1220" t="inlineStr">
        <is>
          <t>Ford Crown Victoria 2003-2006 4.6L V8 281cid
Ford E-150 2005-2014 4.6L V8 281cid
Ford E-150 2005-2014 5.4L V8 330cid
Ford E-150 Club Wagon 2005 4.6L V8 281cid
Ford E-150 Club Wagon 2005 5.4L V8 330cid
Ford E-150 Econoline 2007-2008 5.4L V8 330cid
Ford E-250 2005-2014 4.6L V8 281cid
Ford E-250 2005-2014 5.4L V8 330cid
Ford E-350 Club Wagon 2005 5.4L V8 330cid
Ford E-350 Club Wagon 2005 6.8L V10 415cid
Ford E-350 Club Wagon 2005 6L V8 363cid
Ford E-350 Super Duty 2005-2010 6L V8 363cid
Ford E-350 Super Duty 2005-2016 5.4L V8 330cid
Ford E-350 Super Duty 2005-2019 6.8L V10 415cid
Ford E-350 Super Duty 2017-2019 6.2L V8 379cid
Ford E-350 Super Duty 2021 7.3L V8 445cid
Ford E-450 Super Duty 2005-2010 6L V8 363cid
Ford E-450 Super Duty 2005-2019 6.8L V10 415cid
Ford E-450 Super Duty 2006-2016 5.4L V8 330cid
Ford E-450 Super Duty 2017-2019 6.2L V8 379cid
Ford Econoline 2005-2006 4.6L V8 281cid
Ford Econoline 2005-2006 5.4L V8 330cid
Ford Econoline Van 2010-2014 4.6L V8 281cid
Ford Econoline Wagon 2010-2014 4.6L V8 281cid
Ford Econoline Wagon 2010-2014 5.4L V8 330cid
Ford Explorer Sport Trac 2004-2005 4L V6 245cid
Ford Grand Marquis 2003-2004 4.6L V8 281cid
Mercury Grand Marquis 2003-2006 4.6L V8 281cid
Mercury Marauder 2003-2004 4.6L V8 281cid</t>
        </is>
      </c>
      <c r="I1220" t="inlineStr">
        <is>
          <t>{"0": {"productDeskExternalKey": "CNRD|85-2048"}, "1": {"Package Contents": "Wiper Motor; Instruction Manual"}, "2": {"E-Waste": "Yes"}, "3": {"Product Condition": "New"}, "4": {"Mounting Hole Quantity": "3"}, "5": {"Terminal Type": "Pin; Blade"}, "6": {"Mounting Type": "Direct Bolt"}, "7": {"Weight PG": "3.8000"}, "8": {"Washer Pump Included": "No"}, "9": {"Part Type": "Windshield Wiper Motor"}, "10": {"Warranty Info": "Limited Lifetime"}, "11": {"Lifetime Warranty": "Yes"}, "12": {"Lifecycle Status": "Available to Order"}, "13": {"ItemLevelGTIN": "00884548242807"}}</t>
        </is>
      </c>
      <c r="J1220" t="inlineStr">
        <is>
          <t>https://www.cardone.com/product/windshield-wiper-motor-85-2048</t>
        </is>
      </c>
      <c r="K1220">
        <f>DISPIMG("ID_8A2E61E04BF44E3D8A58FBCAB27C086C",1)</f>
        <v/>
      </c>
      <c r="L1220" t="inlineStr">
        <is>
          <t>CNRD|85-2048</t>
        </is>
      </c>
      <c r="M1220" t="inlineStr">
        <is>
          <t>Wiper Motor; Instruction Manual</t>
        </is>
      </c>
      <c r="N1220" t="inlineStr">
        <is>
          <t>Yes</t>
        </is>
      </c>
      <c r="O1220" t="inlineStr">
        <is>
          <t>New</t>
        </is>
      </c>
      <c r="P1220" t="inlineStr">
        <is>
          <t>3</t>
        </is>
      </c>
      <c r="Q1220" t="inlineStr">
        <is>
          <t>Pin; Blade</t>
        </is>
      </c>
      <c r="R1220" t="inlineStr">
        <is>
          <t>Direct Bolt</t>
        </is>
      </c>
      <c r="S1220" t="inlineStr">
        <is>
          <t>3.8000</t>
        </is>
      </c>
      <c r="T1220" t="inlineStr">
        <is>
          <t>No</t>
        </is>
      </c>
      <c r="U1220" t="inlineStr">
        <is>
          <t>Limited Lifetime</t>
        </is>
      </c>
      <c r="V1220" t="inlineStr"/>
      <c r="W1220" t="inlineStr">
        <is>
          <t>Available to Order</t>
        </is>
      </c>
      <c r="X1220" t="inlineStr"/>
      <c r="Y1220" t="inlineStr">
        <is>
          <t>00884548242807</t>
        </is>
      </c>
      <c r="Z1220" t="inlineStr"/>
      <c r="AA1220" t="inlineStr"/>
      <c r="AB1220" t="inlineStr"/>
      <c r="AC1220" t="inlineStr">
        <is>
          <t>Yes</t>
        </is>
      </c>
    </row>
    <row r="1221">
      <c r="A1221" t="inlineStr">
        <is>
          <t>1220</t>
        </is>
      </c>
      <c r="B1221" t="inlineStr">
        <is>
          <t>Windshield Wiper Motor</t>
        </is>
      </c>
      <c r="C1221" t="inlineStr">
        <is>
          <t>85-2049</t>
        </is>
      </c>
      <c r="D1221" t="inlineStr">
        <is>
          <t>Windshield Wiper Motor - 85-2049</t>
        </is>
      </c>
      <c r="E1221" t="inlineStr">
        <is>
          <t>CARDONE New</t>
        </is>
      </c>
      <c r="F1221" t="inlineStr">
        <is>
          <t>8513012840;88969928;8513001020</t>
        </is>
      </c>
      <c r="G1221" t="inlineStr">
        <is>
          <t>Pontiac Vibe 2003-2008
Toyota Matrix 2003-2008</t>
        </is>
      </c>
      <c r="H1221" t="inlineStr">
        <is>
          <t>Pontiac Vibe 2003-2006 1.8L L4 1795cc
Pontiac Vibe 2003-2008 1.8L L4 1794cc
Toyota Matrix 2003-2006 1.8L L4 1795cc
Toyota Matrix 2003-2008 1.8L L4 1794cc</t>
        </is>
      </c>
      <c r="I1221" t="inlineStr">
        <is>
          <t>{"0": {"productDeskExternalKey": "CNRD|85-2049"}, "1": {"Package Contents": "Wiper Motor; Instruction Manual"}, "2": {"E-Waste": "Yes"}, "3": {"Product Condition": "New"}, "4": {"Mounting Hole Quantity": "3"}, "5": {"Terminal Type": "Pin"}, "6": {"Mounting Type": "Direct Bolt"}, "7": {"Weight PG": "2.6000"}, "8": {"Washer Pump Included": "No"}, "9": {"Part Type": "Windshield Wiper Motor"}, "10": {"Warranty Info": "Limited Lifetime"}, "11": {"Lifetime Warranty": "Yes"}, "12": {"Lifecycle Status": "Available to Order"}, "13": {"Application Summary": "Pontiac Vibe 2008-03; Toyota Matrix 2008-03"}, "14": {"ItemLevelGTIN": "00884548196889"}}</t>
        </is>
      </c>
      <c r="J1221" t="inlineStr">
        <is>
          <t>https://www.cardone.com/product/windshield-wiper-motor-85-2049</t>
        </is>
      </c>
      <c r="K1221">
        <f>DISPIMG("ID_2E690F3D06BC45998FFF47D592219FDC",1)</f>
        <v/>
      </c>
      <c r="L1221" t="inlineStr">
        <is>
          <t>CNRD|85-2049</t>
        </is>
      </c>
      <c r="M1221" t="inlineStr">
        <is>
          <t>Wiper Motor; Instruction Manual</t>
        </is>
      </c>
      <c r="N1221" t="inlineStr">
        <is>
          <t>Yes</t>
        </is>
      </c>
      <c r="O1221" t="inlineStr">
        <is>
          <t>New</t>
        </is>
      </c>
      <c r="P1221" t="inlineStr">
        <is>
          <t>3</t>
        </is>
      </c>
      <c r="Q1221" t="inlineStr">
        <is>
          <t>Pin</t>
        </is>
      </c>
      <c r="R1221" t="inlineStr">
        <is>
          <t>Direct Bolt</t>
        </is>
      </c>
      <c r="S1221" t="inlineStr">
        <is>
          <t>2.6000</t>
        </is>
      </c>
      <c r="T1221" t="inlineStr">
        <is>
          <t>No</t>
        </is>
      </c>
      <c r="U1221" t="inlineStr">
        <is>
          <t>Limited Lifetime</t>
        </is>
      </c>
      <c r="V1221" t="inlineStr"/>
      <c r="W1221" t="inlineStr">
        <is>
          <t>Available to Order</t>
        </is>
      </c>
      <c r="X1221" t="inlineStr">
        <is>
          <t>Pontiac Vibe 2008-03; Toyota Matrix 2008-03</t>
        </is>
      </c>
      <c r="Y1221" t="inlineStr">
        <is>
          <t>00884548196889</t>
        </is>
      </c>
      <c r="Z1221" t="inlineStr"/>
      <c r="AA1221" t="inlineStr"/>
      <c r="AB1221" t="inlineStr"/>
      <c r="AC1221" t="inlineStr">
        <is>
          <t>Yes</t>
        </is>
      </c>
    </row>
    <row r="1222">
      <c r="A1222" t="inlineStr">
        <is>
          <t>1221</t>
        </is>
      </c>
      <c r="B1222" t="inlineStr">
        <is>
          <t>Windshield Wiper Motor</t>
        </is>
      </c>
      <c r="C1222" t="inlineStr">
        <is>
          <t>85-2050</t>
        </is>
      </c>
      <c r="D1222" t="inlineStr">
        <is>
          <t>Windshield Wiper Motor - 85-2050</t>
        </is>
      </c>
      <c r="E1222" t="inlineStr">
        <is>
          <t>CARDONE New</t>
        </is>
      </c>
      <c r="F1222" t="inlineStr">
        <is>
          <t>8511002110</t>
        </is>
      </c>
      <c r="G1222" t="inlineStr">
        <is>
          <t>Lexus GX470 2003-2009
Pontiac Vibe 2003-2008
Scion xA 2004-2006
Toyota 4Runner 2003-2009
Toyota Corolla 2003-2008
Toyota Highlander 2001-2008
Toyota Matrix 2003-2008</t>
        </is>
      </c>
      <c r="H1222" t="inlineStr">
        <is>
          <t>Lexus GX470 2003-2009 4.7L V8 285cid
Pontiac Vibe 2003-2006 1.8L L4 1795cc
Pontiac Vibe 2003-2008 1.8L L4 1794cc
Scion xA 2004-2006 1.5L L4 1497cc
Toyota 4Runner 2003-2009 4.7L V8 285cid
Toyota 4Runner 2003-2009 4L V6 241cid
Toyota Corolla 2003-2008 1.8L L4 1794cc
Toyota Corolla 2005-2006 1.8L L4 1795cc
Toyota Highlander 2001-2003 3L V6 2995cc
Toyota Highlander 2001-2007 2.4L L4 2362cc
Toyota Highlander 2004 3.3L V6 3300cc
Toyota Highlander 2005-2008 3.3L V6 202cid
Toyota Matrix 2003-2006 1.8L L4 1795cc
Toyota Matrix 2003-2008 1.8L L4 1794cc</t>
        </is>
      </c>
      <c r="I1222" t="inlineStr">
        <is>
          <t>{"0": {"productDeskExternalKey": "CNRD|85-2050"}, "1": {"Package Contents": "Wiper Motor; Instruction Manual"}, "2": {"E-Waste": "Yes"}, "3": {"Product Condition": "New"}, "4": {"Terminal Type": "Blade"}, "5": {"Mounting Type": "Direct Bolt"}, "6": {"Weight PG": "2.7800"}, "7": {"Washer Pump Included": "No"}, "8": {"Part Type": "Windshield Wiper Motor"}, "9": {"Warranty Info": "Limited Lifetime"}, "10": {"Lifetime Warranty": "Yes"}, "11": {"Lifecycle Status": "Available to Order"}, "12": {"Application Summary": "Lexus GX470 2009-03; Pontiac Vibe 2008-03; Scion xA 2006-04; Toyota 4Runner 2009-03, Corolla 2008-03, Highlander 2008-01, Matrix 2008-03"}, "13": {"ItemLevelGTIN": "00884548298491"}}</t>
        </is>
      </c>
      <c r="J1222" t="inlineStr">
        <is>
          <t>https://www.cardone.com/product/windshield-wiper-motor-85-2050</t>
        </is>
      </c>
      <c r="K1222">
        <f>DISPIMG("ID_4509DC15747B44608C492D21D7EC5209",1)</f>
        <v/>
      </c>
      <c r="L1222" t="inlineStr">
        <is>
          <t>CNRD|85-2050</t>
        </is>
      </c>
      <c r="M1222" t="inlineStr">
        <is>
          <t>Wiper Motor; Instruction Manual</t>
        </is>
      </c>
      <c r="N1222" t="inlineStr">
        <is>
          <t>Yes</t>
        </is>
      </c>
      <c r="O1222" t="inlineStr">
        <is>
          <t>New</t>
        </is>
      </c>
      <c r="P1222" t="inlineStr"/>
      <c r="Q1222" t="inlineStr">
        <is>
          <t>Blade</t>
        </is>
      </c>
      <c r="R1222" t="inlineStr">
        <is>
          <t>Direct Bolt</t>
        </is>
      </c>
      <c r="S1222" t="inlineStr">
        <is>
          <t>2.7800</t>
        </is>
      </c>
      <c r="T1222" t="inlineStr">
        <is>
          <t>No</t>
        </is>
      </c>
      <c r="U1222" t="inlineStr">
        <is>
          <t>Limited Lifetime</t>
        </is>
      </c>
      <c r="V1222" t="inlineStr"/>
      <c r="W1222" t="inlineStr">
        <is>
          <t>Available to Order</t>
        </is>
      </c>
      <c r="X1222" t="inlineStr">
        <is>
          <t>Lexus GX470 2009-03; Pontiac Vibe 2008-03; Scion xA 2006-04; Toyota 4Runner 2009-03, Corolla 2008-03, Highlander 2008-01, Matrix 2008-03</t>
        </is>
      </c>
      <c r="Y1222" t="inlineStr">
        <is>
          <t>00884548298491</t>
        </is>
      </c>
      <c r="Z1222" t="inlineStr"/>
      <c r="AA1222" t="inlineStr"/>
      <c r="AB1222" t="inlineStr"/>
      <c r="AC1222" t="inlineStr">
        <is>
          <t>Yes</t>
        </is>
      </c>
    </row>
    <row r="1223">
      <c r="A1223" t="inlineStr">
        <is>
          <t>1222</t>
        </is>
      </c>
      <c r="B1223" t="inlineStr">
        <is>
          <t>Windshield Wiper Motor</t>
        </is>
      </c>
      <c r="C1223" t="inlineStr">
        <is>
          <t>85-2051</t>
        </is>
      </c>
      <c r="D1223" t="inlineStr">
        <is>
          <t>Windshield Wiper Motor - 85-2051</t>
        </is>
      </c>
      <c r="E1223" t="inlineStr">
        <is>
          <t>CARDONE New</t>
        </is>
      </c>
      <c r="F1223" t="inlineStr">
        <is>
          <t>8513035080</t>
        </is>
      </c>
      <c r="G1223" t="inlineStr">
        <is>
          <t>Toyota 4Runner 2003-2009</t>
        </is>
      </c>
      <c r="H1223" t="inlineStr">
        <is>
          <t>Toyota 4Runner 2003-2009 4.7L V8 285cid
Toyota 4Runner 2003-2009 4L V6 241cid</t>
        </is>
      </c>
      <c r="I1223" t="inlineStr">
        <is>
          <t>{"0": {"productDeskExternalKey": "CNRD|85-2051"}, "1": {"Package Contents": "Wiper Motor; Instruction Manual"}, "2": {"E-Waste": "Yes"}, "3": {"Product Condition": "New"}, "4": {"Mounting Hole Quantity": "3"}, "5": {"Terminal Type": "Blade"}, "6": {"Mounting Type": "Eyelet; Grommet"}, "7": {"Weight PG": "3.0000"}, "8": {"Washer Pump Included": "No"}, "9": {"Part Type": "Windshield Wiper Motor"}, "10": {"Warranty Info": "Limited Lifetime"}, "11": {"Lifetime Warranty": "Yes"}, "12": {"Lifecycle Status": "Available to Order"}, "13": {"Application Summary": "Toyota 4Runner 2009-03"}, "14": {"ItemLevelGTIN": "00884548198531"}}</t>
        </is>
      </c>
      <c r="J1223" t="inlineStr">
        <is>
          <t>https://www.cardone.com/product/windshield-wiper-motor-85-2051</t>
        </is>
      </c>
      <c r="K1223">
        <f>DISPIMG("ID_717B1A8F2358401692C4B7A7776A43D3",1)</f>
        <v/>
      </c>
      <c r="L1223" t="inlineStr">
        <is>
          <t>CNRD|85-2051</t>
        </is>
      </c>
      <c r="M1223" t="inlineStr">
        <is>
          <t>Wiper Motor; Instruction Manual</t>
        </is>
      </c>
      <c r="N1223" t="inlineStr">
        <is>
          <t>Yes</t>
        </is>
      </c>
      <c r="O1223" t="inlineStr">
        <is>
          <t>New</t>
        </is>
      </c>
      <c r="P1223" t="inlineStr">
        <is>
          <t>3</t>
        </is>
      </c>
      <c r="Q1223" t="inlineStr">
        <is>
          <t>Blade</t>
        </is>
      </c>
      <c r="R1223" t="inlineStr">
        <is>
          <t>Eyelet; Grommet</t>
        </is>
      </c>
      <c r="S1223" t="inlineStr">
        <is>
          <t>3.0000</t>
        </is>
      </c>
      <c r="T1223" t="inlineStr">
        <is>
          <t>No</t>
        </is>
      </c>
      <c r="U1223" t="inlineStr">
        <is>
          <t>Limited Lifetime</t>
        </is>
      </c>
      <c r="V1223" t="inlineStr"/>
      <c r="W1223" t="inlineStr">
        <is>
          <t>Available to Order</t>
        </is>
      </c>
      <c r="X1223" t="inlineStr">
        <is>
          <t>Toyota 4Runner 2009-03</t>
        </is>
      </c>
      <c r="Y1223" t="inlineStr">
        <is>
          <t>00884548198531</t>
        </is>
      </c>
      <c r="Z1223" t="inlineStr"/>
      <c r="AA1223" t="inlineStr"/>
      <c r="AB1223" t="inlineStr"/>
      <c r="AC1223" t="inlineStr">
        <is>
          <t>Yes</t>
        </is>
      </c>
    </row>
    <row r="1224">
      <c r="A1224" t="inlineStr">
        <is>
          <t>1223</t>
        </is>
      </c>
      <c r="B1224" t="inlineStr">
        <is>
          <t>Windshield Wiper Motor</t>
        </is>
      </c>
      <c r="C1224" t="inlineStr">
        <is>
          <t>85-2053</t>
        </is>
      </c>
      <c r="D1224" t="inlineStr">
        <is>
          <t>Windshield Wiper Motor - 85-2053</t>
        </is>
      </c>
      <c r="E1224" t="inlineStr">
        <is>
          <t>CARDONE New</t>
        </is>
      </c>
      <c r="F1224" t="inlineStr">
        <is>
          <t>8511016650</t>
        </is>
      </c>
      <c r="G1224" t="inlineStr">
        <is>
          <t>Toyota Paseo 1998
Toyota Tercel 1997-1999</t>
        </is>
      </c>
      <c r="H1224" t="inlineStr">
        <is>
          <t>Toyota Paseo 1998 1.5L L4 1497cc
Toyota Tercel 1997-1999 1.5L L4 1497cc</t>
        </is>
      </c>
      <c r="I1224" t="inlineStr">
        <is>
          <t>{"0": {"productDeskExternalKey": "CNRD|85-2053"}, "1": {"Package Contents": "Wiper Motor; Instruction Manual"}, "2": {"E-Waste": "Yes"}, "3": {"Product Condition": "New"}, "4": {"Mounting Hole Quantity": "4"}, "5": {"Terminal Type": "Blade"}, "6": {"Mounting Type": "Eyelet; Grommet"}, "7": {"Weight PG": "2.8000"}, "8": {"Washer Pump Included": "No"}, "9": {"Part Type": "Windshield Wiper Motor"}, "10": {"Warranty Info": "Limited Lifetime"}, "11": {"Lifetime Warranty": "Yes"}, "12": {"Lifecycle Status": "Available to Order"}, "13": {"Application Summary": "Toyota Paseo 1998, Tercel 1999-97"}, "14": {"ItemLevelGTIN": "00884548132870"}}</t>
        </is>
      </c>
      <c r="J1224" t="inlineStr">
        <is>
          <t>https://www.cardone.com/product/windshield-wiper-motor-85-2053</t>
        </is>
      </c>
      <c r="K1224">
        <f>DISPIMG("ID_7B42584A66F14DCD83E58CFB14C4C242",1)</f>
        <v/>
      </c>
      <c r="L1224" t="inlineStr">
        <is>
          <t>CNRD|85-2053</t>
        </is>
      </c>
      <c r="M1224" t="inlineStr">
        <is>
          <t>Wiper Motor; Instruction Manual</t>
        </is>
      </c>
      <c r="N1224" t="inlineStr">
        <is>
          <t>Yes</t>
        </is>
      </c>
      <c r="O1224" t="inlineStr">
        <is>
          <t>New</t>
        </is>
      </c>
      <c r="P1224" t="inlineStr">
        <is>
          <t>4</t>
        </is>
      </c>
      <c r="Q1224" t="inlineStr">
        <is>
          <t>Blade</t>
        </is>
      </c>
      <c r="R1224" t="inlineStr">
        <is>
          <t>Eyelet; Grommet</t>
        </is>
      </c>
      <c r="S1224" t="inlineStr">
        <is>
          <t>2.8000</t>
        </is>
      </c>
      <c r="T1224" t="inlineStr">
        <is>
          <t>No</t>
        </is>
      </c>
      <c r="U1224" t="inlineStr">
        <is>
          <t>Limited Lifetime</t>
        </is>
      </c>
      <c r="V1224" t="inlineStr"/>
      <c r="W1224" t="inlineStr">
        <is>
          <t>Available to Order</t>
        </is>
      </c>
      <c r="X1224" t="inlineStr">
        <is>
          <t>Toyota Paseo 1998, Tercel 1999-97</t>
        </is>
      </c>
      <c r="Y1224" t="inlineStr">
        <is>
          <t>00884548132870</t>
        </is>
      </c>
      <c r="Z1224" t="inlineStr"/>
      <c r="AA1224" t="inlineStr"/>
      <c r="AB1224" t="inlineStr"/>
      <c r="AC1224" t="inlineStr">
        <is>
          <t>Yes</t>
        </is>
      </c>
    </row>
    <row r="1225">
      <c r="A1225" t="inlineStr">
        <is>
          <t>1224</t>
        </is>
      </c>
      <c r="B1225" t="inlineStr">
        <is>
          <t>Windshield Wiper Motor</t>
        </is>
      </c>
      <c r="C1225" t="inlineStr">
        <is>
          <t>85-2054</t>
        </is>
      </c>
      <c r="D1225" t="inlineStr">
        <is>
          <t>Windshield Wiper Motor - 85-2054</t>
        </is>
      </c>
      <c r="E1225" t="inlineStr">
        <is>
          <t>CARDONE New</t>
        </is>
      </c>
      <c r="F1225" t="inlineStr">
        <is>
          <t>8511060390;8511004040;8511008020;851100K060;CC2967340A;8511060400;CC3867340A;CC2967340B;8511053040;8511035310;86510SC011;8511026210;86510SC010;8511060430;GS3L67340;981100W000</t>
        </is>
      </c>
      <c r="G1225" t="inlineStr">
        <is>
          <t>Chevrolet Silverado 1500 2019-2022
Chevrolet Silverado 2500 HD 2020-2022
Chevrolet Silverado 3500 HD 2020-2022
GMC Sierra 1500 2019-2022
GMC Sierra 2500 HD 2020-2022
GMC Sierra 3500 HD 2020-2022
Hyundai Santa Fe 2010-2012
Lexus GX460 2010-2021
Lexus IS F 2008-2014
Lexus IS250 2006-2015
Lexus IS350 2006-2015
Lexus LX570 2008-2021
Mazda 5 2006-2012
Mazda 6 2009-2013
Scion xB 2008-2015
Subaru Forester 2008-2013
Toyota 4Runner 2010-2022
Toyota FJ Cruiser 2007-2014
Toyota Land Cruiser 2008-2021
Toyota Sienna 2011-2015
Toyota Tacoma 2005-2016</t>
        </is>
      </c>
      <c r="H1225" t="inlineStr">
        <is>
          <t>Chevrolet Silverado 1500 2019-2021 4.3L V6 262cid
Chevrolet Silverado 1500 2019-2022 2.7L L4 166cid
Chevrolet Silverado 1500 2019-2022 5.3L V8 325cid
Chevrolet Silverado 1500 2019-2022 6.2L V8 376cid
Chevrolet Silverado 1500 2020-2022 3L L6 183cid
Chevrolet Silverado 2500 HD 2020-2022 6.6L V8 401cid
Chevrolet Silverado 2500 HD 2020-2022 6.6L V8 403cid
Chevrolet Silverado 3500 HD 2020-2022 6.6L V8 401cid
Chevrolet Silverado 3500 HD 2020-2022 6.6L V8 403cid
GMC Sierra 1500 2019-2021 4.3L V6 262cid
GMC Sierra 1500 2019-2022 2.7L L4 166cid
GMC Sierra 1500 2019-2022 5.3L V8 325cid
GMC Sierra 1500 2019-2022 6.2L V8 376cid
GMC Sierra 1500 2020-2022 3L L6 183cid
GMC Sierra 2500 HD 2020-2022 6.6L V8 401cid
GMC Sierra 2500 HD 2020-2022 6.6L V8 403cid
GMC Sierra 3500 HD 2020-2022 6.6L V8 401cid
GMC Sierra 3500 HD 2020-2022 6.6L V8 403cid
Hyundai Santa Fe 2010-2012 2.4L L4 2359cc
Hyundai Santa Fe 2010-2012 3.5L V6 3470cc
Lexus GX460 2010-2021 4.6L V8 4608cc
Lexus IS F 2008-2014 5L V8 303cid
Lexus IS250 2006-2015 2.5L V6 2499cc
Lexus IS350 2006-2015 3.5L V6 3456cc
Lexus LX570 2008-2021 5.7L V8 345cid
Mazda 5 2006-2010 2.3L L4 2260cc
Mazda 5 2012 2.5L L4 152cid
Mazda 6 2009-2013 2.5L L4 152cid
Mazda 6 2009-2013 3.7L V6 227cid
Scion xB 2008-2015 2.4L L4 2362cc
Subaru Forester 2008-2013 2.5L H4 2458cc
Subaru Forester 2011-2013 2.5L H4 152cid
Toyota 4Runner 2010 2.7L L4 2694cc
Toyota 4Runner 2010-2022 4L V6 241cid
Toyota FJ Cruiser 2007-2014 4L V6 241cid
Toyota Land Cruiser 2008-2021 5.7L V8 345cid
Toyota Sienna 2011-2013 2.7L L4 163cid
Toyota Sienna 2011-2015 3.5L V6 3456cc
Toyota Tacoma 2005-2015 4L V6 241cid
Toyota Tacoma 2005-2016 2.7L L4 2694cc
Toyota Tacoma 2016 3.5L V6 3456cc</t>
        </is>
      </c>
      <c r="I1225" t="inlineStr">
        <is>
          <t>{"0": {"productDeskExternalKey": "CNRD|85-2054"}, "1": {"Package Contents": "Wiper Motor; Instruction Manual"}, "2": {"E-Waste": "Yes"}, "3": {"Product Condition": "New"}, "4": {"Mounting Hole Quantity": "3"}, "5": {"Terminal Type": "Blade"}, "6": {"Mounting Type": "Direct Bolt; Grommet"}, "7": {"Weight PG": "3.2000"}, "8": {"Washer Pump Included": "No"}, "9": {"Part Type": "Windshield Wiper Motor"}, "10": {"Warranty Info": "Limited Lifetime"}, "11": {"Lifetime Warranty": "Yes"}, "12": {"Lifecycle Status": "Available to Order"}, "13": {"ItemLevelGTIN": "00884548192812"}}</t>
        </is>
      </c>
      <c r="J1225" t="inlineStr">
        <is>
          <t>https://www.cardone.com/product/windshield-wiper-motor-85-2054</t>
        </is>
      </c>
      <c r="K1225">
        <f>DISPIMG("ID_451CCE39978046DA87A6C24C9B3CDD86",1)</f>
        <v/>
      </c>
      <c r="L1225" t="inlineStr">
        <is>
          <t>CNRD|85-2054</t>
        </is>
      </c>
      <c r="M1225" t="inlineStr">
        <is>
          <t>Wiper Motor; Instruction Manual</t>
        </is>
      </c>
      <c r="N1225" t="inlineStr">
        <is>
          <t>Yes</t>
        </is>
      </c>
      <c r="O1225" t="inlineStr">
        <is>
          <t>New</t>
        </is>
      </c>
      <c r="P1225" t="inlineStr">
        <is>
          <t>3</t>
        </is>
      </c>
      <c r="Q1225" t="inlineStr">
        <is>
          <t>Blade</t>
        </is>
      </c>
      <c r="R1225" t="inlineStr">
        <is>
          <t>Direct Bolt; Grommet</t>
        </is>
      </c>
      <c r="S1225" t="inlineStr">
        <is>
          <t>3.2000</t>
        </is>
      </c>
      <c r="T1225" t="inlineStr">
        <is>
          <t>No</t>
        </is>
      </c>
      <c r="U1225" t="inlineStr">
        <is>
          <t>Limited Lifetime</t>
        </is>
      </c>
      <c r="V1225" t="inlineStr"/>
      <c r="W1225" t="inlineStr">
        <is>
          <t>Available to Order</t>
        </is>
      </c>
      <c r="X1225" t="inlineStr"/>
      <c r="Y1225" t="inlineStr">
        <is>
          <t>00884548192812</t>
        </is>
      </c>
      <c r="Z1225" t="inlineStr"/>
      <c r="AA1225" t="inlineStr"/>
      <c r="AB1225" t="inlineStr"/>
      <c r="AC1225" t="inlineStr">
        <is>
          <t>Yes</t>
        </is>
      </c>
    </row>
    <row r="1226">
      <c r="A1226" t="inlineStr">
        <is>
          <t>1225</t>
        </is>
      </c>
      <c r="B1226" t="inlineStr">
        <is>
          <t>Windshield Wiper Motor</t>
        </is>
      </c>
      <c r="C1226" t="inlineStr">
        <is>
          <t>85-2056</t>
        </is>
      </c>
      <c r="D1226" t="inlineStr">
        <is>
          <t>Windshield Wiper Motor - 85-2056</t>
        </is>
      </c>
      <c r="E1226" t="inlineStr">
        <is>
          <t>CARDONE New</t>
        </is>
      </c>
      <c r="F1226" t="inlineStr">
        <is>
          <t>6F2Z17508CA;3F2Z17508AA</t>
        </is>
      </c>
      <c r="G1226" t="inlineStr">
        <is>
          <t>Ford Freestar 2004-2007
Mercury Monterey 2004-2007</t>
        </is>
      </c>
      <c r="H1226" t="inlineStr">
        <is>
          <t>Ford Freestar 2004-2007 3.9L V6 238cid
Ford Freestar 2004-2007 4.2L V6 256cid
Mercury Monterey 2004-2007 4.2L V6 256cid</t>
        </is>
      </c>
      <c r="I1226" t="inlineStr">
        <is>
          <t>{"0": {"productDeskExternalKey": "CNRD|85-2056"}, "1": {"Package Contents": "Wiper Motor; Instruction Manual"}, "2": {"E-Waste": "Yes"}, "3": {"Product Condition": "New"}, "4": {"Mounting Hole Quantity": "3"}, "5": {"Terminal Type": "Pin; Blade"}, "6": {"Mounting Type": "Direct Bolt"}, "7": {"Weight PG": "3.6000"}, "8": {"Washer Pump Included": "No"}, "9": {"Part Type": "Windshield Wiper Motor"}, "10": {"Warranty Info": "Limited Lifetime"}, "11": {"Lifetime Warranty": "Yes"}, "12": {"Lifecycle Status": "Available to Order"}, "13": {"Application Summary": "Ford Freestar 2007-04; Mercury Monterey 2007-04"}, "14": {"ItemLevelGTIN": "00884548243569"}}</t>
        </is>
      </c>
      <c r="J1226" t="inlineStr">
        <is>
          <t>https://www.cardone.com/product/windshield-wiper-motor-85-2056</t>
        </is>
      </c>
      <c r="K1226">
        <f>DISPIMG("ID_E22D423554FF415797CAC675AAC35707",1)</f>
        <v/>
      </c>
      <c r="L1226" t="inlineStr">
        <is>
          <t>CNRD|85-2056</t>
        </is>
      </c>
      <c r="M1226" t="inlineStr">
        <is>
          <t>Wiper Motor; Instruction Manual</t>
        </is>
      </c>
      <c r="N1226" t="inlineStr">
        <is>
          <t>Yes</t>
        </is>
      </c>
      <c r="O1226" t="inlineStr">
        <is>
          <t>New</t>
        </is>
      </c>
      <c r="P1226" t="inlineStr">
        <is>
          <t>3</t>
        </is>
      </c>
      <c r="Q1226" t="inlineStr">
        <is>
          <t>Pin; Blade</t>
        </is>
      </c>
      <c r="R1226" t="inlineStr">
        <is>
          <t>Direct Bolt</t>
        </is>
      </c>
      <c r="S1226" t="inlineStr">
        <is>
          <t>3.6000</t>
        </is>
      </c>
      <c r="T1226" t="inlineStr">
        <is>
          <t>No</t>
        </is>
      </c>
      <c r="U1226" t="inlineStr">
        <is>
          <t>Limited Lifetime</t>
        </is>
      </c>
      <c r="V1226" t="inlineStr"/>
      <c r="W1226" t="inlineStr">
        <is>
          <t>Available to Order</t>
        </is>
      </c>
      <c r="X1226" t="inlineStr">
        <is>
          <t>Ford Freestar 2007-04; Mercury Monterey 2007-04</t>
        </is>
      </c>
      <c r="Y1226" t="inlineStr">
        <is>
          <t>00884548243569</t>
        </is>
      </c>
      <c r="Z1226" t="inlineStr"/>
      <c r="AA1226" t="inlineStr"/>
      <c r="AB1226" t="inlineStr"/>
      <c r="AC1226" t="inlineStr">
        <is>
          <t>Yes</t>
        </is>
      </c>
    </row>
    <row r="1227">
      <c r="A1227" t="inlineStr">
        <is>
          <t>1226</t>
        </is>
      </c>
      <c r="B1227" t="inlineStr">
        <is>
          <t>Windshield Wiper Motor</t>
        </is>
      </c>
      <c r="C1227" t="inlineStr">
        <is>
          <t>85-2062</t>
        </is>
      </c>
      <c r="D1227" t="inlineStr">
        <is>
          <t>Windshield Wiper Motor - 85-2062</t>
        </is>
      </c>
      <c r="E1227" t="inlineStr">
        <is>
          <t>CARDONE New</t>
        </is>
      </c>
      <c r="F1227" t="inlineStr">
        <is>
          <t>6L2Z17508AB;7L2Z17508AB;7L2Z17508AA</t>
        </is>
      </c>
      <c r="G1227" t="inlineStr">
        <is>
          <t>Ford Explorer 2006-2010
Mercury Mountaineer 2006-2010</t>
        </is>
      </c>
      <c r="H1227" t="inlineStr">
        <is>
          <t>Ford Explorer 2006-2010 4.6L V8 281cid
Ford Explorer 2006-2010 4L V6 245cid
Mercury Mountaineer 2006-2010 4.6L V8 281cid
Mercury Mountaineer 2006-2010 4L V6 245cid</t>
        </is>
      </c>
      <c r="I1227" t="inlineStr">
        <is>
          <t>{"0": {"productDeskExternalKey": "CNRD|85-2062"}, "1": {"Package Contents": "Wiper Motor; Instruction Manual"}, "2": {"E-Waste": "Yes"}, "3": {"Product Condition": "New"}, "4": {"Terminal Type": "Blade"}, "5": {"Mounting Type": "Eyelet; Grommet"}, "6": {"Weight PG": "3.2000"}, "7": {"Washer Pump Included": "No"}, "8": {"Part Type": "Windshield Wiper Motor"}, "9": {"Warranty Info": "Limited Lifetime"}, "10": {"Lifetime Warranty": "Yes"}, "11": {"Lifecycle Status": "Available to Order"}, "12": {"Application Summary": "Ford Explorer 2010-06; Mercury Mountaineer 2010-06"}, "13": {"ItemLevelGTIN": "00884548016965"}}</t>
        </is>
      </c>
      <c r="J1227" t="inlineStr">
        <is>
          <t>https://www.cardone.com/product/windshield-wiper-motor-85-2062</t>
        </is>
      </c>
      <c r="K1227">
        <f>DISPIMG("ID_16E8C8EA9BF24A3FAC72CAAA765A323D",1)</f>
        <v/>
      </c>
      <c r="L1227" t="inlineStr">
        <is>
          <t>CNRD|85-2062</t>
        </is>
      </c>
      <c r="M1227" t="inlineStr">
        <is>
          <t>Wiper Motor; Instruction Manual</t>
        </is>
      </c>
      <c r="N1227" t="inlineStr">
        <is>
          <t>Yes</t>
        </is>
      </c>
      <c r="O1227" t="inlineStr">
        <is>
          <t>New</t>
        </is>
      </c>
      <c r="P1227" t="inlineStr"/>
      <c r="Q1227" t="inlineStr">
        <is>
          <t>Blade</t>
        </is>
      </c>
      <c r="R1227" t="inlineStr">
        <is>
          <t>Eyelet; Grommet</t>
        </is>
      </c>
      <c r="S1227" t="inlineStr">
        <is>
          <t>3.2000</t>
        </is>
      </c>
      <c r="T1227" t="inlineStr">
        <is>
          <t>No</t>
        </is>
      </c>
      <c r="U1227" t="inlineStr">
        <is>
          <t>Limited Lifetime</t>
        </is>
      </c>
      <c r="V1227" t="inlineStr"/>
      <c r="W1227" t="inlineStr">
        <is>
          <t>Available to Order</t>
        </is>
      </c>
      <c r="X1227" t="inlineStr">
        <is>
          <t>Ford Explorer 2010-06; Mercury Mountaineer 2010-06</t>
        </is>
      </c>
      <c r="Y1227" t="inlineStr">
        <is>
          <t>00884548016965</t>
        </is>
      </c>
      <c r="Z1227" t="inlineStr"/>
      <c r="AA1227" t="inlineStr"/>
      <c r="AB1227" t="inlineStr"/>
      <c r="AC1227" t="inlineStr">
        <is>
          <t>Yes</t>
        </is>
      </c>
    </row>
    <row r="1228">
      <c r="A1228" t="inlineStr">
        <is>
          <t>1227</t>
        </is>
      </c>
      <c r="B1228" t="inlineStr">
        <is>
          <t>Windshield Wiper Motor</t>
        </is>
      </c>
      <c r="C1228" t="inlineStr">
        <is>
          <t>85-20620</t>
        </is>
      </c>
      <c r="D1228" t="inlineStr">
        <is>
          <t>Windshield Wiper Motor - 85-20620</t>
        </is>
      </c>
      <c r="E1228" t="inlineStr">
        <is>
          <t>CARDONE New</t>
        </is>
      </c>
      <c r="F1228" t="inlineStr">
        <is>
          <t>8513034010</t>
        </is>
      </c>
      <c r="G1228" t="inlineStr">
        <is>
          <t>Toyota Sequoia 2001-2007</t>
        </is>
      </c>
      <c r="H1228" t="inlineStr">
        <is>
          <t>Toyota Sequoia 2001-2007 4.7L V8 285cid</t>
        </is>
      </c>
      <c r="I1228" t="inlineStr">
        <is>
          <t>{"0": {"productDeskExternalKey": "CNRD|85-20620"}, "1": {"Package Contents": "Wiper Motor; Instruction Manual"}, "2": {"E-Waste": "Yes"}, "3": {"Product Condition": "New"}, "4": {"Terminal Type": "Blade"}, "5": {"Mounting Type": "Eyelet; Grommet"}, "6": {"Weight PG": "3.2000"}, "7": {"Washer Pump Included": "No"}, "8": {"Part Type": "Windshield Wiper Motor"}, "9": {"Warranty Info": "Limited Lifetime"}, "10": {"Lifetime Warranty": "Yes"}, "11": {"Lifecycle Status": "Available to Order"}, "12": {"Application Summary": "Toyota Sequoia 2007-01"}, "13": {"ItemLevelGTIN": "00884548198289"}}</t>
        </is>
      </c>
      <c r="J1228" t="inlineStr">
        <is>
          <t>https://www.cardone.com/product/windshield-wiper-motor-85-20620</t>
        </is>
      </c>
      <c r="K1228">
        <f>DISPIMG("ID_5BC2ED4407F7402A938AA93063296CC5",1)</f>
        <v/>
      </c>
      <c r="L1228" t="inlineStr">
        <is>
          <t>CNRD|85-20620</t>
        </is>
      </c>
      <c r="M1228" t="inlineStr">
        <is>
          <t>Wiper Motor; Instruction Manual</t>
        </is>
      </c>
      <c r="N1228" t="inlineStr">
        <is>
          <t>Yes</t>
        </is>
      </c>
      <c r="O1228" t="inlineStr">
        <is>
          <t>New</t>
        </is>
      </c>
      <c r="P1228" t="inlineStr"/>
      <c r="Q1228" t="inlineStr">
        <is>
          <t>Blade</t>
        </is>
      </c>
      <c r="R1228" t="inlineStr">
        <is>
          <t>Eyelet; Grommet</t>
        </is>
      </c>
      <c r="S1228" t="inlineStr">
        <is>
          <t>3.2000</t>
        </is>
      </c>
      <c r="T1228" t="inlineStr">
        <is>
          <t>No</t>
        </is>
      </c>
      <c r="U1228" t="inlineStr">
        <is>
          <t>Limited Lifetime</t>
        </is>
      </c>
      <c r="V1228" t="inlineStr"/>
      <c r="W1228" t="inlineStr">
        <is>
          <t>Available to Order</t>
        </is>
      </c>
      <c r="X1228" t="inlineStr">
        <is>
          <t>Toyota Sequoia 2007-01</t>
        </is>
      </c>
      <c r="Y1228" t="inlineStr">
        <is>
          <t>00884548198289</t>
        </is>
      </c>
      <c r="Z1228" t="inlineStr"/>
      <c r="AA1228" t="inlineStr"/>
      <c r="AB1228" t="inlineStr"/>
      <c r="AC1228" t="inlineStr">
        <is>
          <t>Yes</t>
        </is>
      </c>
    </row>
    <row r="1229">
      <c r="A1229" t="inlineStr">
        <is>
          <t>1228</t>
        </is>
      </c>
      <c r="B1229" t="inlineStr">
        <is>
          <t>Windshield Wiper Motor</t>
        </is>
      </c>
      <c r="C1229" t="inlineStr">
        <is>
          <t>85-2063</t>
        </is>
      </c>
      <c r="D1229" t="inlineStr">
        <is>
          <t>Windshield Wiper Motor - 85-2063</t>
        </is>
      </c>
      <c r="E1229" t="inlineStr">
        <is>
          <t>CARDONE New</t>
        </is>
      </c>
      <c r="F1229" t="inlineStr">
        <is>
          <t>8513048020</t>
        </is>
      </c>
      <c r="G1229" t="inlineStr">
        <is>
          <t>Toyota Highlander 2001-2007</t>
        </is>
      </c>
      <c r="H1229" t="inlineStr">
        <is>
          <t>Toyota Highlander 2001-2003 3L V6 2995cc
Toyota Highlander 2001-2007 2.4L L4 2362cc
Toyota Highlander 2004 3.3L V6 3300cc
Toyota Highlander 2005-2007 3.3L V6 202cid</t>
        </is>
      </c>
      <c r="I1229" t="inlineStr">
        <is>
          <t>{"0": {"productDeskExternalKey": "CNRD|85-2063"}, "1": {"Package Contents": "Wiper Motor; Instruction Manual"}, "2": {"E-Waste": "Yes"}, "3": {"Product Condition": "New"}, "4": {"Terminal Type": "Blade"}, "5": {"Mounting Type": "Eyelet; Grommet"}, "6": {"Weight PG": "3.0000"}, "7": {"Washer Pump Included": "No"}, "8": {"Part Type": "Windshield Wiper Motor"}, "9": {"Warranty Info": "Limited Lifetime"}, "10": {"Lifetime Warranty": "Yes"}, "11": {"Lifecycle Status": "Available to Order"}, "12": {"Application Summary": "Toyota Highlander 2007-01"}, "13": {"ItemLevelGTIN": "00884548203426"}}</t>
        </is>
      </c>
      <c r="J1229" t="inlineStr">
        <is>
          <t>https://www.cardone.com/product/windshield-wiper-motor-85-2063</t>
        </is>
      </c>
      <c r="K1229">
        <f>DISPIMG("ID_7FAAAB9992F547A7981DA9836449B02E",1)</f>
        <v/>
      </c>
      <c r="L1229" t="inlineStr">
        <is>
          <t>CNRD|85-2063</t>
        </is>
      </c>
      <c r="M1229" t="inlineStr">
        <is>
          <t>Wiper Motor; Instruction Manual</t>
        </is>
      </c>
      <c r="N1229" t="inlineStr">
        <is>
          <t>Yes</t>
        </is>
      </c>
      <c r="O1229" t="inlineStr">
        <is>
          <t>New</t>
        </is>
      </c>
      <c r="P1229" t="inlineStr"/>
      <c r="Q1229" t="inlineStr">
        <is>
          <t>Blade</t>
        </is>
      </c>
      <c r="R1229" t="inlineStr">
        <is>
          <t>Eyelet; Grommet</t>
        </is>
      </c>
      <c r="S1229" t="inlineStr">
        <is>
          <t>3.0000</t>
        </is>
      </c>
      <c r="T1229" t="inlineStr">
        <is>
          <t>No</t>
        </is>
      </c>
      <c r="U1229" t="inlineStr">
        <is>
          <t>Limited Lifetime</t>
        </is>
      </c>
      <c r="V1229" t="inlineStr"/>
      <c r="W1229" t="inlineStr">
        <is>
          <t>Available to Order</t>
        </is>
      </c>
      <c r="X1229" t="inlineStr">
        <is>
          <t>Toyota Highlander 2007-01</t>
        </is>
      </c>
      <c r="Y1229" t="inlineStr">
        <is>
          <t>00884548203426</t>
        </is>
      </c>
      <c r="Z1229" t="inlineStr"/>
      <c r="AA1229" t="inlineStr"/>
      <c r="AB1229" t="inlineStr"/>
      <c r="AC1229" t="inlineStr">
        <is>
          <t>Yes</t>
        </is>
      </c>
    </row>
    <row r="1230">
      <c r="A1230" t="inlineStr">
        <is>
          <t>1229</t>
        </is>
      </c>
      <c r="B1230" t="inlineStr">
        <is>
          <t>Windshield Wiper Motor</t>
        </is>
      </c>
      <c r="C1230" t="inlineStr">
        <is>
          <t>85-2065</t>
        </is>
      </c>
      <c r="D1230" t="inlineStr">
        <is>
          <t>Windshield Wiper Motor - 85-2065</t>
        </is>
      </c>
      <c r="E1230" t="inlineStr">
        <is>
          <t>CARDONE New</t>
        </is>
      </c>
      <c r="F1230" t="inlineStr">
        <is>
          <t>8513048030;851300E010</t>
        </is>
      </c>
      <c r="G1230" t="inlineStr">
        <is>
          <t>Lexus RX330 2004-2006
Lexus RX350 2007-2009
Lexus RX400h 2006-2008</t>
        </is>
      </c>
      <c r="H1230" t="inlineStr">
        <is>
          <t>Lexus RX330 2004-2006 3.3L V6 202cid
Lexus RX350 2007-2009 3.5L V6 3456cc
Lexus RX400h 2006-2008 3.3L V6 202cid</t>
        </is>
      </c>
      <c r="I1230" t="inlineStr">
        <is>
          <t>{"0": {"productDeskExternalKey": "CNRD|85-2065"}, "1": {"Package Contents": "Wiper Motor; Instruction Manual"}, "2": {"E-Waste": "Yes"}, "3": {"Product Condition": "New"}, "4": {"Mounting Hole Quantity": "3"}, "5": {"Terminal Type": "Blade"}, "6": {"Mounting Type": "Eyelet; Grommet"}, "7": {"Weight PG": "3.0000"}, "8": {"Washer Pump Included": "No"}, "9": {"Part Type": "Windshield Wiper Motor"}, "10": {"Warranty Info": "Limited Lifetime"}, "11": {"Lifetime Warranty": "Yes"}, "12": {"Lifecycle Status": "Available to Order"}, "13": {"Application Summary": "Lexus RX330 2006-04, RX350 2009-07, RX400h 2008-06"}, "14": {"ItemLevelGTIN": "00884548266254"}}</t>
        </is>
      </c>
      <c r="J1230" t="inlineStr">
        <is>
          <t>https://www.cardone.com/product/windshield-wiper-motor-85-2065</t>
        </is>
      </c>
      <c r="K1230">
        <f>DISPIMG("ID_8C620C0746864DFF80C6CAAAA756C687",1)</f>
        <v/>
      </c>
      <c r="L1230" t="inlineStr">
        <is>
          <t>CNRD|85-2065</t>
        </is>
      </c>
      <c r="M1230" t="inlineStr">
        <is>
          <t>Wiper Motor; Instruction Manual</t>
        </is>
      </c>
      <c r="N1230" t="inlineStr">
        <is>
          <t>Yes</t>
        </is>
      </c>
      <c r="O1230" t="inlineStr">
        <is>
          <t>New</t>
        </is>
      </c>
      <c r="P1230" t="inlineStr">
        <is>
          <t>3</t>
        </is>
      </c>
      <c r="Q1230" t="inlineStr">
        <is>
          <t>Blade</t>
        </is>
      </c>
      <c r="R1230" t="inlineStr">
        <is>
          <t>Eyelet; Grommet</t>
        </is>
      </c>
      <c r="S1230" t="inlineStr">
        <is>
          <t>3.0000</t>
        </is>
      </c>
      <c r="T1230" t="inlineStr">
        <is>
          <t>No</t>
        </is>
      </c>
      <c r="U1230" t="inlineStr">
        <is>
          <t>Limited Lifetime</t>
        </is>
      </c>
      <c r="V1230" t="inlineStr"/>
      <c r="W1230" t="inlineStr">
        <is>
          <t>Available to Order</t>
        </is>
      </c>
      <c r="X1230" t="inlineStr">
        <is>
          <t>Lexus RX330 2006-04, RX350 2009-07, RX400h 2008-06</t>
        </is>
      </c>
      <c r="Y1230" t="inlineStr">
        <is>
          <t>00884548266254</t>
        </is>
      </c>
      <c r="Z1230" t="inlineStr"/>
      <c r="AA1230" t="inlineStr"/>
      <c r="AB1230" t="inlineStr"/>
      <c r="AC1230" t="inlineStr">
        <is>
          <t>Yes</t>
        </is>
      </c>
    </row>
    <row r="1231">
      <c r="A1231" t="inlineStr">
        <is>
          <t>1230</t>
        </is>
      </c>
      <c r="B1231" t="inlineStr">
        <is>
          <t>Windshield Wiper Motor</t>
        </is>
      </c>
      <c r="C1231" t="inlineStr">
        <is>
          <t>85-2067</t>
        </is>
      </c>
      <c r="D1231" t="inlineStr">
        <is>
          <t>Windshield Wiper Motor - 85-2067</t>
        </is>
      </c>
      <c r="E1231" t="inlineStr">
        <is>
          <t>CARDONE New</t>
        </is>
      </c>
      <c r="F1231" t="inlineStr">
        <is>
          <t>8511006060;851100R030;8511052310;8511002271;86510FG011;8511030590;8250A178;8511002250;8511052510;3810080J00;851100E050;92212322;86510FJ010;8511052440;8511012B30;8511002270;86510FG010;8511033330;8511033050;19184572</t>
        </is>
      </c>
      <c r="G1231" t="inlineStr">
        <is>
          <t>Chevrolet Camaro 2010-2015
Jeep Grand Cherokee 2008-2010
Lexus ES350 2007-2012
Lexus GS350 2008-2011
Lexus GS450h 2008-2011
Lexus GS460 2008-2011
Mazda CX-7 2007-2012
Mitsubishi Outlander 2007-2013
Mitsubishi Outlander Sport 2011-2012
Pontiac Vibe 2009-2010
Scion xD 2008-2009
Subaru Impreza 2008-2014
Subaru WRX 2012-2014
Subaru WRX STI 2013-2014
Subaru XV Crosstrek 2013
Suzuki SX4 2007-2012
Toyota Camry 2007-2011
Toyota Corolla 2009-2013
Toyota Highlander 2011-2013
Toyota Matrix 2009-2013
Toyota RAV4 2006-2018
Toyota Yaris 2007-2012</t>
        </is>
      </c>
      <c r="H1231" t="inlineStr">
        <is>
          <t>Chevrolet Camaro 2010-2015 3.6L V6 217cid
Chevrolet Camaro 2010-2015 6.2L V8 376cid
Chevrolet Camaro 2014-2015 7L V8 427cid
Jeep Grand Cherokee 2008-2010 3.7L V6 226cid
Jeep Grand Cherokee 2008-2010 3L V6 182cid
Jeep Grand Cherokee 2008-2010 4.7L V8 287cid
Jeep Grand Cherokee 2008-2010 5.7L V8 345cid
Jeep Grand Cherokee 2008-2010 6.1L V8 370cid
Lexus ES350 2007-2012 3.5L V6 3456cc
Lexus GS350 2008-2011 3.5L V6 3456cc
Lexus GS450h 2008-2011 3.5L V6 3456cc
Lexus GS460 2008-2011 4.6L V8 4608cc
Mazda CX-7 2007-2012 2.3L L4 2260cc
Mazda CX-7 2010-2012 2.5L L4 152cid
Mitsubishi Outlander 2007-2013 3L V6 182cid
Mitsubishi Outlander 2008-2010 2.4L L4 2351cc
Mitsubishi Outlander 2008-2013 2.4L L4 144cid
Mitsubishi Outlander Sport 2011-2012 2L L4 122cid
Pontiac Vibe 2009-2010 1.8L L4 110cid
Pontiac Vibe 2009-2010 2.4L L4 2362cc
Scion xD 2008-2009 1.8L L4 110cid
Subaru Impreza 2008-2014 2.5L H4 2458cc
Subaru Impreza 2008-2014 2L H4 122cid
Subaru Impreza 2012-2014 2L H4 1995cc
Subaru WRX 2012-2014 2.5L H4 2458cc
Subaru WRX STI 2013-2014 2.5L H4 2458cc
Subaru XV Crosstrek 2013 2L H4 1995cc
Suzuki SX4 2007-2012 2L L4 122cid
Toyota Camry 2007-2011 2.4L L4 2362cc
Toyota Camry 2007-2011 3.5L V6 3456cc
Toyota Camry 2010-2011 2.5L L4 152cid
Toyota Corolla 2009 1.8L L4 1794cc
Toyota Corolla 2009-2013 1.8L L4 110cid
Toyota Corolla 2009-2013 2.4L L4 2362cc
Toyota Highlander 2011-2013 2.7L L4 163cid
Toyota Highlander 2011-2013 3.5L V6 3456cc
Toyota Matrix 2009-2013 1.8L L4 110cid
Toyota Matrix 2009-2013 2.4L L4 2362cc
Toyota RAV4 2006-2008 2.4L L4 2362cc
Toyota RAV4 2006-2012 3.5L V6 3456cc
Toyota RAV4 2009-2018 2.5L L4 152cid
Toyota RAV4 2012-2014
Toyota Yaris 2007-2012 1.5L L4 1497cc</t>
        </is>
      </c>
      <c r="I1231" t="inlineStr">
        <is>
          <t>{"0": {"productDeskExternalKey": "CNRD|85-2067"},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{"ItemLevelGTIN": "00884548155701"}}</t>
        </is>
      </c>
      <c r="J1231" t="inlineStr">
        <is>
          <t>https://www.cardone.com/product/windshield-wiper-motor-85-2067</t>
        </is>
      </c>
      <c r="K1231">
        <f>DISPIMG("ID_D232886670744919A77A851714ABD04F",1)</f>
        <v/>
      </c>
      <c r="L1231" t="inlineStr">
        <is>
          <t>CNRD|85-2067</t>
        </is>
      </c>
      <c r="M1231" t="inlineStr">
        <is>
          <t>Wiper Motor; Instruction Manual</t>
        </is>
      </c>
      <c r="N1231" t="inlineStr">
        <is>
          <t>Yes</t>
        </is>
      </c>
      <c r="O1231" t="inlineStr">
        <is>
          <t>New</t>
        </is>
      </c>
      <c r="P1231" t="inlineStr"/>
      <c r="Q1231" t="inlineStr">
        <is>
          <t>Blade</t>
        </is>
      </c>
      <c r="R1231" t="inlineStr">
        <is>
          <t>Direct Bolt</t>
        </is>
      </c>
      <c r="S1231" t="inlineStr">
        <is>
          <t>3.0000</t>
        </is>
      </c>
      <c r="T1231" t="inlineStr">
        <is>
          <t>No</t>
        </is>
      </c>
      <c r="U1231" t="inlineStr">
        <is>
          <t>Limited Lifetime</t>
        </is>
      </c>
      <c r="V1231" t="inlineStr"/>
      <c r="W1231" t="inlineStr">
        <is>
          <t>Available to Order</t>
        </is>
      </c>
      <c r="X1231" t="inlineStr"/>
      <c r="Y1231" t="inlineStr">
        <is>
          <t>00884548155701</t>
        </is>
      </c>
      <c r="Z1231" t="inlineStr"/>
      <c r="AA1231" t="inlineStr"/>
      <c r="AB1231" t="inlineStr"/>
      <c r="AC1231" t="inlineStr">
        <is>
          <t>Yes</t>
        </is>
      </c>
    </row>
    <row r="1232">
      <c r="A1232" t="inlineStr">
        <is>
          <t>1231</t>
        </is>
      </c>
      <c r="B1232" t="inlineStr">
        <is>
          <t>Windshield Wiper Motor</t>
        </is>
      </c>
      <c r="C1232" t="inlineStr">
        <is>
          <t>85-20670</t>
        </is>
      </c>
      <c r="D1232" t="inlineStr">
        <is>
          <t>Windshield Wiper Motor - 85-20670</t>
        </is>
      </c>
      <c r="E1232" t="inlineStr">
        <is>
          <t>CARDONE New</t>
        </is>
      </c>
      <c r="F1232" t="inlineStr">
        <is>
          <t>8L8Z17508A;8G1Z17508A;8L3Z17508A;8R3Z17508A;8L8Z17508C;8L1Z17508D;8L3Z17508B;8A8Z17508B;8F9Z17508B;8L2Z17508A</t>
        </is>
      </c>
      <c r="G1232" t="inlineStr">
        <is>
          <t>Ford Escape 2008-2012
Ford Expedition 2008-2014
Ford Explorer 2008-2010
Ford Explorer Sport Trac 2008-2010
Ford F-150 2008-2010
Ford Flex 2009-2013
Ford Focus 2008-2011
Ford Lobo 2008-2010
Ford Mustang 2008-2014
Ford Taurus 2008-2012
Ford Taurus X 2008-2009
Lincoln MKS 2009-2012
Lincoln Mark LT 2008
Lincoln Navigator 2008
Lincoln Town Car 2008-2011
Mercury Mariner 2008-2011
Mercury Mountaineer 2008-2010
Mercury Sable 2008-2009</t>
        </is>
      </c>
      <c r="H1232" t="inlineStr">
        <is>
          <t>Ford Escape 2008 2.3L L4 140cid
Ford Escape 2008-2012 3L V6 181cid
Ford Escape 2009-2012 2.5L L4 152cid
Ford Expedition 2008-2014 5.4L V8 330cid
Ford Explorer 2008-2010 4.6L V8 281cid
Ford Explorer 2008-2010 4L V6 245cid
Ford Explorer Sport Trac 2008-2010 4.6L V8 281cid
Ford Explorer Sport Trac 2008-2010 4L V6 245cid
Ford F-150 2008-2010 4.2L V6 256cid
Ford F-150 2008-2010 4.6L V8 281cid
Ford F-150 2008-2010 5.4L V8 330cid
Ford F-150 2010 6.2L V8 379cid
Ford Flex 2009-2013 3.5L V6 213cid
Ford Focus 2008-2011 2L L4 122cid
Ford Lobo 2008-2010 4.6L V8 281cid
Ford Lobo 2008-2010 5.4L V8 330cid
Ford Mustang 2008-2010 4.6L V8 281cid
Ford Mustang 2008-2010 4L V6 245cid
Ford Mustang 2008-2012 5.4L V8 330cid
Ford Mustang 2011-2014 3.7L V6 227cid
Ford Mustang 2011-2014 5L V8 302cid
Ford Mustang 2013-2014 5.8L V8 355cid
Ford Taurus 2008-2012 3.5L V6 213cid
Ford Taurus X 2008-2009 3.5L V6 213cid
Lincoln MKS 2009-2012 3.7L V6 227cid
Lincoln MKS 2010-2012 3.5L V6 213cid
Lincoln Mark LT 2008 5.4L V8 330cid
Lincoln Navigator 2008 5.4L V8 330cid
Lincoln Town Car 2008-2011 4.6L V8 281cid
Mercury Mariner 2008 2.3L L4 140cid
Mercury Mariner 2008-2011 3L V6 181cid
Mercury Mariner 2009-2011 2.5L L4 152cid
Mercury Mountaineer 2008-2010 4.6L V8 281cid
Mercury Mountaineer 2008-2010 4L V6 245cid
Mercury Sable 2008-2009 3.5L V6 213cid</t>
        </is>
      </c>
      <c r="I1232" t="inlineStr">
        <is>
          <t>{"0": {"productDeskExternalKey": "CNRD|85-20670"}, "1": {"Package Contents": "Wiper Motor; Instruction Manual"}, "2": {"E-Waste": "Yes"}, "3": {"Product Condition": "New"}, "4": {"Terminal Type": "Blade"}, "5": {"Mounting Type": "Direct Bolt"}, "6": {"Weight PG": "2.9400"}, "7": {"Washer Pump Included": "No"}, "8": {"Part Type": "Windshield Wiper Motor"}, "9": {"Warranty Info": "Limited Lifetime"}, "10": {"Lifetime Warranty": "Yes"}, "11": {"Lifecycle Status": "Available to Order"}, "12": {"ItemLevelGTIN": "00884548306578"}}</t>
        </is>
      </c>
      <c r="J1232" t="inlineStr">
        <is>
          <t>https://www.cardone.com/product/windshield-wiper-motor-85-20670</t>
        </is>
      </c>
      <c r="K1232">
        <f>DISPIMG("ID_605B17ABB66848378AB049F7560320A5",1)</f>
        <v/>
      </c>
      <c r="L1232" t="inlineStr">
        <is>
          <t>CNRD|85-20670</t>
        </is>
      </c>
      <c r="M1232" t="inlineStr">
        <is>
          <t>Wiper Motor; Instruction Manual</t>
        </is>
      </c>
      <c r="N1232" t="inlineStr">
        <is>
          <t>Yes</t>
        </is>
      </c>
      <c r="O1232" t="inlineStr">
        <is>
          <t>New</t>
        </is>
      </c>
      <c r="P1232" t="inlineStr"/>
      <c r="Q1232" t="inlineStr">
        <is>
          <t>Blade</t>
        </is>
      </c>
      <c r="R1232" t="inlineStr">
        <is>
          <t>Direct Bolt</t>
        </is>
      </c>
      <c r="S1232" t="inlineStr">
        <is>
          <t>2.9400</t>
        </is>
      </c>
      <c r="T1232" t="inlineStr">
        <is>
          <t>No</t>
        </is>
      </c>
      <c r="U1232" t="inlineStr">
        <is>
          <t>Limited Lifetime</t>
        </is>
      </c>
      <c r="V1232" t="inlineStr"/>
      <c r="W1232" t="inlineStr">
        <is>
          <t>Available to Order</t>
        </is>
      </c>
      <c r="X1232" t="inlineStr"/>
      <c r="Y1232" t="inlineStr">
        <is>
          <t>00884548306578</t>
        </is>
      </c>
      <c r="Z1232" t="inlineStr"/>
      <c r="AA1232" t="inlineStr"/>
      <c r="AB1232" t="inlineStr"/>
      <c r="AC1232" t="inlineStr">
        <is>
          <t>Yes</t>
        </is>
      </c>
    </row>
    <row r="1233">
      <c r="A1233" t="inlineStr">
        <is>
          <t>1232</t>
        </is>
      </c>
      <c r="B1233" t="inlineStr">
        <is>
          <t>Windshield Wiper Motor</t>
        </is>
      </c>
      <c r="C1233" t="inlineStr">
        <is>
          <t>85-2068</t>
        </is>
      </c>
      <c r="D1233" t="inlineStr">
        <is>
          <t>Windshield Wiper Motor - 85-2068</t>
        </is>
      </c>
      <c r="E1233" t="inlineStr">
        <is>
          <t>CARDONE New</t>
        </is>
      </c>
      <c r="F1233" t="inlineStr">
        <is>
          <t>8L1Z17508A;8C3Z17508BA;4C3Z17508AA;8C3Z17508C</t>
        </is>
      </c>
      <c r="G1233" t="inlineStr">
        <is>
          <t>Ford Expedition 2007
Ford F-250 Super Duty 2008-2010
Ford F-350 Super Duty 2008-2010
Ford F-450 Super Duty 2008-2010
Ford F-550 Super Duty 2008-2010
Ford F-650 2008-2011
Ford F-750 2008-2011</t>
        </is>
      </c>
      <c r="H1233" t="inlineStr">
        <is>
          <t>Ford Expedition 2007 5.4L V8 330cid
Ford F-250 Super Duty 2008-2010 5.4L V8 330cid
Ford F-250 Super Duty 2008-2010 6.4L V8 391cid
Ford F-250 Super Duty 2008-2010 6.8L V10 415cid
Ford F-350 Super Duty 2008-2010 5.4L V8 330cid
Ford F-350 Super Duty 2008-2010 6.4L V8 391cid
Ford F-350 Super Duty 2008-2010 6.8L V10 415cid
Ford F-350 Super Duty 2010 6.2L V8 379cid
Ford F-450 Super Duty 2008-2010 6.4L V8 391cid
Ford F-450 Super Duty 2008-2010 6.8L V10 415cid
Ford F-550 Super Duty 2008-2010 6.4L V8 391cid
Ford F-550 Super Duty 2008-2010 6.8L V10 415cid
Ford F-650 2008 5.9L L6 359cid
Ford F-650 2008 6L V8 365cid
Ford F-650 2008-2010 7.2L L6 441cid
Ford F-650 2008-2011 6.7L L6 408cid
Ford F-750 2008 5.9L L6 359cid
Ford F-750 2008 6L V8 365cid
Ford F-750 2008-2010 7.2L L6 441cid
Ford F-750 2008-2011 6.7L L6 408cid</t>
        </is>
      </c>
      <c r="I1233" t="inlineStr">
        <is>
          <t>{"0": {"productDeskExternalKey": "CNRD|85-2068"}, "1": {"Package Contents": "Wiper Motor; Instruction Manual"}, "2": {"E-Waste": "Yes"}, "3": {"Product Condition": "New"}, "4": {"Terminal Type": "Blade"}, "5": {"Mounting Type": "Direct Bolt"}, "6": {"Weight PG": "3.2000"}, "7": {"Washer Pump Included": "No"}, "8": {"Part Type": "Windshield Wiper Motor"}, "9": {"Warranty Info": "Limited Lifetime"}, "10": {"Lifetime Warranty": "Yes"}, "11": {"Lifecycle Status": "Available to Order"}, "12": {"Application Summary": "Ford Expedition 2007, F-250 Super Duty 2010-08, F-350 Super Duty 2010-08, F-450 Super Duty 2010-08, F-550 Super Duty 2010-08, F-650 2011-08, F-750 2011-08"}, "13": {"ItemLevelGTIN": "00884548267510"}}</t>
        </is>
      </c>
      <c r="J1233" t="inlineStr">
        <is>
          <t>https://www.cardone.com/product/windshield-wiper-motor-85-2068</t>
        </is>
      </c>
      <c r="K1233">
        <f>DISPIMG("ID_449F123F131641CDA3A1BCC9A6E4528B",1)</f>
        <v/>
      </c>
      <c r="L1233" t="inlineStr">
        <is>
          <t>CNRD|85-2068</t>
        </is>
      </c>
      <c r="M1233" t="inlineStr">
        <is>
          <t>Wiper Motor; Instruction Manual</t>
        </is>
      </c>
      <c r="N1233" t="inlineStr">
        <is>
          <t>Yes</t>
        </is>
      </c>
      <c r="O1233" t="inlineStr">
        <is>
          <t>New</t>
        </is>
      </c>
      <c r="P1233" t="inlineStr"/>
      <c r="Q1233" t="inlineStr">
        <is>
          <t>Blade</t>
        </is>
      </c>
      <c r="R1233" t="inlineStr">
        <is>
          <t>Direct Bolt</t>
        </is>
      </c>
      <c r="S1233" t="inlineStr">
        <is>
          <t>3.2000</t>
        </is>
      </c>
      <c r="T1233" t="inlineStr">
        <is>
          <t>No</t>
        </is>
      </c>
      <c r="U1233" t="inlineStr">
        <is>
          <t>Limited Lifetime</t>
        </is>
      </c>
      <c r="V1233" t="inlineStr"/>
      <c r="W1233" t="inlineStr">
        <is>
          <t>Available to Order</t>
        </is>
      </c>
      <c r="X1233" t="inlineStr">
        <is>
          <t>Ford Expedition 2007, F-250 Super Duty 2010-08, F-350 Super Duty 2010-08, F-450 Super Duty 2010-08, F-550 Super Duty 2010-08, F-650 2011-08, F-750 2011-08</t>
        </is>
      </c>
      <c r="Y1233" t="inlineStr">
        <is>
          <t>00884548267510</t>
        </is>
      </c>
      <c r="Z1233" t="inlineStr"/>
      <c r="AA1233" t="inlineStr"/>
      <c r="AB1233" t="inlineStr"/>
      <c r="AC1233" t="inlineStr">
        <is>
          <t>Yes</t>
        </is>
      </c>
    </row>
    <row r="1234">
      <c r="A1234" t="inlineStr">
        <is>
          <t>1233</t>
        </is>
      </c>
      <c r="B1234" t="inlineStr">
        <is>
          <t>Windshield Wiper Motor</t>
        </is>
      </c>
      <c r="C1234" t="inlineStr">
        <is>
          <t>85-2074</t>
        </is>
      </c>
      <c r="D1234" t="inlineStr">
        <is>
          <t>Windshield Wiper Motor - 85-2074</t>
        </is>
      </c>
      <c r="E1234" t="inlineStr">
        <is>
          <t>CARDONE New</t>
        </is>
      </c>
      <c r="F1234" t="inlineStr">
        <is>
          <t>8L5Z17508A;8W7Z17508A;6W7Z17508AC</t>
        </is>
      </c>
      <c r="G1234" t="inlineStr">
        <is>
          <t>Ford Crown Victoria 2007-2011
Ford Ranger 2008-2011
Mercury Grand Marquis 2007-2011</t>
        </is>
      </c>
      <c r="H1234" t="inlineStr">
        <is>
          <t>Ford Crown Victoria 2007-2011 4.6L V8 281cid
Ford Ranger 2008 3L V6 182cid
Ford Ranger 2008-2011 2.3L L4 140cid
Ford Ranger 2008-2011 4L V6 245cid
Mercury Grand Marquis 2007-2011 4.6L V8 281cid</t>
        </is>
      </c>
      <c r="I1234" t="inlineStr">
        <is>
          <t>{"0": {"productDeskExternalKey": "CNRD|85-2074"}, "1": {"Package Contents": "Wiper Motor; Instruction Manual"}, "2": {"E-Waste": "Yes"}, "3": {"Product Condition": "New"}, "4": {"Terminal Type": "Blade"}, "5": {"Mounting Type": "Direct Bolt"}, "6": {"Weight PG": "3.2000"}, "7": {"Washer Pump Included": "No"}, "8": {"Part Type": "Windshield Wiper Motor"}, "9": {"Warranty Info": "Limited Lifetime"}, "10": {"Lifetime Warranty": "Yes"}, "11": {"Lifecycle Status": "Available to Order"}, "12": {"Application Summary": "Ford Crown Victoria 2011-07, Ranger 2011-08; Mercury Grand Marquis 2011-07"}, "13": {"ItemLevelGTIN": "00884548267527"}}</t>
        </is>
      </c>
      <c r="J1234" t="inlineStr">
        <is>
          <t>https://www.cardone.com/product/windshield-wiper-motor-85-2074</t>
        </is>
      </c>
      <c r="K1234">
        <f>DISPIMG("ID_4B401D702FD945E584E3DB29774754BA",1)</f>
        <v/>
      </c>
      <c r="L1234" t="inlineStr">
        <is>
          <t>CNRD|85-2074</t>
        </is>
      </c>
      <c r="M1234" t="inlineStr">
        <is>
          <t>Wiper Motor; Instruction Manual</t>
        </is>
      </c>
      <c r="N1234" t="inlineStr">
        <is>
          <t>Yes</t>
        </is>
      </c>
      <c r="O1234" t="inlineStr">
        <is>
          <t>New</t>
        </is>
      </c>
      <c r="P1234" t="inlineStr"/>
      <c r="Q1234" t="inlineStr">
        <is>
          <t>Blade</t>
        </is>
      </c>
      <c r="R1234" t="inlineStr">
        <is>
          <t>Direct Bolt</t>
        </is>
      </c>
      <c r="S1234" t="inlineStr">
        <is>
          <t>3.2000</t>
        </is>
      </c>
      <c r="T1234" t="inlineStr">
        <is>
          <t>No</t>
        </is>
      </c>
      <c r="U1234" t="inlineStr">
        <is>
          <t>Limited Lifetime</t>
        </is>
      </c>
      <c r="V1234" t="inlineStr"/>
      <c r="W1234" t="inlineStr">
        <is>
          <t>Available to Order</t>
        </is>
      </c>
      <c r="X1234" t="inlineStr">
        <is>
          <t>Ford Crown Victoria 2011-07, Ranger 2011-08; Mercury Grand Marquis 2011-07</t>
        </is>
      </c>
      <c r="Y1234" t="inlineStr">
        <is>
          <t>00884548267527</t>
        </is>
      </c>
      <c r="Z1234" t="inlineStr"/>
      <c r="AA1234" t="inlineStr"/>
      <c r="AB1234" t="inlineStr"/>
      <c r="AC1234" t="inlineStr">
        <is>
          <t>Yes</t>
        </is>
      </c>
    </row>
    <row r="1235">
      <c r="A1235" t="inlineStr">
        <is>
          <t>1234</t>
        </is>
      </c>
      <c r="B1235" t="inlineStr">
        <is>
          <t>Windshield Wiper Motor</t>
        </is>
      </c>
      <c r="C1235" t="inlineStr">
        <is>
          <t>85-2075</t>
        </is>
      </c>
      <c r="D1235" t="inlineStr">
        <is>
          <t>Windshield Wiper Motor - 85-2075</t>
        </is>
      </c>
      <c r="E1235" t="inlineStr">
        <is>
          <t>CARDONE New</t>
        </is>
      </c>
      <c r="F1235" t="inlineStr">
        <is>
          <t>8L8Z17508D;ZZC067450R00</t>
        </is>
      </c>
      <c r="G1235" t="inlineStr">
        <is>
          <t>Ford Escape 2008-2012
Mazda Tribute 2008-2011
Mercury Mariner 2008-2011</t>
        </is>
      </c>
      <c r="H1235" t="inlineStr">
        <is>
          <t>Ford Escape 2008 2.3L L4 140cid
Ford Escape 2008-2012 3L V6 181cid
Ford Escape 2009-2012 2.5L L4 152cid
Mazda Tribute 2008 2.3L L4 140cid
Mazda Tribute 2008-2011 3L V6 181cid
Mazda Tribute 2009-2011 2.5L L4 152cid
Mercury Mariner 2008 2.3L L4 140cid
Mercury Mariner 2008-2011 3L V6 181cid
Mercury Mariner 2009-2011 2.5L L4 152cid</t>
        </is>
      </c>
      <c r="I1235" t="inlineStr">
        <is>
          <t>{"0": {"productDeskExternalKey": "CNRD|85-2075"}, "1": {"Package Contents": "Wiper Motor; Instruction Manual"}, "2": {"E-Waste": "Yes"}, "3": {"Product Condition": "New"}, "4": {"Terminal Type": "Blade"}, "5": {"Mounting Type": "Eyelet; Grommet"}, "6": {"Weight PG": "2.2600"}, "7": {"Washer Pump Included": "No"}, "8": {"Part Type": "Windshield Wiper Motor"}, "9": {"Warranty Info": "Limited Lifetime"}, "10": {"Lifetime Warranty": "Yes"}, "11": {"Lifecycle Status": "Available to Order"}, "12": {"Application Summary": "Ford Escape 2012-08; Mazda Tribute 2011-08; Mercury Mariner 2011-08"}, "13": {"ItemLevelGTIN": "00884548231658"}}</t>
        </is>
      </c>
      <c r="J1235" t="inlineStr">
        <is>
          <t>https://www.cardone.com/product/windshield-wiper-motor-85-2075</t>
        </is>
      </c>
      <c r="K1235">
        <f>DISPIMG("ID_5C2162949C934A40B36B7BC0D5019D90",1)</f>
        <v/>
      </c>
      <c r="L1235" t="inlineStr">
        <is>
          <t>CNRD|85-2075</t>
        </is>
      </c>
      <c r="M1235" t="inlineStr">
        <is>
          <t>Wiper Motor; Instruction Manual</t>
        </is>
      </c>
      <c r="N1235" t="inlineStr">
        <is>
          <t>Yes</t>
        </is>
      </c>
      <c r="O1235" t="inlineStr">
        <is>
          <t>New</t>
        </is>
      </c>
      <c r="P1235" t="inlineStr"/>
      <c r="Q1235" t="inlineStr">
        <is>
          <t>Blade</t>
        </is>
      </c>
      <c r="R1235" t="inlineStr">
        <is>
          <t>Eyelet; Grommet</t>
        </is>
      </c>
      <c r="S1235" t="inlineStr">
        <is>
          <t>2.2600</t>
        </is>
      </c>
      <c r="T1235" t="inlineStr">
        <is>
          <t>No</t>
        </is>
      </c>
      <c r="U1235" t="inlineStr">
        <is>
          <t>Limited Lifetime</t>
        </is>
      </c>
      <c r="V1235" t="inlineStr"/>
      <c r="W1235" t="inlineStr">
        <is>
          <t>Available to Order</t>
        </is>
      </c>
      <c r="X1235" t="inlineStr">
        <is>
          <t>Ford Escape 2012-08; Mazda Tribute 2011-08; Mercury Mariner 2011-08</t>
        </is>
      </c>
      <c r="Y1235" t="inlineStr">
        <is>
          <t>00884548231658</t>
        </is>
      </c>
      <c r="Z1235" t="inlineStr"/>
      <c r="AA1235" t="inlineStr"/>
      <c r="AB1235" t="inlineStr"/>
      <c r="AC1235" t="inlineStr">
        <is>
          <t>Yes</t>
        </is>
      </c>
    </row>
    <row r="1236">
      <c r="A1236" t="inlineStr">
        <is>
          <t>1235</t>
        </is>
      </c>
      <c r="B1236" t="inlineStr">
        <is>
          <t>Windshield Wiper Motor</t>
        </is>
      </c>
      <c r="C1236" t="inlineStr">
        <is>
          <t>85-2088</t>
        </is>
      </c>
      <c r="D1236" t="inlineStr">
        <is>
          <t>Windshield Wiper Motor - 85-2088</t>
        </is>
      </c>
      <c r="E1236" t="inlineStr">
        <is>
          <t>CARDONE New</t>
        </is>
      </c>
      <c r="F1236" t="inlineStr">
        <is>
          <t>9L1Z17508B</t>
        </is>
      </c>
      <c r="G1236" t="inlineStr">
        <is>
          <t>Ford Expedition 2009-2014
Lincoln Navigator 2009-2014</t>
        </is>
      </c>
      <c r="H1236" t="inlineStr">
        <is>
          <t>Ford Expedition 2009-2014 5.4L V8 330cid
Lincoln Navigator 2009-2014 5.4L V8 330cid</t>
        </is>
      </c>
      <c r="I1236" t="inlineStr">
        <is>
          <t>{"0": {"productDeskExternalKey": "CNRD|85-2088"}, "1": {"Package Contents": "Wiper Motor; Instruction Manual"}, "2": {"E-Waste": "Yes"}, "3": {"Product Condition": "New"}, "4": {"Terminal Type": "Blade"}, "5": {"Mounting Type": "Through Hole"}, "6": {"Weight PG": "2.4200"}, "7": {"Washer Pump Included": "No"}, "8": {"Part Type": "Windshield Wiper Motor"}, "9": {"Warranty Info": "Limited Lifetime"}, "10": {"Lifetime Warranty": "Yes"}, "11": {"Lifecycle Status": "Available to Order"}, "12": {"Application Summary": "Ford Expedition 2014-09; Lincoln Navigator 2014-09"}, "13": {"ItemLevelGTIN": "00884548310438"}}</t>
        </is>
      </c>
      <c r="J1236" t="inlineStr">
        <is>
          <t>https://www.cardone.com/product/windshield-wiper-motor-85-2088</t>
        </is>
      </c>
      <c r="K1236">
        <f>DISPIMG("ID_E3713EB319744E5FA133A4EEA23A8BB0",1)</f>
        <v/>
      </c>
      <c r="L1236" t="inlineStr">
        <is>
          <t>CNRD|85-2088</t>
        </is>
      </c>
      <c r="M1236" t="inlineStr">
        <is>
          <t>Wiper Motor; Instruction Manual</t>
        </is>
      </c>
      <c r="N1236" t="inlineStr">
        <is>
          <t>Yes</t>
        </is>
      </c>
      <c r="O1236" t="inlineStr">
        <is>
          <t>New</t>
        </is>
      </c>
      <c r="P1236" t="inlineStr"/>
      <c r="Q1236" t="inlineStr">
        <is>
          <t>Blade</t>
        </is>
      </c>
      <c r="R1236" t="inlineStr">
        <is>
          <t>Through Hole</t>
        </is>
      </c>
      <c r="S1236" t="inlineStr">
        <is>
          <t>2.4200</t>
        </is>
      </c>
      <c r="T1236" t="inlineStr">
        <is>
          <t>No</t>
        </is>
      </c>
      <c r="U1236" t="inlineStr">
        <is>
          <t>Limited Lifetime</t>
        </is>
      </c>
      <c r="V1236" t="inlineStr"/>
      <c r="W1236" t="inlineStr">
        <is>
          <t>Available to Order</t>
        </is>
      </c>
      <c r="X1236" t="inlineStr">
        <is>
          <t>Ford Expedition 2014-09; Lincoln Navigator 2014-09</t>
        </is>
      </c>
      <c r="Y1236" t="inlineStr">
        <is>
          <t>00884548310438</t>
        </is>
      </c>
      <c r="Z1236" t="inlineStr"/>
      <c r="AA1236" t="inlineStr"/>
      <c r="AB1236" t="inlineStr"/>
      <c r="AC1236" t="inlineStr">
        <is>
          <t>Yes</t>
        </is>
      </c>
    </row>
    <row r="1237">
      <c r="A1237" t="inlineStr">
        <is>
          <t>1236</t>
        </is>
      </c>
      <c r="B1237" t="inlineStr">
        <is>
          <t>Windshield Wiper Motor</t>
        </is>
      </c>
      <c r="C1237" t="inlineStr">
        <is>
          <t>85-2089</t>
        </is>
      </c>
      <c r="D1237" t="inlineStr">
        <is>
          <t>Windshield Wiper Motor - 85-2089</t>
        </is>
      </c>
      <c r="E1237" t="inlineStr">
        <is>
          <t>CARDONE New</t>
        </is>
      </c>
      <c r="F1237" t="inlineStr">
        <is>
          <t>8T1Z17508A</t>
        </is>
      </c>
      <c r="G1237" t="inlineStr">
        <is>
          <t>Ford Transit Connect 2010-2013</t>
        </is>
      </c>
      <c r="H1237" t="inlineStr">
        <is>
          <t>Ford Transit Connect 2010-2013 2L L4 122cid
Ford Transit Connect 2011-2012</t>
        </is>
      </c>
      <c r="I1237" t="inlineStr">
        <is>
          <t>{"0": {"productDeskExternalKey": "CNRD|85-2089"}, "1": {"Package Contents": "Wiper Motor; Instruction Sheet"}, "2": {"E-Waste": "Yes"}, "3": {"Product Condition": "New"}, "4": {"Mounting Hole Quantity": "3"}, "5": {"Terminal Type": "Blade"}, "6": {"Mounting Type": "Direct Bolt"}, "7": {"Weight PG": "2.7000"}, "8": {"Washer Pump Included": "No"}, "9": {"Part Type": "Windshield Wiper Motor"}, "10": {"Warranty Info": "Limited Lifetime"}, "11": {"Lifetime Warranty": "Yes"}, "12": {"Lifecycle Status": "Available to Order"}, "13": {"Application Summary": "Ford Transit Connect 2013-10"}, "14": {"ItemLevelGTIN": "00884548298439"}}</t>
        </is>
      </c>
      <c r="J1237" t="inlineStr">
        <is>
          <t>https://www.cardone.com/product/windshield-wiper-motor-85-2089</t>
        </is>
      </c>
      <c r="K1237">
        <f>DISPIMG("ID_1BD11D4D3B454CDCA98B1B7AF2FB15D8",1)</f>
        <v/>
      </c>
      <c r="L1237" t="inlineStr">
        <is>
          <t>CNRD|85-2089</t>
        </is>
      </c>
      <c r="M1237" t="inlineStr">
        <is>
          <t>Wiper Motor; Instruction Sheet</t>
        </is>
      </c>
      <c r="N1237" t="inlineStr">
        <is>
          <t>Yes</t>
        </is>
      </c>
      <c r="O1237" t="inlineStr">
        <is>
          <t>New</t>
        </is>
      </c>
      <c r="P1237" t="inlineStr">
        <is>
          <t>3</t>
        </is>
      </c>
      <c r="Q1237" t="inlineStr">
        <is>
          <t>Blade</t>
        </is>
      </c>
      <c r="R1237" t="inlineStr">
        <is>
          <t>Direct Bolt</t>
        </is>
      </c>
      <c r="S1237" t="inlineStr">
        <is>
          <t>2.7000</t>
        </is>
      </c>
      <c r="T1237" t="inlineStr">
        <is>
          <t>No</t>
        </is>
      </c>
      <c r="U1237" t="inlineStr">
        <is>
          <t>Limited Lifetime</t>
        </is>
      </c>
      <c r="V1237" t="inlineStr"/>
      <c r="W1237" t="inlineStr">
        <is>
          <t>Available to Order</t>
        </is>
      </c>
      <c r="X1237" t="inlineStr">
        <is>
          <t>Ford Transit Connect 2013-10</t>
        </is>
      </c>
      <c r="Y1237" t="inlineStr">
        <is>
          <t>00884548298439</t>
        </is>
      </c>
      <c r="Z1237" t="inlineStr"/>
      <c r="AA1237" t="inlineStr"/>
      <c r="AB1237" t="inlineStr"/>
      <c r="AC1237" t="inlineStr">
        <is>
          <t>Yes</t>
        </is>
      </c>
    </row>
    <row r="1238">
      <c r="A1238" t="inlineStr">
        <is>
          <t>1237</t>
        </is>
      </c>
      <c r="B1238" t="inlineStr">
        <is>
          <t>Windshield Wiper Motor</t>
        </is>
      </c>
      <c r="C1238" t="inlineStr">
        <is>
          <t>85-2104</t>
        </is>
      </c>
      <c r="D1238" t="inlineStr">
        <is>
          <t>Windshield Wiper Motor - 85-2104</t>
        </is>
      </c>
      <c r="E1238" t="inlineStr">
        <is>
          <t>CARDONE New</t>
        </is>
      </c>
      <c r="F1238" t="inlineStr">
        <is>
          <t>61617051669;61618391303;61617071693</t>
        </is>
      </c>
      <c r="G1238" t="inlineStr">
        <is>
          <t>BMW 323Ci 2000
BMW 323i 1999-2000
BMW 323is 1999
BMW 325Ci 2001-2006
BMW 325i 2001-2005
BMW 325xi 2001-2006
BMW 328Ci 2000
BMW 328i 1999-2000
BMW 330Ci 2001-2006
BMW 330i 2001-2005
BMW 330xi 2001-2005
BMW M3 2001-2006
BMW X3 2004-2010</t>
        </is>
      </c>
      <c r="H1238" t="inlineStr">
        <is>
          <t>BMW 323Ci 2000 2.5L L6 152cid
BMW 323i 1999-2000 2.5L L6 152cid
BMW 323is 1999 2.5L L6 152cid
BMW 325Ci 2001-2006 2.5L L6 152cid
BMW 325i 2001-2005 2.5L L6 152cid
BMW 325xi 2001-2005 2.5L L6 152cid
BMW 325xi 2006 3L L6 2996cc
BMW 328Ci 2000 2.8L L6 2793cc
BMW 328i 1999-2000 2.8L L6 2793cc
BMW 330Ci 2001-2006 3L L6 2979cc
BMW 330i 2001-2005 3L L6 2979cc
BMW 330xi 2001-2005 3L L6 2979cc
BMW M3 2001-2006 3.2L L6 3246cc
BMW X3 2004-2006 3L L6 2979cc
BMW X3 2004-2010 2.5L L6 152cid
BMW X3 2007-2010 3L L6 2996cc</t>
        </is>
      </c>
      <c r="I1238" t="inlineStr">
        <is>
          <t>{"0": {"productDeskExternalKey": "CNRD|85-2104"}, "1": {"Package Contents": "Wiper Motor; Instruction Manual"}, "2": {"E-Waste": "Yes"}, "3": {"Product Condition": "New"}, "4": {"Terminal Type": "Blade"}, "5": {"Mounting Type": "Direct Bolt"}, "6": {"Weight PG": "1.8000"}, "7": {"Washer Pump Included": "No"}, "8": {"Part Type": "Windshield Wiper Motor"}, "9": {"Warranty Info": "Limited Lifetime"}, "10": {"Lifetime Warranty": "Yes"}, "11": {"Lifecycle Status": "Available to Order"}, "12": {"Application Summary": "BMW 323Ci 2000, 323i 2000-99, 323is 1999, 325Ci 2006-01, 325i 2005-01, 325xi 2006-01, 328Ci 2000, 328i 2000-99, 330Ci 2006-01, 330i 2005-01, 330xi 2005-01, M3 2006-01, X3 2010-04"}, "13": {"ItemLevelGTIN": "00884548206908"}}</t>
        </is>
      </c>
      <c r="J1238" t="inlineStr">
        <is>
          <t>https://www.cardone.com/product/windshield-wiper-motor-85-2104</t>
        </is>
      </c>
      <c r="K1238">
        <f>DISPIMG("ID_7803388572F74558A3DFF770BF75FDCA",1)</f>
        <v/>
      </c>
      <c r="L1238" t="inlineStr">
        <is>
          <t>CNRD|85-2104</t>
        </is>
      </c>
      <c r="M1238" t="inlineStr">
        <is>
          <t>Wiper Motor; Instruction Manual</t>
        </is>
      </c>
      <c r="N1238" t="inlineStr">
        <is>
          <t>Yes</t>
        </is>
      </c>
      <c r="O1238" t="inlineStr">
        <is>
          <t>New</t>
        </is>
      </c>
      <c r="P1238" t="inlineStr"/>
      <c r="Q1238" t="inlineStr">
        <is>
          <t>Blade</t>
        </is>
      </c>
      <c r="R1238" t="inlineStr">
        <is>
          <t>Direct Bolt</t>
        </is>
      </c>
      <c r="S1238" t="inlineStr">
        <is>
          <t>1.8000</t>
        </is>
      </c>
      <c r="T1238" t="inlineStr">
        <is>
          <t>No</t>
        </is>
      </c>
      <c r="U1238" t="inlineStr">
        <is>
          <t>Limited Lifetime</t>
        </is>
      </c>
      <c r="V1238" t="inlineStr"/>
      <c r="W1238" t="inlineStr">
        <is>
          <t>Available to Order</t>
        </is>
      </c>
      <c r="X1238" t="inlineStr">
        <is>
          <t>BMW 323Ci 2000, 323i 2000-99, 323is 1999, 325Ci 2006-01, 325i 2005-01, 325xi 2006-01, 328Ci 2000, 328i 2000-99, 330Ci 2006-01, 330i 2005-01, 330xi 2005-01, M3 2006-01, X3 2010-04</t>
        </is>
      </c>
      <c r="Y1238" t="inlineStr">
        <is>
          <t>00884548206908</t>
        </is>
      </c>
      <c r="Z1238" t="inlineStr"/>
      <c r="AA1238" t="inlineStr"/>
      <c r="AB1238" t="inlineStr"/>
      <c r="AC1238" t="inlineStr">
        <is>
          <t>Yes</t>
        </is>
      </c>
    </row>
    <row r="1239">
      <c r="A1239" t="inlineStr">
        <is>
          <t>1238</t>
        </is>
      </c>
      <c r="B1239" t="inlineStr">
        <is>
          <t>Windshield Wiper Motor</t>
        </is>
      </c>
      <c r="C1239" t="inlineStr">
        <is>
          <t>85-2106</t>
        </is>
      </c>
      <c r="D1239" t="inlineStr">
        <is>
          <t>Windshield Wiper Motor - 85-2106</t>
        </is>
      </c>
      <c r="E1239" t="inlineStr">
        <is>
          <t>CARDONE New</t>
        </is>
      </c>
      <c r="F1239" t="inlineStr">
        <is>
          <t>61617046570;61618403026;61617111535</t>
        </is>
      </c>
      <c r="G1239" t="inlineStr">
        <is>
          <t>BMW X5 2000-2006</t>
        </is>
      </c>
      <c r="H1239" t="inlineStr">
        <is>
          <t>BMW X5 2000-2006 4.4L V8 4398cc
BMW X5 2001-2006 3L L6 2979cc
BMW X5 2002-2003 4.6L V8 4598cc
BMW X5 2004-2006 4.8L V8 4837cc
BMW X5 2005-2006 4.8L V8 4799cc</t>
        </is>
      </c>
      <c r="I1239" t="inlineStr">
        <is>
          <t>{"0": {"productDeskExternalKey": "CNRD|85-2106"}, "1": {"Package Contents": "Wiper Motor; Instruction Manual"}, "2": {"E-Waste": "Yes"}, "3": {"Product Condition": "New"}, "4": {"Terminal Type": "Bullet"}, "5": {"Mounting Type": "Direct Bolt"}, "6": {"Weight PG": "3.6000"}, "7": {"Washer Pump Included": "No"}, "8": {"Part Type": "Windshield Wiper Motor"}, "9": {"Warranty Info": "Limited Lifetime"}, "10": {"Lifetime Warranty": "Yes"}, "11": {"Lifecycle Status": "Available to Order"}, "12": {"Application Summary": "BMW X5 2006-00"}, "13": {"ItemLevelGTIN": "00884548200357"}}</t>
        </is>
      </c>
      <c r="J1239" t="inlineStr">
        <is>
          <t>https://www.cardone.com/product/windshield-wiper-motor-85-2106</t>
        </is>
      </c>
      <c r="K1239">
        <f>DISPIMG("ID_290C9C71F4AB444CAFC2D5274EE818F7",1)</f>
        <v/>
      </c>
      <c r="L1239" t="inlineStr">
        <is>
          <t>CNRD|85-2106</t>
        </is>
      </c>
      <c r="M1239" t="inlineStr">
        <is>
          <t>Wiper Motor; Instruction Manual</t>
        </is>
      </c>
      <c r="N1239" t="inlineStr">
        <is>
          <t>Yes</t>
        </is>
      </c>
      <c r="O1239" t="inlineStr">
        <is>
          <t>New</t>
        </is>
      </c>
      <c r="P1239" t="inlineStr"/>
      <c r="Q1239" t="inlineStr">
        <is>
          <t>Bullet</t>
        </is>
      </c>
      <c r="R1239" t="inlineStr">
        <is>
          <t>Direct Bolt</t>
        </is>
      </c>
      <c r="S1239" t="inlineStr">
        <is>
          <t>3.6000</t>
        </is>
      </c>
      <c r="T1239" t="inlineStr">
        <is>
          <t>No</t>
        </is>
      </c>
      <c r="U1239" t="inlineStr">
        <is>
          <t>Limited Lifetime</t>
        </is>
      </c>
      <c r="V1239" t="inlineStr"/>
      <c r="W1239" t="inlineStr">
        <is>
          <t>Available to Order</t>
        </is>
      </c>
      <c r="X1239" t="inlineStr">
        <is>
          <t>BMW X5 2006-00</t>
        </is>
      </c>
      <c r="Y1239" t="inlineStr">
        <is>
          <t>00884548200357</t>
        </is>
      </c>
      <c r="Z1239" t="inlineStr"/>
      <c r="AA1239" t="inlineStr"/>
      <c r="AB1239" t="inlineStr"/>
      <c r="AC1239" t="inlineStr">
        <is>
          <t>Yes</t>
        </is>
      </c>
    </row>
    <row r="1240">
      <c r="A1240" t="inlineStr">
        <is>
          <t>1239</t>
        </is>
      </c>
      <c r="B1240" t="inlineStr">
        <is>
          <t>Windshield Wiper Motor</t>
        </is>
      </c>
      <c r="C1240" t="inlineStr">
        <is>
          <t>85-2109</t>
        </is>
      </c>
      <c r="D1240" t="inlineStr">
        <is>
          <t>Windshield Wiper Motor - 85-2109</t>
        </is>
      </c>
      <c r="E1240" t="inlineStr">
        <is>
          <t>CARDONE New</t>
        </is>
      </c>
      <c r="F1240" t="inlineStr">
        <is>
          <t>61617176377;61617194029;61617131164</t>
        </is>
      </c>
      <c r="G1240" t="inlineStr">
        <is>
          <t>BMW 525i 2004-2007
BMW 525xi 2006-2007
BMW 528i 2008-2011
BMW 528i xDrive 2009-2010
BMW 528xi 2008
BMW 530i 2004-2007
BMW 530xi 2006-2007
BMW 535i 2008-2010
BMW 535i GT 2010
BMW 535i xDrive 2009-2010
BMW 535xi 2008
BMW 545i 2004-2005
BMW 550i 2006-2010
BMW 645Ci 2004-2005
BMW 650i 2006-2010
BMW M5 2006-2010
BMW M6 2006-2010</t>
        </is>
      </c>
      <c r="H1240" t="inlineStr">
        <is>
          <t>BMW 525i 2004-2005 2.5L L6 152cid
BMW 525i 2006-2007 2.5L L6 2497cc
BMW 525i 2006-2007 3L L6 2996cc
BMW 525xi 2006-2007 3L L6 2996cc
BMW 528i 2008-2011 3L L6 2996cc
BMW 528i 2011 3L L6 183cid
BMW 528i 2011 3L L6 2979cc
BMW 528i xDrive 2009-2010 3L L6 2996cc
BMW 528xi 2008 3L L6 2996cc
BMW 530i 2004-2005 3L L6 2979cc
BMW 530i 2006-2007 3L L6 2996cc
BMW 530xi 2006-2007 3L L6 2996cc
BMW 535i 2008-2010 3L L6 2979cc
BMW 535i GT 2010 3L L6 2979cc
BMW 535i xDrive 2009-2010 3L L6 2979cc
BMW 535xi 2008 3L L6 2979cc
BMW 545i 2004-2005 4.4L V8 4398cc
BMW 550i 2006-2009 4.8L V8 4799cc
BMW 550i 2006-2010 4.8L V8 4837cc
BMW 550i 2010 4.8L V8 293cid
BMW 645Ci 2004-2005 4.4L V8 4398cc
BMW 650i 2006-2010 4.8L V8 4837cc
BMW M5 2006-2010 5L V10 4999cc
BMW M6 2006-2010 5L V10 4999cc</t>
        </is>
      </c>
      <c r="I1240" t="inlineStr">
        <is>
          <t>{"0": {"productDeskExternalKey": "CNRD|85-2109"}, "1": {"Package Contents": "Wiper Motor; Instruction Manual"}, "2": {"E-Waste": "Yes"}, "3": {"Product Condition": "New"}, "4": {"Terminal Type": "Blade"}, "5": {"Mounting Type": "Direct Bolt"}, "6": {"Weight PG": "3.8000"}, "7": {"Washer Pump Included": "No"}, "8": {"Part Type": "Windshield Wiper Motor"}, "9": {"Warranty Info": "Limited Lifetime"}, "10": {"Lifetime Warranty": "Yes"}, "11": {"Lifecycle Status": "Available to Order"}, "12": {"Application Summary": "BMW 525i 2007-04, 525xi 2007-06, 528i 2011-08, 528i xDrive 2010-09, 528xi 2008, 530i 2007-04, 530xi 2007-06, 535i 2010-08, 535i GT 2010, 535i xDrive 2010-09, 535xi 2008, 545i 2005-04, 550i 2010-06, 645Ci 2005-04, 650i 2010-06, M5 2010-06, M6 2010-06"}, "13": {"ItemLevelGTIN": "00884548206915"}}</t>
        </is>
      </c>
      <c r="J1240" t="inlineStr">
        <is>
          <t>https://www.cardone.com/product/windshield-wiper-motor-85-2109</t>
        </is>
      </c>
      <c r="K1240">
        <f>DISPIMG("ID_EC8D993755524F89A5B3CD651DB8DA35",1)</f>
        <v/>
      </c>
      <c r="L1240" t="inlineStr">
        <is>
          <t>CNRD|85-2109</t>
        </is>
      </c>
      <c r="M1240" t="inlineStr">
        <is>
          <t>Wiper Motor; Instruction Manual</t>
        </is>
      </c>
      <c r="N1240" t="inlineStr">
        <is>
          <t>Yes</t>
        </is>
      </c>
      <c r="O1240" t="inlineStr">
        <is>
          <t>New</t>
        </is>
      </c>
      <c r="P1240" t="inlineStr"/>
      <c r="Q1240" t="inlineStr">
        <is>
          <t>Blade</t>
        </is>
      </c>
      <c r="R1240" t="inlineStr">
        <is>
          <t>Direct Bolt</t>
        </is>
      </c>
      <c r="S1240" t="inlineStr">
        <is>
          <t>3.8000</t>
        </is>
      </c>
      <c r="T1240" t="inlineStr">
        <is>
          <t>No</t>
        </is>
      </c>
      <c r="U1240" t="inlineStr">
        <is>
          <t>Limited Lifetime</t>
        </is>
      </c>
      <c r="V1240" t="inlineStr"/>
      <c r="W1240" t="inlineStr">
        <is>
          <t>Available to Order</t>
        </is>
      </c>
      <c r="X1240" t="inlineStr">
        <is>
          <t>BMW 525i 2007-04, 525xi 2007-06, 528i 2011-08, 528i xDrive 2010-09, 528xi 2008, 530i 2007-04, 530xi 2007-06, 535i 2010-08, 535i GT 2010, 535i xDrive 2010-09, 535xi 2008, 545i 2005-04, 550i 2010-06, 645Ci 2005-04, 650i 2010-06, M5 2010-06, M6 2010-06</t>
        </is>
      </c>
      <c r="Y1240" t="inlineStr">
        <is>
          <t>00884548206915</t>
        </is>
      </c>
      <c r="Z1240" t="inlineStr"/>
      <c r="AA1240" t="inlineStr"/>
      <c r="AB1240" t="inlineStr"/>
      <c r="AC1240" t="inlineStr">
        <is>
          <t>Yes</t>
        </is>
      </c>
    </row>
    <row r="1241">
      <c r="A1241" t="inlineStr">
        <is>
          <t>1240</t>
        </is>
      </c>
      <c r="B1241" t="inlineStr">
        <is>
          <t>Windshield Wiper Motor</t>
        </is>
      </c>
      <c r="C1241" t="inlineStr">
        <is>
          <t>85-2111</t>
        </is>
      </c>
      <c r="D1241" t="inlineStr">
        <is>
          <t>Windshield Wiper Motor - 85-2111</t>
        </is>
      </c>
      <c r="E1241" t="inlineStr">
        <is>
          <t>CARDONE New</t>
        </is>
      </c>
      <c r="F1241" t="inlineStr">
        <is>
          <t>67636932013</t>
        </is>
      </c>
      <c r="G1241" t="inlineStr">
        <is>
          <t>Mini Cooper 2002-2015
Mini Cooper Countryman 2011-2016
Mini Cooper Paceman 2013-2016</t>
        </is>
      </c>
      <c r="H1241" t="inlineStr">
        <is>
          <t>Mini Cooper 2002-2009 1.6L L4 1600cc
Mini Cooper 2003-2015 1.6L L4 98cid
Mini Cooper 2007-2015 1.6L L4 1598cc
Mini Cooper 2014-2015 1.5L L3 1499cc
Mini Cooper 2014-2015 2L L4 122cid
Mini Cooper Countryman 2011-2016 1.6L L4 1598cc
Mini Cooper Countryman 2011-2016 1.6L L4 98cid
Mini Cooper Paceman 2013-2016 1.6L L4 1598cc
Mini Cooper Paceman 2013-2016 1.6L L4 98cid</t>
        </is>
      </c>
      <c r="I1241" t="inlineStr">
        <is>
          <t>{"0": {"productDeskExternalKey": "CNRD|85-2111"}, "1": {"Package Contents": "Wiper Motor; Instruction Manual"}, "2": {"E-Waste": "Yes"}, "3": {"Product Condition": "New"}, "4": {"Terminal Type": "Blade"}, "5": {"Mounting Type": "Grommet"}, "6": {"Weight PG": "2.3800"}, "7": {"Washer Pump Included": "No"}, "8": {"Part Type": "Windshield Wiper Motor"}, "9": {"Warranty Info": "Limited Lifetime"}, "10": {"Lifetime Warranty": "Yes"}, "11": {"Lifecycle Status": "Available to Order"}, "12": {"Application Summary": "Mini Cooper 2015-02, Cooper Countryman 2016-11, Cooper Paceman 2016-13"}, "13": {"ItemLevelGTIN": "00884548326514"}}</t>
        </is>
      </c>
      <c r="J1241" t="inlineStr">
        <is>
          <t>https://www.cardone.com/product/windshield-wiper-motor-85-2111</t>
        </is>
      </c>
      <c r="K1241">
        <f>DISPIMG("ID_85D6CE48A9C14EA6A10BFC60781EF095",1)</f>
        <v/>
      </c>
      <c r="L1241" t="inlineStr">
        <is>
          <t>CNRD|85-2111</t>
        </is>
      </c>
      <c r="M1241" t="inlineStr">
        <is>
          <t>Wiper Motor; Instruction Manual</t>
        </is>
      </c>
      <c r="N1241" t="inlineStr">
        <is>
          <t>Yes</t>
        </is>
      </c>
      <c r="O1241" t="inlineStr">
        <is>
          <t>New</t>
        </is>
      </c>
      <c r="P1241" t="inlineStr"/>
      <c r="Q1241" t="inlineStr">
        <is>
          <t>Blade</t>
        </is>
      </c>
      <c r="R1241" t="inlineStr">
        <is>
          <t>Grommet</t>
        </is>
      </c>
      <c r="S1241" t="inlineStr">
        <is>
          <t>2.3800</t>
        </is>
      </c>
      <c r="T1241" t="inlineStr">
        <is>
          <t>No</t>
        </is>
      </c>
      <c r="U1241" t="inlineStr">
        <is>
          <t>Limited Lifetime</t>
        </is>
      </c>
      <c r="V1241" t="inlineStr"/>
      <c r="W1241" t="inlineStr">
        <is>
          <t>Available to Order</t>
        </is>
      </c>
      <c r="X1241" t="inlineStr">
        <is>
          <t>Mini Cooper 2015-02, Cooper Countryman 2016-11, Cooper Paceman 2016-13</t>
        </is>
      </c>
      <c r="Y1241" t="inlineStr">
        <is>
          <t>00884548326514</t>
        </is>
      </c>
      <c r="Z1241" t="inlineStr"/>
      <c r="AA1241" t="inlineStr"/>
      <c r="AB1241" t="inlineStr"/>
      <c r="AC1241" t="inlineStr">
        <is>
          <t>Yes</t>
        </is>
      </c>
    </row>
    <row r="1242">
      <c r="A1242" t="inlineStr">
        <is>
          <t>1241</t>
        </is>
      </c>
      <c r="B1242" t="inlineStr">
        <is>
          <t>Windshield Wiper Motor</t>
        </is>
      </c>
      <c r="C1242" t="inlineStr">
        <is>
          <t>85-2121</t>
        </is>
      </c>
      <c r="D1242" t="inlineStr">
        <is>
          <t>Windshield Wiper Motor - 85-2121</t>
        </is>
      </c>
      <c r="E1242" t="inlineStr">
        <is>
          <t>CARDONE New</t>
        </is>
      </c>
      <c r="F1242" t="inlineStr">
        <is>
          <t>61617200510</t>
        </is>
      </c>
      <c r="G1242" t="inlineStr">
        <is>
          <t>BMW X5 2007-2013
BMW X6 2008-2015</t>
        </is>
      </c>
      <c r="H1242" t="inlineStr">
        <is>
          <t>BMW X5 2007-2010 3L L6 2996cc
BMW X5 2007-2010 4.8L V8 4799cc
BMW X5 2007-2010 4.8L V8 4837cc
BMW X5 2009-2013 3L L6 2993cc
BMW X5 2010-2013 4.4L V8 4395cc
BMW X5 2011-2013 3L L6 2979cc
BMW X5 2011-2013 4.4L V8 268cid
BMW X6 2008-2015 3L L6 2979cc
BMW X6 2008-2015 4.4L V8 4395cc
BMW X6 2011-2015 4.4L V8 268cid</t>
        </is>
      </c>
      <c r="I1242" t="inlineStr">
        <is>
          <t>{"0": {"productDeskExternalKey": "CNRD|85-2121"}, "1": {"Package Contents": "Wiper Motor; Instruction Manual"}, "2": {"E-Waste": "Yes"}, "3": {"Product Condition": "New"}, "4": {"Terminal Type": "Blade"}, "5": {"Mounting Type": "Direct Bolt"}, "6": {"Weight PG": "1.6000"}, "7": {"Washer Pump Included": "No"}, "8": {"Part Type": "Windshield Wiper Motor"}, "9": {"Warranty Info": "Limited Lifetime"}, "10": {"Lifetime Warranty": "Yes"}, "11": {"Lifecycle Status": "Available to Order"}, "12": {"Application Summary": "BMW X5 2013-07, X6 2015-08"}, "13": {"ItemLevelGTIN": "00884548206878"}}</t>
        </is>
      </c>
      <c r="J1242" t="inlineStr">
        <is>
          <t>https://www.cardone.com/product/windshield-wiper-motor-85-2121</t>
        </is>
      </c>
      <c r="K1242">
        <f>DISPIMG("ID_6439EE26BBE74B0BBFA6B7822EDE7F74",1)</f>
        <v/>
      </c>
      <c r="L1242" t="inlineStr">
        <is>
          <t>CNRD|85-2121</t>
        </is>
      </c>
      <c r="M1242" t="inlineStr">
        <is>
          <t>Wiper Motor; Instruction Manual</t>
        </is>
      </c>
      <c r="N1242" t="inlineStr">
        <is>
          <t>Yes</t>
        </is>
      </c>
      <c r="O1242" t="inlineStr">
        <is>
          <t>New</t>
        </is>
      </c>
      <c r="P1242" t="inlineStr"/>
      <c r="Q1242" t="inlineStr">
        <is>
          <t>Blade</t>
        </is>
      </c>
      <c r="R1242" t="inlineStr">
        <is>
          <t>Direct Bolt</t>
        </is>
      </c>
      <c r="S1242" t="inlineStr">
        <is>
          <t>1.6000</t>
        </is>
      </c>
      <c r="T1242" t="inlineStr">
        <is>
          <t>No</t>
        </is>
      </c>
      <c r="U1242" t="inlineStr">
        <is>
          <t>Limited Lifetime</t>
        </is>
      </c>
      <c r="V1242" t="inlineStr"/>
      <c r="W1242" t="inlineStr">
        <is>
          <t>Available to Order</t>
        </is>
      </c>
      <c r="X1242" t="inlineStr">
        <is>
          <t>BMW X5 2013-07, X6 2015-08</t>
        </is>
      </c>
      <c r="Y1242" t="inlineStr">
        <is>
          <t>00884548206878</t>
        </is>
      </c>
      <c r="Z1242" t="inlineStr"/>
      <c r="AA1242" t="inlineStr"/>
      <c r="AB1242" t="inlineStr"/>
      <c r="AC1242" t="inlineStr">
        <is>
          <t>Yes</t>
        </is>
      </c>
    </row>
    <row r="1243">
      <c r="A1243" t="inlineStr">
        <is>
          <t>1242</t>
        </is>
      </c>
      <c r="B1243" t="inlineStr">
        <is>
          <t>Windshield Wiper Motor</t>
        </is>
      </c>
      <c r="C1243" t="inlineStr">
        <is>
          <t>85-21210</t>
        </is>
      </c>
      <c r="D1243" t="inlineStr">
        <is>
          <t>Windshield Wiper Motor - 85-21210</t>
        </is>
      </c>
      <c r="E1243" t="inlineStr">
        <is>
          <t>CARDONE New</t>
        </is>
      </c>
      <c r="F1243" t="inlineStr">
        <is>
          <t>BT4Z17508A</t>
        </is>
      </c>
      <c r="G1243" t="inlineStr">
        <is>
          <t>Ford Edge 2011-2014
Lincoln MKX 2011-2015</t>
        </is>
      </c>
      <c r="H1243" t="inlineStr">
        <is>
          <t>Ford Edge 2011-2014 3.5L V6 213cid
Ford Edge 2011-2014 3.7L V6 227cid
Ford Edge 2012-2014 2L L4 122cid
Lincoln MKX 2011-2015 3.7L V6 227cid</t>
        </is>
      </c>
      <c r="I1243" t="inlineStr">
        <is>
          <t>{"0": {"productDeskExternalKey": "CNRD|85-21210"}, "1": {"Package Contents": "Wiper Motor; Instruction Manual"}, "2": {"E-Waste": "Yes"}, "3": {"Product Condition": "New"}, "4": {"Terminal Type": "Blade"}, "5": {"Mounting Type": "Grommet"}, "6": {"Weight PG": "2.1800"}, "7": {"Washer Pump Included": "No"}, "8": {"Part Type": "Windshield Wiper Motor"}, "9": {"Warranty Info": "Limited Lifetime"}, "10": {"Lifetime Warranty": "Yes"}, "11": {"Lifecycle Status": "Available to Order"}, "12": {"Application Summary": "Ford Edge 2014-11; Lincoln MKX 2015-11"}, "13": {"ItemLevelGTIN": "00884548310445"}}</t>
        </is>
      </c>
      <c r="J1243" t="inlineStr">
        <is>
          <t>https://www.cardone.com/product/windshield-wiper-motor-85-21210</t>
        </is>
      </c>
      <c r="K1243">
        <f>DISPIMG("ID_8C98BEB8347D45A6AB510C482DD87BFE",1)</f>
        <v/>
      </c>
      <c r="L1243" t="inlineStr">
        <is>
          <t>CNRD|85-21210</t>
        </is>
      </c>
      <c r="M1243" t="inlineStr">
        <is>
          <t>Wiper Motor; Instruction Manual</t>
        </is>
      </c>
      <c r="N1243" t="inlineStr">
        <is>
          <t>Yes</t>
        </is>
      </c>
      <c r="O1243" t="inlineStr">
        <is>
          <t>New</t>
        </is>
      </c>
      <c r="P1243" t="inlineStr"/>
      <c r="Q1243" t="inlineStr">
        <is>
          <t>Blade</t>
        </is>
      </c>
      <c r="R1243" t="inlineStr">
        <is>
          <t>Grommet</t>
        </is>
      </c>
      <c r="S1243" t="inlineStr">
        <is>
          <t>2.1800</t>
        </is>
      </c>
      <c r="T1243" t="inlineStr">
        <is>
          <t>No</t>
        </is>
      </c>
      <c r="U1243" t="inlineStr">
        <is>
          <t>Limited Lifetime</t>
        </is>
      </c>
      <c r="V1243" t="inlineStr"/>
      <c r="W1243" t="inlineStr">
        <is>
          <t>Available to Order</t>
        </is>
      </c>
      <c r="X1243" t="inlineStr">
        <is>
          <t>Ford Edge 2014-11; Lincoln MKX 2015-11</t>
        </is>
      </c>
      <c r="Y1243" t="inlineStr">
        <is>
          <t>00884548310445</t>
        </is>
      </c>
      <c r="Z1243" t="inlineStr"/>
      <c r="AA1243" t="inlineStr"/>
      <c r="AB1243" t="inlineStr"/>
      <c r="AC1243" t="inlineStr">
        <is>
          <t>Yes</t>
        </is>
      </c>
    </row>
    <row r="1244">
      <c r="A1244" t="inlineStr">
        <is>
          <t>1243</t>
        </is>
      </c>
      <c r="B1244" t="inlineStr">
        <is>
          <t>Windshield Wiper Motor</t>
        </is>
      </c>
      <c r="C1244" t="inlineStr">
        <is>
          <t>85-2122</t>
        </is>
      </c>
      <c r="D1244" t="inlineStr">
        <is>
          <t>Windshield Wiper Motor - 85-2122</t>
        </is>
      </c>
      <c r="E1244" t="inlineStr">
        <is>
          <t>CARDONE New</t>
        </is>
      </c>
      <c r="F1244" t="inlineStr">
        <is>
          <t>61617161711</t>
        </is>
      </c>
      <c r="G1244" t="inlineStr">
        <is>
          <t>BMW 325i 2006
BMW 328i 2007-2013
BMW 328i xDrive 2009-2013
BMW 328xi 2007-2008
BMW 330i 2006
BMW 330xi 2006
BMW 335d 2009-2011
BMW 335i 2007-2013
BMW 335i xDrive 2009-2013
BMW 335is 2011-2013
BMW 335xi 2007-2008
BMW M3 2008-2013</t>
        </is>
      </c>
      <c r="H1244" t="inlineStr">
        <is>
          <t>BMW 325i 2006 2.5L L6 152cid
BMW 325i 2006 3L L6 2996cc
BMW 328i 2007-2013 3L L6 2996cc
BMW 328i 2012-2013 2L L4 122cid
BMW 328i 2012-2013 3L L6 2979cc
BMW 328i xDrive 2009-2013 3L L6 2996cc
BMW 328i xDrive 2013 2L L4 122cid
BMW 328xi 2007-2008 3L L6 2996cc
BMW 330i 2006 3L L6 2979cc
BMW 330i 2006 3L L6 2996cc
BMW 330xi 2006 3L L6 2996cc
BMW 335d 2009-2011 3L L6 2993cc
BMW 335i 2007-2013 3L L6 2979cc
BMW 335i xDrive 2009-2013 3L L6 2979cc
BMW 335is 2011-2013 3L L6 2979cc
BMW 335xi 2007-2008 3L L6 2979cc
BMW M3 2008-2013 4L V8 3999cc</t>
        </is>
      </c>
      <c r="I1244" t="inlineStr">
        <is>
          <t>{"0": {"productDeskExternalKey": "CNRD|85-2122"}, "1": {"Package Contents": "Wiper Motor; Instruction Manual"}, "2": {"E-Waste": "Yes"}, "3": {"Product Condition": "New"}, "4": {"Mounting Hole Quantity": "3"}, "5": {"Terminal Type": "Blade"}, "6": {"Mounting Type": "Direct Bolt"}, "7": {"Weight PG": "3.4000"}, "8": {"Washer Pump Included": "No"}, "9": {"Part Type": "Windshield Wiper Motor"}, "10": {"Warranty Info": "Limited Lifetime"}, "11": {"Lifetime Warranty": "Yes"}, "12": {"Lifecycle Status": "Available to Order"}, "13": {"Application Summary": "BMW 325i 2006, 328i 2013-07, 328i xDrive 2013-09, 328xi 2008-07, 330i 2006, 330xi 2006, 335d 2011-09, 335i 2013-07, 335i xDrive 2013-09, 335is 2013-11, 335xi 2008-07, M3 2013-08"}, "14": {"ItemLevelGTIN": "00884548249530"}}</t>
        </is>
      </c>
      <c r="J1244" t="inlineStr">
        <is>
          <t>https://www.cardone.com/product/windshield-wiper-motor-85-2122</t>
        </is>
      </c>
      <c r="K1244">
        <f>DISPIMG("ID_E61ED746971141FE81CDEF25973C4A0E",1)</f>
        <v/>
      </c>
      <c r="L1244" t="inlineStr">
        <is>
          <t>CNRD|85-2122</t>
        </is>
      </c>
      <c r="M1244" t="inlineStr">
        <is>
          <t>Wiper Motor; Instruction Manual</t>
        </is>
      </c>
      <c r="N1244" t="inlineStr">
        <is>
          <t>Yes</t>
        </is>
      </c>
      <c r="O1244" t="inlineStr">
        <is>
          <t>New</t>
        </is>
      </c>
      <c r="P1244" t="inlineStr">
        <is>
          <t>3</t>
        </is>
      </c>
      <c r="Q1244" t="inlineStr">
        <is>
          <t>Blade</t>
        </is>
      </c>
      <c r="R1244" t="inlineStr">
        <is>
          <t>Direct Bolt</t>
        </is>
      </c>
      <c r="S1244" t="inlineStr">
        <is>
          <t>3.4000</t>
        </is>
      </c>
      <c r="T1244" t="inlineStr">
        <is>
          <t>No</t>
        </is>
      </c>
      <c r="U1244" t="inlineStr">
        <is>
          <t>Limited Lifetime</t>
        </is>
      </c>
      <c r="V1244" t="inlineStr"/>
      <c r="W1244" t="inlineStr">
        <is>
          <t>Available to Order</t>
        </is>
      </c>
      <c r="X1244" t="inlineStr">
        <is>
          <t>BMW 325i 2006, 328i 2013-07, 328i xDrive 2013-09, 328xi 2008-07, 330i 2006, 330xi 2006, 335d 2011-09, 335i 2013-07, 335i xDrive 2013-09, 335is 2013-11, 335xi 2008-07, M3 2013-08</t>
        </is>
      </c>
      <c r="Y1244" t="inlineStr">
        <is>
          <t>00884548249530</t>
        </is>
      </c>
      <c r="Z1244" t="inlineStr"/>
      <c r="AA1244" t="inlineStr"/>
      <c r="AB1244" t="inlineStr"/>
      <c r="AC1244" t="inlineStr">
        <is>
          <t>Yes</t>
        </is>
      </c>
    </row>
    <row r="1245">
      <c r="A1245" t="inlineStr">
        <is>
          <t>1244</t>
        </is>
      </c>
      <c r="B1245" t="inlineStr">
        <is>
          <t>Windshield Wiper Motor</t>
        </is>
      </c>
      <c r="C1245" t="inlineStr">
        <is>
          <t>85-2123</t>
        </is>
      </c>
      <c r="D1245" t="inlineStr">
        <is>
          <t>Windshield Wiper Motor - 85-2123</t>
        </is>
      </c>
      <c r="E1245" t="inlineStr">
        <is>
          <t>CARDONE New</t>
        </is>
      </c>
      <c r="F1245" t="inlineStr">
        <is>
          <t>67636942162</t>
        </is>
      </c>
      <c r="G1245" t="inlineStr">
        <is>
          <t>BMW X5 2007-2013</t>
        </is>
      </c>
      <c r="H1245" t="inlineStr">
        <is>
          <t>BMW X5 2007-2010 3L L6 2996cc
BMW X5 2007-2010 4.8L V8 4799cc
BMW X5 2007-2010 4.8L V8 4837cc
BMW X5 2009-2013 3L L6 2993cc
BMW X5 2010-2013 4.4L V8 4395cc
BMW X5 2011-2013 3L L6 2979cc
BMW X5 2011-2013 4.4L V8 268cid</t>
        </is>
      </c>
      <c r="I1245" t="inlineStr">
        <is>
          <t>{"0": {"productDeskExternalKey": "CNRD|85-2123"}, "1": {"Package Contents": "Wiper Motor; Instruction Sheet"}, "2": {"E-Waste": "Yes"}, "3": {"Product Condition": "New"}, "4": {"Part Type": "Windshield Wiper Motor"}, "5": {"Mounting Hole Quantity": "3"}, "6": {"Terminal Type": "Blade"}, "7": {"Mounting Type": "Grommet"}, "8": {"Weight PG": "2.5200"}, "9": {"Application Summary": "BMW X5 2013-07"}, "10": {"Washer Pump Included": "No"}, "11": {"Warranty Info": "Limited Lifetime"}, "12": {"Lifetime Warranty": "Yes"}, "13": {"Lifecycle Status": "Available to Order"}, "14": {"ItemLevelGTIN": "00884548321144"}}</t>
        </is>
      </c>
      <c r="J1245" t="inlineStr">
        <is>
          <t>https://www.cardone.com/product/windshield-wiper-motor-85-2123</t>
        </is>
      </c>
      <c r="K1245">
        <f>DISPIMG("ID_FACDC802AF0F4DB78A3C059136ADE212",1)</f>
        <v/>
      </c>
      <c r="L1245" t="inlineStr">
        <is>
          <t>CNRD|85-2123</t>
        </is>
      </c>
      <c r="M1245" t="inlineStr">
        <is>
          <t>Wiper Motor; Instruction Sheet</t>
        </is>
      </c>
      <c r="N1245" t="inlineStr">
        <is>
          <t>Yes</t>
        </is>
      </c>
      <c r="O1245" t="inlineStr">
        <is>
          <t>New</t>
        </is>
      </c>
      <c r="P1245" t="inlineStr">
        <is>
          <t>3</t>
        </is>
      </c>
      <c r="Q1245" t="inlineStr">
        <is>
          <t>Blade</t>
        </is>
      </c>
      <c r="R1245" t="inlineStr">
        <is>
          <t>Grommet</t>
        </is>
      </c>
      <c r="S1245" t="inlineStr">
        <is>
          <t>2.5200</t>
        </is>
      </c>
      <c r="T1245" t="inlineStr">
        <is>
          <t>No</t>
        </is>
      </c>
      <c r="U1245" t="inlineStr">
        <is>
          <t>Limited Lifetime</t>
        </is>
      </c>
      <c r="V1245" t="inlineStr"/>
      <c r="W1245" t="inlineStr">
        <is>
          <t>Available to Order</t>
        </is>
      </c>
      <c r="X1245" t="inlineStr">
        <is>
          <t>BMW X5 2013-07</t>
        </is>
      </c>
      <c r="Y1245" t="inlineStr">
        <is>
          <t>00884548321144</t>
        </is>
      </c>
      <c r="Z1245" t="inlineStr"/>
      <c r="AA1245" t="inlineStr"/>
      <c r="AB1245" t="inlineStr"/>
      <c r="AC1245" t="inlineStr">
        <is>
          <t>Yes</t>
        </is>
      </c>
    </row>
    <row r="1246">
      <c r="A1246" t="inlineStr">
        <is>
          <t>1245</t>
        </is>
      </c>
      <c r="B1246" t="inlineStr">
        <is>
          <t>Windshield Wiper Motor</t>
        </is>
      </c>
      <c r="C1246" t="inlineStr">
        <is>
          <t>85-2124</t>
        </is>
      </c>
      <c r="D1246" t="inlineStr">
        <is>
          <t>Windshield Wiper Motor - 85-2124</t>
        </is>
      </c>
      <c r="E1246" t="inlineStr">
        <is>
          <t>CARDONE New</t>
        </is>
      </c>
      <c r="F1246" t="inlineStr">
        <is>
          <t>61618229128;61617138789</t>
        </is>
      </c>
      <c r="G1246" t="inlineStr">
        <is>
          <t>Mini Cooper 2002-2015</t>
        </is>
      </c>
      <c r="H1246" t="inlineStr">
        <is>
          <t>Mini Cooper 2002-2009 1.6L L4 1600cc
Mini Cooper 2003-2015 1.6L L4 98cid
Mini Cooper 2007-2015 1.6L L4 1598cc
Mini Cooper 2014-2015 1.5L L3 1499cc
Mini Cooper 2014-2015 2L L4 122cid</t>
        </is>
      </c>
      <c r="I1246" t="inlineStr">
        <is>
          <t>{"0": {"productDeskExternalKey": "CNRD|85-2124"}, "1": {"Package Contents": "Wiper Motor; Instruction Manual"}, "2": {"E-Waste": "Yes"}, "3": {"Product Condition": "New"}, "4": {"Mounting Hole Quantity": "3"}, "5": {"Terminal Type": "Blade"}, "6": {"Mounting Type": "Direct Bolt"}, "7": {"Weight PG": "3.0000"}, "8": {"Washer Pump Included": "No"}, "9": {"Part Type": "Windshield Wiper Motor"}, "10": {"Warranty Info": "Limited Lifetime"}, "11": {"Lifetime Warranty": "Yes"}, "12": {"Lifecycle Status": "Available to Order"}, "13": {"Application Summary": "Mini Cooper 2015-02"}, "14": {"ItemLevelGTIN": "00884548153561"}}</t>
        </is>
      </c>
      <c r="J1246" t="inlineStr">
        <is>
          <t>https://www.cardone.com/product/windshield-wiper-motor-85-2124</t>
        </is>
      </c>
      <c r="K1246">
        <f>DISPIMG("ID_6B284FA30656484E9E4E0BC134446DA3",1)</f>
        <v/>
      </c>
      <c r="L1246" t="inlineStr">
        <is>
          <t>CNRD|85-2124</t>
        </is>
      </c>
      <c r="M1246" t="inlineStr">
        <is>
          <t>Wiper Motor; Instruction Manual</t>
        </is>
      </c>
      <c r="N1246" t="inlineStr">
        <is>
          <t>Yes</t>
        </is>
      </c>
      <c r="O1246" t="inlineStr">
        <is>
          <t>New</t>
        </is>
      </c>
      <c r="P1246" t="inlineStr">
        <is>
          <t>3</t>
        </is>
      </c>
      <c r="Q1246" t="inlineStr">
        <is>
          <t>Blade</t>
        </is>
      </c>
      <c r="R1246" t="inlineStr">
        <is>
          <t>Direct Bolt</t>
        </is>
      </c>
      <c r="S1246" t="inlineStr">
        <is>
          <t>3.0000</t>
        </is>
      </c>
      <c r="T1246" t="inlineStr">
        <is>
          <t>No</t>
        </is>
      </c>
      <c r="U1246" t="inlineStr">
        <is>
          <t>Limited Lifetime</t>
        </is>
      </c>
      <c r="V1246" t="inlineStr"/>
      <c r="W1246" t="inlineStr">
        <is>
          <t>Available to Order</t>
        </is>
      </c>
      <c r="X1246" t="inlineStr">
        <is>
          <t>Mini Cooper 2015-02</t>
        </is>
      </c>
      <c r="Y1246" t="inlineStr">
        <is>
          <t>00884548153561</t>
        </is>
      </c>
      <c r="Z1246" t="inlineStr"/>
      <c r="AA1246" t="inlineStr"/>
      <c r="AB1246" t="inlineStr"/>
      <c r="AC1246" t="inlineStr">
        <is>
          <t>Yes</t>
        </is>
      </c>
    </row>
    <row r="1247">
      <c r="A1247" t="inlineStr">
        <is>
          <t>1246</t>
        </is>
      </c>
      <c r="B1247" t="inlineStr">
        <is>
          <t>Windshield Wiper Motor</t>
        </is>
      </c>
      <c r="C1247" t="inlineStr">
        <is>
          <t>85-2904</t>
        </is>
      </c>
      <c r="D1247" t="inlineStr">
        <is>
          <t>Windshield Wiper Motor - 85-2904</t>
        </is>
      </c>
      <c r="E1247" t="inlineStr">
        <is>
          <t>CARDONE New</t>
        </is>
      </c>
      <c r="F1247" t="inlineStr">
        <is>
          <t>12785918;12805859</t>
        </is>
      </c>
      <c r="G1247" t="inlineStr">
        <is>
          <t>Saab 9-3 2003-2005</t>
        </is>
      </c>
      <c r="H1247" t="inlineStr">
        <is>
          <t>Saab 9-3 2003-2005 2L L4 122cid</t>
        </is>
      </c>
      <c r="I1247" t="inlineStr">
        <is>
          <t>{"0": {"productDeskExternalKey": "CNRD|85-2904"}, "1": {"Package Contents": "Wiper Motor; Instruction Sheet"}, "2": {"E-Waste": "Yes"}, "3": {"Product Condition": "New"}, "4": {"Terminal Type": "Blade"}, "5": {"Mounting Type": "Direct Bolt; Grommet"}, "6": {"Weight PG": "3.8500"}, "7": {"Washer Pump Included": "No"}, "8": {"Part Type": "Windshield Wiper Motor"}, "9": {"Warranty Info": "Limited Lifetime"}, "10": {"Lifetime Warranty": "Yes"}, "11": {"Lifecycle Status": "Available to Order"}, "12": {"Application Summary": "Saab 9-3 2005-03"}, "13": {"ItemLevelGTIN": "00082617813204"}, "14": {"Mounting Hole Quantity": "4"}}</t>
        </is>
      </c>
      <c r="J1247" t="inlineStr">
        <is>
          <t>https://www.cardone.com/product/windshield-wiper-motor-85-2904</t>
        </is>
      </c>
      <c r="K1247">
        <f>DISPIMG("ID_77518725FAEB43959180A8DF5006892A",1)</f>
        <v/>
      </c>
      <c r="L1247" t="inlineStr">
        <is>
          <t>CNRD|85-2904</t>
        </is>
      </c>
      <c r="M1247" t="inlineStr">
        <is>
          <t>Wiper Motor; Instruction Sheet</t>
        </is>
      </c>
      <c r="N1247" t="inlineStr">
        <is>
          <t>Yes</t>
        </is>
      </c>
      <c r="O1247" t="inlineStr">
        <is>
          <t>New</t>
        </is>
      </c>
      <c r="P1247" t="inlineStr">
        <is>
          <t>4</t>
        </is>
      </c>
      <c r="Q1247" t="inlineStr">
        <is>
          <t>Blade</t>
        </is>
      </c>
      <c r="R1247" t="inlineStr">
        <is>
          <t>Direct Bolt; Grommet</t>
        </is>
      </c>
      <c r="S1247" t="inlineStr">
        <is>
          <t>3.8500</t>
        </is>
      </c>
      <c r="T1247" t="inlineStr">
        <is>
          <t>No</t>
        </is>
      </c>
      <c r="U1247" t="inlineStr">
        <is>
          <t>Limited Lifetime</t>
        </is>
      </c>
      <c r="V1247" t="inlineStr"/>
      <c r="W1247" t="inlineStr">
        <is>
          <t>Available to Order</t>
        </is>
      </c>
      <c r="X1247" t="inlineStr">
        <is>
          <t>Saab 9-3 2005-03</t>
        </is>
      </c>
      <c r="Y1247" t="inlineStr">
        <is>
          <t>00082617813204</t>
        </is>
      </c>
      <c r="Z1247" t="inlineStr"/>
      <c r="AA1247" t="inlineStr"/>
      <c r="AB1247" t="inlineStr"/>
      <c r="AC1247" t="inlineStr">
        <is>
          <t>Yes</t>
        </is>
      </c>
    </row>
    <row r="1248">
      <c r="A1248" t="inlineStr">
        <is>
          <t>1247</t>
        </is>
      </c>
      <c r="B1248" t="inlineStr">
        <is>
          <t>Windshield Wiper Motor</t>
        </is>
      </c>
      <c r="C1248" t="inlineStr">
        <is>
          <t>85-2931</t>
        </is>
      </c>
      <c r="D1248" t="inlineStr">
        <is>
          <t>Windshield Wiper Motor - 85-2931</t>
        </is>
      </c>
      <c r="E1248" t="inlineStr">
        <is>
          <t>CARDONE New</t>
        </is>
      </c>
      <c r="F1248" t="inlineStr">
        <is>
          <t>12757153</t>
        </is>
      </c>
      <c r="G1248" t="inlineStr">
        <is>
          <t>Cadillac BLS 2007-2008
Saab 9-3 2006-2011
Saab 9-3X 2010-2011</t>
        </is>
      </c>
      <c r="H1248" t="inlineStr">
        <is>
          <t>Cadillac BLS 2007-2008 2L L4 122cid
Saab 9-3 2006-2009 2.8L V6 170cid
Saab 9-3 2006-2011 2L L4 122cid
Saab 9-3X 2010-2011 2L L4 122cid</t>
        </is>
      </c>
      <c r="I1248" t="inlineStr">
        <is>
          <t>{"0": {"productDeskExternalKey": "CNRD|85-2931"}, "1": {"Package Contents": "Wiper Motor; Instruction Manual"}, "2": {"E-Waste": "Yes"}, "3": {"Product Condition": "New"}, "4": {"Mounting Hole Quantity": "4"}, "5": {"Terminal Type": "Blade"}, "6": {"Mounting Type": "Direct Bolt; Grommet"}, "7": {"Weight PG": "3.8000"}, "8": {"Washer Pump Included": "No"}, "9": {"Part Type": "Windshield Wiper Motor"}, "10": {"Warranty Info": "Limited Lifetime"}, "11": {"Lifetime Warranty": "Yes"}, "12": {"Lifecycle Status": "Available to Order"}, "13": {"Application Summary": "Cadillac BLS 2008-07; Saab 9-3 2011-06, 9-3X 2011-10"}, "14": {"ItemLevelGTIN": "00884548249554"}}</t>
        </is>
      </c>
      <c r="J1248" t="inlineStr">
        <is>
          <t>https://www.cardone.com/product/windshield-wiper-motor-85-2931</t>
        </is>
      </c>
      <c r="K1248">
        <f>DISPIMG("ID_F60854756D4149B4BD992D3462BE6D5D",1)</f>
        <v/>
      </c>
      <c r="L1248" t="inlineStr">
        <is>
          <t>CNRD|85-2931</t>
        </is>
      </c>
      <c r="M1248" t="inlineStr">
        <is>
          <t>Wiper Motor; Instruction Manual</t>
        </is>
      </c>
      <c r="N1248" t="inlineStr">
        <is>
          <t>Yes</t>
        </is>
      </c>
      <c r="O1248" t="inlineStr">
        <is>
          <t>New</t>
        </is>
      </c>
      <c r="P1248" t="inlineStr">
        <is>
          <t>4</t>
        </is>
      </c>
      <c r="Q1248" t="inlineStr">
        <is>
          <t>Blade</t>
        </is>
      </c>
      <c r="R1248" t="inlineStr">
        <is>
          <t>Direct Bolt; Grommet</t>
        </is>
      </c>
      <c r="S1248" t="inlineStr">
        <is>
          <t>3.8000</t>
        </is>
      </c>
      <c r="T1248" t="inlineStr">
        <is>
          <t>No</t>
        </is>
      </c>
      <c r="U1248" t="inlineStr">
        <is>
          <t>Limited Lifetime</t>
        </is>
      </c>
      <c r="V1248" t="inlineStr"/>
      <c r="W1248" t="inlineStr">
        <is>
          <t>Available to Order</t>
        </is>
      </c>
      <c r="X1248" t="inlineStr">
        <is>
          <t>Cadillac BLS 2008-07; Saab 9-3 2011-06, 9-3X 2011-10</t>
        </is>
      </c>
      <c r="Y1248" t="inlineStr">
        <is>
          <t>00884548249554</t>
        </is>
      </c>
      <c r="Z1248" t="inlineStr"/>
      <c r="AA1248" t="inlineStr"/>
      <c r="AB1248" t="inlineStr"/>
      <c r="AC1248" t="inlineStr">
        <is>
          <t>Yes</t>
        </is>
      </c>
    </row>
    <row r="1249">
      <c r="A1249" t="inlineStr">
        <is>
          <t>1248</t>
        </is>
      </c>
      <c r="B1249" t="inlineStr">
        <is>
          <t>Windshield Wiper Motor</t>
        </is>
      </c>
      <c r="C1249" t="inlineStr">
        <is>
          <t>85-297</t>
        </is>
      </c>
      <c r="D1249" t="inlineStr">
        <is>
          <t>Windshield Wiper Motor - 85-297</t>
        </is>
      </c>
      <c r="E1249" t="inlineStr">
        <is>
          <t>CARDONE New</t>
        </is>
      </c>
      <c r="F1249" t="inlineStr">
        <is>
          <t>E7ZZ17508A;F0CZ17508A;F2UZ17508A;E63Z17508A;E93Z17508A;E8ZZ17508A;F43Z17508A;E93Z17505A</t>
        </is>
      </c>
      <c r="G1249" t="inlineStr">
        <is>
          <t>Ford E-150 Econoline 1992-1994
Ford E-150 Econoline Club Wagon 1992-1994
Ford E-250 Econoline 1992-1994
Ford E-350 Econoline 1992-1994
Ford E-350 Econoline Club Wagon 1992-1994
Ford Escort 1991-1994
Ford Mustang 1987-1993
Ford Tempo 1986-1994
Ford Topaz 1986-1994
Mercury Topaz 1986-1994
Mercury Tracer 1991-1994</t>
        </is>
      </c>
      <c r="H1249" t="inlineStr">
        <is>
          <t>Ford E-150 Econoline 1992-1994 4.9L L6 300cid
Ford E-150 Econoline 1992-1994 5.8L V8 351cid
Ford E-150 Econoline 1992-1994 5L V8 302cid
Ford E-150 Econoline Club Wagon 1992-1994 4.9L L6 300cid
Ford E-150 Econoline Club Wagon 1992-1994 5.8L V8 351cid
Ford E-150 Econoline Club Wagon 1992-1994 5L V8 302cid
Ford E-250 Econoline 1992-1994 4.9L L6 300cid
Ford E-250 Econoline 1992-1994 5.8L V8 351cid
Ford E-350 Econoline 1992-1994 4.9L L6 300cid
Ford E-350 Econoline 1992-1994 5.8L V8 351cid
Ford E-350 Econoline 1992-1994 7.3L V8 445cid
Ford E-350 Econoline 1992-1994 7.5L V8 460cid
Ford E-350 Econoline Club Wagon 1992-1994 4.9L L6 300cid
Ford E-350 Econoline Club Wagon 1992-1994 5.8L V8 351cid
Ford E-350 Econoline Club Wagon 1992-1994 7.3L V8 445cid
Ford E-350 Econoline Club Wagon 1992-1994 7.5L V8 460cid
Ford Escort 1991-1994 1.8L L4 112cid
Ford Escort 1991-1994 1.9L L4 116cid
Ford Escort 1994 1.9L L4 113cid
Ford Mustang 1987-1993 2.3L L4 140cid
Ford Mustang 1987-1993 5L V8 302cid
Ford Tempo 1986 2L L4 122cid
Ford Tempo 1986-1994 2.3L L4 140cid
Ford Tempo 1992-1994 3L V6 182cid
Ford Topaz 1986-1994 2.3L L4 140cid
Mercury Topaz 1986 2L L4 122cid
Mercury Topaz 1986-1994 2.3L L4 140cid
Mercury Topaz 1992-1994 3L V6 182cid
Mercury Tracer 1991-1994 1.8L L4 112cid
Mercury Tracer 1991-1994 1.9L L4 116cid</t>
        </is>
      </c>
      <c r="I1249" t="inlineStr">
        <is>
          <t>{"0": {"productDeskExternalKey": "CNRD|85-297"}, "1": {"Package Contents": "Wiper Motor; Instruction Manual"}, "2": {"E-Waste": "Yes"}, "3": {"Product Condition": "New"}, "4": {"Terminal Type": "Blade"}, "5": {"Mounting Type": "Direct Bolt"}, "6": {"Weight PG": "3.6000"}, "7": {"Washer Pump Included": "No"}, "8": {"Part Type": "Windshield Wiper Motor"}, "9": {"Warranty Info": "Limited Lifetime"}, "10": {"Lifetime Warranty": "Yes"}, "11": {"Lifecycle Status": "Available to Order"}, "12": {"ItemLevelGTIN": "00884548220164"}}</t>
        </is>
      </c>
      <c r="J1249" t="inlineStr">
        <is>
          <t>https://www.cardone.com/product/windshield-wiper-motor-85-297</t>
        </is>
      </c>
      <c r="K1249">
        <f>DISPIMG("ID_E39E575D31874FFAB56DBF093C1869F3",1)</f>
        <v/>
      </c>
      <c r="L1249" t="inlineStr">
        <is>
          <t>CNRD|85-297</t>
        </is>
      </c>
      <c r="M1249" t="inlineStr">
        <is>
          <t>Wiper Motor; Instruction Manual</t>
        </is>
      </c>
      <c r="N1249" t="inlineStr">
        <is>
          <t>Yes</t>
        </is>
      </c>
      <c r="O1249" t="inlineStr">
        <is>
          <t>New</t>
        </is>
      </c>
      <c r="P1249" t="inlineStr"/>
      <c r="Q1249" t="inlineStr">
        <is>
          <t>Blade</t>
        </is>
      </c>
      <c r="R1249" t="inlineStr">
        <is>
          <t>Direct Bolt</t>
        </is>
      </c>
      <c r="S1249" t="inlineStr">
        <is>
          <t>3.6000</t>
        </is>
      </c>
      <c r="T1249" t="inlineStr">
        <is>
          <t>No</t>
        </is>
      </c>
      <c r="U1249" t="inlineStr">
        <is>
          <t>Limited Lifetime</t>
        </is>
      </c>
      <c r="V1249" t="inlineStr"/>
      <c r="W1249" t="inlineStr">
        <is>
          <t>Available to Order</t>
        </is>
      </c>
      <c r="X1249" t="inlineStr"/>
      <c r="Y1249" t="inlineStr">
        <is>
          <t>00884548220164</t>
        </is>
      </c>
      <c r="Z1249" t="inlineStr"/>
      <c r="AA1249" t="inlineStr"/>
      <c r="AB1249" t="inlineStr"/>
      <c r="AC1249" t="inlineStr">
        <is>
          <t>Yes</t>
        </is>
      </c>
    </row>
    <row r="1250">
      <c r="A1250" t="inlineStr">
        <is>
          <t>1249</t>
        </is>
      </c>
      <c r="B1250" t="inlineStr">
        <is>
          <t>Windshield Wiper Motor</t>
        </is>
      </c>
      <c r="C1250" t="inlineStr">
        <is>
          <t>85-299</t>
        </is>
      </c>
      <c r="D1250" t="inlineStr">
        <is>
          <t>Windshield Wiper Motor - 85-299</t>
        </is>
      </c>
      <c r="E1250" t="inlineStr">
        <is>
          <t>CARDONE New</t>
        </is>
      </c>
      <c r="F1250" t="inlineStr">
        <is>
          <t>E7TZ17508A</t>
        </is>
      </c>
      <c r="G1250" t="inlineStr">
        <is>
          <t>Ford Bronco 1987-1996
Ford F-150 1987-1996
Ford F-250 1987-1996
Ford F-350 1987-1996
Ford F-53 Motorhome Chassis 1988-1996
Ford F-59 Commercial Stripped Chassis 1988-1996
Ford F-600 1990-1994
Ford F-700 1990-1994
Ford F-800 1990-1994
Ford F-Super Duty 1988-1994
Ford FT900 1990-1994</t>
        </is>
      </c>
      <c r="H1250" t="inlineStr">
        <is>
          <t>Ford Bronco 1987-1992 4.9L L6 300cid
Ford Bronco 1987-1996 5.8L V8 351cid
Ford Bronco 1987-1996 5L V8 302cid
Ford F-150 1987-1994 3.8L V6 232cid
Ford F-150 1987-1996 4.9L L6 300cid
Ford F-150 1987-1996 5.8L V8 351cid
Ford F-150 1987-1996 5L V8 302cid
Ford F-250 1987 6.9L V8 420cid
Ford F-250 1987-1996 4.9L L6 300cid
Ford F-250 1987-1996 5.8L V8 351cid
Ford F-250 1987-1996 5L V8 302cid
Ford F-250 1987-1996 7.5L V8 460cid
Ford F-250 1988-1996 7.3L V8 445cid
Ford F-350 1987 6.9L V8 420cid
Ford F-350 1987-1996 4.9L L6 300cid
Ford F-350 1987-1996 5.8L V8 351cid
Ford F-350 1987-1996 5L V8 302cid
Ford F-350 1987-1996 7.5L V8 460cid
Ford F-350 1988-1996 7.3L V8 445cid
Ford F-53 Motorhome Chassis 1988-1996 7.5L V8 460cid
Ford F-59 Commercial Stripped Chassis 1988-1996 7.3L V8 445cid
Ford F-600 1990-1991 6.1L V8 370cid
Ford F-600 1990-1993 6.6L L6 401cid
Ford F-600 1990-1994 7L V8 429cid
Ford F-600 1991 7.8L L6 473cid
Ford F-600 1992-1994 5.9L L6 359cid
Ford F-700 1990-1991 6.1L V8 370cid
Ford F-700 1990-1991 7.8L L6 473cid
Ford F-700 1990-1993 6.6L L6 401cid
Ford F-700 1990-1994 7L V8 429cid
Ford F-700 1992-1994 5.9L L6 359cid
Ford F-800 1990-1991 6.1L V8 370cid
Ford F-800 1990-1991 6.6L L6 401cid
Ford F-800 1990-1991 7L V8 429cid
Ford F-800 1990-1993 7.8L L6 473cid
Ford F-800 1992-1994 8.3L L6 504cid
Ford F-800 1993-1994 5.9L L6 359cid
Ford F-Super Duty 1988-1994 7.3L V8 445cid
Ford F-Super Duty 1988-1994 7.5L V8 460cid
Ford FT900 1990-1993 7.8L L6 473cid
Ford FT900 1993-1994 8.3L L6 504cid</t>
        </is>
      </c>
      <c r="I1250" t="inlineStr">
        <is>
          <t>{"0": {"productDeskExternalKey": "CNRD|85-299"}, "1": {"Package Contents": "Wiper Motor; Instruction Manual"}, "2": {"E-Waste": "Yes"}, "3": {"Product Condition": "New"}, "4": {"Mounting Hole Quantity": "3"}, "5": {"Terminal Type": "Blade"}, "6": {"Mounting Type": "Direct Bolt"}, "7": {"Weight PG": "3.4400"}, "8": {"Washer Pump Included": "No"}, "9": {"Part Type": "Windshield Wiper Motor"}, "10": {"Warranty Info": "Limited Lifetime"}, "11": {"Lifetime Warranty": "Yes"}, "12": {"Lifecycle Status": "Available to Order"}, "13": {"Application Summary": "Ford Bronco 1996-87, F-150 1996-87, F-250 1996-87, F-350 1996-87, F-53 Motorhome Chassis 1996-88, F-59 Commercial Stripped Chassis 1996-88, F-600 1994-90, F-700 1994-90, F-800 1994-90, F-Super Duty 1994-88, FT900 1994-90"}, "14": {"ItemLevelGTIN": "00082617703734"}}</t>
        </is>
      </c>
      <c r="J1250" t="inlineStr">
        <is>
          <t>https://www.cardone.com/product/windshield-wiper-motor-85-299</t>
        </is>
      </c>
      <c r="K1250">
        <f>DISPIMG("ID_6497F5496AF44C719C74C4B674ED2AAC",1)</f>
        <v/>
      </c>
      <c r="L1250" t="inlineStr">
        <is>
          <t>CNRD|85-299</t>
        </is>
      </c>
      <c r="M1250" t="inlineStr">
        <is>
          <t>Wiper Motor; Instruction Manual</t>
        </is>
      </c>
      <c r="N1250" t="inlineStr">
        <is>
          <t>Yes</t>
        </is>
      </c>
      <c r="O1250" t="inlineStr">
        <is>
          <t>New</t>
        </is>
      </c>
      <c r="P1250" t="inlineStr">
        <is>
          <t>3</t>
        </is>
      </c>
      <c r="Q1250" t="inlineStr">
        <is>
          <t>Blade</t>
        </is>
      </c>
      <c r="R1250" t="inlineStr">
        <is>
          <t>Direct Bolt</t>
        </is>
      </c>
      <c r="S1250" t="inlineStr">
        <is>
          <t>3.4400</t>
        </is>
      </c>
      <c r="T1250" t="inlineStr">
        <is>
          <t>No</t>
        </is>
      </c>
      <c r="U1250" t="inlineStr">
        <is>
          <t>Limited Lifetime</t>
        </is>
      </c>
      <c r="V1250" t="inlineStr"/>
      <c r="W1250" t="inlineStr">
        <is>
          <t>Available to Order</t>
        </is>
      </c>
      <c r="X1250" t="inlineStr">
        <is>
          <t>Ford Bronco 1996-87, F-150 1996-87, F-250 1996-87, F-350 1996-87, F-53 Motorhome Chassis 1996-88, F-59 Commercial Stripped Chassis 1996-88, F-600 1994-90, F-700 1994-90, F-800 1994-90, F-Super Duty 1994-88, FT900 1994-90</t>
        </is>
      </c>
      <c r="Y1250" t="inlineStr">
        <is>
          <t>00082617703734</t>
        </is>
      </c>
      <c r="Z1250" t="inlineStr"/>
      <c r="AA1250" t="inlineStr"/>
      <c r="AB1250" t="inlineStr"/>
      <c r="AC1250" t="inlineStr">
        <is>
          <t>Yes</t>
        </is>
      </c>
    </row>
    <row r="1251">
      <c r="A1251" t="inlineStr">
        <is>
          <t>1250</t>
        </is>
      </c>
      <c r="B1251" t="inlineStr">
        <is>
          <t>Windshield Wiper Motor</t>
        </is>
      </c>
      <c r="C1251" t="inlineStr">
        <is>
          <t>85-3000</t>
        </is>
      </c>
      <c r="D1251" t="inlineStr">
        <is>
          <t>Windshield Wiper Motor - 85-3000</t>
        </is>
      </c>
      <c r="E1251" t="inlineStr">
        <is>
          <t>CARDONE New</t>
        </is>
      </c>
      <c r="F1251" t="inlineStr">
        <is>
          <t>55076549;55076549AC</t>
        </is>
      </c>
      <c r="G1251" t="inlineStr">
        <is>
          <t>Dodge Ram 1500 1997-1999
Dodge Ram 2500 1997-1999
Dodge Ram 3500 1997-1999</t>
        </is>
      </c>
      <c r="H1251" t="inlineStr">
        <is>
          <t>Dodge Ram 1500 1997-1999 3.9L V6 239cid
Dodge Ram 1500 1997-1999 5.2L V8 318cid
Dodge Ram 1500 1997-1999 5.9L V8 360cid
Dodge Ram 1500 1998 3.9L V6 238cid
Dodge Ram 2500 1997-1999 5.2L V8 318cid
Dodge Ram 2500 1997-1999 5.9L L6 359cid
Dodge Ram 2500 1997-1999 5.9L V8 360cid
Dodge Ram 2500 1997-1999 8L V10 488cid
Dodge Ram 3500 1997-1999 5.9L L6 359cid
Dodge Ram 3500 1997-1999 5.9L V8 360cid
Dodge Ram 3500 1997-1999 8L V10 488cid</t>
        </is>
      </c>
      <c r="I1251" t="inlineStr">
        <is>
          <t>{"0": {"productDeskExternalKey": "CNRD|85-3000"}, "1": {"Package Contents": "Wiper Motor; Instruction Manual"}, "2": {"E-Waste": "Yes"}, "3": {"Product Condition": "New"}, "4": {"Terminal Type": "Blade"}, "5": {"Mounting Type": "Direct Bolt"}, "6": {"Weight PG": "2.6000"}, "7": {"Washer Pump Included": "No"}, "8": {"Part Type": "Windshield Wiper Motor"}, "9": {"Warranty Info": "Limited Lifetime"}, "10": {"Lifetime Warranty": "Yes"}, "11": {"Lifecycle Status": "Available to Order"}, "12": {"Application Summary": "Dodge Ram 1500 1999-97, Ram 2500 1999-97, Ram 3500 1999-97"}, "13": {"ItemLevelGTIN": "00082617670159"}}</t>
        </is>
      </c>
      <c r="J1251" t="inlineStr">
        <is>
          <t>https://www.cardone.com/product/windshield-wiper-motor-85-3000</t>
        </is>
      </c>
      <c r="K1251">
        <f>DISPIMG("ID_E4B43B8BABA646ACB14F086E3F505967",1)</f>
        <v/>
      </c>
      <c r="L1251" t="inlineStr">
        <is>
          <t>CNRD|85-3000</t>
        </is>
      </c>
      <c r="M1251" t="inlineStr">
        <is>
          <t>Wiper Motor; Instruction Manual</t>
        </is>
      </c>
      <c r="N1251" t="inlineStr">
        <is>
          <t>Yes</t>
        </is>
      </c>
      <c r="O1251" t="inlineStr">
        <is>
          <t>New</t>
        </is>
      </c>
      <c r="P1251" t="inlineStr"/>
      <c r="Q1251" t="inlineStr">
        <is>
          <t>Blade</t>
        </is>
      </c>
      <c r="R1251" t="inlineStr">
        <is>
          <t>Direct Bolt</t>
        </is>
      </c>
      <c r="S1251" t="inlineStr">
        <is>
          <t>2.6000</t>
        </is>
      </c>
      <c r="T1251" t="inlineStr">
        <is>
          <t>No</t>
        </is>
      </c>
      <c r="U1251" t="inlineStr">
        <is>
          <t>Limited Lifetime</t>
        </is>
      </c>
      <c r="V1251" t="inlineStr"/>
      <c r="W1251" t="inlineStr">
        <is>
          <t>Available to Order</t>
        </is>
      </c>
      <c r="X1251" t="inlineStr">
        <is>
          <t>Dodge Ram 1500 1999-97, Ram 2500 1999-97, Ram 3500 1999-97</t>
        </is>
      </c>
      <c r="Y1251" t="inlineStr">
        <is>
          <t>00082617670159</t>
        </is>
      </c>
      <c r="Z1251" t="inlineStr"/>
      <c r="AA1251" t="inlineStr"/>
      <c r="AB1251" t="inlineStr"/>
      <c r="AC1251" t="inlineStr">
        <is>
          <t>Yes</t>
        </is>
      </c>
    </row>
    <row r="1252">
      <c r="A1252" t="inlineStr">
        <is>
          <t>1251</t>
        </is>
      </c>
      <c r="B1252" t="inlineStr">
        <is>
          <t>Windshield Wiper Motor</t>
        </is>
      </c>
      <c r="C1252" t="inlineStr">
        <is>
          <t>85-3001</t>
        </is>
      </c>
      <c r="D1252" t="inlineStr">
        <is>
          <t>Windshield Wiper Motor - 85-3001</t>
        </is>
      </c>
      <c r="E1252" t="inlineStr">
        <is>
          <t>CARDONE New</t>
        </is>
      </c>
      <c r="F1252" t="inlineStr">
        <is>
          <t>4708171;4673013AA;4673013</t>
        </is>
      </c>
      <c r="G1252" t="inlineStr">
        <is>
          <t>Chrysler Grand Voyager 1997-2000
Chrysler Town &amp; Country 1996-2000
Chrysler Voyager 1997-2000
Dodge Caravan 1996-2000
Dodge Grand Caravan 1996-2000
Plymouth Grand Voyager 1996-2000
Plymouth Voyager 1996-2000</t>
        </is>
      </c>
      <c r="H1252" t="inlineStr">
        <is>
          <t>Chrysler Grand Voyager 1997-2000 3.8L V6 231cid
Chrysler Grand Voyager 2000 3.3L V6 201cid
Chrysler Grand Voyager 2000 3L V6 181cid
Chrysler Town &amp; Country 1996-2000 3.3L V6 201cid
Chrysler Town &amp; Country 1996-2000 3.8L V6 231cid
Chrysler Voyager 1997-2000 3.3L V6 201cid
Chrysler Voyager 2000 2.4L L4 148cid
Chrysler Voyager 2000 3L V6 181cid
Dodge Caravan 1996-2000 2.4L L4 148cid
Dodge Caravan 1996-2000 3.3L V6 201cid
Dodge Caravan 1996-2000 3.8L V6 231cid
Dodge Caravan 1996-2000 3L V6 181cid
Dodge Caravan 1997-1999
Dodge Grand Caravan 1996-1997 2.4L L4 148cid
Dodge Grand Caravan 1996-2000 3.3L V6 201cid
Dodge Grand Caravan 1996-2000 3.8L V6 231cid
Dodge Grand Caravan 1996-2000 3L V6 181cid
Plymouth Grand Voyager 1996-1997 2.4L L4 148cid
Plymouth Grand Voyager 1996-1999 3.8L V6 231cid
Plymouth Grand Voyager 1996-2000 3.3L V6 201cid
Plymouth Grand Voyager 1996-2000 3L V6 181cid
Plymouth Voyager 1996-2000 2.4L L4 148cid
Plymouth Voyager 1996-2000 3.3L V6 201cid
Plymouth Voyager 1996-2000 3L V6 181cid
Plymouth Voyager 1997-1999 3.8L V6 231cid
Plymouth Voyager 1998-1999</t>
        </is>
      </c>
      <c r="I1252" t="inlineStr">
        <is>
          <t>{"0": {"productDeskExternalKey": "CNRD|85-3001"}, "1": {"Package Contents": "Wiper Motor; Instruction Manual"}, "2": {"E-Waste": "Yes"}, "3": {"Product Condition": "New"}, "4": {"Mounting Hole Quantity": "3"}, "5": {"Terminal Type": "Blade"}, "6": {"Mounting Type": "Direct Bolt"}, "7": {"Weight PG": "3.2400"}, "8": {"Washer Pump Included": "No"}, "9": {"Part Type": "Windshield Wiper Motor"}, "10": {"Warranty Info": "Limited Lifetime"}, "11": {"Lifetime Warranty": "Yes"}, "12": {"Lifecycle Status": "Available to Order"}, "13": {"Application Summary": "Chrysler Grand Voyager 2000-97, Town &amp; Country 2000-96, Voyager 2000-97; Dodge Caravan 2000-96, Grand Caravan 2000-96; Plymouth Grand Voyager 2000-96, Voyager 2000-96"}, "14": {"ItemLevelGTIN": "00082617672375"}}</t>
        </is>
      </c>
      <c r="J1252" t="inlineStr">
        <is>
          <t>https://www.cardone.com/product/windshield-wiper-motor-85-3001</t>
        </is>
      </c>
      <c r="K1252">
        <f>DISPIMG("ID_EDD55CEF709D41D4BBE852CB71270E42",1)</f>
        <v/>
      </c>
      <c r="L1252" t="inlineStr">
        <is>
          <t>CNRD|85-3001</t>
        </is>
      </c>
      <c r="M1252" t="inlineStr">
        <is>
          <t>Wiper Motor; Instruction Manual</t>
        </is>
      </c>
      <c r="N1252" t="inlineStr">
        <is>
          <t>Yes</t>
        </is>
      </c>
      <c r="O1252" t="inlineStr">
        <is>
          <t>New</t>
        </is>
      </c>
      <c r="P1252" t="inlineStr">
        <is>
          <t>3</t>
        </is>
      </c>
      <c r="Q1252" t="inlineStr">
        <is>
          <t>Blade</t>
        </is>
      </c>
      <c r="R1252" t="inlineStr">
        <is>
          <t>Direct Bolt</t>
        </is>
      </c>
      <c r="S1252" t="inlineStr">
        <is>
          <t>3.2400</t>
        </is>
      </c>
      <c r="T1252" t="inlineStr">
        <is>
          <t>No</t>
        </is>
      </c>
      <c r="U1252" t="inlineStr">
        <is>
          <t>Limited Lifetime</t>
        </is>
      </c>
      <c r="V1252" t="inlineStr"/>
      <c r="W1252" t="inlineStr">
        <is>
          <t>Available to Order</t>
        </is>
      </c>
      <c r="X1252" t="inlineStr">
        <is>
          <t>Chrysler Grand Voyager 2000-97, Town &amp; Country 2000-96, Voyager 2000-97; Dodge Caravan 2000-96, Grand Caravan 2000-96; Plymouth Grand Voyager 2000-96, Voyager 2000-96</t>
        </is>
      </c>
      <c r="Y1252" t="inlineStr">
        <is>
          <t>00082617672375</t>
        </is>
      </c>
      <c r="Z1252" t="inlineStr"/>
      <c r="AA1252" t="inlineStr"/>
      <c r="AB1252" t="inlineStr"/>
      <c r="AC1252" t="inlineStr">
        <is>
          <t>Yes</t>
        </is>
      </c>
    </row>
    <row r="1253">
      <c r="A1253" t="inlineStr">
        <is>
          <t>1252</t>
        </is>
      </c>
      <c r="B1253" t="inlineStr">
        <is>
          <t>Windshield Wiper Motor</t>
        </is>
      </c>
      <c r="C1253" t="inlineStr">
        <is>
          <t>85-3002</t>
        </is>
      </c>
      <c r="D1253" t="inlineStr">
        <is>
          <t>Windshield Wiper Motor - 85-3002</t>
        </is>
      </c>
      <c r="E1253" t="inlineStr">
        <is>
          <t>CARDONE New</t>
        </is>
      </c>
      <c r="F1253" t="inlineStr">
        <is>
          <t>4778375</t>
        </is>
      </c>
      <c r="G1253" t="inlineStr">
        <is>
          <t>Chrysler Cirrus 1995-1997
Chrysler Sebring 1996-1997
Chrysler Voyager 1996
Dodge Stratus 1995-1997
Plymouth Breeze 1996-1999</t>
        </is>
      </c>
      <c r="H1253" t="inlineStr">
        <is>
          <t>Chrysler Cirrus 1995-1997 2.4L L4 148cid
Chrysler Cirrus 1995-1997 2.5L V6 152cid
Chrysler Sebring 1996-1997 2.4L L4 148cid
Chrysler Sebring 1996-1997 2.5L V6 152cid
Chrysler Voyager 1996 3.3L V6 201cid
Dodge Stratus 1995-1997 2.4L L4 148cid
Dodge Stratus 1995-1997 2.5L V6 152cid
Dodge Stratus 1995-1997 2L L4 122cid
Plymouth Breeze 1996-1999 2.4L L4 148cid
Plymouth Breeze 1996-1999 2L L4 122cid</t>
        </is>
      </c>
      <c r="I1253" t="inlineStr">
        <is>
          <t>{"0": {"productDeskExternalKey": "CNRD|85-3002"}, "1": {"Package Contents": "Wiper Motor; Instruction Manual"}, "2": {"E-Waste": "Yes"}, "3": {"Product Condition": "New"}, "4": {"Mounting Hole Quantity": "3"}, "5": {"Terminal Type": "Blade"}, "6": {"Mounting Type": "Direct Bolt"}, "7": {"Weight PG": "3.7000"}, "8": {"Washer Pump Included": "No"}, "9": {"Part Type": "Windshield Wiper Motor"}, "10": {"Warranty Info": "Limited Lifetime"}, "11": {"Lifetime Warranty": "Yes"}, "12": {"Lifecycle Status": "Available to Order"}, "13": {"Application Summary": "Chrysler Cirrus 1997-95, Sebring 1997-96, Voyager 1996; Dodge Stratus 1997-95; Plymouth Breeze 1999-96"}, "14": {"ItemLevelGTIN": "00082617672382"}}</t>
        </is>
      </c>
      <c r="J1253" t="inlineStr">
        <is>
          <t>https://www.cardone.com/product/windshield-wiper-motor-85-3002</t>
        </is>
      </c>
      <c r="K1253">
        <f>DISPIMG("ID_C4370C90543E470DA55F69BCEC5601FC",1)</f>
        <v/>
      </c>
      <c r="L1253" t="inlineStr">
        <is>
          <t>CNRD|85-3002</t>
        </is>
      </c>
      <c r="M1253" t="inlineStr">
        <is>
          <t>Wiper Motor; Instruction Manual</t>
        </is>
      </c>
      <c r="N1253" t="inlineStr">
        <is>
          <t>Yes</t>
        </is>
      </c>
      <c r="O1253" t="inlineStr">
        <is>
          <t>New</t>
        </is>
      </c>
      <c r="P1253" t="inlineStr">
        <is>
          <t>3</t>
        </is>
      </c>
      <c r="Q1253" t="inlineStr">
        <is>
          <t>Blade</t>
        </is>
      </c>
      <c r="R1253" t="inlineStr">
        <is>
          <t>Direct Bolt</t>
        </is>
      </c>
      <c r="S1253" t="inlineStr">
        <is>
          <t>3.7000</t>
        </is>
      </c>
      <c r="T1253" t="inlineStr">
        <is>
          <t>No</t>
        </is>
      </c>
      <c r="U1253" t="inlineStr">
        <is>
          <t>Limited Lifetime</t>
        </is>
      </c>
      <c r="V1253" t="inlineStr"/>
      <c r="W1253" t="inlineStr">
        <is>
          <t>Available to Order</t>
        </is>
      </c>
      <c r="X1253" t="inlineStr">
        <is>
          <t>Chrysler Cirrus 1997-95, Sebring 1997-96, Voyager 1996; Dodge Stratus 1997-95; Plymouth Breeze 1999-96</t>
        </is>
      </c>
      <c r="Y1253" t="inlineStr">
        <is>
          <t>00082617672382</t>
        </is>
      </c>
      <c r="Z1253" t="inlineStr"/>
      <c r="AA1253" t="inlineStr"/>
      <c r="AB1253" t="inlineStr"/>
      <c r="AC1253" t="inlineStr">
        <is>
          <t>Yes</t>
        </is>
      </c>
    </row>
    <row r="1254">
      <c r="A1254" t="inlineStr">
        <is>
          <t>1253</t>
        </is>
      </c>
      <c r="B1254" t="inlineStr">
        <is>
          <t>Windshield Wiper Motor</t>
        </is>
      </c>
      <c r="C1254" t="inlineStr">
        <is>
          <t>85-3009</t>
        </is>
      </c>
      <c r="D1254" t="inlineStr">
        <is>
          <t>Windshield Wiper Motor - 85-3009</t>
        </is>
      </c>
      <c r="E1254" t="inlineStr">
        <is>
          <t>CARDONE New</t>
        </is>
      </c>
      <c r="F1254" t="inlineStr">
        <is>
          <t>55155046AE;55155046AD</t>
        </is>
      </c>
      <c r="G1254" t="inlineStr">
        <is>
          <t>Dodge B1500 1998
Dodge B2500 1998
Dodge B3500 1998
Dodge Ram 1500 Van 1999-2003
Dodge Ram 2500 Van 1999-2003
Dodge Ram 3500 Van 1999-2003</t>
        </is>
      </c>
      <c r="H1254" t="inlineStr">
        <is>
          <t>Dodge B1500 1998 3.9L V6 239cid
Dodge B1500 1998 5.2L V8 318cid
Dodge B1500 1998 5.9L V8 360cid
Dodge B2500 1998 5.2L V8 318cid
Dodge B2500 1998 5.9L V8 360cid
Dodge B3500 1998 5.2L V8 318cid
Dodge B3500 1998 5.9L V8 360cid
Dodge Ram 1500 Van 1999-2003 3.9L V6 239cid
Dodge Ram 1500 Van 1999-2003 5.2L V8 318cid
Dodge Ram 1500 Van 1999-2003 5.9L V8 360cid
Dodge Ram 2500 Van 1999-2003 5.2L V8 318cid
Dodge Ram 2500 Van 1999-2003 5.9L V8 360cid
Dodge Ram 2500 Van 2001 3.9L V6 239cid
Dodge Ram 3500 Van 1999-2003 5.2L V8 318cid
Dodge Ram 3500 Van 1999-2003 5.9L V8 360cid</t>
        </is>
      </c>
      <c r="I1254" t="inlineStr">
        <is>
          <t>{"0": {"productDeskExternalKey": "CNRD|85-3009"}, "1": {"Package Contents": "Wiper Motor; Instruction Manual"}, "2": {"E-Waste": "Yes"}, "3": {"Product Condition": "New"}, "4": {"Mounting Hole Quantity": "3"}, "5": {"Terminal Type": "Blade"}, "6": {"Mounting Type": "Direct Bolt"}, "7": {"Weight PG": "2.6000"}, "8": {"Washer Pump Included": "No"}, "9": {"Part Type": "Windshield Wiper Motor"}, "10": {"Warranty Info": "Limited Lifetime"}, "11": {"Lifetime Warranty": "Yes"}, "12": {"Lifecycle Status": "Available to Order"}, "13": {"Application Summary": "Dodge B1500 1998, B2500 1998, B3500 1998, Ram 1500 Van 2003-99, Ram 2500 Van 2003-99, Ram 3500 Van 2003-99"}, "14": {"ItemLevelGTIN": "00884548068919"}}</t>
        </is>
      </c>
      <c r="J1254" t="inlineStr">
        <is>
          <t>https://www.cardone.com/product/windshield-wiper-motor-85-3009</t>
        </is>
      </c>
      <c r="K1254">
        <f>DISPIMG("ID_C5AFA7D97FDD4781B3F285BC86CB7A74",1)</f>
        <v/>
      </c>
      <c r="L1254" t="inlineStr">
        <is>
          <t>CNRD|85-3009</t>
        </is>
      </c>
      <c r="M1254" t="inlineStr">
        <is>
          <t>Wiper Motor; Instruction Manual</t>
        </is>
      </c>
      <c r="N1254" t="inlineStr">
        <is>
          <t>Yes</t>
        </is>
      </c>
      <c r="O1254" t="inlineStr">
        <is>
          <t>New</t>
        </is>
      </c>
      <c r="P1254" t="inlineStr">
        <is>
          <t>3</t>
        </is>
      </c>
      <c r="Q1254" t="inlineStr">
        <is>
          <t>Blade</t>
        </is>
      </c>
      <c r="R1254" t="inlineStr">
        <is>
          <t>Direct Bolt</t>
        </is>
      </c>
      <c r="S1254" t="inlineStr">
        <is>
          <t>2.6000</t>
        </is>
      </c>
      <c r="T1254" t="inlineStr">
        <is>
          <t>No</t>
        </is>
      </c>
      <c r="U1254" t="inlineStr">
        <is>
          <t>Limited Lifetime</t>
        </is>
      </c>
      <c r="V1254" t="inlineStr"/>
      <c r="W1254" t="inlineStr">
        <is>
          <t>Available to Order</t>
        </is>
      </c>
      <c r="X1254" t="inlineStr">
        <is>
          <t>Dodge B1500 1998, B2500 1998, B3500 1998, Ram 1500 Van 2003-99, Ram 2500 Van 2003-99, Ram 3500 Van 2003-99</t>
        </is>
      </c>
      <c r="Y1254" t="inlineStr">
        <is>
          <t>00884548068919</t>
        </is>
      </c>
      <c r="Z1254" t="inlineStr"/>
      <c r="AA1254" t="inlineStr"/>
      <c r="AB1254" t="inlineStr"/>
      <c r="AC1254" t="inlineStr">
        <is>
          <t>Yes</t>
        </is>
      </c>
    </row>
    <row r="1255">
      <c r="A1255" t="inlineStr">
        <is>
          <t>1254</t>
        </is>
      </c>
      <c r="B1255" t="inlineStr">
        <is>
          <t>Windshield Wiper Motor</t>
        </is>
      </c>
      <c r="C1255" t="inlineStr">
        <is>
          <t>85-3010</t>
        </is>
      </c>
      <c r="D1255" t="inlineStr">
        <is>
          <t>Windshield Wiper Motor - 85-3010</t>
        </is>
      </c>
      <c r="E1255" t="inlineStr">
        <is>
          <t>CARDONE New</t>
        </is>
      </c>
      <c r="F1255" t="inlineStr">
        <is>
          <t>5014790AA;5011390AA</t>
        </is>
      </c>
      <c r="G1255" t="inlineStr">
        <is>
          <t>Dodge Neon 1998-2005
Dodge SX 2.0 2003-2005
Plymouth Neon 1998-2001</t>
        </is>
      </c>
      <c r="H1255" t="inlineStr">
        <is>
          <t>Dodge Neon 1998-2005 2L L4 122cid
Dodge Neon 2003-2005 2.4L L4 148cid
Dodge SX 2.0 2003-2005 2L L4 122cid
Plymouth Neon 1998-2001 2L L4 122cid</t>
        </is>
      </c>
      <c r="I1255" t="inlineStr">
        <is>
          <t>{"0": {"productDeskExternalKey": "CNRD|85-3010"}, "1": {"Package Contents": "Wiper Motor; Instruction Manual"}, "2": {"E-Waste": "Yes"}, "3": {"Product Condition": "New"}, "4": {"Mounting Hole Quantity": "3"}, "5": {"Terminal Type": "Blade"}, "6": {"Mounting Type": "Direct Bolt"}, "7": {"Weight PG": "3.4000"}, "8": {"Washer Pump Included": "No"}, "9": {"Part Type": "Windshield Wiper Motor"}, "10": {"Warranty Info": "Limited Lifetime"}, "11": {"Lifetime Warranty": "Yes"}, "12": {"Lifecycle Status": "Available to Order"}, "13": {"Application Summary": "Dodge Neon 2005-98, SX 2.0 2005-03; Plymouth Neon 2001-98"}, "14": {"ItemLevelGTIN": "00884548266605"}}</t>
        </is>
      </c>
      <c r="J1255" t="inlineStr">
        <is>
          <t>https://www.cardone.com/product/windshield-wiper-motor-85-3010</t>
        </is>
      </c>
      <c r="K1255">
        <f>DISPIMG("ID_57C46FC86FAD4B1FA1603A69FE306F8B",1)</f>
        <v/>
      </c>
      <c r="L1255" t="inlineStr">
        <is>
          <t>CNRD|85-3010</t>
        </is>
      </c>
      <c r="M1255" t="inlineStr">
        <is>
          <t>Wiper Motor; Instruction Manual</t>
        </is>
      </c>
      <c r="N1255" t="inlineStr">
        <is>
          <t>Yes</t>
        </is>
      </c>
      <c r="O1255" t="inlineStr">
        <is>
          <t>New</t>
        </is>
      </c>
      <c r="P1255" t="inlineStr">
        <is>
          <t>3</t>
        </is>
      </c>
      <c r="Q1255" t="inlineStr">
        <is>
          <t>Blade</t>
        </is>
      </c>
      <c r="R1255" t="inlineStr">
        <is>
          <t>Direct Bolt</t>
        </is>
      </c>
      <c r="S1255" t="inlineStr">
        <is>
          <t>3.4000</t>
        </is>
      </c>
      <c r="T1255" t="inlineStr">
        <is>
          <t>No</t>
        </is>
      </c>
      <c r="U1255" t="inlineStr">
        <is>
          <t>Limited Lifetime</t>
        </is>
      </c>
      <c r="V1255" t="inlineStr"/>
      <c r="W1255" t="inlineStr">
        <is>
          <t>Available to Order</t>
        </is>
      </c>
      <c r="X1255" t="inlineStr">
        <is>
          <t>Dodge Neon 2005-98, SX 2.0 2005-03; Plymouth Neon 2001-98</t>
        </is>
      </c>
      <c r="Y1255" t="inlineStr">
        <is>
          <t>00884548266605</t>
        </is>
      </c>
      <c r="Z1255" t="inlineStr"/>
      <c r="AA1255" t="inlineStr"/>
      <c r="AB1255" t="inlineStr"/>
      <c r="AC1255" t="inlineStr">
        <is>
          <t>Yes</t>
        </is>
      </c>
    </row>
    <row r="1256">
      <c r="A1256" t="inlineStr">
        <is>
          <t>1255</t>
        </is>
      </c>
      <c r="B1256" t="inlineStr">
        <is>
          <t>Windshield Wiper Motor</t>
        </is>
      </c>
      <c r="C1256" t="inlineStr">
        <is>
          <t>85-3018</t>
        </is>
      </c>
      <c r="D1256" t="inlineStr">
        <is>
          <t>Windshield Wiper Motor - 85-3018</t>
        </is>
      </c>
      <c r="E1256" t="inlineStr">
        <is>
          <t>CARDONE New</t>
        </is>
      </c>
      <c r="F1256" t="inlineStr">
        <is>
          <t>4717710AA;4717710AD;5018406AA</t>
        </is>
      </c>
      <c r="G1256" t="inlineStr">
        <is>
          <t>Chrysler Grand Voyager 2001-2002
Chrysler PT Cruiser 2001-2003
Chrysler Town &amp; Country 2001-2003
Chrysler Voyager 2001-2003
Dodge Caravan 2001-2003
Dodge Grand Caravan 2001-2003</t>
        </is>
      </c>
      <c r="H1256" t="inlineStr">
        <is>
          <t>Chrysler Grand Voyager 2001-2002 3.8L V6 231cid
Chrysler PT Cruiser 2001-2003 2.4L L4 148cid
Chrysler Town &amp; Country 2001-2003 3.3L V6 201cid
Chrysler Town &amp; Country 2001-2003 3.8L V6 231cid
Chrysler Voyager 2001-2003 2.4L L4 148cid
Chrysler Voyager 2001-2003 3.3L V6 201cid
Dodge Caravan 2001-2003 2.4L L4 148cid
Dodge Caravan 2001-2003 3.3L V6 201cid
Dodge Grand Caravan 2001-2003 3.3L V6 201cid
Dodge Grand Caravan 2001-2003 3.8L V6 231cid</t>
        </is>
      </c>
      <c r="I1256" t="inlineStr">
        <is>
          <t>{"0": {"productDeskExternalKey": "CNRD|85-3018"}, "1": {"Package Contents": "Wiper Motor; Instruction Manual"}, "2": {"E-Waste": "Yes"}, "3": {"Product Condition": "New"}, "4": {"Terminal Type": "Blade"}, "5": {"Mounting Type": "Through Hole"}, "6": {"Weight PG": "3.4000"}, "7": {"Washer Pump Included": "No"}, "8": {"Part Type": "Windshield Wiper Motor"}, "9": {"Warranty Info": "Limited Lifetime"}, "10": {"Lifetime Warranty": "Yes"}, "11": {"Lifecycle Status": "Available to Order"}, "12": {"Application Summary": "Chrysler Grand Voyager 2002-01, PT Cruiser 2003-01, Town &amp; Country 2003-01, Voyager 2003-01; Dodge Caravan 2003-01, Grand Caravan 2003-01"}, "13": {"ItemLevelGTIN": "00884548016996"}}</t>
        </is>
      </c>
      <c r="J1256" t="inlineStr">
        <is>
          <t>https://www.cardone.com/product/windshield-wiper-motor-85-3018</t>
        </is>
      </c>
      <c r="K1256">
        <f>DISPIMG("ID_9E545848D25A4931A02D62AD58263F54",1)</f>
        <v/>
      </c>
      <c r="L1256" t="inlineStr">
        <is>
          <t>CNRD|85-3018</t>
        </is>
      </c>
      <c r="M1256" t="inlineStr">
        <is>
          <t>Wiper Motor; Instruction Manual</t>
        </is>
      </c>
      <c r="N1256" t="inlineStr">
        <is>
          <t>Yes</t>
        </is>
      </c>
      <c r="O1256" t="inlineStr">
        <is>
          <t>New</t>
        </is>
      </c>
      <c r="P1256" t="inlineStr"/>
      <c r="Q1256" t="inlineStr">
        <is>
          <t>Blade</t>
        </is>
      </c>
      <c r="R1256" t="inlineStr">
        <is>
          <t>Through Hole</t>
        </is>
      </c>
      <c r="S1256" t="inlineStr">
        <is>
          <t>3.4000</t>
        </is>
      </c>
      <c r="T1256" t="inlineStr">
        <is>
          <t>No</t>
        </is>
      </c>
      <c r="U1256" t="inlineStr">
        <is>
          <t>Limited Lifetime</t>
        </is>
      </c>
      <c r="V1256" t="inlineStr"/>
      <c r="W1256" t="inlineStr">
        <is>
          <t>Available to Order</t>
        </is>
      </c>
      <c r="X1256" t="inlineStr">
        <is>
          <t>Chrysler Grand Voyager 2002-01, PT Cruiser 2003-01, Town &amp; Country 2003-01, Voyager 2003-01; Dodge Caravan 2003-01, Grand Caravan 2003-01</t>
        </is>
      </c>
      <c r="Y1256" t="inlineStr">
        <is>
          <t>00884548016996</t>
        </is>
      </c>
      <c r="Z1256" t="inlineStr"/>
      <c r="AA1256" t="inlineStr"/>
      <c r="AB1256" t="inlineStr"/>
      <c r="AC1256" t="inlineStr">
        <is>
          <t>Yes</t>
        </is>
      </c>
    </row>
    <row r="1257">
      <c r="A1257" t="inlineStr">
        <is>
          <t>1256</t>
        </is>
      </c>
      <c r="B1257" t="inlineStr">
        <is>
          <t>Windshield Wiper Motor</t>
        </is>
      </c>
      <c r="C1257" t="inlineStr">
        <is>
          <t>85-3021</t>
        </is>
      </c>
      <c r="D1257" t="inlineStr">
        <is>
          <t>Windshield Wiper Motor - 85-3021</t>
        </is>
      </c>
      <c r="E1257" t="inlineStr">
        <is>
          <t>CARDONE New</t>
        </is>
      </c>
      <c r="F1257" t="inlineStr">
        <is>
          <t>4897761AA</t>
        </is>
      </c>
      <c r="G1257" t="inlineStr">
        <is>
          <t>Chrysler Prowler 2001-2002
Plymouth Prowler 1997-2001</t>
        </is>
      </c>
      <c r="H1257" t="inlineStr">
        <is>
          <t>Chrysler Prowler 2001-2002 3.5L V6 215cid
Plymouth Prowler 1997-2001 3.5L V6 215cid</t>
        </is>
      </c>
      <c r="I1257" t="inlineStr">
        <is>
          <t>{"0": {"productDeskExternalKey": "CNRD|85-3021"}, "1": {"Package Contents": "Wiper Motor; Instruction Manual"}, "2": {"E-Waste": "Yes"}, "3": {"Product Condition": "New"}, "4": {"Mounting Hole Quantity": "3"}, "5": {"Terminal Type": "Blade"}, "6": {"Mounting Type": "Direct Bolt"}, "7": {"Weight PG": "3.5000"}, "8": {"Washer Pump Included": "No"}, "9": {"Part Type": "Windshield Wiper Motor"}, "10": {"Warranty Info": "Limited Lifetime"}, "11": {"Lifetime Warranty": "Yes"}, "12": {"Lifecycle Status": "Available to Order"}, "13": {"Application Summary": "Chrysler Prowler 2002-01; Plymouth Prowler 2001-99 1997"}, "14": {"ItemLevelGTIN": "00082617802680"}}</t>
        </is>
      </c>
      <c r="J1257" t="inlineStr">
        <is>
          <t>https://www.cardone.com/product/windshield-wiper-motor-85-3021</t>
        </is>
      </c>
      <c r="K1257">
        <f>DISPIMG("ID_79AA7BBC83DD40B7AC21CB864ECD0346",1)</f>
        <v/>
      </c>
      <c r="L1257" t="inlineStr">
        <is>
          <t>CNRD|85-3021</t>
        </is>
      </c>
      <c r="M1257" t="inlineStr">
        <is>
          <t>Wiper Motor; Instruction Manual</t>
        </is>
      </c>
      <c r="N1257" t="inlineStr">
        <is>
          <t>Yes</t>
        </is>
      </c>
      <c r="O1257" t="inlineStr">
        <is>
          <t>New</t>
        </is>
      </c>
      <c r="P1257" t="inlineStr">
        <is>
          <t>3</t>
        </is>
      </c>
      <c r="Q1257" t="inlineStr">
        <is>
          <t>Blade</t>
        </is>
      </c>
      <c r="R1257" t="inlineStr">
        <is>
          <t>Direct Bolt</t>
        </is>
      </c>
      <c r="S1257" t="inlineStr">
        <is>
          <t>3.5000</t>
        </is>
      </c>
      <c r="T1257" t="inlineStr">
        <is>
          <t>No</t>
        </is>
      </c>
      <c r="U1257" t="inlineStr">
        <is>
          <t>Limited Lifetime</t>
        </is>
      </c>
      <c r="V1257" t="inlineStr"/>
      <c r="W1257" t="inlineStr">
        <is>
          <t>Available to Order</t>
        </is>
      </c>
      <c r="X1257" t="inlineStr">
        <is>
          <t>Chrysler Prowler 2002-01; Plymouth Prowler 2001-99 1997</t>
        </is>
      </c>
      <c r="Y1257" t="inlineStr">
        <is>
          <t>00082617802680</t>
        </is>
      </c>
      <c r="Z1257" t="inlineStr"/>
      <c r="AA1257" t="inlineStr"/>
      <c r="AB1257" t="inlineStr"/>
      <c r="AC1257" t="inlineStr">
        <is>
          <t>Yes</t>
        </is>
      </c>
    </row>
    <row r="1258">
      <c r="A1258" t="inlineStr">
        <is>
          <t>1257</t>
        </is>
      </c>
      <c r="B1258" t="inlineStr">
        <is>
          <t>Windshield Wiper Motor</t>
        </is>
      </c>
      <c r="C1258" t="inlineStr">
        <is>
          <t>85-3024</t>
        </is>
      </c>
      <c r="D1258" t="inlineStr">
        <is>
          <t>Windshield Wiper Motor - 85-3024</t>
        </is>
      </c>
      <c r="E1258" t="inlineStr">
        <is>
          <t>CARDONE New</t>
        </is>
      </c>
      <c r="F1258" t="inlineStr">
        <is>
          <t>55076549AG;55076549AF;55076549AH</t>
        </is>
      </c>
      <c r="G1258" t="inlineStr">
        <is>
          <t>Dodge Ram 1500 1998-2002
Dodge Ram 2500 2000-2002
Dodge Ram 3500 2000-2002</t>
        </is>
      </c>
      <c r="H1258" t="inlineStr">
        <is>
          <t>Dodge Ram 1500 1998-2001 5.2L V8 318cid
Dodge Ram 1500 1998-2002 3.9L V6 239cid
Dodge Ram 1500 1998-2002 5.9L V8 360cid
Dodge Ram 1500 2002 3.7L V6 226cid
Dodge Ram 1500 2002 4.7L V8 287cid
Dodge Ram 2500 2000-2001 5.2L V8 318cid
Dodge Ram 2500 2000-2002 5.9L L6 359cid
Dodge Ram 2500 2000-2002 5.9L V8 360cid
Dodge Ram 2500 2000-2002 8L V10 488cid
Dodge Ram 2500 2002 4.7L V8 287cid
Dodge Ram 3500 2000-2002 5.9L L6 359cid
Dodge Ram 3500 2000-2002 5.9L V8 360cid
Dodge Ram 3500 2000-2002 8L V10 488cid</t>
        </is>
      </c>
      <c r="I1258" t="inlineStr">
        <is>
          <t>{"0": {"productDeskExternalKey": "CNRD|85-3024"}, "1": {"Package Contents": "Wiper Motor; Instruction Manual"}, "2": {"E-Waste": "Yes"}, "3": {"Product Condition": "New"}, "4": {"Mounting Hole Quantity": "3"}, "5": {"Terminal Type": "Blade"}, "6": {"Mounting Type": "Direct Bolt"}, "7": {"Weight PG": "2.6000"}, "8": {"Washer Pump Included": "No"}, "9": {"Part Type": "Windshield Wiper Motor"}, "10": {"Warranty Info": "Limited Lifetime"}, "11": {"Lifetime Warranty": "Yes"}, "12": {"Lifecycle Status": "Available to Order"}, "13": {"Application Summary": "Dodge Ram 1500 2002-98, Ram 2500 2002-00, Ram 3500 2002-00"}, "14": {"ItemLevelGTIN": "00884548087071"}}</t>
        </is>
      </c>
      <c r="J1258" t="inlineStr">
        <is>
          <t>https://www.cardone.com/product/windshield-wiper-motor-85-3024</t>
        </is>
      </c>
      <c r="K1258">
        <f>DISPIMG("ID_0BDFE8D1FD5A4A71999698AA41996FFA",1)</f>
        <v/>
      </c>
      <c r="L1258" t="inlineStr">
        <is>
          <t>CNRD|85-3024</t>
        </is>
      </c>
      <c r="M1258" t="inlineStr">
        <is>
          <t>Wiper Motor; Instruction Manual</t>
        </is>
      </c>
      <c r="N1258" t="inlineStr">
        <is>
          <t>Yes</t>
        </is>
      </c>
      <c r="O1258" t="inlineStr">
        <is>
          <t>New</t>
        </is>
      </c>
      <c r="P1258" t="inlineStr">
        <is>
          <t>3</t>
        </is>
      </c>
      <c r="Q1258" t="inlineStr">
        <is>
          <t>Blade</t>
        </is>
      </c>
      <c r="R1258" t="inlineStr">
        <is>
          <t>Direct Bolt</t>
        </is>
      </c>
      <c r="S1258" t="inlineStr">
        <is>
          <t>2.6000</t>
        </is>
      </c>
      <c r="T1258" t="inlineStr">
        <is>
          <t>No</t>
        </is>
      </c>
      <c r="U1258" t="inlineStr">
        <is>
          <t>Limited Lifetime</t>
        </is>
      </c>
      <c r="V1258" t="inlineStr"/>
      <c r="W1258" t="inlineStr">
        <is>
          <t>Available to Order</t>
        </is>
      </c>
      <c r="X1258" t="inlineStr">
        <is>
          <t>Dodge Ram 1500 2002-98, Ram 2500 2002-00, Ram 3500 2002-00</t>
        </is>
      </c>
      <c r="Y1258" t="inlineStr">
        <is>
          <t>00884548087071</t>
        </is>
      </c>
      <c r="Z1258" t="inlineStr"/>
      <c r="AA1258" t="inlineStr"/>
      <c r="AB1258" t="inlineStr"/>
      <c r="AC1258" t="inlineStr">
        <is>
          <t>Yes</t>
        </is>
      </c>
    </row>
    <row r="1259">
      <c r="A1259" t="inlineStr">
        <is>
          <t>1258</t>
        </is>
      </c>
      <c r="B1259" t="inlineStr">
        <is>
          <t>Windshield Wiper Motor</t>
        </is>
      </c>
      <c r="C1259" t="inlineStr">
        <is>
          <t>85-3025</t>
        </is>
      </c>
      <c r="D1259" t="inlineStr">
        <is>
          <t>Windshield Wiper Motor - 85-3025</t>
        </is>
      </c>
      <c r="E1259" t="inlineStr">
        <is>
          <t>CARDONE New</t>
        </is>
      </c>
      <c r="F1259" t="inlineStr">
        <is>
          <t>55077098AJ;55077098AL;55077098AA</t>
        </is>
      </c>
      <c r="G1259" t="inlineStr">
        <is>
          <t>Dodge Ram 1500 2003-2009
Dodge Ram 2500 2003-2010
Dodge Ram 3500 2003-2010
Dodge Ram 4500 2008-2010
Dodge Ram 5500 2008-2010</t>
        </is>
      </c>
      <c r="H1259" t="inlineStr">
        <is>
          <t>Dodge Ram 1500 2003 5.9L V8 360cid
Dodge Ram 1500 2003-2009 3.7L V6 226cid
Dodge Ram 1500 2003-2009 4.7L V8 287cid
Dodge Ram 1500 2003-2009 5.7L V8 345cid
Dodge Ram 1500 2004-2006 8.3L V10 505cid
Dodge Ram 2500 2003 8L V10 488cid
Dodge Ram 2500 2003-2009 5.9L L6 359cid
Dodge Ram 2500 2003-2010 4.7L V8 287cid
Dodge Ram 2500 2003-2010 5.7L V8 345cid
Dodge Ram 2500 2007-2010 6.7L L6 408cid
Dodge Ram 3500 2003 8L V10 488cid
Dodge Ram 3500 2003-2008 5.9L L6 359cid
Dodge Ram 3500 2003-2009 5.7L V8 345cid
Dodge Ram 3500 2007-2010 6.7L L6 408cid
Dodge Ram 4500 2008-2010 6.7L L6 408cid
Dodge Ram 5500 2008-2010 6.7L L6 408cid</t>
        </is>
      </c>
      <c r="I1259" t="inlineStr">
        <is>
          <t>{"0": {"productDeskExternalKey": "CNRD|85-3025"}, "1": {"Package Contents": "Wiper Motor; Instruction Manual"}, "2": {"E-Waste": "Yes"}, "3": {"Product Condition": "New"}, "4": {"Mounting Hole Quantity": "3"}, "5": {"Terminal Type": "Blade"}, "6": {"Mounting Type": "Direct Bolt; Grommet"}, "7": {"Weight PG": "2.8200"}, "8": {"Washer Pump Included": "No"}, "9": {"Part Type": "Windshield Wiper Motor"}, "10": {"Warranty Info": "Limited Lifetime"}, "11": {"Lifetime Warranty": "Yes"}, "12": {"Lifecycle Status": "Available to Order"}, "13": {"Application Summary": "Dodge Ram 1500 2009-03, Ram 2500 2010-03, Ram 3500 2010-03, Ram 4500 2010-08, Ram 5500 2010-08"}, "14": {"ItemLevelGTIN": "00082617813181"}}</t>
        </is>
      </c>
      <c r="J1259" t="inlineStr">
        <is>
          <t>https://www.cardone.com/product/windshield-wiper-motor-85-3025</t>
        </is>
      </c>
      <c r="K1259">
        <f>DISPIMG("ID_33B9B5553033453AACB7F501BD455AC9",1)</f>
        <v/>
      </c>
      <c r="L1259" t="inlineStr">
        <is>
          <t>CNRD|85-3025</t>
        </is>
      </c>
      <c r="M1259" t="inlineStr">
        <is>
          <t>Wiper Motor; Instruction Manual</t>
        </is>
      </c>
      <c r="N1259" t="inlineStr">
        <is>
          <t>Yes</t>
        </is>
      </c>
      <c r="O1259" t="inlineStr">
        <is>
          <t>New</t>
        </is>
      </c>
      <c r="P1259" t="inlineStr">
        <is>
          <t>3</t>
        </is>
      </c>
      <c r="Q1259" t="inlineStr">
        <is>
          <t>Blade</t>
        </is>
      </c>
      <c r="R1259" t="inlineStr">
        <is>
          <t>Direct Bolt; Grommet</t>
        </is>
      </c>
      <c r="S1259" t="inlineStr">
        <is>
          <t>2.8200</t>
        </is>
      </c>
      <c r="T1259" t="inlineStr">
        <is>
          <t>No</t>
        </is>
      </c>
      <c r="U1259" t="inlineStr">
        <is>
          <t>Limited Lifetime</t>
        </is>
      </c>
      <c r="V1259" t="inlineStr"/>
      <c r="W1259" t="inlineStr">
        <is>
          <t>Available to Order</t>
        </is>
      </c>
      <c r="X1259" t="inlineStr">
        <is>
          <t>Dodge Ram 1500 2009-03, Ram 2500 2010-03, Ram 3500 2010-03, Ram 4500 2010-08, Ram 5500 2010-08</t>
        </is>
      </c>
      <c r="Y1259" t="inlineStr">
        <is>
          <t>00082617813181</t>
        </is>
      </c>
      <c r="Z1259" t="inlineStr"/>
      <c r="AA1259" t="inlineStr"/>
      <c r="AB1259" t="inlineStr"/>
      <c r="AC1259" t="inlineStr">
        <is>
          <t>Yes</t>
        </is>
      </c>
    </row>
    <row r="1260">
      <c r="A1260" t="inlineStr">
        <is>
          <t>1259</t>
        </is>
      </c>
      <c r="B1260" t="inlineStr">
        <is>
          <t>Windshield Wiper Motor</t>
        </is>
      </c>
      <c r="C1260" t="inlineStr">
        <is>
          <t>85-3026</t>
        </is>
      </c>
      <c r="D1260" t="inlineStr">
        <is>
          <t>Windshield Wiper Motor - 85-3026</t>
        </is>
      </c>
      <c r="E1260" t="inlineStr">
        <is>
          <t>CARDONE New</t>
        </is>
      </c>
      <c r="F1260" t="inlineStr">
        <is>
          <t>5101863AA;68003829AA</t>
        </is>
      </c>
      <c r="G1260" t="inlineStr">
        <is>
          <t>Chrysler Cirrus 2004-2009
Chrysler Sebring 2004-2009
Dodge Avenger 2008
Dodge Stratus 2004-2006</t>
        </is>
      </c>
      <c r="H1260" t="inlineStr">
        <is>
          <t>Chrysler Cirrus 2004-2006 2.4L L4 148cid
Chrysler Cirrus 2006 2.7L V6 167cid
Chrysler Cirrus 2007-2009 2.4L L4 144cid
Chrysler Cirrus 2007-2009 3.5L V6 215cid
Chrysler Sebring 2004-2005 2.4L L4 2351cc
Chrysler Sebring 2004-2005 3L V6 181cid
Chrysler Sebring 2004-2006 2.4L L4 148cid
Chrysler Sebring 2004-2009 2.7L V6 167cid
Chrysler Sebring 2007-2009 2.4L L4 144cid
Chrysler Sebring 2007-2009 3.5L V6 215cid
Dodge Avenger 2008 2.4L L4 144cid
Dodge Avenger 2008 2.7L V6 167cid
Dodge Avenger 2008 2L L4 122cid
Dodge Avenger 2008 3.5L V6 215cid
Dodge Stratus 2004-2005 2.4L L4 2351cc
Dodge Stratus 2004-2005 3L V6 181cid
Dodge Stratus 2004-2006 2.4L L4 148cid
Dodge Stratus 2004-2006 2.7L V6 167cid
Dodge Stratus 2004-2006 2L L4 122cid</t>
        </is>
      </c>
      <c r="I1260" t="inlineStr">
        <is>
          <t>{"0": {"productDeskExternalKey": "CNRD|85-3026"}, "1": {"Package Contents": "Wiper Motor; Instruction Manual"}, "2": {"E-Waste": "Yes"}, "3": {"Product Condition": "New"}, "4": {"Mounting Hole Quantity": "3"}, "5": {"Terminal Type": "Blade"}, "6": {"Mounting Type": "Direct Bolt"}, "7": {"Weight PG": "3.2000"}, "8": {"Washer Pump Included": "No"}, "9": {"Part Type": "Windshield Wiper Motor"}, "10": {"Warranty Info": "Limited Lifetime"}, "11": {"Lifetime Warranty": "Yes"}, "12": {"Lifecycle Status": "Available to Order"}, "13": {"Application Summary": "Chrysler Cirrus 2009-04, Sebring 2009-04; Dodge Avenger 2008, Stratus 2006-04"}, "14": {"ItemLevelGTIN": "00884548260955"}}</t>
        </is>
      </c>
      <c r="J1260" t="inlineStr">
        <is>
          <t>https://www.cardone.com/product/windshield-wiper-motor-85-3026</t>
        </is>
      </c>
      <c r="K1260">
        <f>DISPIMG("ID_EF161CEAE32B483E898713BD2BF465B4",1)</f>
        <v/>
      </c>
      <c r="L1260" t="inlineStr">
        <is>
          <t>CNRD|85-3026</t>
        </is>
      </c>
      <c r="M1260" t="inlineStr">
        <is>
          <t>Wiper Motor; Instruction Manual</t>
        </is>
      </c>
      <c r="N1260" t="inlineStr">
        <is>
          <t>Yes</t>
        </is>
      </c>
      <c r="O1260" t="inlineStr">
        <is>
          <t>New</t>
        </is>
      </c>
      <c r="P1260" t="inlineStr">
        <is>
          <t>3</t>
        </is>
      </c>
      <c r="Q1260" t="inlineStr">
        <is>
          <t>Blade</t>
        </is>
      </c>
      <c r="R1260" t="inlineStr">
        <is>
          <t>Direct Bolt</t>
        </is>
      </c>
      <c r="S1260" t="inlineStr">
        <is>
          <t>3.2000</t>
        </is>
      </c>
      <c r="T1260" t="inlineStr">
        <is>
          <t>No</t>
        </is>
      </c>
      <c r="U1260" t="inlineStr">
        <is>
          <t>Limited Lifetime</t>
        </is>
      </c>
      <c r="V1260" t="inlineStr"/>
      <c r="W1260" t="inlineStr">
        <is>
          <t>Available to Order</t>
        </is>
      </c>
      <c r="X1260" t="inlineStr">
        <is>
          <t>Chrysler Cirrus 2009-04, Sebring 2009-04; Dodge Avenger 2008, Stratus 2006-04</t>
        </is>
      </c>
      <c r="Y1260" t="inlineStr">
        <is>
          <t>00884548260955</t>
        </is>
      </c>
      <c r="Z1260" t="inlineStr"/>
      <c r="AA1260" t="inlineStr"/>
      <c r="AB1260" t="inlineStr"/>
      <c r="AC1260" t="inlineStr">
        <is>
          <t>Yes</t>
        </is>
      </c>
    </row>
    <row r="1261">
      <c r="A1261" t="inlineStr">
        <is>
          <t>1260</t>
        </is>
      </c>
      <c r="B1261" t="inlineStr">
        <is>
          <t>Windshield Wiper Motor</t>
        </is>
      </c>
      <c r="C1261" t="inlineStr">
        <is>
          <t>85-3028</t>
        </is>
      </c>
      <c r="D1261" t="inlineStr">
        <is>
          <t>Windshield Wiper Motor - 85-3028</t>
        </is>
      </c>
      <c r="E1261" t="inlineStr">
        <is>
          <t>CARDONE New</t>
        </is>
      </c>
      <c r="F1261" t="inlineStr">
        <is>
          <t>4857931AD;2518200042;4857931AC;4857931AB</t>
        </is>
      </c>
      <c r="G1261" t="inlineStr">
        <is>
          <t>Chrysler PT Cruiser 2004-2010
Chrysler Town &amp; Country 2004-2007
Chrysler Voyager 2004-2007
Dodge Caravan 2004-2007
Dodge Grand Caravan 2004-2007
Mercedes-Benz GL320 2007-2009
Mercedes-Benz GL350 2010-2016
Mercedes-Benz GL450 2007-2016
Mercedes-Benz GL550 2008-2016
Mercedes-Benz GL63 AMG 2013-2016
Mercedes-Benz GLE300d 2016
Mercedes-Benz GLE350 2016-2018
Mercedes-Benz GLE400 2016-2019
Mercedes-Benz GLE43 AMG 2017-2019
Mercedes-Benz GLE450 AMG 2016
Mercedes-Benz GLE550e 2016-2018
Mercedes-Benz GLE63 AMG 2016-2019
Mercedes-Benz GLE63 AMG S 2016-2019
Mercedes-Benz GLS450 2017-2019
Mercedes-Benz GLS550 2017-2019
Mercedes-Benz GLS63 AMG 2017-2019
Mercedes-Benz ML320 2007-2009
Mercedes-Benz ML350 2006-2015
Mercedes-Benz ML400 2015
Mercedes-Benz ML450 2010-2011
Mercedes-Benz ML500 2006-2007
Mercedes-Benz ML550 2008-2014
Mercedes-Benz ML63 AMG 2007-2015
Mercedes-Benz R320 2007-2009
Mercedes-Benz R350 2006-2012
Mercedes-Benz R500 2006-2007
Mercedes-Benz R63 AMG 2007</t>
        </is>
      </c>
      <c r="H1261" t="inlineStr">
        <is>
          <t>Chrysler PT Cruiser 2004-2010 2.4L L4 148cid
Chrysler Town &amp; Country 2004-2007 3.3L V6 201cid
Chrysler Town &amp; Country 2004-2007 3.8L V6 231cid
Chrysler Voyager 2004-2007 3.3L V6 201cid
Dodge Caravan 2004-2007 2.4L L4 148cid
Dodge Caravan 2004-2007 3.3L V6 201cid
Dodge Grand Caravan 2004-2007 3.3L V6 201cid
Dodge Grand Caravan 2004-2007 3.8L V6 231cid
Mercedes-Benz GL320 2007-2009 3L V6 2987cc
Mercedes-Benz GL350 2010-2016 3L V6 2987cc
Mercedes-Benz GL450 2007-2014 4.7L V8 285cid
Mercedes-Benz GL450 2015-2016 3L V6 2996cc
Mercedes-Benz GL550 2008-2012 5.5L V8 333cid
Mercedes-Benz GL550 2013-2016 4.7L V8 285cid
Mercedes-Benz GL63 AMG 2013-2016 5.5L V8 333cid
Mercedes-Benz GLE300d 2016 2.1L L4 131cid
Mercedes-Benz GLE350 2016-2018 3.5L V6 3498cc
Mercedes-Benz GLE400 2016 3L V6 183cid
Mercedes-Benz GLE400 2016-2019 3L V6 2996cc
Mercedes-Benz GLE43 AMG 2017-2019 3L V6 2996cc
Mercedes-Benz GLE450 AMG 2016 3L V6 2996cc
Mercedes-Benz GLE550e 2016-2018 3L V6 2996cc
Mercedes-Benz GLE63 AMG 2016-2019 5.5L V8 333cid
Mercedes-Benz GLE63 AMG S 2016-2019 5.5L V8 333cid
Mercedes-Benz GLS450 2017-2019 3L V6 2996cc
Mercedes-Benz GLS550 2017-2019 4.7L V8 285cid
Mercedes-Benz GLS63 AMG 2017-2019 5.5L V8 333cid
Mercedes-Benz ML320 2007-2009 3L V6 2987cc
Mercedes-Benz ML350 2006-2015 3.5L V6 3498cc
Mercedes-Benz ML350 2010-2011 5.5L V8 333cid
Mercedes-Benz ML350 2010-2015 3L V6 2987cc
Mercedes-Benz ML350 2012 4.7L V8 285cid
Mercedes-Benz ML400 2015 3L V6 2996cc
Mercedes-Benz ML450 2010-2011 3.5L V6 3498cc
Mercedes-Benz ML500 2006 5L V8 4966cc
Mercedes-Benz ML500 2006-2007 5L V8 303cid
Mercedes-Benz ML500 2007 5L V8 4973cc
Mercedes-Benz ML550 2008-2011 5.5L V8 333cid
Mercedes-Benz ML550 2012-2014 4.7L V8 285cid
Mercedes-Benz ML63 AMG 2007-2011 6.3L V8 6208cc
Mercedes-Benz ML63 AMG 2012-2015 5.5L V8 333cid
Mercedes-Benz R320 2007-2009 3L V6 2987cc
Mercedes-Benz R350 2006-2012 3.5L V6 3498cc
Mercedes-Benz R350 2010-2012 3L V6 2987cc
Mercedes-Benz R500 2006-2007 5L V8 4966cc
Mercedes-Benz R500 2007 5L V8 4973cc
Mercedes-Benz R63 AMG 2007 6.3L V8 6208cc</t>
        </is>
      </c>
      <c r="I1261" t="inlineStr">
        <is>
          <t>{"0": {"productDeskExternalKey": "CNRD|85-3028"}, "1": {"Package Contents": "Wiper Motor; Instruction Manual"}, "2": {"E-Waste": "Yes"}, "3": {"Product Condition": "New"}, "4": {"Mounting Hole Quantity": "3"}, "5": {"Terminal Type": "Blade"}, "6": {"Mounting Type": "Grommet"}, "7": {"Weight PG": "2.5000"}, "8": {"Washer Pump Included": "No"}, "9": {"Part Type": "Windshield Wiper Motor"}, "10": {"Warranty Info": "Limited Lifetime"}, "11": {"Lifetime Warranty": "Yes"}, "12": {"Lifecycle Status": "Available to Order"}, "13": {"ItemLevelGTIN": "00082617948395"}}</t>
        </is>
      </c>
      <c r="J1261" t="inlineStr">
        <is>
          <t>https://www.cardone.com/product/windshield-wiper-motor-85-3028</t>
        </is>
      </c>
      <c r="K1261">
        <f>DISPIMG("ID_921F99F6CED94FA3A70D0C876E2745D0",1)</f>
        <v/>
      </c>
      <c r="L1261" t="inlineStr">
        <is>
          <t>CNRD|85-3028</t>
        </is>
      </c>
      <c r="M1261" t="inlineStr">
        <is>
          <t>Wiper Motor; Instruction Manual</t>
        </is>
      </c>
      <c r="N1261" t="inlineStr">
        <is>
          <t>Yes</t>
        </is>
      </c>
      <c r="O1261" t="inlineStr">
        <is>
          <t>New</t>
        </is>
      </c>
      <c r="P1261" t="inlineStr">
        <is>
          <t>3</t>
        </is>
      </c>
      <c r="Q1261" t="inlineStr">
        <is>
          <t>Blade</t>
        </is>
      </c>
      <c r="R1261" t="inlineStr">
        <is>
          <t>Grommet</t>
        </is>
      </c>
      <c r="S1261" t="inlineStr">
        <is>
          <t>2.5000</t>
        </is>
      </c>
      <c r="T1261" t="inlineStr">
        <is>
          <t>No</t>
        </is>
      </c>
      <c r="U1261" t="inlineStr">
        <is>
          <t>Limited Lifetime</t>
        </is>
      </c>
      <c r="V1261" t="inlineStr"/>
      <c r="W1261" t="inlineStr">
        <is>
          <t>Available to Order</t>
        </is>
      </c>
      <c r="X1261" t="inlineStr"/>
      <c r="Y1261" t="inlineStr">
        <is>
          <t>00082617948395</t>
        </is>
      </c>
      <c r="Z1261" t="inlineStr"/>
      <c r="AA1261" t="inlineStr"/>
      <c r="AB1261" t="inlineStr"/>
      <c r="AC1261" t="inlineStr">
        <is>
          <t>Yes</t>
        </is>
      </c>
    </row>
    <row r="1262">
      <c r="A1262" t="inlineStr">
        <is>
          <t>1261</t>
        </is>
      </c>
      <c r="B1262" t="inlineStr">
        <is>
          <t>Windshield Wiper Motor</t>
        </is>
      </c>
      <c r="C1262" t="inlineStr">
        <is>
          <t>85-3033</t>
        </is>
      </c>
      <c r="D1262" t="inlineStr">
        <is>
          <t>Windshield Wiper Motor - 85-3033</t>
        </is>
      </c>
      <c r="E1262" t="inlineStr">
        <is>
          <t>CARDONE New</t>
        </is>
      </c>
      <c r="F1262" t="inlineStr">
        <is>
          <t>5175910AA;10389558</t>
        </is>
      </c>
      <c r="G1262" t="inlineStr">
        <is>
          <t>Chrysler PT Cruiser 2006-2010
Hummer H3 2006-2010
Hummer H3T 2009-2010</t>
        </is>
      </c>
      <c r="H1262" t="inlineStr">
        <is>
          <t>Chrysler PT Cruiser 2006-2010 2.4L L4 148cid
Hummer H3 2006 3.5L L5 211cid
Hummer H3 2007-2010 3.7L L5 223cid
Hummer H3 2008-2010 5.3L V8 325cid
Hummer H3T 2009-2010 3.7L L5 223cid
Hummer H3T 2009-2010 5.3L V8 325cid</t>
        </is>
      </c>
      <c r="I1262" t="inlineStr">
        <is>
          <t>{"0": {"productDeskExternalKey": "CNRD|85-3033"}, "1": {"Package Contents": "Wiper Motor; Instruction Manual"}, "2": {"E-Waste": "Yes"}, "3": {"Product Condition": "New"}, "4": {"Terminal Type": "Blade"}, "5": {"Mounting Type": "Direct Bolt; Grommet"}, "6": {"Weight PG": "3.0000"}, "7": {"Washer Pump Included": "No"}, "8": {"Part Type": "Windshield Wiper Motor"}, "9": {"Warranty Info": "Limited Lifetime"}, "10": {"Lifetime Warranty": "Yes"}, "11": {"Lifecycle Status": "Available to Order"}, "12": {"Application Summary": "Chrysler PT Cruiser 2010-06; Hummer H3 2010-06, H3T 2010-09"}, "13": {"ItemLevelGTIN": "00884548173507"}}</t>
        </is>
      </c>
      <c r="J1262" t="inlineStr">
        <is>
          <t>https://www.cardone.com/product/windshield-wiper-motor-85-3033</t>
        </is>
      </c>
      <c r="K1262">
        <f>DISPIMG("ID_23FED1D53AD2439F87E27D9CB7C6DDDF",1)</f>
        <v/>
      </c>
      <c r="L1262" t="inlineStr">
        <is>
          <t>CNRD|85-3033</t>
        </is>
      </c>
      <c r="M1262" t="inlineStr">
        <is>
          <t>Wiper Motor; Instruction Manual</t>
        </is>
      </c>
      <c r="N1262" t="inlineStr">
        <is>
          <t>Yes</t>
        </is>
      </c>
      <c r="O1262" t="inlineStr">
        <is>
          <t>New</t>
        </is>
      </c>
      <c r="P1262" t="inlineStr"/>
      <c r="Q1262" t="inlineStr">
        <is>
          <t>Blade</t>
        </is>
      </c>
      <c r="R1262" t="inlineStr">
        <is>
          <t>Direct Bolt; Grommet</t>
        </is>
      </c>
      <c r="S1262" t="inlineStr">
        <is>
          <t>3.0000</t>
        </is>
      </c>
      <c r="T1262" t="inlineStr">
        <is>
          <t>No</t>
        </is>
      </c>
      <c r="U1262" t="inlineStr">
        <is>
          <t>Limited Lifetime</t>
        </is>
      </c>
      <c r="V1262" t="inlineStr"/>
      <c r="W1262" t="inlineStr">
        <is>
          <t>Available to Order</t>
        </is>
      </c>
      <c r="X1262" t="inlineStr">
        <is>
          <t>Chrysler PT Cruiser 2010-06; Hummer H3 2010-06, H3T 2010-09</t>
        </is>
      </c>
      <c r="Y1262" t="inlineStr">
        <is>
          <t>00884548173507</t>
        </is>
      </c>
      <c r="Z1262" t="inlineStr"/>
      <c r="AA1262" t="inlineStr"/>
      <c r="AB1262" t="inlineStr"/>
      <c r="AC1262" t="inlineStr">
        <is>
          <t>Yes</t>
        </is>
      </c>
    </row>
    <row r="1263">
      <c r="A1263" t="inlineStr">
        <is>
          <t>1262</t>
        </is>
      </c>
      <c r="B1263" t="inlineStr">
        <is>
          <t>Windshield Wiper Motor</t>
        </is>
      </c>
      <c r="C1263" t="inlineStr">
        <is>
          <t>85-3036</t>
        </is>
      </c>
      <c r="D1263" t="inlineStr">
        <is>
          <t>Windshield Wiper Motor - 85-3036</t>
        </is>
      </c>
      <c r="E1263" t="inlineStr">
        <is>
          <t>CARDONE New</t>
        </is>
      </c>
      <c r="F1263" t="inlineStr">
        <is>
          <t>55077823AC;55077823AF;55157447AA;55077451AB;55077823AA;55077451AD;55077451AE;55077451AC</t>
        </is>
      </c>
      <c r="G1263" t="inlineStr">
        <is>
          <t>Chrysler Aspen 2007-2009
Dodge Durango 2004-2009
Dodge Magnum 2005-2008
Dodge Nitro 2007-2011</t>
        </is>
      </c>
      <c r="H1263" t="inlineStr">
        <is>
          <t>Chrysler Aspen 2007-2009 4.7L V8 287cid
Chrysler Aspen 2007-2009 5.7L V8 345cid
Dodge Durango 2004-2009 3.7L V6 226cid
Dodge Durango 2004-2009 4.7L V8 287cid
Dodge Durango 2004-2009 5.7L V8 345cid
Dodge Magnum 2005-2008 2.7L V6 167cid
Dodge Magnum 2005-2008 3.5L V6 215cid
Dodge Magnum 2005-2008 5.7L V8 345cid
Dodge Magnum 2006-2008 6.1L V8 370cid
Dodge Nitro 2007-2011 3.7L V6 226cid
Dodge Nitro 2007-2011 4L V6 241cid</t>
        </is>
      </c>
      <c r="I1263" t="inlineStr">
        <is>
          <t>{"0": {"productDeskExternalKey": "CNRD|85-3036"}, "1": {"Package Contents": "Wiper Motor; Instruction Manual"}, "2": {"E-Waste": "Yes"}, "3": {"Product Condition": "New"}, "4": {"Terminal Type": "Blade"}, "5": {"Mounting Type": "Eyelet; Grommet"}, "6": {"Weight PG": "2.8000"}, "7": {"Washer Pump Included": "No"}, "8": {"Part Type": "Windshield Wiper Motor"}, "9": {"Warranty Info": "Limited Lifetime"}, "10": {"Lifetime Warranty": "Yes"}, "11": {"Lifecycle Status": "Available to Order"}, "12": {"Application Summary": "Chrysler Aspen 2009-07; Dodge Durango 2009-04, Magnum 2008-05, Nitro 2011-07"}, "13": {"ItemLevelGTIN": "00884548064034"}}</t>
        </is>
      </c>
      <c r="J1263" t="inlineStr">
        <is>
          <t>https://www.cardone.com/product/windshield-wiper-motor-85-3036</t>
        </is>
      </c>
      <c r="K1263">
        <f>DISPIMG("ID_B549BAFBEB3C4E53940DB669F1DC2280",1)</f>
        <v/>
      </c>
      <c r="L1263" t="inlineStr">
        <is>
          <t>CNRD|85-3036</t>
        </is>
      </c>
      <c r="M1263" t="inlineStr">
        <is>
          <t>Wiper Motor; Instruction Manual</t>
        </is>
      </c>
      <c r="N1263" t="inlineStr">
        <is>
          <t>Yes</t>
        </is>
      </c>
      <c r="O1263" t="inlineStr">
        <is>
          <t>New</t>
        </is>
      </c>
      <c r="P1263" t="inlineStr"/>
      <c r="Q1263" t="inlineStr">
        <is>
          <t>Blade</t>
        </is>
      </c>
      <c r="R1263" t="inlineStr">
        <is>
          <t>Eyelet; Grommet</t>
        </is>
      </c>
      <c r="S1263" t="inlineStr">
        <is>
          <t>2.8000</t>
        </is>
      </c>
      <c r="T1263" t="inlineStr">
        <is>
          <t>No</t>
        </is>
      </c>
      <c r="U1263" t="inlineStr">
        <is>
          <t>Limited Lifetime</t>
        </is>
      </c>
      <c r="V1263" t="inlineStr"/>
      <c r="W1263" t="inlineStr">
        <is>
          <t>Available to Order</t>
        </is>
      </c>
      <c r="X1263" t="inlineStr">
        <is>
          <t>Chrysler Aspen 2009-07; Dodge Durango 2009-04, Magnum 2008-05, Nitro 2011-07</t>
        </is>
      </c>
      <c r="Y1263" t="inlineStr">
        <is>
          <t>00884548064034</t>
        </is>
      </c>
      <c r="Z1263" t="inlineStr"/>
      <c r="AA1263" t="inlineStr"/>
      <c r="AB1263" t="inlineStr"/>
      <c r="AC1263" t="inlineStr">
        <is>
          <t>Yes</t>
        </is>
      </c>
    </row>
    <row r="1264">
      <c r="A1264" t="inlineStr">
        <is>
          <t>1263</t>
        </is>
      </c>
      <c r="B1264" t="inlineStr">
        <is>
          <t>Windshield Wiper Motor</t>
        </is>
      </c>
      <c r="C1264" t="inlineStr">
        <is>
          <t>85-3038</t>
        </is>
      </c>
      <c r="D1264" t="inlineStr">
        <is>
          <t>Windshield Wiper Motor - 85-3038</t>
        </is>
      </c>
      <c r="E1264" t="inlineStr">
        <is>
          <t>CARDONE New</t>
        </is>
      </c>
      <c r="F1264" t="inlineStr">
        <is>
          <t>68002320AA;5183273AA;55079158AF;5303780AB;KD5367340B;5303827AD;68079854AA;55079158AD;68190045AA;5303780AE;68003729AA;22905713;5303827AE;KD5367340;68197132AD;68301826AA;68156259AA;76505TZ5A01;4879432AG;5183273AB;4879432AH;5303827AC;68197132AA</t>
        </is>
      </c>
      <c r="G1264" t="inlineStr">
        <is>
          <t>Acura MDX 2014-2020
Cadillac ATS 2013-2019
Dodge Caliber 2007-2012
Dodge Dart 2013-2016
Dodge Durango 2011-2022
Jeep Cherokee 2014-2022
Jeep Compass 2007-2017
Jeep Grand Cherokee 2011-2022
Jeep Patriot 2007-2017
Mazda CX-5 2013-2015</t>
        </is>
      </c>
      <c r="H1264" t="inlineStr">
        <is>
          <t>Acura MDX 2014-2020 3.5L V6 3471cc
Acura MDX 2017-2020 3L V6 2997cc
Cadillac ATS 2013-2017 2.5L L4 150cid
Cadillac ATS 2013-2019 2L L4 122cid
Cadillac ATS 2013-2019 3.6L V6 217cid
Cadillac ATS 2016-2019 3.6L V6 222cid
Dodge Caliber 2007-2009 1.8L L4 110cid
Dodge Caliber 2007-2012 2.4L L4 144cid
Dodge Caliber 2007-2012 2L L4 122cid
Dodge Dart 2013-2016 1.4L L4 83cid
Dodge Dart 2013-2016 2.4L L4 144cid
Dodge Dart 2013-2016 2L L4 122cid
Dodge Durango 2011-2022 3.6L V6 220cid
Dodge Durango 2011-2022 5.7L V8 345cid
Dodge Durango 2018-2022 6.4L V8 392cid
Dodge Durango 2021 6.2L V8 376cid
Jeep Cherokee 2014-2022 2.4L L4 144cid
Jeep Cherokee 2014-2022 3.2L V6 198cid
Jeep Cherokee 2019-2022 2L L4 122cid
Jeep Compass 2007-2017 2.4L L4 144cid
Jeep Compass 2007-2017 2L L4 122cid
Jeep Grand Cherokee 2011-2022 3.6L V6 220cid
Jeep Grand Cherokee 2011-2022 5.7L V8 345cid
Jeep Grand Cherokee 2012-2021 6.4L V8 392cid
Jeep Grand Cherokee 2014-2021 3L V6 182cid
Jeep Grand Cherokee 2018-2021 6.2L V8 376cid
Jeep Grand Cherokee 2022 2L L4 122cid
Jeep Patriot 2007-2017 2.4L L4 144cid
Jeep Patriot 2007-2017 2L L4 122cid
Mazda CX-5 2013-2015 2L L4 122cid
Mazda CX-5 2014-2015 2.5L L4 152cid</t>
        </is>
      </c>
      <c r="I1264" t="inlineStr">
        <is>
          <t>{"0": {"productDeskExternalKey": "CNRD|85-3038"}, "1": {"Package Contents": "Wiper Motor; Instruction Manual"}, "2": {"E-Waste": "Yes"}, "3": {"Product Condition": "New"}, "4": {"Terminal Type": "Blade"}, "5": {"Mounting Type": "Direct Bolt; Grommet"}, "6": {"Weight PG": "2.8000"}, "7": {"Washer Pump Included": "No"}, "8": {"Part Type": "Windshield Wiper Motor"}, "9": {"Warranty Info": "Limited Lifetime"}, "10": {"Lifetime Warranty": "Yes"}, "11": {"Lifecycle Status": "Available to Order"}, "12": {"ItemLevelGTIN": "00884548173491"}, "13": {"Application Summary": "Acura MDX 2020-14; Cadillac ATS 2019-13; Dodge Caliber 2012-07, Dart 2016-13, Durango 2022-11; Jeep Cherokee 2022-14, Compass 2017-07, Grand Cherokee 2022-11, Patriot 2017-07; Mazda CX-5 2015-13"}}</t>
        </is>
      </c>
      <c r="J1264" t="inlineStr">
        <is>
          <t>https://www.cardone.com/product/windshield-wiper-motor-85-3038</t>
        </is>
      </c>
      <c r="K1264">
        <f>DISPIMG("ID_474F093177644038964E90314277E1D6",1)</f>
        <v/>
      </c>
      <c r="L1264" t="inlineStr">
        <is>
          <t>CNRD|85-3038</t>
        </is>
      </c>
      <c r="M1264" t="inlineStr">
        <is>
          <t>Wiper Motor; Instruction Manual</t>
        </is>
      </c>
      <c r="N1264" t="inlineStr">
        <is>
          <t>Yes</t>
        </is>
      </c>
      <c r="O1264" t="inlineStr">
        <is>
          <t>New</t>
        </is>
      </c>
      <c r="P1264" t="inlineStr"/>
      <c r="Q1264" t="inlineStr">
        <is>
          <t>Blade</t>
        </is>
      </c>
      <c r="R1264" t="inlineStr">
        <is>
          <t>Direct Bolt; Grommet</t>
        </is>
      </c>
      <c r="S1264" t="inlineStr">
        <is>
          <t>2.8000</t>
        </is>
      </c>
      <c r="T1264" t="inlineStr">
        <is>
          <t>No</t>
        </is>
      </c>
      <c r="U1264" t="inlineStr">
        <is>
          <t>Limited Lifetime</t>
        </is>
      </c>
      <c r="V1264" t="inlineStr"/>
      <c r="W1264" t="inlineStr">
        <is>
          <t>Available to Order</t>
        </is>
      </c>
      <c r="X1264" t="inlineStr">
        <is>
          <t>Acura MDX 2020-14; Cadillac ATS 2019-13; Dodge Caliber 2012-07, Dart 2016-13, Durango 2022-11; Jeep Cherokee 2022-14, Compass 2017-07, Grand Cherokee 2022-11, Patriot 2017-07; Mazda CX-5 2015-13</t>
        </is>
      </c>
      <c r="Y1264" t="inlineStr">
        <is>
          <t>00884548173491</t>
        </is>
      </c>
      <c r="Z1264" t="inlineStr"/>
      <c r="AA1264" t="inlineStr"/>
      <c r="AB1264" t="inlineStr"/>
      <c r="AC1264" t="inlineStr">
        <is>
          <t>Yes</t>
        </is>
      </c>
    </row>
    <row r="1265">
      <c r="A1265" t="inlineStr">
        <is>
          <t>1264</t>
        </is>
      </c>
      <c r="B1265" t="inlineStr">
        <is>
          <t>Windshield Wiper Motor</t>
        </is>
      </c>
      <c r="C1265" t="inlineStr">
        <is>
          <t>85-3045</t>
        </is>
      </c>
      <c r="D1265" t="inlineStr">
        <is>
          <t>Windshield Wiper Motor - 85-3045</t>
        </is>
      </c>
      <c r="E1265" t="inlineStr">
        <is>
          <t>CARDONE New</t>
        </is>
      </c>
      <c r="F1265" t="inlineStr">
        <is>
          <t>5113411AA;55157447AA;5113411AB;5113411AC</t>
        </is>
      </c>
      <c r="G1265" t="inlineStr">
        <is>
          <t>Chrysler Town &amp; Country 2008-2016
Dodge Grand Caravan 2008-2020
Ram C/V 2012-2015</t>
        </is>
      </c>
      <c r="H1265" t="inlineStr">
        <is>
          <t>Chrysler Town &amp; Country 2008-2010 3.3L V6 201cid
Chrysler Town &amp; Country 2008-2010 3.8L V6 231cid
Chrysler Town &amp; Country 2008-2010 4L V6 241cid
Chrysler Town &amp; Country 2011-2016 3.6L V6 220cid
Dodge Grand Caravan 2008-2010 3.3L V6 201cid
Dodge Grand Caravan 2008-2010 3.8L V6 231cid
Dodge Grand Caravan 2008-2010 4L V6 241cid
Dodge Grand Caravan 2011-2020 3.6L V6 220cid
Ram C/V 2012-2015 3.6L V6 220cid</t>
        </is>
      </c>
      <c r="I1265" t="inlineStr">
        <is>
          <t>{"0": {"productDeskExternalKey": "CNRD|85-3045"}, "1": {"Package Contents": "Wiper Motor; Instruction Manual"}, "2": {"E-Waste": "Yes"}, "3": {"Product Condition": "New"}, "4": {"Terminal Type": "Blade"}, "5": {"Mounting Type": "Eyelet; Grommet"}, "6": {"Weight PG": "2.8000"}, "7": {"Washer Pump Included": "No"}, "8": {"Part Type": "Windshield Wiper Motor"}, "9": {"Warranty Info": "Limited Lifetime"}, "10": {"Lifetime Warranty": "Yes"}, "11": {"Lifecycle Status": "Available to Order"}, "12": {"Application Summary": "Chrysler Town &amp; Country 2016-08; Dodge Grand Caravan 2020-08; Ram C/V 2015-14 2012"}, "13": {"ItemLevelGTIN": "00884548194366"}}</t>
        </is>
      </c>
      <c r="J1265" t="inlineStr">
        <is>
          <t>https://www.cardone.com/product/windshield-wiper-motor-85-3045</t>
        </is>
      </c>
      <c r="K1265">
        <f>DISPIMG("ID_274D447D137042B4AF3AA5BEE83C1832",1)</f>
        <v/>
      </c>
      <c r="L1265" t="inlineStr">
        <is>
          <t>CNRD|85-3045</t>
        </is>
      </c>
      <c r="M1265" t="inlineStr">
        <is>
          <t>Wiper Motor; Instruction Manual</t>
        </is>
      </c>
      <c r="N1265" t="inlineStr">
        <is>
          <t>Yes</t>
        </is>
      </c>
      <c r="O1265" t="inlineStr">
        <is>
          <t>New</t>
        </is>
      </c>
      <c r="P1265" t="inlineStr"/>
      <c r="Q1265" t="inlineStr">
        <is>
          <t>Blade</t>
        </is>
      </c>
      <c r="R1265" t="inlineStr">
        <is>
          <t>Eyelet; Grommet</t>
        </is>
      </c>
      <c r="S1265" t="inlineStr">
        <is>
          <t>2.8000</t>
        </is>
      </c>
      <c r="T1265" t="inlineStr">
        <is>
          <t>No</t>
        </is>
      </c>
      <c r="U1265" t="inlineStr">
        <is>
          <t>Limited Lifetime</t>
        </is>
      </c>
      <c r="V1265" t="inlineStr"/>
      <c r="W1265" t="inlineStr">
        <is>
          <t>Available to Order</t>
        </is>
      </c>
      <c r="X1265" t="inlineStr">
        <is>
          <t>Chrysler Town &amp; Country 2016-08; Dodge Grand Caravan 2020-08; Ram C/V 2015-14 2012</t>
        </is>
      </c>
      <c r="Y1265" t="inlineStr">
        <is>
          <t>00884548194366</t>
        </is>
      </c>
      <c r="Z1265" t="inlineStr"/>
      <c r="AA1265" t="inlineStr"/>
      <c r="AB1265" t="inlineStr"/>
      <c r="AC1265" t="inlineStr">
        <is>
          <t>Yes</t>
        </is>
      </c>
    </row>
    <row r="1266">
      <c r="A1266" t="inlineStr">
        <is>
          <t>1265</t>
        </is>
      </c>
      <c r="B1266" t="inlineStr">
        <is>
          <t>Windshield Wiper Motor</t>
        </is>
      </c>
      <c r="C1266" t="inlineStr">
        <is>
          <t>85-3049</t>
        </is>
      </c>
      <c r="D1266" t="inlineStr">
        <is>
          <t>Windshield Wiper Motor - 85-3049</t>
        </is>
      </c>
      <c r="E1266" t="inlineStr">
        <is>
          <t>CARDONE New</t>
        </is>
      </c>
      <c r="F1266" t="inlineStr">
        <is>
          <t>68028446AA;5113043AA;68028446AB;7B0955119</t>
        </is>
      </c>
      <c r="G1266" t="inlineStr">
        <is>
          <t>Chrysler Town &amp; Country 2008-2016
Dodge Grand Caravan 2008-2020
Ram C/V 2012-2015
Volkswagen Routan 2009-2014</t>
        </is>
      </c>
      <c r="H1266" t="inlineStr">
        <is>
          <t>Chrysler Town &amp; Country 2008-2010 3.3L V6 201cid
Chrysler Town &amp; Country 2008-2010 3.8L V6 231cid
Chrysler Town &amp; Country 2008-2010 4L V6 241cid
Chrysler Town &amp; Country 2011-2016 3.6L V6 220cid
Dodge Grand Caravan 2008-2010 3.3L V6 201cid
Dodge Grand Caravan 2008-2010 3.8L V6 231cid
Dodge Grand Caravan 2008-2010 4L V6 241cid
Dodge Grand Caravan 2011-2020 3.6L V6 220cid
Ram C/V 2012-2015 3.6L V6 220cid
Volkswagen Routan 2009-2010 3.8L V6 231cid
Volkswagen Routan 2009-2010 4L V6 241cid
Volkswagen Routan 2011-2014 3.6L V6 220cid</t>
        </is>
      </c>
      <c r="I1266" t="inlineStr">
        <is>
          <t>{"0": {"productDeskExternalKey": "CNRD|85-3049"},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"Chrysler Town &amp; Country 2016-08; Dodge Grand Caravan 2020-08; Ram C/V 2015-14 2012; Volkswagen Routan 2014-09"}, "13": {"ItemLevelGTIN": "00884548267336"}}</t>
        </is>
      </c>
      <c r="J1266" t="inlineStr">
        <is>
          <t>https://www.cardone.com/product/windshield-wiper-motor-85-3049</t>
        </is>
      </c>
      <c r="K1266">
        <f>DISPIMG("ID_4DB1442CD89D4FD88C8CE2596C007011",1)</f>
        <v/>
      </c>
      <c r="L1266" t="inlineStr">
        <is>
          <t>CNRD|85-3049</t>
        </is>
      </c>
      <c r="M1266" t="inlineStr">
        <is>
          <t>Wiper Motor; Instruction Manual</t>
        </is>
      </c>
      <c r="N1266" t="inlineStr">
        <is>
          <t>Yes</t>
        </is>
      </c>
      <c r="O1266" t="inlineStr">
        <is>
          <t>New</t>
        </is>
      </c>
      <c r="P1266" t="inlineStr"/>
      <c r="Q1266" t="inlineStr">
        <is>
          <t>Blade</t>
        </is>
      </c>
      <c r="R1266" t="inlineStr">
        <is>
          <t>Direct Bolt</t>
        </is>
      </c>
      <c r="S1266" t="inlineStr">
        <is>
          <t>3.0000</t>
        </is>
      </c>
      <c r="T1266" t="inlineStr">
        <is>
          <t>No</t>
        </is>
      </c>
      <c r="U1266" t="inlineStr">
        <is>
          <t>Limited Lifetime</t>
        </is>
      </c>
      <c r="V1266" t="inlineStr"/>
      <c r="W1266" t="inlineStr">
        <is>
          <t>Available to Order</t>
        </is>
      </c>
      <c r="X1266" t="inlineStr">
        <is>
          <t>Chrysler Town &amp; Country 2016-08; Dodge Grand Caravan 2020-08; Ram C/V 2015-14 2012; Volkswagen Routan 2014-09</t>
        </is>
      </c>
      <c r="Y1266" t="inlineStr">
        <is>
          <t>00884548267336</t>
        </is>
      </c>
      <c r="Z1266" t="inlineStr"/>
      <c r="AA1266" t="inlineStr"/>
      <c r="AB1266" t="inlineStr"/>
      <c r="AC1266" t="inlineStr">
        <is>
          <t>Yes</t>
        </is>
      </c>
    </row>
    <row r="1267">
      <c r="A1267" t="inlineStr">
        <is>
          <t>1266</t>
        </is>
      </c>
      <c r="B1267" t="inlineStr">
        <is>
          <t>Windshield Wiper Motor</t>
        </is>
      </c>
      <c r="C1267" t="inlineStr">
        <is>
          <t>85-3050</t>
        </is>
      </c>
      <c r="D1267" t="inlineStr">
        <is>
          <t>Windshield Wiper Motor - 85-3050</t>
        </is>
      </c>
      <c r="E1267" t="inlineStr">
        <is>
          <t>CARDONE New</t>
        </is>
      </c>
      <c r="F1267" t="inlineStr">
        <is>
          <t>55372141AE;55372141AF;68050422AA;55372141AB;68050422AC;55372141AH</t>
        </is>
      </c>
      <c r="G1267" t="inlineStr">
        <is>
          <t>Dodge Ram 1500 2009-2010
Ram 1500 2011-2018
Ram 1500 Classic 2019-2022
Ram 2500 2011-2021
Ram 3500 2011-2021
Ram 4500 2011-2021
Ram 5500 2011-2021</t>
        </is>
      </c>
      <c r="H1267" t="inlineStr">
        <is>
          <t>Dodge Ram 1500 2009-2010 3.7L V6 226cid
Dodge Ram 1500 2009-2010 4.7L V8 287cid
Dodge Ram 1500 2009-2010 5.7L V8 345cid
Ram 1500 2011-2013 3.7L V6 226cid
Ram 1500 2011-2013 4.7L V8 287cid
Ram 1500 2011-2018 5.7L V8 345cid
Ram 1500 2013-2018 3.6L V6 220cid
Ram 1500 2014-2018 3L V6 182cid
Ram 1500 Classic 2019 3L V6 182cid
Ram 1500 Classic 2019-2022 3.6L V6 220cid
Ram 1500 Classic 2019-2022 5.7L V8 345cid
Ram 2500 2011-2013 4.7L V8 287cid
Ram 2500 2011-2019 5.7L V8 345cid
Ram 2500 2011-2021 6.7L L6 408cid
Ram 2500 2014-2021 6.4L V8 392cid
Ram 3500 2011-2018 5.7L V8 345cid
Ram 3500 2011-2021 6.7L L6 408cid
Ram 3500 2014-2021 6.4L V8 392cid
Ram 4500 2011-2021 6.7L L6 408cid
Ram 4500 2014-2021 6.4L V8 392cid
Ram 5500 2011-2021 6.7L L6 408cid
Ram 5500 2014-2021 6.4L V8 392cid</t>
        </is>
      </c>
      <c r="I1267" t="inlineStr">
        <is>
          <t>{"0": {"productDeskExternalKey": "CNRD|85-3050"}, "1": {"Package Contents": "Wiper Motor; Instruction Manual"}, "2": {"E-Waste": "Yes"}, "3": {"Product Condition": "New"}, "4": {"Terminal Type": "Blade"}, "5": {"Mounting Type": "Direct Bolt"}, "6": {"Weight PG": "2.5400"}, "7": {"Washer Pump Included": "No"}, "8": {"Part Type": "Windshield Wiper Motor"}, "9": {"Warranty Info": "Limited Lifetime"}, "10": {"Lifetime Warranty": "Yes"}, "11": {"Lifecycle Status": "Available to Order"}, "12": {"Application Summary": "Dodge Ram 1500 2010-09; Ram 1500 2018-11, 1500 Classic 2022-19, 2500 2021-11, 3500 2021-11, 4500 2021-11, 5500 2021-11"}, "13": {"ItemLevelGTIN": "00884548309944"}}</t>
        </is>
      </c>
      <c r="J1267" t="inlineStr">
        <is>
          <t>https://www.cardone.com/product/windshield-wiper-motor-85-3050</t>
        </is>
      </c>
      <c r="K1267">
        <f>DISPIMG("ID_8E93881077FD4D86AF89CA3B6C3701FB",1)</f>
        <v/>
      </c>
      <c r="L1267" t="inlineStr">
        <is>
          <t>CNRD|85-3050</t>
        </is>
      </c>
      <c r="M1267" t="inlineStr">
        <is>
          <t>Wiper Motor; Instruction Manual</t>
        </is>
      </c>
      <c r="N1267" t="inlineStr">
        <is>
          <t>Yes</t>
        </is>
      </c>
      <c r="O1267" t="inlineStr">
        <is>
          <t>New</t>
        </is>
      </c>
      <c r="P1267" t="inlineStr"/>
      <c r="Q1267" t="inlineStr">
        <is>
          <t>Blade</t>
        </is>
      </c>
      <c r="R1267" t="inlineStr">
        <is>
          <t>Direct Bolt</t>
        </is>
      </c>
      <c r="S1267" t="inlineStr">
        <is>
          <t>2.5400</t>
        </is>
      </c>
      <c r="T1267" t="inlineStr">
        <is>
          <t>No</t>
        </is>
      </c>
      <c r="U1267" t="inlineStr">
        <is>
          <t>Limited Lifetime</t>
        </is>
      </c>
      <c r="V1267" t="inlineStr"/>
      <c r="W1267" t="inlineStr">
        <is>
          <t>Available to Order</t>
        </is>
      </c>
      <c r="X1267" t="inlineStr">
        <is>
          <t>Dodge Ram 1500 2010-09; Ram 1500 2018-11, 1500 Classic 2022-19, 2500 2021-11, 3500 2021-11, 4500 2021-11, 5500 2021-11</t>
        </is>
      </c>
      <c r="Y1267" t="inlineStr">
        <is>
          <t>00884548309944</t>
        </is>
      </c>
      <c r="Z1267" t="inlineStr"/>
      <c r="AA1267" t="inlineStr"/>
      <c r="AB1267" t="inlineStr"/>
      <c r="AC1267" t="inlineStr">
        <is>
          <t>Yes</t>
        </is>
      </c>
    </row>
    <row r="1268">
      <c r="A1268" t="inlineStr">
        <is>
          <t>1267</t>
        </is>
      </c>
      <c r="B1268" t="inlineStr">
        <is>
          <t>Windshield Wiper Motor</t>
        </is>
      </c>
      <c r="C1268" t="inlineStr">
        <is>
          <t>85-3051</t>
        </is>
      </c>
      <c r="D1268" t="inlineStr">
        <is>
          <t>Windshield Wiper Motor - 85-3051</t>
        </is>
      </c>
      <c r="E1268" t="inlineStr">
        <is>
          <t>CARDONE New</t>
        </is>
      </c>
      <c r="F1268" t="inlineStr">
        <is>
          <t>68065563AA;68082552AA;68044164AA</t>
        </is>
      </c>
      <c r="G1268" t="inlineStr">
        <is>
          <t>Chrysler 300 2010-2022
Dodge Challenger 2008-2022
Dodge Charger 2010-2022</t>
        </is>
      </c>
      <c r="H1268" t="inlineStr">
        <is>
          <t>Chrysler 300 2010 2.7L V6 167cid
Chrysler 300 2010 3.5L V6 215cid
Chrysler 300 2010 6.1L V8 370cid
Chrysler 300 2010-2022 5.7L V8 345cid
Chrysler 300 2011-2022 3.6L V6 220cid
Chrysler 300 2012-2014 6.4L V8 392cid
Dodge Challenger 2008-2010 6.1L V8 370cid
Dodge Challenger 2009-2010 3.5L V6 215cid
Dodge Challenger 2009-2022 5.7L V8 345cid
Dodge Challenger 2011-2022 3.6L V6 220cid
Dodge Challenger 2011-2022 6.4L V8 392cid
Dodge Challenger 2015-2022 6.2L V8 376cid
Dodge Charger 2010 2.7L V6 167cid
Dodge Charger 2010 3.5L V6 215cid
Dodge Charger 2010 6.1L V8 370cid
Dodge Charger 2010-2022 5.7L V8 345cid
Dodge Charger 2011-2022 3.6L V6 220cid
Dodge Charger 2012-2022 6.4L V8 392cid
Dodge Charger 2015-2022 6.2L V8 376cid</t>
        </is>
      </c>
      <c r="I1268" t="inlineStr">
        <is>
          <t>{"0": {"productDeskExternalKey": "CNRD|85-3051"}, "1": {"Package Contents": "Wiper Motor; Instruction Manual"}, "2": {"E-Waste": "Yes"}, "3": {"Product Condition": "New"}, "4": {"Terminal Type": "Blade"}, "5": {"Mounting Type": "Direct Bolt; Grommet"}, "6": {"Weight PG": "2.7000"}, "7": {"Washer Pump Included": "No"}, "8": {"Part Type": "Windshield Wiper Motor"}, "9": {"Warranty Info": "Limited Lifetime"}, "10": {"Lifetime Warranty": "Yes"}, "11": {"Lifecycle Status": "Available to Order"}, "12": {"Application Summary": "Chrysler 300 2022-18 2016-10; Dodge Challenger 2022-08, Charger 2022-10"}, "13": {"ItemLevelGTIN": "00884548306868"}}</t>
        </is>
      </c>
      <c r="J1268" t="inlineStr">
        <is>
          <t>https://www.cardone.com/product/windshield-wiper-motor-85-3051</t>
        </is>
      </c>
      <c r="K1268">
        <f>DISPIMG("ID_B1B4FA7C98E848ADAAFB5EF61A759CF3",1)</f>
        <v/>
      </c>
      <c r="L1268" t="inlineStr">
        <is>
          <t>CNRD|85-3051</t>
        </is>
      </c>
      <c r="M1268" t="inlineStr">
        <is>
          <t>Wiper Motor; Instruction Manual</t>
        </is>
      </c>
      <c r="N1268" t="inlineStr">
        <is>
          <t>Yes</t>
        </is>
      </c>
      <c r="O1268" t="inlineStr">
        <is>
          <t>New</t>
        </is>
      </c>
      <c r="P1268" t="inlineStr"/>
      <c r="Q1268" t="inlineStr">
        <is>
          <t>Blade</t>
        </is>
      </c>
      <c r="R1268" t="inlineStr">
        <is>
          <t>Direct Bolt; Grommet</t>
        </is>
      </c>
      <c r="S1268" t="inlineStr">
        <is>
          <t>2.7000</t>
        </is>
      </c>
      <c r="T1268" t="inlineStr">
        <is>
          <t>No</t>
        </is>
      </c>
      <c r="U1268" t="inlineStr">
        <is>
          <t>Limited Lifetime</t>
        </is>
      </c>
      <c r="V1268" t="inlineStr"/>
      <c r="W1268" t="inlineStr">
        <is>
          <t>Available to Order</t>
        </is>
      </c>
      <c r="X1268" t="inlineStr">
        <is>
          <t>Chrysler 300 2022-18 2016-10; Dodge Challenger 2022-08, Charger 2022-10</t>
        </is>
      </c>
      <c r="Y1268" t="inlineStr">
        <is>
          <t>00884548306868</t>
        </is>
      </c>
      <c r="Z1268" t="inlineStr"/>
      <c r="AA1268" t="inlineStr"/>
      <c r="AB1268" t="inlineStr"/>
      <c r="AC1268" t="inlineStr">
        <is>
          <t>Yes</t>
        </is>
      </c>
    </row>
    <row r="1269">
      <c r="A1269" t="inlineStr">
        <is>
          <t>1268</t>
        </is>
      </c>
      <c r="B1269" t="inlineStr">
        <is>
          <t>Windshield Wiper Motor</t>
        </is>
      </c>
      <c r="C1269" t="inlineStr">
        <is>
          <t>85-3053</t>
        </is>
      </c>
      <c r="D1269" t="inlineStr">
        <is>
          <t>Windshield Wiper Motor - 85-3053</t>
        </is>
      </c>
      <c r="E1269" t="inlineStr">
        <is>
          <t>CARDONE New</t>
        </is>
      </c>
      <c r="F1269" t="inlineStr">
        <is>
          <t>5178201AC</t>
        </is>
      </c>
      <c r="G1269" t="inlineStr">
        <is>
          <t>Dodge Journey 2009-2020</t>
        </is>
      </c>
      <c r="H1269" t="inlineStr">
        <is>
          <t>Dodge Journey 2009-2010 3.5L V6 215cid
Dodge Journey 2009-2020 2.4L L4 144cid
Dodge Journey 2011-2019 3.6L V6 220cid</t>
        </is>
      </c>
      <c r="I1269" t="inlineStr">
        <is>
          <t>{"0": {"productDeskExternalKey": "CNRD|85-3053"}, "1": {"Package Contents": "Wiper Motor; Instruction Sheet"}, "2": {"E-Waste": "Yes"}, "3": {"Product Condition": "New"}, "4": {"Mounting Hole Quantity": "3"}, "5": {"Terminal Type": "Blade"}, "6": {"Mounting Type": "Grommet"}, "7": {"Weight PG": "1.7800"}, "8": {"Washer Pump Included": "No"}, "9": {"Part Type": "Windshield Wiper Motor"}, "10": {"Warranty Info": "Limited Lifetime"}, "11": {"Lifetime Warranty": "Yes"}, "12": {"Lifecycle Status": "Available to Order"}, "13": {"Application Summary": "Dodge Journey 2020-09"}, "14": {"ItemLevelGTIN": "00884548331877"}}</t>
        </is>
      </c>
      <c r="J1269" t="inlineStr">
        <is>
          <t>https://www.cardone.com/product/windshield-wiper-motor-85-3053</t>
        </is>
      </c>
      <c r="K1269">
        <f>DISPIMG("ID_004EF21D35E64981B7DA27E39BBF591C",1)</f>
        <v/>
      </c>
      <c r="L1269" t="inlineStr">
        <is>
          <t>CNRD|85-3053</t>
        </is>
      </c>
      <c r="M1269" t="inlineStr">
        <is>
          <t>Wiper Motor; Instruction Sheet</t>
        </is>
      </c>
      <c r="N1269" t="inlineStr">
        <is>
          <t>Yes</t>
        </is>
      </c>
      <c r="O1269" t="inlineStr">
        <is>
          <t>New</t>
        </is>
      </c>
      <c r="P1269" t="inlineStr">
        <is>
          <t>3</t>
        </is>
      </c>
      <c r="Q1269" t="inlineStr">
        <is>
          <t>Blade</t>
        </is>
      </c>
      <c r="R1269" t="inlineStr">
        <is>
          <t>Grommet</t>
        </is>
      </c>
      <c r="S1269" t="inlineStr">
        <is>
          <t>1.7800</t>
        </is>
      </c>
      <c r="T1269" t="inlineStr">
        <is>
          <t>No</t>
        </is>
      </c>
      <c r="U1269" t="inlineStr">
        <is>
          <t>Limited Lifetime</t>
        </is>
      </c>
      <c r="V1269" t="inlineStr"/>
      <c r="W1269" t="inlineStr">
        <is>
          <t>Available to Order</t>
        </is>
      </c>
      <c r="X1269" t="inlineStr">
        <is>
          <t>Dodge Journey 2020-09</t>
        </is>
      </c>
      <c r="Y1269" t="inlineStr">
        <is>
          <t>00884548331877</t>
        </is>
      </c>
      <c r="Z1269" t="inlineStr"/>
      <c r="AA1269" t="inlineStr"/>
      <c r="AB1269" t="inlineStr"/>
      <c r="AC1269" t="inlineStr">
        <is>
          <t>Yes</t>
        </is>
      </c>
    </row>
    <row r="1270">
      <c r="A1270" t="inlineStr">
        <is>
          <t>1269</t>
        </is>
      </c>
      <c r="B1270" t="inlineStr">
        <is>
          <t>Windshield Wiper Motor</t>
        </is>
      </c>
      <c r="C1270" t="inlineStr">
        <is>
          <t>85-3060</t>
        </is>
      </c>
      <c r="D1270" t="inlineStr">
        <is>
          <t>Windshield Wiper Motor - 85-3060</t>
        </is>
      </c>
      <c r="E1270" t="inlineStr">
        <is>
          <t>CARDONE New</t>
        </is>
      </c>
      <c r="F1270" t="inlineStr">
        <is>
          <t>55079212AA;68229937AA;68102192AB</t>
        </is>
      </c>
      <c r="G1270" t="inlineStr">
        <is>
          <t>Dodge Durango 2011-2022
Jeep Cherokee 2014-2019
Jeep Grand Cherokee 2014-2021</t>
        </is>
      </c>
      <c r="H1270" t="inlineStr">
        <is>
          <t>Dodge Durango 2011-2022 3.6L V6 220cid
Dodge Durango 2011-2022 5.7L V8 345cid
Dodge Durango 2018-2022 6.4L V8 392cid
Dodge Durango 2021 6.2L V8 376cid
Jeep Cherokee 2014-2019 2.4L L4 144cid
Jeep Cherokee 2014-2019 3.2L V6 198cid
Jeep Cherokee 2019 2L L4 122cid
Jeep Grand Cherokee 2014-2021 3.6L V6 220cid
Jeep Grand Cherokee 2014-2021 3L V6 182cid
Jeep Grand Cherokee 2014-2021 5.7L V8 345cid
Jeep Grand Cherokee 2014-2021 6.4L V8 392cid
Jeep Grand Cherokee 2018-2021 6.2L V8 376cid</t>
        </is>
      </c>
      <c r="I1270" t="inlineStr">
        <is>
          <t>{"0": {"productDeskExternalKey": "CNRD|85-3060"}, "1": {"Package Contents": "Wiper Motor; Instruction Manual"}, "2": {"E-Waste": "Yes"}, "3": {"Product Condition": "New"}, "4": {"Terminal Type": "Blade"}, "5": {"Mounting Type": "Eyelet; Grommet"}, "6": {"Weight PG": "2.0000"}, "7": {"Washer Pump Included": "No"}, "8": {"Part Type": "Windshield Wiper Motor"}, "9": {"Warranty Info": "Limited Lifetime"}, "10": {"Lifetime Warranty": "Yes"}, "11": {"Lifecycle Status": "Available to Order"}, "12": {"Application Summary": "Dodge Durango 2022-11; Jeep Cherokee 2019-14, Grand Cherokee 2021-14"}, "13": {"ItemLevelGTIN": "00884548271616"}}</t>
        </is>
      </c>
      <c r="J1270" t="inlineStr">
        <is>
          <t>https://www.cardone.com/product/windshield-wiper-motor-85-3060</t>
        </is>
      </c>
      <c r="K1270">
        <f>DISPIMG("ID_A5FB3662C4774DECB9EE2FBAF6FA0C5B",1)</f>
        <v/>
      </c>
      <c r="L1270" t="inlineStr">
        <is>
          <t>CNRD|85-3060</t>
        </is>
      </c>
      <c r="M1270" t="inlineStr">
        <is>
          <t>Wiper Motor; Instruction Manual</t>
        </is>
      </c>
      <c r="N1270" t="inlineStr">
        <is>
          <t>Yes</t>
        </is>
      </c>
      <c r="O1270" t="inlineStr">
        <is>
          <t>New</t>
        </is>
      </c>
      <c r="P1270" t="inlineStr"/>
      <c r="Q1270" t="inlineStr">
        <is>
          <t>Blade</t>
        </is>
      </c>
      <c r="R1270" t="inlineStr">
        <is>
          <t>Eyelet; Grommet</t>
        </is>
      </c>
      <c r="S1270" t="inlineStr">
        <is>
          <t>2.0000</t>
        </is>
      </c>
      <c r="T1270" t="inlineStr">
        <is>
          <t>No</t>
        </is>
      </c>
      <c r="U1270" t="inlineStr">
        <is>
          <t>Limited Lifetime</t>
        </is>
      </c>
      <c r="V1270" t="inlineStr"/>
      <c r="W1270" t="inlineStr">
        <is>
          <t>Available to Order</t>
        </is>
      </c>
      <c r="X1270" t="inlineStr">
        <is>
          <t>Dodge Durango 2022-11; Jeep Cherokee 2019-14, Grand Cherokee 2021-14</t>
        </is>
      </c>
      <c r="Y1270" t="inlineStr">
        <is>
          <t>00884548271616</t>
        </is>
      </c>
      <c r="Z1270" t="inlineStr"/>
      <c r="AA1270" t="inlineStr"/>
      <c r="AB1270" t="inlineStr"/>
      <c r="AC1270" t="inlineStr">
        <is>
          <t>Yes</t>
        </is>
      </c>
    </row>
    <row r="1271">
      <c r="A1271" t="inlineStr">
        <is>
          <t>1270</t>
        </is>
      </c>
      <c r="B1271" t="inlineStr">
        <is>
          <t>Windshield Wiper Motor</t>
        </is>
      </c>
      <c r="C1271" t="inlineStr">
        <is>
          <t>85-3400</t>
        </is>
      </c>
      <c r="D1271" t="inlineStr">
        <is>
          <t>Windshield Wiper Motor - 85-3400</t>
        </is>
      </c>
      <c r="E1271" t="inlineStr">
        <is>
          <t>CARDONE New</t>
        </is>
      </c>
      <c r="F1271" t="inlineStr">
        <is>
          <t>2108201742</t>
        </is>
      </c>
      <c r="G1271" t="inlineStr">
        <is>
          <t>Mercedes-Benz CLK320 1998-2002
Mercedes-Benz CLK430 1999-2003
Mercedes-Benz CLK55 AMG 2001-2002
Mercedes-Benz E300 1997-1999
Mercedes-Benz E320 1996-2002
Mercedes-Benz E420 1997
Mercedes-Benz E430 1998-2002
Mercedes-Benz E55 AMG 2001-2003</t>
        </is>
      </c>
      <c r="H1271" t="inlineStr">
        <is>
          <t>Mercedes-Benz CLK320 1998-2002 3.2L V6 3199cc
Mercedes-Benz CLK430 1999-2003 4.3L V8 260cid
Mercedes-Benz CLK430 1999-2003 4.3L V8 4266cc
Mercedes-Benz CLK55 AMG 2001-2002 5.5L V8 332cid
Mercedes-Benz E300 1997-1999 3L L6 2996cc
Mercedes-Benz E320 1996-1997 3.2L L6 3199cc
Mercedes-Benz E320 1997-2002 3.2L V6 3199cc
Mercedes-Benz E420 1997 4.2L V8 256cid
Mercedes-Benz E420 1997 4.2L V8 4196cc
Mercedes-Benz E430 1998-1999 4.3L V8 260cid
Mercedes-Benz E430 1998-2002 4.3L V8 4266cc
Mercedes-Benz E55 AMG 2001-2003 5.5L V8 332cid
Mercedes-Benz E55 AMG 2002-2003 5.4L V8 332cid</t>
        </is>
      </c>
      <c r="I1271" t="inlineStr">
        <is>
          <t>{"0": {"productDeskExternalKey": "CNRD|85-3400"},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"Mercedes-Benz CLK320 2002-98, CLK430 2003-99, CLK55 AMG 2002-01, E300 1999-97, E320 2002-96, E420 1997, E430 2002-98, E55 AMG 2003-01"}, "13": {"ItemLevelGTIN": "00884548143647"}}</t>
        </is>
      </c>
      <c r="J1271" t="inlineStr">
        <is>
          <t>https://www.cardone.com/product/windshield-wiper-motor-85-3400</t>
        </is>
      </c>
      <c r="K1271">
        <f>DISPIMG("ID_D614F90B53A441EBAC1C3EB13B506833",1)</f>
        <v/>
      </c>
      <c r="L1271" t="inlineStr">
        <is>
          <t>CNRD|85-3400</t>
        </is>
      </c>
      <c r="M1271" t="inlineStr">
        <is>
          <t>Wiper Motor; Instruction Manual</t>
        </is>
      </c>
      <c r="N1271" t="inlineStr">
        <is>
          <t>Yes</t>
        </is>
      </c>
      <c r="O1271" t="inlineStr">
        <is>
          <t>New</t>
        </is>
      </c>
      <c r="P1271" t="inlineStr"/>
      <c r="Q1271" t="inlineStr">
        <is>
          <t>Blade</t>
        </is>
      </c>
      <c r="R1271" t="inlineStr">
        <is>
          <t>Direct Bolt</t>
        </is>
      </c>
      <c r="S1271" t="inlineStr">
        <is>
          <t>3.0000</t>
        </is>
      </c>
      <c r="T1271" t="inlineStr">
        <is>
          <t>No</t>
        </is>
      </c>
      <c r="U1271" t="inlineStr">
        <is>
          <t>Limited Lifetime</t>
        </is>
      </c>
      <c r="V1271" t="inlineStr"/>
      <c r="W1271" t="inlineStr">
        <is>
          <t>Available to Order</t>
        </is>
      </c>
      <c r="X1271" t="inlineStr">
        <is>
          <t>Mercedes-Benz CLK320 2002-98, CLK430 2003-99, CLK55 AMG 2002-01, E300 1999-97, E320 2002-96, E420 1997, E430 2002-98, E55 AMG 2003-01</t>
        </is>
      </c>
      <c r="Y1271" t="inlineStr">
        <is>
          <t>00884548143647</t>
        </is>
      </c>
      <c r="Z1271" t="inlineStr"/>
      <c r="AA1271" t="inlineStr"/>
      <c r="AB1271" t="inlineStr"/>
      <c r="AC1271" t="inlineStr">
        <is>
          <t>Yes</t>
        </is>
      </c>
    </row>
    <row r="1272">
      <c r="A1272" t="inlineStr">
        <is>
          <t>1271</t>
        </is>
      </c>
      <c r="B1272" t="inlineStr">
        <is>
          <t>Windshield Wiper Motor</t>
        </is>
      </c>
      <c r="C1272" t="inlineStr">
        <is>
          <t>85-3401</t>
        </is>
      </c>
      <c r="D1272" t="inlineStr">
        <is>
          <t>Windshield Wiper Motor - 85-3401</t>
        </is>
      </c>
      <c r="E1272" t="inlineStr">
        <is>
          <t>CARDONE New</t>
        </is>
      </c>
      <c r="F1272" t="inlineStr">
        <is>
          <t>2028200408</t>
        </is>
      </c>
      <c r="G1272" t="inlineStr">
        <is>
          <t>Mercedes-Benz C230 1998-1999
Mercedes-Benz C280 1998-1999
Mercedes-Benz C43 AMG 1999</t>
        </is>
      </c>
      <c r="H1272" t="inlineStr">
        <is>
          <t>Mercedes-Benz C230 1998-1999 2.3L L4 2295cc
Mercedes-Benz C280 1998 2.8L L6 2799cc
Mercedes-Benz C280 1998-1999 2.8L V6 2799cc
Mercedes-Benz C43 AMG 1999 4.3L V8 4266cc</t>
        </is>
      </c>
      <c r="I1272" t="inlineStr">
        <is>
          <t>{"0": {"productDeskExternalKey": "CNRD|85-3401"}, "1": {"Package Contents": "Wiper Motor; Instruction Manual"}, "2": {"E-Waste": "Yes"}, "3": {"Product Condition": "New"}, "4": {"Mounting Hole Quantity": "3"}, "5": {"Terminal Type": "Blade"}, "6": {"Mounting Type": "Direct Bolt"}, "7": {"Weight PG": "2.2500"}, "8": {"Washer Pump Included": "No"}, "9": {"Part Type": "Windshield Wiper Motor"}, "10": {"Warranty Info": "Limited Lifetime"}, "11": {"Lifetime Warranty": "Yes"}, "12": {"Lifecycle Status": "Available to Order"}, "13": {"Application Summary": "Mercedes-Benz C230 1999-98, C280 1999-98, C43 AMG 1999"}, "14": {"ItemLevelGTIN": "00082617926249"}}</t>
        </is>
      </c>
      <c r="J1272" t="inlineStr">
        <is>
          <t>https://www.cardone.com/product/windshield-wiper-motor-85-3401</t>
        </is>
      </c>
      <c r="K1272">
        <f>DISPIMG("ID_FE6A008CC55342CAAFC6828234EF0F6D",1)</f>
        <v/>
      </c>
      <c r="L1272" t="inlineStr">
        <is>
          <t>CNRD|85-3401</t>
        </is>
      </c>
      <c r="M1272" t="inlineStr">
        <is>
          <t>Wiper Motor; Instruction Manual</t>
        </is>
      </c>
      <c r="N1272" t="inlineStr">
        <is>
          <t>Yes</t>
        </is>
      </c>
      <c r="O1272" t="inlineStr">
        <is>
          <t>New</t>
        </is>
      </c>
      <c r="P1272" t="inlineStr">
        <is>
          <t>3</t>
        </is>
      </c>
      <c r="Q1272" t="inlineStr">
        <is>
          <t>Blade</t>
        </is>
      </c>
      <c r="R1272" t="inlineStr">
        <is>
          <t>Direct Bolt</t>
        </is>
      </c>
      <c r="S1272" t="inlineStr">
        <is>
          <t>2.2500</t>
        </is>
      </c>
      <c r="T1272" t="inlineStr">
        <is>
          <t>No</t>
        </is>
      </c>
      <c r="U1272" t="inlineStr">
        <is>
          <t>Limited Lifetime</t>
        </is>
      </c>
      <c r="V1272" t="inlineStr"/>
      <c r="W1272" t="inlineStr">
        <is>
          <t>Available to Order</t>
        </is>
      </c>
      <c r="X1272" t="inlineStr">
        <is>
          <t>Mercedes-Benz C230 1999-98, C280 1999-98, C43 AMG 1999</t>
        </is>
      </c>
      <c r="Y1272" t="inlineStr">
        <is>
          <t>00082617926249</t>
        </is>
      </c>
      <c r="Z1272" t="inlineStr"/>
      <c r="AA1272" t="inlineStr"/>
      <c r="AB1272" t="inlineStr"/>
      <c r="AC1272" t="inlineStr">
        <is>
          <t>Yes</t>
        </is>
      </c>
    </row>
    <row r="1273">
      <c r="A1273" t="inlineStr">
        <is>
          <t>1272</t>
        </is>
      </c>
      <c r="B1273" t="inlineStr">
        <is>
          <t>Windshield Wiper Motor</t>
        </is>
      </c>
      <c r="C1273" t="inlineStr">
        <is>
          <t>85-3403</t>
        </is>
      </c>
      <c r="D1273" t="inlineStr">
        <is>
          <t>Windshield Wiper Motor - 85-3403</t>
        </is>
      </c>
      <c r="E1273" t="inlineStr">
        <is>
          <t>CARDONE New</t>
        </is>
      </c>
      <c r="F1273" t="inlineStr">
        <is>
          <t>2028202308</t>
        </is>
      </c>
      <c r="G1273" t="inlineStr">
        <is>
          <t>Mercedes-Benz C230 1998-2000
Mercedes-Benz C280 1998-2000
Mercedes-Benz C43 AMG 1999-2000</t>
        </is>
      </c>
      <c r="H1273" t="inlineStr">
        <is>
          <t>Mercedes-Benz C230 1998-2000 2.3L L4 2295cc
Mercedes-Benz C280 1998 2.8L L6 2799cc
Mercedes-Benz C280 1998-2000 2.8L V6 2799cc
Mercedes-Benz C43 AMG 1999-2000 4.3L V8 4266cc</t>
        </is>
      </c>
      <c r="I1273" t="inlineStr">
        <is>
          <t>{"0": {"productDeskExternalKey": "CNRD|85-3403"}, "1": {"Package Contents": "Wiper Motor; Instruction Manual"}, "2": {"E-Waste": "Yes"}, "3": {"Product Condition": "New"}, "4": {"Mounting Hole Quantity": "3"}, "5": {"Terminal Type": "Blade"}, "6": {"Mounting Type": "Direct Bolt"}, "7": {"Weight PG": "3.0000"}, "8": {"Washer Pump Included": "No"}, "9": {"Part Type": "Windshield Wiper Motor"}, "10": {"Warranty Info": "Limited Lifetime"}, "11": {"Lifetime Warranty": "Yes"}, "12": {"Lifecycle Status": "Available to Order"}, "13": {"Application Summary": "Mercedes-Benz C230 2000-98, C280 2000-98, C43 AMG 2000-99"}, "14": {"ItemLevelGTIN": "00082617926232"}}</t>
        </is>
      </c>
      <c r="J1273" t="inlineStr">
        <is>
          <t>https://www.cardone.com/product/windshield-wiper-motor-85-3403</t>
        </is>
      </c>
      <c r="K1273">
        <f>DISPIMG("ID_0A7AEA2E959B4F8EB78EF7EDD8483832",1)</f>
        <v/>
      </c>
      <c r="L1273" t="inlineStr">
        <is>
          <t>CNRD|85-3403</t>
        </is>
      </c>
      <c r="M1273" t="inlineStr">
        <is>
          <t>Wiper Motor; Instruction Manual</t>
        </is>
      </c>
      <c r="N1273" t="inlineStr">
        <is>
          <t>Yes</t>
        </is>
      </c>
      <c r="O1273" t="inlineStr">
        <is>
          <t>New</t>
        </is>
      </c>
      <c r="P1273" t="inlineStr">
        <is>
          <t>3</t>
        </is>
      </c>
      <c r="Q1273" t="inlineStr">
        <is>
          <t>Blade</t>
        </is>
      </c>
      <c r="R1273" t="inlineStr">
        <is>
          <t>Direct Bolt</t>
        </is>
      </c>
      <c r="S1273" t="inlineStr">
        <is>
          <t>3.0000</t>
        </is>
      </c>
      <c r="T1273" t="inlineStr">
        <is>
          <t>No</t>
        </is>
      </c>
      <c r="U1273" t="inlineStr">
        <is>
          <t>Limited Lifetime</t>
        </is>
      </c>
      <c r="V1273" t="inlineStr"/>
      <c r="W1273" t="inlineStr">
        <is>
          <t>Available to Order</t>
        </is>
      </c>
      <c r="X1273" t="inlineStr">
        <is>
          <t>Mercedes-Benz C230 2000-98, C280 2000-98, C43 AMG 2000-99</t>
        </is>
      </c>
      <c r="Y1273" t="inlineStr">
        <is>
          <t>00082617926232</t>
        </is>
      </c>
      <c r="Z1273" t="inlineStr"/>
      <c r="AA1273" t="inlineStr"/>
      <c r="AB1273" t="inlineStr"/>
      <c r="AC1273" t="inlineStr">
        <is>
          <t>Yes</t>
        </is>
      </c>
    </row>
    <row r="1274">
      <c r="A1274" t="inlineStr">
        <is>
          <t>1273</t>
        </is>
      </c>
      <c r="B1274" t="inlineStr">
        <is>
          <t>Windshield Wiper Motor</t>
        </is>
      </c>
      <c r="C1274" t="inlineStr">
        <is>
          <t>85-3404</t>
        </is>
      </c>
      <c r="D1274" t="inlineStr">
        <is>
          <t>Windshield Wiper Motor - 85-3404</t>
        </is>
      </c>
      <c r="E1274" t="inlineStr">
        <is>
          <t>CARDONE New</t>
        </is>
      </c>
      <c r="F1274" t="inlineStr">
        <is>
          <t>2038200342</t>
        </is>
      </c>
      <c r="G1274" t="inlineStr">
        <is>
          <t>Mercedes-Benz C230 2002-2007
Mercedes-Benz C240 2001-2005
Mercedes-Benz C280 2006-2007
Mercedes-Benz C32 AMG 2002-2004
Mercedes-Benz C320 2001-2005
Mercedes-Benz C350 2006-2007
Mercedes-Benz C55 AMG 2005-2006
Mercedes-Benz CLK320 2003-2005
Mercedes-Benz CLK350 2006-2007
Mercedes-Benz CLK500 2003-2006
Mercedes-Benz CLK55 AMG 2003-2006
Mercedes-Benz CLK63 AMG 2007</t>
        </is>
      </c>
      <c r="H1274" t="inlineStr">
        <is>
          <t>Mercedes-Benz C230 2002 2.3L L4 2295cc
Mercedes-Benz C230 2003-2005 1.8L L4 1796cc
Mercedes-Benz C230 2004-2005 1.8L L4 110cid
Mercedes-Benz C230 2006-2007 2.5L V6 2496cc
Mercedes-Benz C240 2001-2005 2.6L V6 2597cc
Mercedes-Benz C280 2006-2007 3L V6 2996cc
Mercedes-Benz C32 AMG 2002-2004 3.2L V6 3199cc
Mercedes-Benz C320 2001-2005 3.2L V6 3199cc
Mercedes-Benz C350 2006-2007 3.5L V6 3498cc
Mercedes-Benz C55 AMG 2005-2006 5.4L V8 332cid
Mercedes-Benz C55 AMG 2005-2006 5.5L V8 332cid
Mercedes-Benz CLK320 2003-2005 3.2L V6 3199cc
Mercedes-Benz CLK350 2006-2007 3.5L V6 3498cc
Mercedes-Benz CLK500 2003-2005 5L V8 4973cc
Mercedes-Benz CLK500 2003-2006 5L V8 4966cc
Mercedes-Benz CLK55 AMG 2003-2004 5.4L V8 332cid
Mercedes-Benz CLK55 AMG 2003-2006 5.5L V8 332cid
Mercedes-Benz CLK63 AMG 2007 6.3L V8 6208cc</t>
        </is>
      </c>
      <c r="I1274" t="inlineStr">
        <is>
          <t>{"0": {"productDeskExternalKey": "CNRD|85-3404"}, "1": {"Package Contents": "Wiper Motor; Instruction Manual"}, "2": {"E-Waste": "Yes"}, "3": {"Product Condition": "New"}, "4": {"Mounting Hole Quantity": "3"}, "5": {"Terminal Type": "Pin"}, "6": {"Mounting Type": "Direct Bolt"}, "7": {"Weight PG": "3.4000"}, "8": {"Washer Pump Included": "No"}, "9": {"Part Type": "Windshield Wiper Motor"}, "10": {"Warranty Info": "Limited Lifetime"}, "11": {"Lifetime Warranty": "Yes"}, "12": {"Lifecycle Status": "Available to Order"}, "13": {"Application Summary": "Mercedes-Benz C230 2007-02, C240 2005-01, C280 2007-06, C32 AMG 2004-02, C320 2005-01, C350 2007-06, C55 AMG 2006-05, CLK320 2005-03, CLK350 2007-06, CLK500 2006-03, CLK55 AMG 2006-03, CLK63 AMG 2007"}, "14": {"ItemLevelGTIN": "00884548035355"}}</t>
        </is>
      </c>
      <c r="J1274" t="inlineStr">
        <is>
          <t>https://www.cardone.com/product/windshield-wiper-motor-85-3404</t>
        </is>
      </c>
      <c r="K1274">
        <f>DISPIMG("ID_B9EE81D5C4A24670A2A5913AC11BB532",1)</f>
        <v/>
      </c>
      <c r="L1274" t="inlineStr">
        <is>
          <t>CNRD|85-3404</t>
        </is>
      </c>
      <c r="M1274" t="inlineStr">
        <is>
          <t>Wiper Motor; Instruction Manual</t>
        </is>
      </c>
      <c r="N1274" t="inlineStr">
        <is>
          <t>Yes</t>
        </is>
      </c>
      <c r="O1274" t="inlineStr">
        <is>
          <t>New</t>
        </is>
      </c>
      <c r="P1274" t="inlineStr">
        <is>
          <t>3</t>
        </is>
      </c>
      <c r="Q1274" t="inlineStr">
        <is>
          <t>Pin</t>
        </is>
      </c>
      <c r="R1274" t="inlineStr">
        <is>
          <t>Direct Bolt</t>
        </is>
      </c>
      <c r="S1274" t="inlineStr">
        <is>
          <t>3.4000</t>
        </is>
      </c>
      <c r="T1274" t="inlineStr">
        <is>
          <t>No</t>
        </is>
      </c>
      <c r="U1274" t="inlineStr">
        <is>
          <t>Limited Lifetime</t>
        </is>
      </c>
      <c r="V1274" t="inlineStr"/>
      <c r="W1274" t="inlineStr">
        <is>
          <t>Available to Order</t>
        </is>
      </c>
      <c r="X1274" t="inlineStr">
        <is>
          <t>Mercedes-Benz C230 2007-02, C240 2005-01, C280 2007-06, C32 AMG 2004-02, C320 2005-01, C350 2007-06, C55 AMG 2006-05, CLK320 2005-03, CLK350 2007-06, CLK500 2006-03, CLK55 AMG 2006-03, CLK63 AMG 2007</t>
        </is>
      </c>
      <c r="Y1274" t="inlineStr">
        <is>
          <t>00884548035355</t>
        </is>
      </c>
      <c r="Z1274" t="inlineStr"/>
      <c r="AA1274" t="inlineStr"/>
      <c r="AB1274" t="inlineStr"/>
      <c r="AC1274" t="inlineStr">
        <is>
          <t>Yes</t>
        </is>
      </c>
    </row>
    <row r="1275">
      <c r="A1275" t="inlineStr">
        <is>
          <t>1274</t>
        </is>
      </c>
      <c r="B1275" t="inlineStr">
        <is>
          <t>Windshield Wiper Motor</t>
        </is>
      </c>
      <c r="C1275" t="inlineStr">
        <is>
          <t>85-3408</t>
        </is>
      </c>
      <c r="D1275" t="inlineStr">
        <is>
          <t>Windshield Wiper Motor - 85-3408</t>
        </is>
      </c>
      <c r="E1275" t="inlineStr">
        <is>
          <t>CARDONE New</t>
        </is>
      </c>
      <c r="F1275" t="inlineStr">
        <is>
          <t>2208200742</t>
        </is>
      </c>
      <c r="G1275" t="inlineStr">
        <is>
          <t>Mercedes-Benz CL500 2000-2006
Mercedes-Benz CL55 AMG 2001-2006
Mercedes-Benz CL600 2001-2006
Mercedes-Benz CL65 AMG 2005-2006
Mercedes-Benz S350 2006
Mercedes-Benz S430 2000-2006
Mercedes-Benz S500 2000-2006
Mercedes-Benz S55 AMG 2001-2006
Mercedes-Benz S600 2001-2006
Mercedes-Benz S65 AMG 2006</t>
        </is>
      </c>
      <c r="H1275" t="inlineStr">
        <is>
          <t>Mercedes-Benz CL500 2000-2005 5L V8 4973cc
Mercedes-Benz CL500 2001-2006 5L V8 4966cc
Mercedes-Benz CL55 AMG 2001-2006 5.5L V8 332cid
Mercedes-Benz CL55 AMG 2003-2004 5.4L V8 332cid
Mercedes-Benz CL600 2001-2002 5.8L V12 5786cc
Mercedes-Benz CL600 2003-2006 5.5L V12 336cid
Mercedes-Benz CL65 AMG 2005-2006 6L V12 365cid
Mercedes-Benz S350 2006 3.7L V6 3724cc
Mercedes-Benz S430 2000-2005 4.3L V8 260cid
Mercedes-Benz S430 2000-2006 4.3L V8 4266cc
Mercedes-Benz S500 2000-2006 5L V8 4966cc
Mercedes-Benz S55 AMG 2001-2006 5.5L V8 332cid
Mercedes-Benz S55 AMG 2003-2005 5.4L V8 332cid
Mercedes-Benz S600 2001-2002 5.8L V12 5786cc
Mercedes-Benz S600 2003-2006 5.5L V12 336cid
Mercedes-Benz S65 AMG 2006 6L V12 365cid</t>
        </is>
      </c>
      <c r="I1275" t="inlineStr">
        <is>
          <t>{"0": {"productDeskExternalKey": "CNRD|85-3408"}, "1": {"Package Contents": "Wiper Motor; Instruction Manual"}, "2": {"E-Waste": "Yes"}, "3": {"Product Condition": "New"}, "4": {"Mounting Hole Quantity": "3"}, "5": {"Terminal Type": "Blade"}, "6": {"Mounting Type": "Direct Bolt"}, "7": {"Weight PG": "3.8000"}, "8": {"Washer Pump Included": "No"}, "9": {"Part Type": "Windshield Wiper Motor"}, "10": {"Warranty Info": "Limited Lifetime"}, "11": {"Lifetime Warranty": "Yes"}, "12": {"Lifecycle Status": "Available to Order"}, "13": {"Application Summary": "Mercedes-Benz CL500 2006-00, CL55 AMG 2006-01, CL600 2006-01, CL65 AMG 2006-05, S350 2006, S430 2006-00, S500 2006-00, S55 AMG 2006-01, S600 2006-01, S65 AMG 2006"}, "14": {"ItemLevelGTIN": "00884548179615"}}</t>
        </is>
      </c>
      <c r="J1275" t="inlineStr">
        <is>
          <t>https://www.cardone.com/product/windshield-wiper-motor-85-3408</t>
        </is>
      </c>
      <c r="K1275">
        <f>DISPIMG("ID_F7AB2C24944448919E7B6C56F4D32106",1)</f>
        <v/>
      </c>
      <c r="L1275" t="inlineStr">
        <is>
          <t>CNRD|85-3408</t>
        </is>
      </c>
      <c r="M1275" t="inlineStr">
        <is>
          <t>Wiper Motor; Instruction Manual</t>
        </is>
      </c>
      <c r="N1275" t="inlineStr">
        <is>
          <t>Yes</t>
        </is>
      </c>
      <c r="O1275" t="inlineStr">
        <is>
          <t>New</t>
        </is>
      </c>
      <c r="P1275" t="inlineStr">
        <is>
          <t>3</t>
        </is>
      </c>
      <c r="Q1275" t="inlineStr">
        <is>
          <t>Blade</t>
        </is>
      </c>
      <c r="R1275" t="inlineStr">
        <is>
          <t>Direct Bolt</t>
        </is>
      </c>
      <c r="S1275" t="inlineStr">
        <is>
          <t>3.8000</t>
        </is>
      </c>
      <c r="T1275" t="inlineStr">
        <is>
          <t>No</t>
        </is>
      </c>
      <c r="U1275" t="inlineStr">
        <is>
          <t>Limited Lifetime</t>
        </is>
      </c>
      <c r="V1275" t="inlineStr"/>
      <c r="W1275" t="inlineStr">
        <is>
          <t>Available to Order</t>
        </is>
      </c>
      <c r="X1275" t="inlineStr">
        <is>
          <t>Mercedes-Benz CL500 2006-00, CL55 AMG 2006-01, CL600 2006-01, CL65 AMG 2006-05, S350 2006, S430 2006-00, S500 2006-00, S55 AMG 2006-01, S600 2006-01, S65 AMG 2006</t>
        </is>
      </c>
      <c r="Y1275" t="inlineStr">
        <is>
          <t>00884548179615</t>
        </is>
      </c>
      <c r="Z1275" t="inlineStr"/>
      <c r="AA1275" t="inlineStr"/>
      <c r="AB1275" t="inlineStr"/>
      <c r="AC1275" t="inlineStr">
        <is>
          <t>Yes</t>
        </is>
      </c>
    </row>
    <row r="1276">
      <c r="A1276" t="inlineStr">
        <is>
          <t>1275</t>
        </is>
      </c>
      <c r="B1276" t="inlineStr">
        <is>
          <t>Windshield Wiper Motor</t>
        </is>
      </c>
      <c r="C1276" t="inlineStr">
        <is>
          <t>85-3426</t>
        </is>
      </c>
      <c r="D1276" t="inlineStr">
        <is>
          <t>Windshield Wiper Motor - 85-3426</t>
        </is>
      </c>
      <c r="E1276" t="inlineStr">
        <is>
          <t>CARDONE New</t>
        </is>
      </c>
      <c r="F1276" t="inlineStr">
        <is>
          <t>1648202442;1648201742</t>
        </is>
      </c>
      <c r="G1276" t="inlineStr">
        <is>
          <t>Mercedes-Benz GL320 2007-2009
Mercedes-Benz GL350 2010-2012
Mercedes-Benz GL450 2007-2012
Mercedes-Benz GL550 2008-2012
Mercedes-Benz ML320 2007-2009
Mercedes-Benz ML350 2006-2011
Mercedes-Benz ML450 2010-2011
Mercedes-Benz ML500 2006-2007
Mercedes-Benz ML550 2008-2011
Mercedes-Benz ML63 AMG 2007-2011</t>
        </is>
      </c>
      <c r="H1276" t="inlineStr">
        <is>
          <t>Mercedes-Benz GL320 2007-2009 3L V6 2987cc
Mercedes-Benz GL350 2010-2012 3L V6 2987cc
Mercedes-Benz GL450 2007-2012 4.7L V8 285cid
Mercedes-Benz GL550 2008-2012 5.5L V8 333cid
Mercedes-Benz ML320 2007-2009 3L V6 2987cc
Mercedes-Benz ML350 2006-2011 3.5L V6 3498cc
Mercedes-Benz ML350 2010-2011 3L V6 2987cc
Mercedes-Benz ML350 2010-2011 5.5L V8 333cid
Mercedes-Benz ML450 2010-2011 3.5L V6 3498cc
Mercedes-Benz ML500 2006 5L V8 4966cc
Mercedes-Benz ML500 2006-2007 5L V8 303cid
Mercedes-Benz ML500 2007 5L V8 4973cc
Mercedes-Benz ML550 2008-2011 5.5L V8 333cid
Mercedes-Benz ML63 AMG 2007-2011 6.3L V8 6208cc</t>
        </is>
      </c>
      <c r="I1276" t="inlineStr">
        <is>
          <t>{"0": {"productDeskExternalKey": "CNRD|85-3426"}, "1": {"Package Contents": "Wiper Motor; Instruction Manual"}, "2": {"E-Waste": "Yes"}, "3": {"Product Condition": "New"}, "4": {"Terminal Type": "Blade"}, "5": {"Mounting Type": "Direct Bolt"}, "6": {"Weight PG": "3.8000"}, "7": {"Washer Pump Included": "No"}, "8": {"Part Type": "Windshield Wiper Motor"}, "9": {"Warranty Info": "Limited Lifetime"}, "10": {"Lifetime Warranty": "Yes"}, "11": {"Lifecycle Status": "Available to Order"}, "12": {"Application Summary": "Mercedes-Benz GL320 2009-07, GL350 2012-10, GL450 2012-07, GL550 2012-08, ML320 2009-07, ML350 2011-06, ML450 2011-10, ML500 2007-06, ML550 2011-08, ML63 AMG 2011-07"}, "13": {"ItemLevelGTIN": "00884548286870"}}</t>
        </is>
      </c>
      <c r="J1276" t="inlineStr">
        <is>
          <t>https://www.cardone.com/product/windshield-wiper-motor-85-3426</t>
        </is>
      </c>
      <c r="K1276">
        <f>DISPIMG("ID_C5DDDC9687924A04B17F5C4EE0386AC9",1)</f>
        <v/>
      </c>
      <c r="L1276" t="inlineStr">
        <is>
          <t>CNRD|85-3426</t>
        </is>
      </c>
      <c r="M1276" t="inlineStr">
        <is>
          <t>Wiper Motor; Instruction Manual</t>
        </is>
      </c>
      <c r="N1276" t="inlineStr">
        <is>
          <t>Yes</t>
        </is>
      </c>
      <c r="O1276" t="inlineStr">
        <is>
          <t>New</t>
        </is>
      </c>
      <c r="P1276" t="inlineStr"/>
      <c r="Q1276" t="inlineStr">
        <is>
          <t>Blade</t>
        </is>
      </c>
      <c r="R1276" t="inlineStr">
        <is>
          <t>Direct Bolt</t>
        </is>
      </c>
      <c r="S1276" t="inlineStr">
        <is>
          <t>3.8000</t>
        </is>
      </c>
      <c r="T1276" t="inlineStr">
        <is>
          <t>No</t>
        </is>
      </c>
      <c r="U1276" t="inlineStr">
        <is>
          <t>Limited Lifetime</t>
        </is>
      </c>
      <c r="V1276" t="inlineStr"/>
      <c r="W1276" t="inlineStr">
        <is>
          <t>Available to Order</t>
        </is>
      </c>
      <c r="X1276" t="inlineStr">
        <is>
          <t>Mercedes-Benz GL320 2009-07, GL350 2012-10, GL450 2012-07, GL550 2012-08, ML320 2009-07, ML350 2011-06, ML450 2011-10, ML500 2007-06, ML550 2011-08, ML63 AMG 2011-07</t>
        </is>
      </c>
      <c r="Y1276" t="inlineStr">
        <is>
          <t>00884548286870</t>
        </is>
      </c>
      <c r="Z1276" t="inlineStr"/>
      <c r="AA1276" t="inlineStr"/>
      <c r="AB1276" t="inlineStr"/>
      <c r="AC1276" t="inlineStr">
        <is>
          <t>Yes</t>
        </is>
      </c>
    </row>
    <row r="1277">
      <c r="A1277" t="inlineStr">
        <is>
          <t>1276</t>
        </is>
      </c>
      <c r="B1277" t="inlineStr">
        <is>
          <t>Windshield Wiper Motor</t>
        </is>
      </c>
      <c r="C1277" t="inlineStr">
        <is>
          <t>85-3427</t>
        </is>
      </c>
      <c r="D1277" t="inlineStr">
        <is>
          <t>Windshield Wiper Motor - 85-3427</t>
        </is>
      </c>
      <c r="E1277" t="inlineStr">
        <is>
          <t>CARDONE New</t>
        </is>
      </c>
      <c r="F1277" t="inlineStr">
        <is>
          <t>2518201442</t>
        </is>
      </c>
      <c r="G1277" t="inlineStr">
        <is>
          <t>Mercedes-Benz R320 2007
Mercedes-Benz R350 2006-2007
Mercedes-Benz R500 2006-2007
Mercedes-Benz R63 AMG 2007</t>
        </is>
      </c>
      <c r="H1277" t="inlineStr">
        <is>
          <t>Mercedes-Benz R320 2007 3L V6 2987cc
Mercedes-Benz R350 2006-2007 3.5L V6 3498cc
Mercedes-Benz R500 2006-2007 5L V8 4966cc
Mercedes-Benz R500 2007 5L V8 4973cc
Mercedes-Benz R63 AMG 2007 6.3L V8 6208cc</t>
        </is>
      </c>
      <c r="I1277" t="inlineStr">
        <is>
          <t>{"0": {"productDeskExternalKey": "CNRD|85-3427"}, "1": {"Package Contents": "Wiper Motor; Instruction Manual"}, "2": {"E-Waste": "Yes"}, "3": {"Product Condition": "New"}, "4": {"Terminal Type": "Blade"}, "5": {"Mounting Type": "Direct Bolt"}, "6": {"Weight PG": "3.3400"}, "7": {"Washer Pump Included": "No"}, "8": {"Part Type": "Windshield Wiper Motor"}, "9": {"Warranty Info": "Limited Lifetime"}, "10": {"Lifetime Warranty": "Yes"}, "11": {"Lifecycle Status": "Available to Order"}, "12": {"Application Summary": "Mercedes-Benz R320 2007, R350 2007-06, R500 2007-06, R63 AMG 2007"}, "13": {"ItemLevelGTIN": "00884548298576"}}</t>
        </is>
      </c>
      <c r="J1277" t="inlineStr">
        <is>
          <t>https://www.cardone.com/product/windshield-wiper-motor-85-3427</t>
        </is>
      </c>
      <c r="K1277">
        <f>DISPIMG("ID_231C0E4095F14B8BBFD5BECBC3050145",1)</f>
        <v/>
      </c>
      <c r="L1277" t="inlineStr">
        <is>
          <t>CNRD|85-3427</t>
        </is>
      </c>
      <c r="M1277" t="inlineStr">
        <is>
          <t>Wiper Motor; Instruction Manual</t>
        </is>
      </c>
      <c r="N1277" t="inlineStr">
        <is>
          <t>Yes</t>
        </is>
      </c>
      <c r="O1277" t="inlineStr">
        <is>
          <t>New</t>
        </is>
      </c>
      <c r="P1277" t="inlineStr"/>
      <c r="Q1277" t="inlineStr">
        <is>
          <t>Blade</t>
        </is>
      </c>
      <c r="R1277" t="inlineStr">
        <is>
          <t>Direct Bolt</t>
        </is>
      </c>
      <c r="S1277" t="inlineStr">
        <is>
          <t>3.3400</t>
        </is>
      </c>
      <c r="T1277" t="inlineStr">
        <is>
          <t>No</t>
        </is>
      </c>
      <c r="U1277" t="inlineStr">
        <is>
          <t>Limited Lifetime</t>
        </is>
      </c>
      <c r="V1277" t="inlineStr"/>
      <c r="W1277" t="inlineStr">
        <is>
          <t>Available to Order</t>
        </is>
      </c>
      <c r="X1277" t="inlineStr">
        <is>
          <t>Mercedes-Benz R320 2007, R350 2007-06, R500 2007-06, R63 AMG 2007</t>
        </is>
      </c>
      <c r="Y1277" t="inlineStr">
        <is>
          <t>00884548298576</t>
        </is>
      </c>
      <c r="Z1277" t="inlineStr"/>
      <c r="AA1277" t="inlineStr"/>
      <c r="AB1277" t="inlineStr"/>
      <c r="AC1277" t="inlineStr">
        <is>
          <t>Yes</t>
        </is>
      </c>
    </row>
    <row r="1278">
      <c r="A1278" t="inlineStr">
        <is>
          <t>1277</t>
        </is>
      </c>
      <c r="B1278" t="inlineStr">
        <is>
          <t>Windshield Wiper Motor</t>
        </is>
      </c>
      <c r="C1278" t="inlineStr">
        <is>
          <t>85-350</t>
        </is>
      </c>
      <c r="D1278" t="inlineStr">
        <is>
          <t>Windshield Wiper Motor - 85-350</t>
        </is>
      </c>
      <c r="E1278" t="inlineStr">
        <is>
          <t>CARDONE New</t>
        </is>
      </c>
      <c r="F1278" t="inlineStr"/>
      <c r="G1278" t="inlineStr">
        <is>
          <t>Chrysler New Yorker 1968
Chrysler Newport 1968
Dodge A100 1969-1970
Dodge A100 Pickup 1969-1970
Dodge A100 Truck 1969-1970
Dodge A108 Van 1969-1970
Dodge B100 Van 1971
Dodge B200 Van 1971
Dodge B300 Van 1971
Dodge Charger 1968-1970
Dodge Coronet 1968-1970
Dodge D100 Pickup 1969-1971
Dodge D200 Pickup 1969-1971
Dodge D300 Pickup 1969-1971
Dodge Dart 1968-1971
Dodge Monaco 1968
Dodge Polara 1968
Dodge W100 Pickup 1969-1971
Dodge W200 Pickup 1969-1971
Dodge W300 Pickup 1969-1971
Plymouth Barracuda 1968-1969
Plymouth Belvedere 1968-1970
Plymouth Duster 1970-1971
Plymouth Fury 1968
Plymouth Road Runner 1968-1970
Plymouth Satellite 1968-1970
Plymouth Scamp 1971
Plymouth Valiant 1968-1971</t>
        </is>
      </c>
      <c r="H1278" t="inlineStr">
        <is>
          <t>Chrysler New Yorker 1968 7.2L V8 440cid
Chrysler Newport 1968 6.3L V8 383cid
Chrysler Newport 1968 7.2L V8 440cid
Dodge A100 1969
Dodge A100 1970 5.2L V8 318cid
Dodge A100 Pickup 1969-1970
Dodge A100 Truck 1969 2.8L L6 170cid
Dodge A100 Truck 1969-1970 3.7L L6 225cid
Dodge A100 Truck 1969-1970 5.2L V8 318cid
Dodge A100 Truck 1970 3.2L L6 198cid
Dodge A108 Van 1969 2.8L L6 170cid
Dodge A108 Van 1969-1970 3.7L L6 225cid
Dodge A108 Van 1970 3.2L L6 198cid
Dodge B100 Van 1971 3.2L L6 198cid
Dodge B100 Van 1971 3.7L L6 225cid
Dodge B100 Van 1971 5.2L V8 318cid
Dodge B100 Van 1971 5.9L V8 360cid
Dodge B200 Van 1971 3.2L L6 198cid
Dodge B200 Van 1971 3.7L L6 225cid
Dodge B200 Van 1971 5.2L V8 318cid
Dodge B200 Van 1971 5.9L V8 360cid
Dodge B200 Van 1971 6.6L V8 400cid
Dodge B300 Van 1971 3.7L L6 225cid
Dodge B300 Van 1971 5.2L V8 318cid
Dodge B300 Van 1971 5.9L V8 360cid
Dodge B300 Van 1971 6.6L V8 400cid
Dodge Charger 1968-1970 3.7L L6 225cid
Dodge Charger 1968-1970 5.2L V8 318cid
Dodge Charger 1968-1970 6.3L V8 383cid
Dodge Charger 1968-1970 7.2L V8 440cid
Dodge Charger 1968-1970 7L V8 426cid
Dodge Charger 1970 5.6L V8 340cid
Dodge Coronet 1968 4.5L V8 273cid
Dodge Coronet 1968-1970 3.7L L6 225cid
Dodge Coronet 1968-1970 5.2L V8 318cid
Dodge Coronet 1968-1970 6.3L V8 383cid
Dodge Coronet 1968-1970 7.2L V8 440cid
Dodge Coronet 1968-1970 7L V8 426cid
Dodge Coronet 1970 5.6L V8 340cid
Dodge D100 Pickup 1969-1971 3.7L L6 225cid
Dodge D100 Pickup 1969-1971 5.2L V8 318cid
Dodge D100 Pickup 1969-1971 6.3L V8 383cid
Dodge D100 Pickup 1970-1971 3.2L L6 198cid
Dodge D100 Pickup 1971 5.9L V8 360cid
Dodge D100 Pickup 1971 6.6L V8 400cid
Dodge D200 Pickup 1969-1971 3.7L L6 225cid
Dodge D200 Pickup 1969-1971 5.2L V8 318cid
Dodge D200 Pickup 1969-1971 6.3L V8 383cid
Dodge D200 Pickup 1971 5.9L V8 360cid
Dodge D200 Pickup 1971 6.6L V8 400cid
Dodge D300 Pickup 1969-1971 3.7L L6 225cid
Dodge D300 Pickup 1969-1971 5.2L V8 318cid
Dodge D300 Pickup 1969-1971 6.3L V8 383cid
Dodge D300 Pickup 1971 5.9L V8 360cid
Dodge D300 Pickup 1971 6.6L V8 400cid
Dodge Dart 1968-1969 4.5L V8 273cid
Dodge Dart 1968-1969 6.3L V8 383cid
Dodge Dart 1968-1971 2.8L L6 170cid
Dodge Dart 1968-1971 3.7L L6 225cid
Dodge Dart 1968-1971 5.2L V8 318cid
Dodge Dart 1968-1971 5.6L V8 340cid
Dodge Dart 1970-1971 3.2L L6 198cid
Dodge Dart 1971 5.9L V8 360cid
Dodge Monaco 1968 5.2L V8 318cid
Dodge Monaco 1968 6.3L V8 383cid
Dodge Monaco 1968 7.2L V8 440cid
Dodge Polara 1968 3.7L L6 225cid
Dodge Polara 1968 5.2L V8 318cid
Dodge Polara 1968 6.3L V8 383cid
Dodge Polara 1968 7.2L V8 440cid
Dodge W100 Pickup 1969-1971 3.7L L6 225cid
Dodge W100 Pickup 1969-1971 5.2L V8 318cid
Dodge W100 Pickup 1969-1971 6.3L V8 383cid
Dodge W100 Pickup 1971 6.6L V8 400cid
Dodge W200 Pickup 1969-1971 3.7L L6 225cid
Dodge W200 Pickup 1969-1971 5.2L V8 318cid
Dodge W200 Pickup 1969-1971 6.3L V8 383cid
Dodge W200 Pickup 1971 5.9L V8 360cid
Dodge W200 Pickup 1971 6.6L V8 400cid
Dodge W300 Pickup 1969-1971 3.7L L6 225cid
Dodge W300 Pickup 1969-1971 5.2L V8 318cid
Dodge W300 Pickup 1969-1971 6.3L V8 383cid
Dodge W300 Pickup 1971 5.9L V8 360cid
Dodge W300 Pickup 1971 6.6L V8 400cid
Plymouth Barracuda 1968 4.5L V8 273cid
Plymouth Barracuda 1968-1969 3.7L L6 225cid
Plymouth Barracuda 1968-1969 5.2L V8 318cid
Plymouth Barracuda 1968-1969 5.6L V8 340cid
Plymouth Barracuda 1968-1969 6.3L V8 383cid
Plymouth Barracuda 1968-1969 7L V8 426cid
Plymouth Belvedere 1968 4.5L V8 273cid
Plymouth Belvedere 1968-1970 3.7L L6 225cid
Plymouth Belvedere 1968-1970 5.2L V8 318cid
Plymouth Belvedere 1968-1970 6.3L V8 383cid
Plymouth Belvedere 1969 7L V8 426cid
Plymouth Duster 1970-1971 3.2L L6 198cid
Plymouth Duster 1970-1971 3.7L L6 225cid
Plymouth Duster 1970-1971 5.2L V8 318cid
Plymouth Duster 1970-1971 5.6L V8 340cid
Plymouth Fury 1968 3.7L L6 225cid
Plymouth Fury 1968 5.2L V8 318cid
Plymouth Fury 1968 6.3L V8 383cid
Plymouth Fury 1968 7.2L V8 440cid
Plymouth Road Runner 1968 4.5L V8 273cid
Plymouth Road Runner 1968 5.2L V8 318cid
Plymouth Road Runner 1968 5.6L V8 340cid
Plymouth Road Runner 1968-1970 6.3L V8 383cid
Plymouth Road Runner 1968-1970 7L V8 426cid
Plymouth Road Runner 1969-1970 7.2L V8 440cid
Plymouth Satellite 1968 4.5L V8 273cid
Plymouth Satellite 1968-1970 3.7L L6 225cid
Plymouth Satellite 1968-1970 5.2L V8 318cid
Plymouth Satellite 1968-1970 5.6L V8 340cid
Plymouth Satellite 1968-1970 6.3L V8 383cid
Plymouth Scamp 1971 3.2L L6 198cid
Plymouth Scamp 1971 3.7L L6 225cid
Plymouth Scamp 1971 5.2L V8 318cid
Plymouth Valiant 1968-1969
Plymouth Valiant 1968-1969 4.5L V8 273cid
Plymouth Valiant 1968-1971 2.8L L6 170cid
Plymouth Valiant 1968-1971 3.7L L6 225cid
Plymouth Valiant 1968-1971 5.2L V8 318cid
Plymouth Valiant 1968-1971 5.6L V8 340cid
Plymouth Valiant 1970-1971 3.2L L6 198cid
Plymouth Valiant 1971 5.9L V8 360cid</t>
        </is>
      </c>
      <c r="I1278" t="inlineStr">
        <is>
          <t>{"0": {"productDeskExternalKey": "CNRD|85-350"}, "1": {"Package Contents": "Wiper Motor; Instruction Manual"}, "2": {"E-Waste": "Yes"}, "3": {"Product Condition": "New"}, "4": {"Mounting Hole Quantity": "3"}, "5": {"Terminal Type": "Blade"}, "6": {"Mounting Type": "Eyelet; Grommet"}, "7": {"Weight PG": "5.2000"}, "8": {"Washer Pump Included": "No"}, "9": {"Part Type": "Windshield Wiper Motor"}, "10": {"Warranty Info": "Limited Lifetime"}, "11": {"Lifetime Warranty": "Yes"}, "12": {"Lifecycle Status": "Available to Order"}, "13": {"ItemLevelGTIN": "00884548200678"}}</t>
        </is>
      </c>
      <c r="J1278" t="inlineStr">
        <is>
          <t>https://www.cardone.com/product/windshield-wiper-motor-85-350</t>
        </is>
      </c>
      <c r="K1278">
        <f>DISPIMG("ID_6722F61CDC1C468EBEBF1974352B149A",1)</f>
        <v/>
      </c>
      <c r="L1278" t="inlineStr">
        <is>
          <t>CNRD|85-350</t>
        </is>
      </c>
      <c r="M1278" t="inlineStr">
        <is>
          <t>Wiper Motor; Instruction Manual</t>
        </is>
      </c>
      <c r="N1278" t="inlineStr">
        <is>
          <t>Yes</t>
        </is>
      </c>
      <c r="O1278" t="inlineStr">
        <is>
          <t>New</t>
        </is>
      </c>
      <c r="P1278" t="inlineStr">
        <is>
          <t>3</t>
        </is>
      </c>
      <c r="Q1278" t="inlineStr">
        <is>
          <t>Blade</t>
        </is>
      </c>
      <c r="R1278" t="inlineStr">
        <is>
          <t>Eyelet; Grommet</t>
        </is>
      </c>
      <c r="S1278" t="inlineStr">
        <is>
          <t>5.2000</t>
        </is>
      </c>
      <c r="T1278" t="inlineStr">
        <is>
          <t>No</t>
        </is>
      </c>
      <c r="U1278" t="inlineStr">
        <is>
          <t>Limited Lifetime</t>
        </is>
      </c>
      <c r="V1278" t="inlineStr"/>
      <c r="W1278" t="inlineStr">
        <is>
          <t>Available to Order</t>
        </is>
      </c>
      <c r="X1278" t="inlineStr"/>
      <c r="Y1278" t="inlineStr">
        <is>
          <t>00884548200678</t>
        </is>
      </c>
      <c r="Z1278" t="inlineStr"/>
      <c r="AA1278" t="inlineStr"/>
      <c r="AB1278" t="inlineStr"/>
      <c r="AC1278" t="inlineStr">
        <is>
          <t>Yes</t>
        </is>
      </c>
    </row>
    <row r="1279">
      <c r="A1279" t="inlineStr">
        <is>
          <t>1278</t>
        </is>
      </c>
      <c r="B1279" t="inlineStr">
        <is>
          <t>Windshield Wiper Motor</t>
        </is>
      </c>
      <c r="C1279" t="inlineStr">
        <is>
          <t>85-35002</t>
        </is>
      </c>
      <c r="D1279" t="inlineStr">
        <is>
          <t>Windshield Wiper Motor - 85-35002</t>
        </is>
      </c>
      <c r="E1279" t="inlineStr">
        <is>
          <t>CARDONE New</t>
        </is>
      </c>
      <c r="F1279" t="inlineStr">
        <is>
          <t>6R1955119A</t>
        </is>
      </c>
      <c r="G1279" t="inlineStr">
        <is>
          <t>Volkswagen Jetta 2011-2015</t>
        </is>
      </c>
      <c r="H1279" t="inlineStr">
        <is>
          <t>Volkswagen Jetta 2011-2015 2.5L L5 151cid
Volkswagen Jetta 2011-2015 2L L4 120cid
Volkswagen Jetta 2011-2015 2L L4 121cid
Volkswagen Jetta 2013-2015 1.4L L4 85cid
Volkswagen Jetta 2014-2015 1.8L L4 110cid</t>
        </is>
      </c>
      <c r="I1279" t="inlineStr">
        <is>
          <t>{"0": {"productDeskExternalKey": "CNRD|85-35002"}, "1": {"Package Contents": "Wiper Motor; Instruction Manual"}, "2": {"E-Waste": "Yes"}, "3": {"Product Condition": "New"}, "4": {"Mounting Hole Quantity": "3"}, "5": {"Terminal Type": "Blade"}, "6": {"Mounting Type": "Direct Bolt"}, "7": {"Weight PG": "2.6000"}, "8": {"Washer Pump Included": "No"}, "9": {"Part Type": "Windshield Wiper Motor"}, "10": {"Warranty Info": "Limited Lifetime"}, "11": {"Lifetime Warranty": "Yes"}, "12": {"Lifecycle Status": "Available to Order"}, "13": {"Application Summary": "Volkswagen Jetta 2015-11"}, "14": {"ItemLevelGTIN": "00884548236936"}}</t>
        </is>
      </c>
      <c r="J1279" t="inlineStr">
        <is>
          <t>https://www.cardone.com/product/windshield-wiper-motor-85-35002</t>
        </is>
      </c>
      <c r="K1279">
        <f>DISPIMG("ID_2934FAE16B3142678815D0BB0A28C1EB",1)</f>
        <v/>
      </c>
      <c r="L1279" t="inlineStr">
        <is>
          <t>CNRD|85-35002</t>
        </is>
      </c>
      <c r="M1279" t="inlineStr">
        <is>
          <t>Wiper Motor; Instruction Manual</t>
        </is>
      </c>
      <c r="N1279" t="inlineStr">
        <is>
          <t>Yes</t>
        </is>
      </c>
      <c r="O1279" t="inlineStr">
        <is>
          <t>New</t>
        </is>
      </c>
      <c r="P1279" t="inlineStr">
        <is>
          <t>3</t>
        </is>
      </c>
      <c r="Q1279" t="inlineStr">
        <is>
          <t>Blade</t>
        </is>
      </c>
      <c r="R1279" t="inlineStr">
        <is>
          <t>Direct Bolt</t>
        </is>
      </c>
      <c r="S1279" t="inlineStr">
        <is>
          <t>2.6000</t>
        </is>
      </c>
      <c r="T1279" t="inlineStr">
        <is>
          <t>No</t>
        </is>
      </c>
      <c r="U1279" t="inlineStr">
        <is>
          <t>Limited Lifetime</t>
        </is>
      </c>
      <c r="V1279" t="inlineStr"/>
      <c r="W1279" t="inlineStr">
        <is>
          <t>Available to Order</t>
        </is>
      </c>
      <c r="X1279" t="inlineStr">
        <is>
          <t>Volkswagen Jetta 2015-11</t>
        </is>
      </c>
      <c r="Y1279" t="inlineStr">
        <is>
          <t>00884548236936</t>
        </is>
      </c>
      <c r="Z1279" t="inlineStr"/>
      <c r="AA1279" t="inlineStr"/>
      <c r="AB1279" t="inlineStr"/>
      <c r="AC1279" t="inlineStr">
        <is>
          <t>Yes</t>
        </is>
      </c>
    </row>
    <row r="1280">
      <c r="A1280" t="inlineStr">
        <is>
          <t>1279</t>
        </is>
      </c>
      <c r="B1280" t="inlineStr">
        <is>
          <t>Windshield Wiper Motor</t>
        </is>
      </c>
      <c r="C1280" t="inlineStr">
        <is>
          <t>85-3501</t>
        </is>
      </c>
      <c r="D1280" t="inlineStr">
        <is>
          <t>Windshield Wiper Motor - 85-3501</t>
        </is>
      </c>
      <c r="E1280" t="inlineStr">
        <is>
          <t>CARDONE New</t>
        </is>
      </c>
      <c r="F1280" t="inlineStr">
        <is>
          <t>8D1955113C</t>
        </is>
      </c>
      <c r="G1280" t="inlineStr">
        <is>
          <t>Audi A4 1999-2001
Audi A4 Quattro 1999-2001
Audi A6 2000-2003
Audi A6 Quattro 2000-2002
Audi Allroad Quattro 2001-2003
Audi S4 2000-2002</t>
        </is>
      </c>
      <c r="H1280" t="inlineStr">
        <is>
          <t>Audi A4 1999-2001 1.8L L4 1781cc
Audi A4 1999-2001 2.8L V6 2771cc
Audi A4 Quattro 1999-2001 1.8L L4 1781cc
Audi A4 Quattro 1999-2001 2.8L V6 2771cc
Audi A6 2000-2001 2.8L V6 2771cc
Audi A6 2002-2003 3L V6 2950cc
Audi A6 2002-2003 3L V6 2976cc
Audi A6 Quattro 2000-2001 2.8L V6 2771cc
Audi A6 Quattro 2000-2002 2.7L V6 2671cc
Audi A6 Quattro 2000-2002 4.2L V8 4172cc
Audi A6 Quattro 2002 3L V6 2950cc
Audi A6 Quattro 2002 3L V6 2976cc
Audi Allroad Quattro 2001-2003 2.7L V6 2671cc
Audi Allroad Quattro 2003 4.2L V8 4172cc
Audi S4 2000-2002 2.7L V6 2671cc</t>
        </is>
      </c>
      <c r="I1280" t="inlineStr">
        <is>
          <t>{"0": {"productDeskExternalKey": "CNRD|85-3501"}, "1": {"Package Contents": "Wiper Motor; Instruction Manual"}, "2": {"E-Waste": "Yes"}, "3": {"Product Condition": "New"}, "4": {"Terminal Type": "Blade"}, "5": {"Mounting Type": "Direct Bolt"}, "6": {"Weight PG": "2.7100"}, "7": {"Washer Pump Included": "No"}, "8": {"Part Type": "Windshield Wiper Motor"}, "9": {"Warranty Info": "Limited Lifetime"}, "10": {"Lifetime Warranty": "Yes"}, "11": {"Lifecycle Status": "Available to Order"}, "12": {"Application Summary": "Audi A4 2001-99, A4 Quattro 2001-99, A6 2003-00, A6 Quattro 2002-00, Allroad Quattro 2003-01, S4 2002-00"}, "13": {"ItemLevelGTIN": "00884548309418"}}</t>
        </is>
      </c>
      <c r="J1280" t="inlineStr">
        <is>
          <t>https://www.cardone.com/product/windshield-wiper-motor-85-3501</t>
        </is>
      </c>
      <c r="K1280">
        <f>DISPIMG("ID_B382F4EB6C7D44E98EBFFE16B68B209D",1)</f>
        <v/>
      </c>
      <c r="L1280" t="inlineStr">
        <is>
          <t>CNRD|85-3501</t>
        </is>
      </c>
      <c r="M1280" t="inlineStr">
        <is>
          <t>Wiper Motor; Instruction Manual</t>
        </is>
      </c>
      <c r="N1280" t="inlineStr">
        <is>
          <t>Yes</t>
        </is>
      </c>
      <c r="O1280" t="inlineStr">
        <is>
          <t>New</t>
        </is>
      </c>
      <c r="P1280" t="inlineStr"/>
      <c r="Q1280" t="inlineStr">
        <is>
          <t>Blade</t>
        </is>
      </c>
      <c r="R1280" t="inlineStr">
        <is>
          <t>Direct Bolt</t>
        </is>
      </c>
      <c r="S1280" t="inlineStr">
        <is>
          <t>2.7100</t>
        </is>
      </c>
      <c r="T1280" t="inlineStr">
        <is>
          <t>No</t>
        </is>
      </c>
      <c r="U1280" t="inlineStr">
        <is>
          <t>Limited Lifetime</t>
        </is>
      </c>
      <c r="V1280" t="inlineStr"/>
      <c r="W1280" t="inlineStr">
        <is>
          <t>Available to Order</t>
        </is>
      </c>
      <c r="X1280" t="inlineStr">
        <is>
          <t>Audi A4 2001-99, A4 Quattro 2001-99, A6 2003-00, A6 Quattro 2002-00, Allroad Quattro 2003-01, S4 2002-00</t>
        </is>
      </c>
      <c r="Y1280" t="inlineStr">
        <is>
          <t>00884548309418</t>
        </is>
      </c>
      <c r="Z1280" t="inlineStr"/>
      <c r="AA1280" t="inlineStr"/>
      <c r="AB1280" t="inlineStr"/>
      <c r="AC1280" t="inlineStr">
        <is>
          <t>Yes</t>
        </is>
      </c>
    </row>
    <row r="1281">
      <c r="A1281" t="inlineStr">
        <is>
          <t>1280</t>
        </is>
      </c>
      <c r="B1281" t="inlineStr">
        <is>
          <t>Windshield Wiper Motor</t>
        </is>
      </c>
      <c r="C1281" t="inlineStr">
        <is>
          <t>85-3503</t>
        </is>
      </c>
      <c r="D1281" t="inlineStr">
        <is>
          <t>Windshield Wiper Motor - 85-3503</t>
        </is>
      </c>
      <c r="E1281" t="inlineStr">
        <is>
          <t>CARDONE New</t>
        </is>
      </c>
      <c r="F1281" t="inlineStr">
        <is>
          <t>8D1955113B;8D1955113A</t>
        </is>
      </c>
      <c r="G1281" t="inlineStr">
        <is>
          <t>Audi A4 1996-2001
Audi A4 Quattro 1996-2001
Audi S4 2000-2002
Volkswagen Passat 1998-1999</t>
        </is>
      </c>
      <c r="H1281" t="inlineStr">
        <is>
          <t>Audi A4 1996-2001 2.8L V6 2771cc
Audi A4 1997-2001 1.8L L4 1781cc
Audi A4 Quattro 1996-2001 2.8L V6 2771cc
Audi A4 Quattro 1997-2001 1.8L L4 1781cc
Audi S4 2000-2002 2.7L V6 2671cc
Volkswagen Passat 1998-1999 1.8L L4 1781cc
Volkswagen Passat 1998-1999 2.8L V6 2771cc</t>
        </is>
      </c>
      <c r="I1281" t="inlineStr">
        <is>
          <t>{"0": {"productDeskExternalKey": "CNRD|85-3503"}, "1": {"Package Contents": "Wiper Motor; Instruction Manual"}, "2": {"E-Waste": "Yes"}, "3": {"Product Condition": "New"}, "4": {"Mounting Hole Quantity": "3"}, "5": {"Terminal Type": "Blade"}, "6": {"Mounting Type": "Direct Bolt"}, "7": {"Weight PG": "3.9000"}, "8": {"Washer Pump Included": "No"}, "9": {"Part Type": "Windshield Wiper Motor"}, "10": {"Warranty Info": "Limited Lifetime"}, "11": {"Lifetime Warranty": "Yes"}, "12": {"Lifecycle Status": "Available to Order"}, "13": {"Application Summary": "Audi A4 2001-96, A4 Quattro 2001-96, S4 2002-00; Volkswagen Passat 1999-98"}, "14": {"ItemLevelGTIN": "00884548007642"}}</t>
        </is>
      </c>
      <c r="J1281" t="inlineStr">
        <is>
          <t>https://www.cardone.com/product/windshield-wiper-motor-85-3503</t>
        </is>
      </c>
      <c r="K1281">
        <f>DISPIMG("ID_47AC592B091E41798080E4813C13FC74",1)</f>
        <v/>
      </c>
      <c r="L1281" t="inlineStr">
        <is>
          <t>CNRD|85-3503</t>
        </is>
      </c>
      <c r="M1281" t="inlineStr">
        <is>
          <t>Wiper Motor; Instruction Manual</t>
        </is>
      </c>
      <c r="N1281" t="inlineStr">
        <is>
          <t>Yes</t>
        </is>
      </c>
      <c r="O1281" t="inlineStr">
        <is>
          <t>New</t>
        </is>
      </c>
      <c r="P1281" t="inlineStr">
        <is>
          <t>3</t>
        </is>
      </c>
      <c r="Q1281" t="inlineStr">
        <is>
          <t>Blade</t>
        </is>
      </c>
      <c r="R1281" t="inlineStr">
        <is>
          <t>Direct Bolt</t>
        </is>
      </c>
      <c r="S1281" t="inlineStr">
        <is>
          <t>3.9000</t>
        </is>
      </c>
      <c r="T1281" t="inlineStr">
        <is>
          <t>No</t>
        </is>
      </c>
      <c r="U1281" t="inlineStr">
        <is>
          <t>Limited Lifetime</t>
        </is>
      </c>
      <c r="V1281" t="inlineStr"/>
      <c r="W1281" t="inlineStr">
        <is>
          <t>Available to Order</t>
        </is>
      </c>
      <c r="X1281" t="inlineStr">
        <is>
          <t>Audi A4 2001-96, A4 Quattro 2001-96, S4 2002-00; Volkswagen Passat 1999-98</t>
        </is>
      </c>
      <c r="Y1281" t="inlineStr">
        <is>
          <t>00884548007642</t>
        </is>
      </c>
      <c r="Z1281" t="inlineStr"/>
      <c r="AA1281" t="inlineStr"/>
      <c r="AB1281" t="inlineStr"/>
      <c r="AC1281" t="inlineStr">
        <is>
          <t>Yes</t>
        </is>
      </c>
    </row>
    <row r="1282">
      <c r="A1282" t="inlineStr">
        <is>
          <t>1281</t>
        </is>
      </c>
      <c r="B1282" t="inlineStr">
        <is>
          <t>Windshield Wiper Motor</t>
        </is>
      </c>
      <c r="C1282" t="inlineStr">
        <is>
          <t>85-3506</t>
        </is>
      </c>
      <c r="D1282" t="inlineStr">
        <is>
          <t>Windshield Wiper Motor - 85-3506</t>
        </is>
      </c>
      <c r="E1282" t="inlineStr">
        <is>
          <t>CARDONE New</t>
        </is>
      </c>
      <c r="F1282" t="inlineStr">
        <is>
          <t>1J6955711C;1J9955711F;1J6955711F;1J6955711G</t>
        </is>
      </c>
      <c r="G1282" t="inlineStr">
        <is>
          <t>Volkswagen Golf 1999-2006
Volkswagen Jetta 2001-2005
Volkswagen Passat 2003-2005
Volkswagen R32 2004</t>
        </is>
      </c>
      <c r="H1282" t="inlineStr">
        <is>
          <t>Volkswagen Golf 1999-2005 2.8L V6 2771cc
Volkswagen Golf 1999-2006 1.9L L4 116cid
Volkswagen Golf 1999-2006 2L L4 121cid
Volkswagen Golf 2000-2006 1.8L L4 1781cc
Volkswagen Jetta 2001-2004 2.8L V6 2771cc
Volkswagen Jetta 2001-2005 1.8L L4 1781cc
Volkswagen Jetta 2001-2005 1.9L L4 116cid
Volkswagen Jetta 2001-2005 2L L4 121cid
Volkswagen Jetta 2005 2.5L L5 151cid
Volkswagen Passat 2003-2004 4L W8 244cid
Volkswagen Passat 2003-2005 1.8L L4 1781cc
Volkswagen Passat 2003-2005 2.8L V6 2771cc
Volkswagen Passat 2004-2005 2L L4 120cid
Volkswagen R32 2004 3.2L V6 3189cc</t>
        </is>
      </c>
      <c r="I1282" t="inlineStr">
        <is>
          <t>{"0": {"productDeskExternalKey": "CNRD|85-3506"}, "1": {"Package Contents": "Wiper Motor; Instruction Manual"}, "2": {"E-Waste": "Yes"}, "3": {"Product Condition": "New"}, "4": {"Mounting Hole Quantity": "3"}, "5": {"Terminal Type": "Blade"}, "6": {"Mounting Type": "Eyelet; Grommet"}, "7": {"Weight PG": "2.6000"}, "8": {"Washer Pump Included": "No"}, "9": {"Part Type": "Windshield Wiper Motor"}, "10": {"Warranty Info": "Limited Lifetime"}, "11": {"Lifetime Warranty": "Yes"}, "12": {"Lifecycle Status": "Available to Order"}, "13": {"Application Summary": "Volkswagen Golf 2006-99, Jetta 2005-01, Passat 2005-03, R32 2004"}, "14": {"ItemLevelGTIN": "00884548149878"}}</t>
        </is>
      </c>
      <c r="J1282" t="inlineStr">
        <is>
          <t>https://www.cardone.com/product/windshield-wiper-motor-85-3506</t>
        </is>
      </c>
      <c r="K1282">
        <f>DISPIMG("ID_5EFB5B63EDE0414197E54619C8B34839",1)</f>
        <v/>
      </c>
      <c r="L1282" t="inlineStr">
        <is>
          <t>CNRD|85-3506</t>
        </is>
      </c>
      <c r="M1282" t="inlineStr">
        <is>
          <t>Wiper Motor; Instruction Manual</t>
        </is>
      </c>
      <c r="N1282" t="inlineStr">
        <is>
          <t>Yes</t>
        </is>
      </c>
      <c r="O1282" t="inlineStr">
        <is>
          <t>New</t>
        </is>
      </c>
      <c r="P1282" t="inlineStr">
        <is>
          <t>3</t>
        </is>
      </c>
      <c r="Q1282" t="inlineStr">
        <is>
          <t>Blade</t>
        </is>
      </c>
      <c r="R1282" t="inlineStr">
        <is>
          <t>Eyelet; Grommet</t>
        </is>
      </c>
      <c r="S1282" t="inlineStr">
        <is>
          <t>2.6000</t>
        </is>
      </c>
      <c r="T1282" t="inlineStr">
        <is>
          <t>No</t>
        </is>
      </c>
      <c r="U1282" t="inlineStr">
        <is>
          <t>Limited Lifetime</t>
        </is>
      </c>
      <c r="V1282" t="inlineStr"/>
      <c r="W1282" t="inlineStr">
        <is>
          <t>Available to Order</t>
        </is>
      </c>
      <c r="X1282" t="inlineStr">
        <is>
          <t>Volkswagen Golf 2006-99, Jetta 2005-01, Passat 2005-03, R32 2004</t>
        </is>
      </c>
      <c r="Y1282" t="inlineStr">
        <is>
          <t>00884548149878</t>
        </is>
      </c>
      <c r="Z1282" t="inlineStr"/>
      <c r="AA1282" t="inlineStr"/>
      <c r="AB1282" t="inlineStr"/>
      <c r="AC1282" t="inlineStr">
        <is>
          <t>Yes</t>
        </is>
      </c>
    </row>
    <row r="1283">
      <c r="A1283" t="inlineStr">
        <is>
          <t>1282</t>
        </is>
      </c>
      <c r="B1283" t="inlineStr">
        <is>
          <t>Windshield Wiper Motor</t>
        </is>
      </c>
      <c r="C1283" t="inlineStr">
        <is>
          <t>85-3508</t>
        </is>
      </c>
      <c r="D1283" t="inlineStr">
        <is>
          <t>Windshield Wiper Motor - 85-3508</t>
        </is>
      </c>
      <c r="E1283" t="inlineStr">
        <is>
          <t>CARDONE New</t>
        </is>
      </c>
      <c r="F1283" t="inlineStr">
        <is>
          <t>4A1955113C;1638204342</t>
        </is>
      </c>
      <c r="G1283" t="inlineStr">
        <is>
          <t>Audi 100 1992-1994
Audi 100 Quattro 1992-1994
Audi A6 1995-1998
Audi A6 Quattro 1995-1998
Audi S4 1992-1994
Audi S6 1995
Mercedes-Benz ML320 1998-2003
Mercedes-Benz ML350 2003-2005
Mercedes-Benz ML430 1999-2001
Mercedes-Benz ML500 2002-2005
Mercedes-Benz ML55 AMG 2000-2003</t>
        </is>
      </c>
      <c r="H1283" t="inlineStr">
        <is>
          <t>Audi 100 1992-1994 2.8L V6 2771cc
Audi 100 Quattro 1992-1994 2.8L V6 2771cc
Audi A6 1995-1998 2.8L V6 2771cc
Audi A6 Quattro 1995-1998 2.8L V6 2771cc
Audi S4 1992-1994 2.2L L5 2226cc
Audi S6 1995 2.2L L5 2226cc
Mercedes-Benz ML320 1998-2003 3.2L V6 3199cc
Mercedes-Benz ML350 2003-2005 3.7L V6 3699cc
Mercedes-Benz ML430 1999-2001 4.3L V8 4266cc
Mercedes-Benz ML500 2002-2005 5L V8 4966cc
Mercedes-Benz ML55 AMG 2000-2003 5.5L V8 332cid
Mercedes-Benz ML55 AMG 2002-2003 5.4L V8 332cid</t>
        </is>
      </c>
      <c r="I1283" t="inlineStr">
        <is>
          <t>{"0": {"productDeskExternalKey": "CNRD|85-3508"}, "1": {"Package Contents": "Wiper Motor; Instruction Manual"}, "2": {"E-Waste": "Yes"}, "3": {"Product Condition": "New"}, "4": {"Mounting Hole Quantity": "3"}, "5": {"Terminal Type": "Blade"}, "6": {"Mounting Type": "Direct Bolt"}, "7": {"Weight PG": "1.5000"}, "8": {"Washer Pump Included": "No"}, "9": {"Part Type": "Windshield Wiper Motor"}, "10": {"Warranty Info": "Limited Lifetime"}, "11": {"Lifetime Warranty": "Yes"}, "12": {"Lifecycle Status": "Available to Order"}, "13": {"Application Summary": "Audi 100 1994-92, 100 Quattro 1994-92, A6 1998-95, A6 Quattro 1998-95, S4 1994-92, S6 1995; Mercedes-Benz ML320 2003-98, ML350 2005-03, ML430 2001-99, ML500 2005-02, ML55 AMG 2003-00"}, "14": {"ItemLevelGTIN": "00884548014473"}}</t>
        </is>
      </c>
      <c r="J1283" t="inlineStr">
        <is>
          <t>https://www.cardone.com/product/windshield-wiper-motor-85-3508</t>
        </is>
      </c>
      <c r="K1283">
        <f>DISPIMG("ID_9E827681130841F3A217348212B75121",1)</f>
        <v/>
      </c>
      <c r="L1283" t="inlineStr">
        <is>
          <t>CNRD|85-3508</t>
        </is>
      </c>
      <c r="M1283" t="inlineStr">
        <is>
          <t>Wiper Motor; Instruction Manual</t>
        </is>
      </c>
      <c r="N1283" t="inlineStr">
        <is>
          <t>Yes</t>
        </is>
      </c>
      <c r="O1283" t="inlineStr">
        <is>
          <t>New</t>
        </is>
      </c>
      <c r="P1283" t="inlineStr">
        <is>
          <t>3</t>
        </is>
      </c>
      <c r="Q1283" t="inlineStr">
        <is>
          <t>Blade</t>
        </is>
      </c>
      <c r="R1283" t="inlineStr">
        <is>
          <t>Direct Bolt</t>
        </is>
      </c>
      <c r="S1283" t="inlineStr">
        <is>
          <t>1.5000</t>
        </is>
      </c>
      <c r="T1283" t="inlineStr">
        <is>
          <t>No</t>
        </is>
      </c>
      <c r="U1283" t="inlineStr">
        <is>
          <t>Limited Lifetime</t>
        </is>
      </c>
      <c r="V1283" t="inlineStr"/>
      <c r="W1283" t="inlineStr">
        <is>
          <t>Available to Order</t>
        </is>
      </c>
      <c r="X1283" t="inlineStr">
        <is>
          <t>Audi 100 1994-92, 100 Quattro 1994-92, A6 1998-95, A6 Quattro 1998-95, S4 1994-92, S6 1995; Mercedes-Benz ML320 2003-98, ML350 2005-03, ML430 2001-99, ML500 2005-02, ML55 AMG 2003-00</t>
        </is>
      </c>
      <c r="Y1283" t="inlineStr">
        <is>
          <t>00884548014473</t>
        </is>
      </c>
      <c r="Z1283" t="inlineStr"/>
      <c r="AA1283" t="inlineStr"/>
      <c r="AB1283" t="inlineStr"/>
      <c r="AC1283" t="inlineStr">
        <is>
          <t>Yes</t>
        </is>
      </c>
    </row>
    <row r="1284">
      <c r="A1284" t="inlineStr">
        <is>
          <t>1283</t>
        </is>
      </c>
      <c r="B1284" t="inlineStr">
        <is>
          <t>Windshield Wiper Motor</t>
        </is>
      </c>
      <c r="C1284" t="inlineStr">
        <is>
          <t>85-3511</t>
        </is>
      </c>
      <c r="D1284" t="inlineStr">
        <is>
          <t>Windshield Wiper Motor - 85-3511</t>
        </is>
      </c>
      <c r="E1284" t="inlineStr">
        <is>
          <t>CARDONE New</t>
        </is>
      </c>
      <c r="F1284" t="inlineStr">
        <is>
          <t>1J1955113C;1J0955119A</t>
        </is>
      </c>
      <c r="G1284" t="inlineStr">
        <is>
          <t>Volkswagen Golf 2002-2006
Volkswagen Jetta 2002-2010
Volkswagen R32 2004</t>
        </is>
      </c>
      <c r="H1284" t="inlineStr">
        <is>
          <t>Volkswagen Golf 2002-2005 2.8L V6 2771cc
Volkswagen Golf 2002-2006 1.8L L4 1781cc
Volkswagen Golf 2002-2006 1.9L L4 116cid
Volkswagen Golf 2002-2006 2L L4 121cid
Volkswagen Jetta 2002-2004 2.8L V6 2771cc
Volkswagen Jetta 2002-2010 1.8L L4 1781cc
Volkswagen Jetta 2002-2010 1.9L L4 116cid
Volkswagen Jetta 2002-2010 2L L4 121cid
Volkswagen R32 2004 3.2L V6 3189cc</t>
        </is>
      </c>
      <c r="I1284" t="inlineStr">
        <is>
          <t>{"0": {"productDeskExternalKey": "CNRD|85-3511"}, "1": {"Package Contents": "Wiper Motor; Instruction Manual"}, "2": {"E-Waste": "Yes"}, "3": {"Product Condition": "New"}, "4": {"Mounting Hole Quantity": "3"}, "5": {"Terminal Type": "Blade"}, "6": {"Mounting Type": "Direct Bolt"}, "7": {"Weight PG": "2.8000"}, "8": {"Washer Pump Included": "No"}, "9": {"Part Type": "Windshield Wiper Motor"}, "10": {"Warranty Info": "Limited Lifetime"}, "11": {"Lifetime Warranty": "Yes"}, "12": {"Lifecycle Status": "Available to Order"}, "13": {"Application Summary": "Volkswagen Golf 2006-02, Jetta 2010-02, R32 2004"}, "14": {"ItemLevelGTIN": "00884548118546"}}</t>
        </is>
      </c>
      <c r="J1284" t="inlineStr">
        <is>
          <t>https://www.cardone.com/product/windshield-wiper-motor-85-3511</t>
        </is>
      </c>
      <c r="K1284">
        <f>DISPIMG("ID_C6274F5ED0CE4BEB9E24AEA1194851DF",1)</f>
        <v/>
      </c>
      <c r="L1284" t="inlineStr">
        <is>
          <t>CNRD|85-3511</t>
        </is>
      </c>
      <c r="M1284" t="inlineStr">
        <is>
          <t>Wiper Motor; Instruction Manual</t>
        </is>
      </c>
      <c r="N1284" t="inlineStr">
        <is>
          <t>Yes</t>
        </is>
      </c>
      <c r="O1284" t="inlineStr">
        <is>
          <t>New</t>
        </is>
      </c>
      <c r="P1284" t="inlineStr">
        <is>
          <t>3</t>
        </is>
      </c>
      <c r="Q1284" t="inlineStr">
        <is>
          <t>Blade</t>
        </is>
      </c>
      <c r="R1284" t="inlineStr">
        <is>
          <t>Direct Bolt</t>
        </is>
      </c>
      <c r="S1284" t="inlineStr">
        <is>
          <t>2.8000</t>
        </is>
      </c>
      <c r="T1284" t="inlineStr">
        <is>
          <t>No</t>
        </is>
      </c>
      <c r="U1284" t="inlineStr">
        <is>
          <t>Limited Lifetime</t>
        </is>
      </c>
      <c r="V1284" t="inlineStr"/>
      <c r="W1284" t="inlineStr">
        <is>
          <t>Available to Order</t>
        </is>
      </c>
      <c r="X1284" t="inlineStr">
        <is>
          <t>Volkswagen Golf 2006-02, Jetta 2010-02, R32 2004</t>
        </is>
      </c>
      <c r="Y1284" t="inlineStr">
        <is>
          <t>00884548118546</t>
        </is>
      </c>
      <c r="Z1284" t="inlineStr"/>
      <c r="AA1284" t="inlineStr"/>
      <c r="AB1284" t="inlineStr"/>
      <c r="AC1284" t="inlineStr">
        <is>
          <t>Yes</t>
        </is>
      </c>
    </row>
    <row r="1285">
      <c r="A1285" t="inlineStr">
        <is>
          <t>1284</t>
        </is>
      </c>
      <c r="B1285" t="inlineStr">
        <is>
          <t>Windshield Wiper Motor</t>
        </is>
      </c>
      <c r="C1285" t="inlineStr">
        <is>
          <t>85-3515</t>
        </is>
      </c>
      <c r="D1285" t="inlineStr">
        <is>
          <t>Windshield Wiper Motor - 85-3515</t>
        </is>
      </c>
      <c r="E1285" t="inlineStr">
        <is>
          <t>CARDONE New</t>
        </is>
      </c>
      <c r="F1285" t="inlineStr">
        <is>
          <t>8E1955119</t>
        </is>
      </c>
      <c r="G1285" t="inlineStr">
        <is>
          <t>Audi A4 2002-2009
Audi A4 Quattro 2002-2009
Audi RS4 2007-2008
Audi S4 2004-2009</t>
        </is>
      </c>
      <c r="H1285" t="inlineStr">
        <is>
          <t>Audi A4 2002-2005 3L V6 2976cc
Audi A4 2002-2008 1.8L L4 1781cc
Audi A4 2005-2008 3.2L V6 3123cc
Audi A4 2005-2009 2L L4 121cid
Audi A4 Quattro 2002-2005 1.8L L4 1781cc
Audi A4 Quattro 2002-2006 3L V6 2976cc
Audi A4 Quattro 2005-2009 2L L4 121cid
Audi A4 Quattro 2005-2009 3.2L V6 3123cc
Audi A4 Quattro 2009 3.2L V6 195cid
Audi RS4 2007-2008 4.2L V8 4163cc
Audi RS4 2007-2008 4.2L V8 4172cc
Audi S4 2004-2009 4.2L V8 4163cc</t>
        </is>
      </c>
      <c r="I1285" t="inlineStr">
        <is>
          <t>{"0": {"productDeskExternalKey": "CNRD|85-3515"}, "1": {"Package Contents": "Wiper Motor; Instruction Manual"}, "2": {"E-Waste": "Yes"}, "3": {"Product Condition": "New"}, "4": {"Mounting Hole Quantity": "3"}, "5": {"Terminal Type": "Blade"}, "6": {"Mounting Type": "Direct Bolt"}, "7": {"Weight PG": "2.8000"}, "8": {"Washer Pump Included": "No"}, "9": {"Part Type": "Windshield Wiper Motor"}, "10": {"Warranty Info": "Limited Lifetime"}, "11": {"Lifetime Warranty": "Yes"}, "12": {"Lifecycle Status": "Available to Order"}, "13": {"Application Summary": "Audi A4 2009-02, A4 Quattro 2009-02, RS4 2008-07, S4 2009-04"}, "14": {"ItemLevelGTIN": "00884548093522"}}</t>
        </is>
      </c>
      <c r="J1285" t="inlineStr">
        <is>
          <t>https://www.cardone.com/product/windshield-wiper-motor-85-3515</t>
        </is>
      </c>
      <c r="K1285">
        <f>DISPIMG("ID_8FDD8918D2C3476E987542A413F2B057",1)</f>
        <v/>
      </c>
      <c r="L1285" t="inlineStr">
        <is>
          <t>CNRD|85-3515</t>
        </is>
      </c>
      <c r="M1285" t="inlineStr">
        <is>
          <t>Wiper Motor; Instruction Manual</t>
        </is>
      </c>
      <c r="N1285" t="inlineStr">
        <is>
          <t>Yes</t>
        </is>
      </c>
      <c r="O1285" t="inlineStr">
        <is>
          <t>New</t>
        </is>
      </c>
      <c r="P1285" t="inlineStr">
        <is>
          <t>3</t>
        </is>
      </c>
      <c r="Q1285" t="inlineStr">
        <is>
          <t>Blade</t>
        </is>
      </c>
      <c r="R1285" t="inlineStr">
        <is>
          <t>Direct Bolt</t>
        </is>
      </c>
      <c r="S1285" t="inlineStr">
        <is>
          <t>2.8000</t>
        </is>
      </c>
      <c r="T1285" t="inlineStr">
        <is>
          <t>No</t>
        </is>
      </c>
      <c r="U1285" t="inlineStr">
        <is>
          <t>Limited Lifetime</t>
        </is>
      </c>
      <c r="V1285" t="inlineStr"/>
      <c r="W1285" t="inlineStr">
        <is>
          <t>Available to Order</t>
        </is>
      </c>
      <c r="X1285" t="inlineStr">
        <is>
          <t>Audi A4 2009-02, A4 Quattro 2009-02, RS4 2008-07, S4 2009-04</t>
        </is>
      </c>
      <c r="Y1285" t="inlineStr">
        <is>
          <t>00884548093522</t>
        </is>
      </c>
      <c r="Z1285" t="inlineStr"/>
      <c r="AA1285" t="inlineStr"/>
      <c r="AB1285" t="inlineStr"/>
      <c r="AC1285" t="inlineStr">
        <is>
          <t>Yes</t>
        </is>
      </c>
    </row>
    <row r="1286">
      <c r="A1286" t="inlineStr">
        <is>
          <t>1285</t>
        </is>
      </c>
      <c r="B1286" t="inlineStr">
        <is>
          <t>Windshield Wiper Motor</t>
        </is>
      </c>
      <c r="C1286" t="inlineStr">
        <is>
          <t>85-3528</t>
        </is>
      </c>
      <c r="D1286" t="inlineStr">
        <is>
          <t>Windshield Wiper Motor - 85-3528</t>
        </is>
      </c>
      <c r="E1286" t="inlineStr">
        <is>
          <t>CARDONE New</t>
        </is>
      </c>
      <c r="F1286" t="inlineStr">
        <is>
          <t>8L0955711B;3B9955711C</t>
        </is>
      </c>
      <c r="G1286" t="inlineStr">
        <is>
          <t>Audi A4 1998-2001
Audi A4 Quattro 1998-2001
Audi A6 1999-2000
Audi A6 Quattro 1999-2004
Audi Allroad Quattro 2001-2005
Audi S4 2001-2002
Audi S6 2002-2003
Volkswagen Passat 1998-2003</t>
        </is>
      </c>
      <c r="H1286" t="inlineStr">
        <is>
          <t>Audi A4 1998 2.8L V6 2771cc
Audi A4 1998-2001 1.8L L4 1781cc
Audi A4 Quattro 1998-2001 2.8L V6 2771cc
Audi A4 Quattro 1999-2001 1.8L L4 1781cc
Audi A6 1999-2000 2.8L V6 2771cc
Audi A6 Quattro 1999-2001 2.8L V6 2771cc
Audi A6 Quattro 2000 2.7L V6 2671cc
Audi A6 Quattro 2000 4.2L V8 4172cc
Audi A6 Quattro 2002-2004 3L V6 2976cc
Audi Allroad Quattro 2001-2005 2.7L V6 2671cc
Audi Allroad Quattro 2003-2005 4.2L V8 4172cc
Audi S4 2001-2002 2.7L V6 2671cc
Audi S6 2002-2003 4.2L V8 4172cc
Volkswagen Passat 1998-2003 1.8L L4 1781cc
Volkswagen Passat 1998-2003 2.8L V6 2771cc
Volkswagen Passat 2002-2003 4L W8 244cid</t>
        </is>
      </c>
      <c r="I1286" t="inlineStr">
        <is>
          <t>{"0": {"productDeskExternalKey": "CNRD|85-3528"}, "1": {"Package Contents": "Wiper Motor; Instruction Manual"}, "2": {"E-Waste": "Yes"}, "3": {"Product Condition": "New"}, "4": {"Mounting Hole Quantity": "3"}, "5": {"Terminal Type": "Blade"}, "6": {"Mounting Type": "Eyelet; Grommet"}, "7": {"Weight PG": "2.6000"}, "8": {"Washer Pump Included": "No"}, "9": {"Part Type": "Windshield Wiper Motor"}, "10": {"Warranty Info": "Limited Lifetime"}, "11": {"Lifetime Warranty": "Yes"}, "12": {"Lifecycle Status": "Available to Order"}, "13": {"Application Summary": "Audi A4 2001-98, A4 Quattro 2001-98, A6 2000-99, A6 Quattro 2004-99, Allroad Quattro 2005-01, S4 2002-01, S6 2003-02; Volkswagen Passat 2003-98"}, "14": {"ItemLevelGTIN": "00884548155305"}}</t>
        </is>
      </c>
      <c r="J1286" t="inlineStr">
        <is>
          <t>https://www.cardone.com/product/windshield-wiper-motor-85-3528</t>
        </is>
      </c>
      <c r="K1286">
        <f>DISPIMG("ID_8C98D37E0E3D44D4B468FDBD3DFE0500",1)</f>
        <v/>
      </c>
      <c r="L1286" t="inlineStr">
        <is>
          <t>CNRD|85-3528</t>
        </is>
      </c>
      <c r="M1286" t="inlineStr">
        <is>
          <t>Wiper Motor; Instruction Manual</t>
        </is>
      </c>
      <c r="N1286" t="inlineStr">
        <is>
          <t>Yes</t>
        </is>
      </c>
      <c r="O1286" t="inlineStr">
        <is>
          <t>New</t>
        </is>
      </c>
      <c r="P1286" t="inlineStr">
        <is>
          <t>3</t>
        </is>
      </c>
      <c r="Q1286" t="inlineStr">
        <is>
          <t>Blade</t>
        </is>
      </c>
      <c r="R1286" t="inlineStr">
        <is>
          <t>Eyelet; Grommet</t>
        </is>
      </c>
      <c r="S1286" t="inlineStr">
        <is>
          <t>2.6000</t>
        </is>
      </c>
      <c r="T1286" t="inlineStr">
        <is>
          <t>No</t>
        </is>
      </c>
      <c r="U1286" t="inlineStr">
        <is>
          <t>Limited Lifetime</t>
        </is>
      </c>
      <c r="V1286" t="inlineStr"/>
      <c r="W1286" t="inlineStr">
        <is>
          <t>Available to Order</t>
        </is>
      </c>
      <c r="X1286" t="inlineStr">
        <is>
          <t>Audi A4 2001-98, A4 Quattro 2001-98, A6 2000-99, A6 Quattro 2004-99, Allroad Quattro 2005-01, S4 2002-01, S6 2003-02; Volkswagen Passat 2003-98</t>
        </is>
      </c>
      <c r="Y1286" t="inlineStr">
        <is>
          <t>00884548155305</t>
        </is>
      </c>
      <c r="Z1286" t="inlineStr"/>
      <c r="AA1286" t="inlineStr"/>
      <c r="AB1286" t="inlineStr"/>
      <c r="AC1286" t="inlineStr">
        <is>
          <t>Yes</t>
        </is>
      </c>
    </row>
    <row r="1287">
      <c r="A1287" t="inlineStr">
        <is>
          <t>1286</t>
        </is>
      </c>
      <c r="B1287" t="inlineStr">
        <is>
          <t>Windshield Wiper Motor</t>
        </is>
      </c>
      <c r="C1287" t="inlineStr">
        <is>
          <t>85-3530</t>
        </is>
      </c>
      <c r="D1287" t="inlineStr">
        <is>
          <t>Windshield Wiper Motor - 85-3530</t>
        </is>
      </c>
      <c r="E1287" t="inlineStr">
        <is>
          <t>CARDONE New</t>
        </is>
      </c>
      <c r="F1287" t="inlineStr">
        <is>
          <t>1K6955711B;1K6955711C;1K9955711A;1K9955711B</t>
        </is>
      </c>
      <c r="G1287" t="inlineStr">
        <is>
          <t>Volkswagen GTI 2006-2009
Volkswagen Golf 2013-2014
Volkswagen Golf R 2013
Volkswagen Golf SportWagen 2013
Volkswagen Jetta 2009-2014
Volkswagen Passat 2007-2010
Volkswagen R32 2008
Volkswagen Rabbit 2006-2009</t>
        </is>
      </c>
      <c r="H1287" t="inlineStr">
        <is>
          <t>Volkswagen GTI 2006-2009 2L L4 121cid
Volkswagen Golf 2013 1.4L L4 85cid
Volkswagen Golf 2013-2014 2.5L L5 151cid
Volkswagen Golf 2013-2014 2L L4 120cid
Volkswagen Golf R 2013 2L L4 121cid
Volkswagen Golf SportWagen 2013 2.5L L5 151cid
Volkswagen Jetta 2009-2010 1.8L L4 1781cc
Volkswagen Jetta 2009-2010 1.9L L4 116cid
Volkswagen Jetta 2009-2014 2.5L L5 151cid
Volkswagen Jetta 2009-2014 2L L4 120cid
Volkswagen Jetta 2009-2014 2L L4 121cid
Volkswagen Jetta 2014 1.8L L4 110cid
Volkswagen Passat 2007-2010 2L L4 121cid
Volkswagen Passat 2007-2010 3.6L V6 219cid
Volkswagen R32 2008 3.2L V6 195cid
Volkswagen Rabbit 2006-2009 2.5L L5 151cid</t>
        </is>
      </c>
      <c r="I1287" t="inlineStr">
        <is>
          <t>{"0": {"productDeskExternalKey": "CNRD|85-3530"}, "1": {"Package Contents": "Wiper Motor; Instruction Manual"}, "2": {"E-Waste": "Yes"}, "3": {"Product Condition": "New"}, "4": {"Mounting Hole Quantity": "3"}, "5": {"Terminal Type": "Blade"}, "6": {"Mounting Type": "Eyelet; Grommet"}, "7": {"Weight PG": "2.4000"}, "8": {"Washer Pump Included": "No"}, "9": {"Part Type": "Windshield Wiper Motor"}, "10": {"Warranty Info": "Limited Lifetime"}, "11": {"Lifetime Warranty": "Yes"}, "12": {"Lifecycle Status": "Available to Order"}, "13": {"Application Summary": "Volkswagen Golf 2014-13, Golf R 2013, Golf SportWagen 2013, GTI 2009-06, Jetta 2014-09, Passat 2010-07, R32 2008, Rabbit 2009-06"}, "14": {"ItemLevelGTIN": "00884548235984"}}</t>
        </is>
      </c>
      <c r="J1287" t="inlineStr">
        <is>
          <t>https://www.cardone.com/product/windshield-wiper-motor-85-3530</t>
        </is>
      </c>
      <c r="K1287">
        <f>DISPIMG("ID_680978871A9E4311823C9AF9115353B5",1)</f>
        <v/>
      </c>
      <c r="L1287" t="inlineStr">
        <is>
          <t>CNRD|85-3530</t>
        </is>
      </c>
      <c r="M1287" t="inlineStr">
        <is>
          <t>Wiper Motor; Instruction Manual</t>
        </is>
      </c>
      <c r="N1287" t="inlineStr">
        <is>
          <t>Yes</t>
        </is>
      </c>
      <c r="O1287" t="inlineStr">
        <is>
          <t>New</t>
        </is>
      </c>
      <c r="P1287" t="inlineStr">
        <is>
          <t>3</t>
        </is>
      </c>
      <c r="Q1287" t="inlineStr">
        <is>
          <t>Blade</t>
        </is>
      </c>
      <c r="R1287" t="inlineStr">
        <is>
          <t>Eyelet; Grommet</t>
        </is>
      </c>
      <c r="S1287" t="inlineStr">
        <is>
          <t>2.4000</t>
        </is>
      </c>
      <c r="T1287" t="inlineStr">
        <is>
          <t>No</t>
        </is>
      </c>
      <c r="U1287" t="inlineStr">
        <is>
          <t>Limited Lifetime</t>
        </is>
      </c>
      <c r="V1287" t="inlineStr"/>
      <c r="W1287" t="inlineStr">
        <is>
          <t>Available to Order</t>
        </is>
      </c>
      <c r="X1287" t="inlineStr">
        <is>
          <t>Volkswagen Golf 2014-13, Golf R 2013, Golf SportWagen 2013, GTI 2009-06, Jetta 2014-09, Passat 2010-07, R32 2008, Rabbit 2009-06</t>
        </is>
      </c>
      <c r="Y1287" t="inlineStr">
        <is>
          <t>00884548235984</t>
        </is>
      </c>
      <c r="Z1287" t="inlineStr"/>
      <c r="AA1287" t="inlineStr"/>
      <c r="AB1287" t="inlineStr"/>
      <c r="AC1287" t="inlineStr">
        <is>
          <t>Yes</t>
        </is>
      </c>
    </row>
    <row r="1288">
      <c r="A1288" t="inlineStr">
        <is>
          <t>1287</t>
        </is>
      </c>
      <c r="B1288" t="inlineStr">
        <is>
          <t>Windshield Wiper Motor</t>
        </is>
      </c>
      <c r="C1288" t="inlineStr">
        <is>
          <t>85-3533</t>
        </is>
      </c>
      <c r="D1288" t="inlineStr">
        <is>
          <t>Windshield Wiper Motor - 85-3533</t>
        </is>
      </c>
      <c r="E1288" t="inlineStr">
        <is>
          <t>CARDONE New</t>
        </is>
      </c>
      <c r="F1288" t="inlineStr">
        <is>
          <t>8E9955711C;8E9955711E;8E9955711B</t>
        </is>
      </c>
      <c r="G1288" t="inlineStr">
        <is>
          <t>Audi A3 2006-2013
Audi A3 Quattro 2006-2013
Audi A4 2004-2005
Audi A4 Quattro 2002-2008
Audi Q5 2009-2016
Audi Q7 2007-2015
Audi S4 2004-2008
Audi SQ5 2014-2017</t>
        </is>
      </c>
      <c r="H1288" t="inlineStr">
        <is>
          <t>Audi A3 2006-2013 2L L4 121cid
Audi A3 2008-2013 1.4L L4 85cid
Audi A3 2008-2013 1.8L L4 110cid
Audi A3 2010-2013 2L L4 120cid
Audi A3 Quattro 2006-2009 3.2L V6 195cid
Audi A3 Quattro 2006-2013 2L L4 121cid
Audi A4 2004-2005 1.8L L4 1781cc
Audi A4 2004-2005 3L V6 2976cc
Audi A4 2005 2L L4 121cid
Audi A4 2005 3.2L V6 3123cc
Audi A4 Quattro 2002-2005 1.8L L4 1781cc
Audi A4 Quattro 2002-2006 3L V6 2976cc
Audi A4 Quattro 2005-2008 2L L4 121cid
Audi A4 Quattro 2005-2008 3.2L V6 3123cc
Audi Q5 2009-2012 3.2L V6 195cid
Audi Q5 2010-2016 2L L4 121cid
Audi Q5 2010-2016 3L V6 181cid
Audi Q5 2013-2016 3L V6 183cid
Audi Q5 2013-2016 3L V6 2995cc
Audi Q7 2007-2010 3.6L V6 219cid
Audi Q7 2007-2010 4.2L V8 4163cc
Audi Q7 2008-2010 3L V6 2967cc
Audi Q7 2009-2015 3L V6 181cid
Audi Q7 2011-2015 3L V6 2995cc
Audi Q7 2011-2015 4.2L V8 252cid
Audi S4 2004-2008 4.2L V8 4163cc
Audi SQ5 2014-2016 3L V6 181cid
Audi SQ5 2014-2017 3L V6 2995cc</t>
        </is>
      </c>
      <c r="I1288" t="inlineStr">
        <is>
          <t>{"0": {"productDeskExternalKey": "CNRD|85-3533"}, "1": {"Package Contents": "Wiper Motor; Instruction Manual"}, "2": {"E-Waste": "Yes"}, "3": {"Product Condition": "New"}, "4": {"Mounting Hole Quantity": "3"}, "5": {"Terminal Type": "Blade"}, "6": {"Mounting Type": "Eyelet; Grommet"}, "7": {"Weight PG": "2.2000"}, "8": {"Washer Pump Included": "No"}, "9": {"Part Type": "Windshield Wiper Motor"}, "10": {"Warranty Info": "Limited Lifetime"}, "11": {"Lifetime Warranty": "Yes"}, "12": {"Lifecycle Status": "Available to Order"}, "13": {"Application Summary": "Audi A3 2013-06, A3 Quattro 2013-06, A4 2005-04, A4 Quattro 2008-02, Q5 2016-09, Q7 2015-07, S4 2008-04, SQ5 2017-14"}, "14": {"ItemLevelGTIN": "00884548267503"}}</t>
        </is>
      </c>
      <c r="J1288" t="inlineStr">
        <is>
          <t>https://www.cardone.com/product/windshield-wiper-motor-85-3533</t>
        </is>
      </c>
      <c r="K1288">
        <f>DISPIMG("ID_71FFBDC0FD2542D981429C47EB4D97EB",1)</f>
        <v/>
      </c>
      <c r="L1288" t="inlineStr">
        <is>
          <t>CNRD|85-3533</t>
        </is>
      </c>
      <c r="M1288" t="inlineStr">
        <is>
          <t>Wiper Motor; Instruction Manual</t>
        </is>
      </c>
      <c r="N1288" t="inlineStr">
        <is>
          <t>Yes</t>
        </is>
      </c>
      <c r="O1288" t="inlineStr">
        <is>
          <t>New</t>
        </is>
      </c>
      <c r="P1288" t="inlineStr">
        <is>
          <t>3</t>
        </is>
      </c>
      <c r="Q1288" t="inlineStr">
        <is>
          <t>Blade</t>
        </is>
      </c>
      <c r="R1288" t="inlineStr">
        <is>
          <t>Eyelet; Grommet</t>
        </is>
      </c>
      <c r="S1288" t="inlineStr">
        <is>
          <t>2.2000</t>
        </is>
      </c>
      <c r="T1288" t="inlineStr">
        <is>
          <t>No</t>
        </is>
      </c>
      <c r="U1288" t="inlineStr">
        <is>
          <t>Limited Lifetime</t>
        </is>
      </c>
      <c r="V1288" t="inlineStr"/>
      <c r="W1288" t="inlineStr">
        <is>
          <t>Available to Order</t>
        </is>
      </c>
      <c r="X1288" t="inlineStr">
        <is>
          <t>Audi A3 2013-06, A3 Quattro 2013-06, A4 2005-04, A4 Quattro 2008-02, Q5 2016-09, Q7 2015-07, S4 2008-04, SQ5 2017-14</t>
        </is>
      </c>
      <c r="Y1288" t="inlineStr">
        <is>
          <t>00884548267503</t>
        </is>
      </c>
      <c r="Z1288" t="inlineStr"/>
      <c r="AA1288" t="inlineStr"/>
      <c r="AB1288" t="inlineStr"/>
      <c r="AC1288" t="inlineStr">
        <is>
          <t>Yes</t>
        </is>
      </c>
    </row>
    <row r="1289">
      <c r="A1289" t="inlineStr">
        <is>
          <t>1288</t>
        </is>
      </c>
      <c r="B1289" t="inlineStr">
        <is>
          <t>Windshield Wiper Motor</t>
        </is>
      </c>
      <c r="C1289" t="inlineStr">
        <is>
          <t>85-3540</t>
        </is>
      </c>
      <c r="D1289" t="inlineStr">
        <is>
          <t>Windshield Wiper Motor - 85-3540</t>
        </is>
      </c>
      <c r="E1289" t="inlineStr">
        <is>
          <t>CARDONE New</t>
        </is>
      </c>
      <c r="F1289" t="inlineStr">
        <is>
          <t>4F9955711B;4F9955711A;4F9955711</t>
        </is>
      </c>
      <c r="G1289" t="inlineStr">
        <is>
          <t>Audi A6 Quattro 2005-2011</t>
        </is>
      </c>
      <c r="H1289" t="inlineStr">
        <is>
          <t>Audi A6 Quattro 2005 4.2L V8 4172cc
Audi A6 Quattro 2005-2006 3L V6 2950cc
Audi A6 Quattro 2005-2009 3.2L V6 3123cc
Audi A6 Quattro 2005-2011 4.2L V8 4163cc
Audi A6 Quattro 2009-2011 3L V6 2995cc
Audi A6 Quattro 2010-2011 3L V6 183cid</t>
        </is>
      </c>
      <c r="I1289" t="inlineStr">
        <is>
          <t>{"0": {"productDeskExternalKey": "CNRD|85-3540"}, "1": {"Package Contents": "Wiper Motor; Instruction Manual"}, "2": {"E-Waste": "Yes"}, "3": {"Product Condition": "New"}, "4": {"Mounting Hole Quantity": "3"}, "5": {"Terminal Type": "Blade"}, "6": {"Mounting Type": "Eyelet; Grommet"}, "7": {"Weight PG": "2.4000"}, "8": {"Washer Pump Included": "No"}, "9": {"Part Type": "Windshield Wiper Motor"}, "10": {"Warranty Info": "Limited Lifetime"}, "11": {"Lifetime Warranty": "Yes"}, "12": {"Lifecycle Status": "Available to Order"}, "13": {"Application Summary": "Audi A6 Quattro 2011-05"}, "14": {"ItemLevelGTIN": "00884548273344"}}</t>
        </is>
      </c>
      <c r="J1289" t="inlineStr">
        <is>
          <t>https://www.cardone.com/product/windshield-wiper-motor-85-3540</t>
        </is>
      </c>
      <c r="K1289">
        <f>DISPIMG("ID_E44D6AFAAE7A4C91ACD012A93B81823E",1)</f>
        <v/>
      </c>
      <c r="L1289" t="inlineStr">
        <is>
          <t>CNRD|85-3540</t>
        </is>
      </c>
      <c r="M1289" t="inlineStr">
        <is>
          <t>Wiper Motor; Instruction Manual</t>
        </is>
      </c>
      <c r="N1289" t="inlineStr">
        <is>
          <t>Yes</t>
        </is>
      </c>
      <c r="O1289" t="inlineStr">
        <is>
          <t>New</t>
        </is>
      </c>
      <c r="P1289" t="inlineStr">
        <is>
          <t>3</t>
        </is>
      </c>
      <c r="Q1289" t="inlineStr">
        <is>
          <t>Blade</t>
        </is>
      </c>
      <c r="R1289" t="inlineStr">
        <is>
          <t>Eyelet; Grommet</t>
        </is>
      </c>
      <c r="S1289" t="inlineStr">
        <is>
          <t>2.4000</t>
        </is>
      </c>
      <c r="T1289" t="inlineStr">
        <is>
          <t>No</t>
        </is>
      </c>
      <c r="U1289" t="inlineStr">
        <is>
          <t>Limited Lifetime</t>
        </is>
      </c>
      <c r="V1289" t="inlineStr"/>
      <c r="W1289" t="inlineStr">
        <is>
          <t>Available to Order</t>
        </is>
      </c>
      <c r="X1289" t="inlineStr">
        <is>
          <t>Audi A6 Quattro 2011-05</t>
        </is>
      </c>
      <c r="Y1289" t="inlineStr">
        <is>
          <t>00884548273344</t>
        </is>
      </c>
      <c r="Z1289" t="inlineStr"/>
      <c r="AA1289" t="inlineStr"/>
      <c r="AB1289" t="inlineStr"/>
      <c r="AC1289" t="inlineStr">
        <is>
          <t>Yes</t>
        </is>
      </c>
    </row>
    <row r="1290">
      <c r="A1290" t="inlineStr">
        <is>
          <t>1289</t>
        </is>
      </c>
      <c r="B1290" t="inlineStr">
        <is>
          <t>Windshield Wiper Motor</t>
        </is>
      </c>
      <c r="C1290" t="inlineStr">
        <is>
          <t>85-3578</t>
        </is>
      </c>
      <c r="D1290" t="inlineStr">
        <is>
          <t>Windshield Wiper Motor - 85-3578</t>
        </is>
      </c>
      <c r="E1290" t="inlineStr">
        <is>
          <t>CARDONE New</t>
        </is>
      </c>
      <c r="F1290" t="inlineStr">
        <is>
          <t>5N0955711A;5N0955711B</t>
        </is>
      </c>
      <c r="G1290" t="inlineStr">
        <is>
          <t>Volkswagen Tiguan 2009-2017</t>
        </is>
      </c>
      <c r="H1290" t="inlineStr">
        <is>
          <t>Volkswagen Tiguan 2009-2017 2L L4 121cid
Volkswagen Tiguan 2013-2017 1.4L L4 85cid</t>
        </is>
      </c>
      <c r="I1290" t="inlineStr">
        <is>
          <t>{"0": {"productDeskExternalKey": "CNRD|85-3578"}, "1": {"Package Contents": "Wiper Motor; Instruction Manual"}, "2": {"E-Waste": "Yes"}, "3": {"Product Condition": "New"}, "4": {"Terminal Type": "Blade"}, "5": {"Mounting Type": "Eyelet; Grommet"}, "6": {"Weight PG": "2.4000"}, "7": {"Washer Pump Included": "No"}, "8": {"Part Type": "Windshield Wiper Motor"}, "9": {"Warranty Info": "Limited Lifetime"}, "10": {"Lifetime Warranty": "Yes"}, "11": {"Lifecycle Status": "Available to Order"}, "12": {"Application Summary": "Volkswagen Tiguan 2017-09"}, "13": {"ItemLevelGTIN": "00884548273375"}}</t>
        </is>
      </c>
      <c r="J1290" t="inlineStr">
        <is>
          <t>https://www.cardone.com/product/windshield-wiper-motor-85-3578</t>
        </is>
      </c>
      <c r="K1290">
        <f>DISPIMG("ID_77E45B80CDF7441BAE89573ADC038259",1)</f>
        <v/>
      </c>
      <c r="L1290" t="inlineStr">
        <is>
          <t>CNRD|85-3578</t>
        </is>
      </c>
      <c r="M1290" t="inlineStr">
        <is>
          <t>Wiper Motor; Instruction Manual</t>
        </is>
      </c>
      <c r="N1290" t="inlineStr">
        <is>
          <t>Yes</t>
        </is>
      </c>
      <c r="O1290" t="inlineStr">
        <is>
          <t>New</t>
        </is>
      </c>
      <c r="P1290" t="inlineStr"/>
      <c r="Q1290" t="inlineStr">
        <is>
          <t>Blade</t>
        </is>
      </c>
      <c r="R1290" t="inlineStr">
        <is>
          <t>Eyelet; Grommet</t>
        </is>
      </c>
      <c r="S1290" t="inlineStr">
        <is>
          <t>2.4000</t>
        </is>
      </c>
      <c r="T1290" t="inlineStr">
        <is>
          <t>No</t>
        </is>
      </c>
      <c r="U1290" t="inlineStr">
        <is>
          <t>Limited Lifetime</t>
        </is>
      </c>
      <c r="V1290" t="inlineStr"/>
      <c r="W1290" t="inlineStr">
        <is>
          <t>Available to Order</t>
        </is>
      </c>
      <c r="X1290" t="inlineStr">
        <is>
          <t>Volkswagen Tiguan 2017-09</t>
        </is>
      </c>
      <c r="Y1290" t="inlineStr">
        <is>
          <t>00884548273375</t>
        </is>
      </c>
      <c r="Z1290" t="inlineStr"/>
      <c r="AA1290" t="inlineStr"/>
      <c r="AB1290" t="inlineStr"/>
      <c r="AC1290" t="inlineStr">
        <is>
          <t>Yes</t>
        </is>
      </c>
    </row>
    <row r="1291">
      <c r="A1291" t="inlineStr">
        <is>
          <t>1290</t>
        </is>
      </c>
      <c r="B1291" t="inlineStr">
        <is>
          <t>Windshield Wiper Motor</t>
        </is>
      </c>
      <c r="C1291" t="inlineStr">
        <is>
          <t>85-380</t>
        </is>
      </c>
      <c r="D1291" t="inlineStr">
        <is>
          <t>Windshield Wiper Motor - 85-380</t>
        </is>
      </c>
      <c r="E1291" t="inlineStr">
        <is>
          <t>CARDONE New</t>
        </is>
      </c>
      <c r="F1291" t="inlineStr">
        <is>
          <t>4270452;4205998;4205951;4205958</t>
        </is>
      </c>
      <c r="G1291" t="inlineStr">
        <is>
          <t>Chrysler Daytona 1984
Chrysler E Class 1983-1984
Chrysler Executive Sedan 1984
Chrysler Fifth Avenue 1983-1984
Chrysler Laser 1984
Chrysler LeBaron 1979-1984
Chrysler New Yorker 1982-1984
Chrysler Town &amp; Country 1979-1984
Dodge 400 1982-1983
Dodge 600 1983-1984
Dodge Aries 1981-1984
Dodge Aspen 1976-1980
Dodge B100 1975-1980
Dodge B100 Van 1972-1974
Dodge B150 1981-1984
Dodge B200 1975-1980
Dodge B200 Van 1972-1974
Dodge B250 1981-1984
Dodge B300 1975-1980
Dodge B300 Van 1972-1974
Dodge B350 1981-1984
Dodge Caravan 1984
Dodge Charger 1983-1984
Dodge D100 1975-1979
Dodge D100 Pickup 1972-1974
Dodge D150 1977-1984
Dodge D200 1975-1980
Dodge D200 Pickup 1972-1974
Dodge D250 1981-1984
Dodge D300 1975-1980
Dodge D300 Pickup 1972-1974
Dodge D350 1981-1984
Dodge D400 1978-1981
Dodge D450 1978-1981
Dodge Dart 1972-1976
Dodge Daytona 1984
Dodge Diplomat 1979-1984
Dodge Mini Ram 1984
Dodge Omni 1978-1984
Dodge Ramcharger 1981-1984
Dodge Rampage 1982-1984
Dodge W100 1975-1984
Dodge W100 Pickup 1972-1974
Dodge W150 1977-1984
Dodge W200 1975-1980
Dodge W200 Pickup 1972-1974
Dodge W250 1981-1984
Dodge W300 1975-1980
Dodge W300 Pickup 1972-1974
Dodge W350 1981-1984
Plymouth Caravelle 1982-1984
Plymouth Duster 1972-1976
Plymouth Gran Fury 1982-1984
Plymouth Horizon 1978-1984
Plymouth Reliant 1981-1984
Plymouth Scamp 1972-1983
Plymouth TC3 1980-1982
Plymouth Trailduster 1974-1981
Plymouth Turismo 1983-1984
Plymouth Turismo 2.2 1983-1984
Plymouth Valiant 1972-1976
Plymouth Volare 1976-1980
Plymouth Voyager 1984</t>
        </is>
      </c>
      <c r="H1291" t="inlineStr">
        <is>
          <t>Chrysler Daytona 1984 2.2L L4 135cid
Chrysler E Class 1983-1984 2.2L L4 135cid
Chrysler E Class 1983-1984 2.6L L4 156cid
Chrysler Executive Sedan 1984 2.6L L4 156cid
Chrysler Fifth Avenue 1983 3.7L L6 225cid
Chrysler Fifth Avenue 1983-1984 5.2L V8 318cid
Chrysler Laser 1984 2.2L L4 135cid
Chrysler LeBaron 1979-1981 3.7L L6 225cid
Chrysler LeBaron 1979-1981 5.2L V8 318cid
Chrysler LeBaron 1979-1982 5.9L V8 360cid
Chrysler LeBaron 1982-1984 2.2L L4 135cid
Chrysler LeBaron 1982-1984 2.6L L4 156cid
Chrysler New Yorker 1982 3.7L L6 225cid
Chrysler New Yorker 1982 5.2L V8 318cid
Chrysler New Yorker 1983-1984 2.2L L4 135cid
Chrysler New Yorker 1983-1984 2.6L L4 156cid
Chrysler Town &amp; Country 1979 5.9L V8 360cid
Chrysler Town &amp; Country 1979-1981 3.7L L6 225cid
Chrysler Town &amp; Country 1979-1981 5.2L V8 318cid
Chrysler Town &amp; Country 1982-1984 2.2L L4 135cid
Chrysler Town &amp; Country 1982-1984 2.6L L4 156cid
Dodge 400 1982-1983 2.2L L4 135cid
Dodge 400 1982-1983 2.6L L4 156cid
Dodge 600 1983-1984 2.2L L4 135cid
Dodge 600 1983-1984 2.6L L4 156cid
Dodge Aries 1981-1984 2.2L L4 135cid
Dodge Aries 1981-1984 2.6L L4 156cid
Dodge Aspen 1976-1980 3.7L L6 225cid
Dodge Aspen 1976-1980 5.2L V8 318cid
Dodge Aspen 1976-1980 5.9L V8 360cid
Dodge B100 1975-1980 3.7L L6 225cid
Dodge B100 1975-1980 5.2L V8 318cid
Dodge B100 1976-1978 5.9L V8 360cid
Dodge B100 Van 1972-1973 3.2L L6 198cid
Dodge B100 Van 1972-1974 3.7L L6 225cid
Dodge B100 Van 1972-1974 5.2L V8 318cid
Dodge B100 Van 1972-1974 5.9L V8 360cid
Dodge B100 Van 1974 7.2L V8 440cid
Dodge B150 1981-1984 3.7L L6 225cid
Dodge B150 1981-1984 5.2L V8 318cid
Dodge B200 1975-1978 7.2L V8 440cid
Dodge B200 1975-1980 3.7L L6 225cid
Dodge B200 1975-1980 5.2L V8 318cid
Dodge B200 1975-1980 5.9L V8 360cid
Dodge B200 1976-1978 6.6L V8 400cid
Dodge B200 Van 1972-1973 3.2L L6 198cid
Dodge B200 Van 1972-1974 3.7L L6 225cid
Dodge B200 Van 1972-1974 5.2L V8 318cid
Dodge B200 Van 1972-1974 5.9L V8 360cid
Dodge B200 Van 1972-1974 6.6L V8 400cid
Dodge B200 Van 1974 7.2L V8 440cid
Dodge B250 1981-1984 3.7L L6 225cid
Dodge B250 1981-1984 5.2L V8 318cid
Dodge B250 1981-1984 5.9L V8 360cid
Dodge B300 1975-1978 7.2L V8 440cid
Dodge B300 1975-1980 3.7L L6 225cid
Dodge B300 1975-1980 5.2L V8 318cid
Dodge B300 1975-1980 5.9L V8 360cid
Dodge B300 1976-1978 6.6L V8 400cid
Dodge B300 Van 1972-1974 3.7L L6 225cid
Dodge B300 Van 1972-1974 5.2L V8 318cid
Dodge B300 Van 1972-1974 5.9L V8 360cid
Dodge B300 Van 1972-1974 6.6L V8 400cid
Dodge B300 Van 1974 7.2L V8 440cid
Dodge B350 1981-1984 5.2L V8 318cid
Dodge B350 1981-1984 5.9L V8 360cid
Dodge Caravan 1984 2.2L L4 135cid
Dodge Caravan 1984 2.6L L4 156cid
Dodge Charger 1983 1.7L L4 105cid
Dodge Charger 1983-1984 1.6L L4 97cid
Dodge Charger 1983-1984 2.2L L4 135cid
Dodge D100 1975-1978 7.2L V8 440cid
Dodge D100 1975-1979 3.7L L6 225cid
Dodge D100 1975-1979 5.2L V8 318cid
Dodge D100 1975-1979 5.9L V8 360cid
Dodge D100 1976-1978 6.6L V8 400cid
Dodge D100 1978-1979 4L L6 243cid
Dodge D100 Pickup 1972-1974 3.7L L6 225cid
Dodge D100 Pickup 1972-1974 5.2L V8 318cid
Dodge D100 Pickup 1972-1974 5.9L V8 360cid
Dodge D100 Pickup 1972-1974 6.6L V8 400cid
Dodge D100 Pickup 1973 3.2L L6 198cid
Dodge D100 Pickup 1973-1974 7.2L V8 440cid
Dodge D150 1977-1978 6.6L V8 400cid
Dodge D150 1977-1984 3.7L L6 225cid
Dodge D150 1977-1984 5.2L V8 318cid
Dodge D150 1977-1984 5.9L V8 360cid
Dodge D150 1978 7.2L V8 440cid
Dodge D150 1978-1980 4L L6 243cid
Dodge D200 1975-1978 6.6L V8 400cid
Dodge D200 1975-1978 7.2L V8 440cid
Dodge D200 1975-1980 3.7L L6 225cid
Dodge D200 1975-1980 5.2L V8 318cid
Dodge D200 1975-1980 5.9L V8 360cid
Dodge D200 1978-1980 4L L6 243cid
Dodge D200 Pickup 1972-1974 3.7L L6 225cid
Dodge D200 Pickup 1972-1974 5.2L V8 318cid
Dodge D200 Pickup 1972-1974 5.9L V8 360cid
Dodge D200 Pickup 1972-1974 6.6L V8 400cid
Dodge D200 Pickup 1973-1974 7.2L V8 440cid
Dodge D250 1981-1984 3.7L L6 225cid
Dodge D250 1981-1984 5.2L V8 318cid
Dodge D250 1981-1984 5.9L V8 360cid
Dodge D300 1975-1978 7.2L V8 440cid
Dodge D300 1975-1980 3.7L L6 225cid
Dodge D300 1975-1980 5.2L V8 318cid
Dodge D300 1975-1980 5.9L V8 360cid
Dodge D300 1976-1978 6.6L V8 400cid
Dodge D300 Pickup 1972-1974 3.7L L6 225cid
Dodge D300 Pickup 1972-1974 5.2L V8 318cid
Dodge D300 Pickup 1972-1974 5.9L V8 360cid
Dodge D300 Pickup 1972-1974 6.6L V8 400cid
Dodge D300 Pickup 1972-1974 7.2L V8 440cid
Dodge D350 1981-1983 5.2L V8 318cid
Dodge D350 1981-1984 3.7L L6 225cid
Dodge D350 1981-1984 5.9L V8 360cid
Dodge D400 1978 7.2L V8 440cid
Dodge D400 1978-1981 5.9L V8 360cid
Dodge D450 1978 7.2L V8 440cid
Dodge D450 1978-1981 5.9L V8 360cid
Dodge Dart 1972-1973 5.6L V8 340cid
Dodge Dart 1972-1974 3.2L L6 198cid
Dodge Dart 1972-1976 3.7L L6 225cid
Dodge Dart 1972-1976 5.2L V8 318cid
Dodge Dart 1972-1976 5.9L V8 360cid
Dodge Daytona 1984 2.2L L4 135cid
Dodge Diplomat 1979 5.9L V8 360cid
Dodge Diplomat 1979-1983 3.7L L6 225cid
Dodge Diplomat 1979-1984 5.2L V8 318cid
Dodge Mini Ram 1984 2.2L L4 135cid
Dodge Mini Ram 1984 2.6L L4 156cid
Dodge Omni 1978-1983 1.7L L4 105cid
Dodge Omni 1981-1984 2.2L L4 135cid
Dodge Omni 1983-1984 1.6L L4 97cid
Dodge Ramcharger 1981-1984 5.2L V8 318cid
Dodge Ramcharger 1981-1984 5.9L V8 360cid
Dodge Rampage 1982-1984 2.2L L4 135cid
Dodge W100 1975-1977 6.6L V8 400cid
Dodge W100 1975-1977 7.2L V8 440cid
Dodge W100 1975-1984 3.7L L6 225cid
Dodge W100 1975-1984 5.2L V8 318cid
Dodge W100 1975-1984 5.9L V8 360cid
Dodge W100 Pickup 1972-1974 3.7L L6 225cid
Dodge W100 Pickup 1972-1974 5.2L V8 318cid
Dodge W100 Pickup 1972-1974 5.9L V8 360cid
Dodge W100 Pickup 1972-1974 6.6L V8 400cid
Dodge W100 Pickup 1973-1974 7.2L V8 440cid
Dodge W150 1977-1978 6.6L V8 400cid
Dodge W150 1977-1984 5.2L V8 318cid
Dodge W150 1977-1984 5.9L V8 360cid
Dodge W150 1978 7.2L V8 440cid
Dodge W150 1978-1979 4L L6 243cid
Dodge W150 1978-1984 3.7L L6 225cid
Dodge W200 1975-1978 7.2L V8 440cid
Dodge W200 1975-1980 3.7L L6 225cid
Dodge W200 1975-1980 5.2L V8 318cid
Dodge W200 1975-1980 5.9L V8 360cid
Dodge W200 1976-1978 6.6L V8 400cid
Dodge W200 1978-1979 4L L6 243cid
Dodge W200 Pickup 1972-1974 3.7L L6 225cid
Dodge W200 Pickup 1972-1974 5.2L V8 318cid
Dodge W200 Pickup 1972-1974 5.9L V8 360cid
Dodge W200 Pickup 1972-1974 6.6L V8 400cid
Dodge W200 Pickup 1973-1974 7.2L V8 440cid
Dodge W250 1981-1984 5.2L V8 318cid
Dodge W250 1981-1984 5.9L V8 360cid
Dodge W300 1975-1978 3.7L L6 225cid
Dodge W300 1975-1978 7.2L V8 440cid
Dodge W300 1975-1980 5.2L V8 318cid
Dodge W300 1975-1980 5.9L V8 360cid
Dodge W300 1976-1978 6.6L V8 400cid
Dodge W300 Pickup 1972-1974 3.7L L6 225cid
Dodge W300 Pickup 1972-1974 5.2L V8 318cid
Dodge W300 Pickup 1972-1974 5.9L V8 360cid
Dodge W300 Pickup 1972-1974 6.6L V8 400cid
Dodge W300 Pickup 1972-1974 7.2L V8 440cid
Dodge W350 1981-1984 5.9L V8 360cid
Dodge W350 1982-1983 5.2L V8 318cid
Plymouth Caravelle 1982-1983 3.7L L6 225cid
Plymouth Caravelle 1982-1984 5.2L V8 318cid
Plymouth Caravelle 1983-1984 2.2L L4 135cid
Plymouth Caravelle 1983-1984 2.6L L4 156cid
Plymouth Duster 1972-1973 5.6L V8 340cid
Plymouth Duster 1972-1974 3.2L L6 198cid
Plymouth Duster 1972-1976 3.7L L6 225cid
Plymouth Duster 1972-1976 5.2L V8 318cid
Plymouth Duster 1974-1976 5.9L V8 360cid
Plymouth Gran Fury 1982-1983 3.7L L6 225cid
Plymouth Gran Fury 1982-1984 5.2L V8 318cid
Plymouth Horizon 1978-1983 1.7L L4 105cid
Plymouth Horizon 1981-1984 2.2L L4 135cid
Plymouth Horizon 1983 1.6L L4 98cid
Plymouth Horizon 1983-1984 1.6L L4 97cid
Plymouth Reliant 1981-1984 2.2L L4 135cid
Plymouth Reliant 1981-1984 2.6L L4 156cid
Plymouth Scamp 1972-1974 3.2L L6 198cid
Plymouth Scamp 1972-1976 3.7L L6 225cid
Plymouth Scamp 1972-1976 5.2L V8 318cid
Plymouth Scamp 1983 2.2L L4 135cid
Plymouth TC3 1980-1982 1.7L L4 105cid
Plymouth TC3 1981-1982 2.2L L4 135cid
Plymouth Trailduster 1974-1978 7.2L V8 440cid
Plymouth Trailduster 1974-1980 3.7L L6 225cid
Plymouth Trailduster 1974-1981 5.2L V8 318cid
Plymouth Trailduster 1974-1981 5.9L V8 360cid
Plymouth Trailduster 1977-1978 6.6L V8 400cid
Plymouth Turismo 1983 1.6L L4 98cid
Plymouth Turismo 1983 1.7L L4 105cid
Plymouth Turismo 1983-1984 1.6L L4 97cid
Plymouth Turismo 1983-1984 2.2L L4 135cid
Plymouth Turismo 2.2 1983-1984 2.2L L4 135cid
Plymouth Valiant 1972-1973 5.6L V8 340cid
Plymouth Valiant 1972-1974 3.2L L6 198cid
Plymouth Valiant 1972-1976 3.7L L6 225cid
Plymouth Valiant 1972-1976 5.2L V8 318cid
Plymouth Valiant 1972-1976 5.9L V8 360cid
Plymouth Volare 1976-1980 3.7L L6 225cid
Plymouth Volare 1976-1980 5.2L V8 318cid
Plymouth Volare 1976-1980 5.9L V8 360cid
Plymouth Voyager 1984 2.2L L4 135cid
Plymouth Voyager 1984 2.6L L4 156cid</t>
        </is>
      </c>
      <c r="I1291" t="inlineStr">
        <is>
          <t>{"0": {"productDeskExternalKey": "CNRD|85-380"}, "1": {"Package Contents": "Wiper Motor; Instruction Manual"}, "2": {"E-Waste": "Yes"}, "3": {"Product Condition": "New"}, "4": {"Mounting Hole Quantity": "3"}, "5": {"Terminal Type": "Blade"}, "6": {"Mounting Type": "Eyelet; Grommet"}, "7": {"Weight PG": "5.2000"}, "8": {"Washer Pump Included": "No"}, "9": {"Part Type": "Windshield Wiper Motor"}, "10": {"Warranty Info": "Limited Lifetime"}, "11": {"Lifetime Warranty": "Yes"}, "12": {"Lifecycle Status": "Available to Order"}, "13": {"ItemLevelGTIN": "00884548200562"}}</t>
        </is>
      </c>
      <c r="J1291" t="inlineStr">
        <is>
          <t>https://www.cardone.com/product/windshield-wiper-motor-85-380</t>
        </is>
      </c>
      <c r="K1291">
        <f>DISPIMG("ID_B7AA8B0D1A5A4725A7C8CBA452514D59",1)</f>
        <v/>
      </c>
      <c r="L1291" t="inlineStr">
        <is>
          <t>CNRD|85-380</t>
        </is>
      </c>
      <c r="M1291" t="inlineStr">
        <is>
          <t>Wiper Motor; Instruction Manual</t>
        </is>
      </c>
      <c r="N1291" t="inlineStr">
        <is>
          <t>Yes</t>
        </is>
      </c>
      <c r="O1291" t="inlineStr">
        <is>
          <t>New</t>
        </is>
      </c>
      <c r="P1291" t="inlineStr">
        <is>
          <t>3</t>
        </is>
      </c>
      <c r="Q1291" t="inlineStr">
        <is>
          <t>Blade</t>
        </is>
      </c>
      <c r="R1291" t="inlineStr">
        <is>
          <t>Eyelet; Grommet</t>
        </is>
      </c>
      <c r="S1291" t="inlineStr">
        <is>
          <t>5.2000</t>
        </is>
      </c>
      <c r="T1291" t="inlineStr">
        <is>
          <t>No</t>
        </is>
      </c>
      <c r="U1291" t="inlineStr">
        <is>
          <t>Limited Lifetime</t>
        </is>
      </c>
      <c r="V1291" t="inlineStr"/>
      <c r="W1291" t="inlineStr">
        <is>
          <t>Available to Order</t>
        </is>
      </c>
      <c r="X1291" t="inlineStr"/>
      <c r="Y1291" t="inlineStr">
        <is>
          <t>00884548200562</t>
        </is>
      </c>
      <c r="Z1291" t="inlineStr"/>
      <c r="AA1291" t="inlineStr"/>
      <c r="AB1291" t="inlineStr"/>
      <c r="AC1291" t="inlineStr">
        <is>
          <t>Yes</t>
        </is>
      </c>
    </row>
    <row r="1292">
      <c r="A1292" t="inlineStr">
        <is>
          <t>1291</t>
        </is>
      </c>
      <c r="B1292" t="inlineStr">
        <is>
          <t>Windshield Wiper Motor</t>
        </is>
      </c>
      <c r="C1292" t="inlineStr">
        <is>
          <t>85-382</t>
        </is>
      </c>
      <c r="D1292" t="inlineStr">
        <is>
          <t>Windshield Wiper Motor - 85-382</t>
        </is>
      </c>
      <c r="E1292" t="inlineStr">
        <is>
          <t>CARDONE New</t>
        </is>
      </c>
      <c r="F1292" t="inlineStr"/>
      <c r="G1292" t="inlineStr">
        <is>
          <t>Chrysler Cordoba 1975-1979
Chrysler LeBaron 1977-1978
Chrysler New Yorker 1972-1979
Chrysler Newport 1972-1979
Chrysler Town &amp; Country 1977-1978
Dodge Challenger 1972-1974
Dodge Charger 1972-1978
Dodge Coronet 1972-1976
Dodge Diplomat 1977-1978
Dodge Magnum 1978-1979
Dodge Monaco 1972-1978
Dodge Polara 1972-1973
Dodge Royal Monaco 1975-1977
Dodge St. Regis 1979
Plymouth Barracuda 1972-1974
Plymouth Caravelle 1978
Plymouth Cuda 1972-1974
Plymouth Fury 1972-1978
Plymouth Fury I 1972-1974
Plymouth Fury II 1972-1974
Plymouth Fury III 1972-1974
Plymouth Gran Fury 1972-1977
Plymouth Road Runner 1972-1975
Plymouth Satellite 1972-1974</t>
        </is>
      </c>
      <c r="H1292" t="inlineStr">
        <is>
          <t>Chrysler Cordoba 1975-1978 6.6L V8 400cid
Chrysler Cordoba 1975-1979 5.2L V8 318cid
Chrysler Cordoba 1975-1979 5.9L V8 360cid
Chrysler LeBaron 1977-1978 5.2L V8 318cid
Chrysler LeBaron 1978 3.7L L6 225cid
Chrysler LeBaron 1978 5.9L V8 360cid
Chrysler New Yorker 1972-1978 6.6L V8 400cid
Chrysler New Yorker 1972-1978 7.2L V8 440cid
Chrysler New Yorker 1977-1979 5.9L V8 360cid
Chrysler New Yorker 1979 5.2L V8 318cid
Chrysler Newport 1972-1978 6.6L V8 400cid
Chrysler Newport 1972-1978 7.2L V8 440cid
Chrysler Newport 1972-1979 5.9L V8 360cid
Chrysler Newport 1979 3.7L L6 225cid
Chrysler Newport 1979 5.2L V8 318cid
Chrysler Town &amp; Country 1977 6.6L V8 400cid
Chrysler Town &amp; Country 1977 7.2L V8 440cid
Chrysler Town &amp; Country 1978 3.7L L6 225cid
Chrysler Town &amp; Country 1978 5.2L V8 318cid
Chrysler Town &amp; Country 1978 5.9L V8 360cid
Dodge Challenger 1972 3.7L L6 225cid
Dodge Challenger 1972 7.2L V8 440cid
Dodge Challenger 1972-1973 5.6L V8 340cid
Dodge Challenger 1972-1974 5.2L V8 318cid
Dodge Challenger 1972-1974 5.9L V8 360cid
Dodge Challenger 1972-1974 6.6L V8 400cid
Dodge Charger 1972-1973 5.6L V8 340cid
Dodge Charger 1972-1974 7.2L V8 440cid
Dodge Charger 1972-1976 3.7L L6 225cid
Dodge Charger 1972-1978 5.2L V8 318cid
Dodge Charger 1972-1978 5.9L V8 360cid
Dodge Charger 1972-1978 6.6L V8 400cid
Dodge Coronet 1972-1973 5.6L V8 340cid
Dodge Coronet 1972-1976 3.7L L6 225cid
Dodge Coronet 1972-1976 5.2L V8 318cid
Dodge Coronet 1972-1976 5.9L V8 360cid
Dodge Coronet 1972-1976 6.6L V8 400cid
Dodge Coronet 1972-1976 7.2L V8 440cid
Dodge Diplomat 1977-1978 5.2L V8 318cid
Dodge Diplomat 1978 3.7L L6 225cid
Dodge Diplomat 1978 5.9L V8 360cid
Dodge Magnum 1978 6.6L V8 400cid
Dodge Magnum 1978-1979 5.2L V8 318cid
Dodge Magnum 1978-1979 5.9L V8 360cid
Dodge Monaco 1972-1978 5.2L V8 318cid
Dodge Monaco 1972-1978 5.9L V8 360cid
Dodge Monaco 1972-1978 6.6L V8 400cid
Dodge Monaco 1972-1978 7.2L V8 440cid
Dodge Monaco 1977-1978 3.7L L6 225cid
Dodge Polara 1972-1973 3.7L L6 225cid
Dodge Polara 1972-1973 5.2L V8 318cid
Dodge Polara 1972-1973 5.6L V8 340cid
Dodge Polara 1972-1973 5.9L V8 360cid
Dodge Polara 1972-1973 6.6L V8 400cid
Dodge Polara 1972-1973 7.2L V8 440cid
Dodge Royal Monaco 1975-1977 5.2L V8 318cid
Dodge Royal Monaco 1975-1977 5.9L V8 360cid
Dodge Royal Monaco 1975-1977 6.6L V8 400cid
Dodge Royal Monaco 1975-1977 7.2L V8 440cid
Dodge St. Regis 1979 3.7L L6 225cid
Dodge St. Regis 1979 5.2L V8 318cid
Dodge St. Regis 1979 5.9L V8 360cid
Plymouth Barracuda 1972 3.7L L6 225cid
Plymouth Barracuda 1972 7.2L V8 440cid
Plymouth Barracuda 1972-1973 5.6L V8 340cid
Plymouth Barracuda 1972-1974 5.2L V8 318cid
Plymouth Barracuda 1972-1974 5.9L V8 360cid
Plymouth Caravelle 1978 3.7L L6 225cid
Plymouth Caravelle 1978 5.2L V8 318cid
Plymouth Caravelle 1978 5.9L V8 360cid
Plymouth Cuda 1972 7.2L V8 440cid
Plymouth Cuda 1972-1973 5.6L V8 340cid
Plymouth Cuda 1972-1974 5.9L V8 360cid
Plymouth Cuda 1973-1974 5.2L V8 318cid
Plymouth Fury 1972-1978 3.7L L6 225cid
Plymouth Fury 1972-1978 5.2L V8 318cid
Plymouth Fury 1972-1978 5.9L V8 360cid
Plymouth Fury 1972-1978 6.6L V8 400cid
Plymouth Fury 1972-1978 7.2L V8 440cid
Plymouth Fury I 1972-1974
Plymouth Fury I 1972-1974 3.7L L6 225cid
Plymouth Fury I 1972-1974 5.2L V8 318cid
Plymouth Fury I 1972-1974 5.9L V8 360cid
Plymouth Fury I 1972-1974 6.6L V8 400cid
Plymouth Fury I 1972-1974 7.2L V8 440cid
Plymouth Fury II 1972-1974
Plymouth Fury II 1972-1974 3.7L L6 225cid
Plymouth Fury II 1972-1974 5.2L V8 318cid
Plymouth Fury II 1972-1974 5.9L V8 360cid
Plymouth Fury II 1972-1974 6.6L V8 400cid
Plymouth Fury II 1972-1974 7.2L V8 440cid
Plymouth Fury III 1972-1973 3.7L L6 225cid
Plymouth Fury III 1972-1974
Plymouth Fury III 1972-1974 5.2L V8 318cid
Plymouth Fury III 1972-1974 5.9L V8 360cid
Plymouth Fury III 1972-1974 6.6L V8 400cid
Plymouth Fury III 1972-1974 7.2L V8 440cid
Plymouth Gran Fury 1972-1974
Plymouth Gran Fury 1972-1977 5.2L V8 318cid
Plymouth Gran Fury 1972-1977 5.9L V8 360cid
Plymouth Gran Fury 1972-1977 6.6L V8 400cid
Plymouth Gran Fury 1972-1977 7.2L V8 440cid
Plymouth Road Runner 1972-1973 5.6L V8 340cid
Plymouth Road Runner 1972-1974 7.2L V8 440cid
Plymouth Road Runner 1972-1975 5.2L V8 318cid
Plymouth Road Runner 1972-1975 6.6L V8 400cid
Plymouth Road Runner 1974-1975 5.9L V8 360cid
Plymouth Satellite 1972-1973 5.6L V8 340cid
Plymouth Satellite 1972-1974 3.7L L6 225cid
Plymouth Satellite 1972-1974 5.2L V8 318cid
Plymouth Satellite 1972-1974 5.9L V8 360cid
Plymouth Satellite 1972-1974 6.6L V8 400cid
Plymouth Satellite 1973-1974 7.2L V8 440cid</t>
        </is>
      </c>
      <c r="I1292" t="inlineStr">
        <is>
          <t>{"0": {"productDeskExternalKey": "CNRD|85-382"}, "1": {"Package Contents": "Wiper Motor; Instruction Manual"}, "2": {"E-Waste": "Yes"}, "3": {"Product Condition": "New"}, "4": {"Mounting Hole Quantity": "3"}, "5": {"Terminal Type": "Blade"}, "6": {"Mounting Type": "Eyelet; Grommet"}, "7": {"Weight PG": "5.2000"}, "8": {"Washer Pump Included": "No"}, "9": {"Part Type": "Windshield Wiper Motor"}, "10": {"Warranty Info": "Limited Lifetime"}, "11": {"Lifetime Warranty": "Yes"}, "12": {"Lifecycle Status": "Available to Order"}, "13": {"ItemLevelGTIN": "00884548201194"}}</t>
        </is>
      </c>
      <c r="J1292" t="inlineStr">
        <is>
          <t>https://www.cardone.com/product/windshield-wiper-motor-85-382</t>
        </is>
      </c>
      <c r="K1292">
        <f>DISPIMG("ID_15FC95591F964D63AA5CEB7F1566776B",1)</f>
        <v/>
      </c>
      <c r="L1292" t="inlineStr">
        <is>
          <t>CNRD|85-382</t>
        </is>
      </c>
      <c r="M1292" t="inlineStr">
        <is>
          <t>Wiper Motor; Instruction Manual</t>
        </is>
      </c>
      <c r="N1292" t="inlineStr">
        <is>
          <t>Yes</t>
        </is>
      </c>
      <c r="O1292" t="inlineStr">
        <is>
          <t>New</t>
        </is>
      </c>
      <c r="P1292" t="inlineStr">
        <is>
          <t>3</t>
        </is>
      </c>
      <c r="Q1292" t="inlineStr">
        <is>
          <t>Blade</t>
        </is>
      </c>
      <c r="R1292" t="inlineStr">
        <is>
          <t>Eyelet; Grommet</t>
        </is>
      </c>
      <c r="S1292" t="inlineStr">
        <is>
          <t>5.2000</t>
        </is>
      </c>
      <c r="T1292" t="inlineStr">
        <is>
          <t>No</t>
        </is>
      </c>
      <c r="U1292" t="inlineStr">
        <is>
          <t>Limited Lifetime</t>
        </is>
      </c>
      <c r="V1292" t="inlineStr"/>
      <c r="W1292" t="inlineStr">
        <is>
          <t>Available to Order</t>
        </is>
      </c>
      <c r="X1292" t="inlineStr"/>
      <c r="Y1292" t="inlineStr">
        <is>
          <t>00884548201194</t>
        </is>
      </c>
      <c r="Z1292" t="inlineStr"/>
      <c r="AA1292" t="inlineStr"/>
      <c r="AB1292" t="inlineStr"/>
      <c r="AC1292" t="inlineStr">
        <is>
          <t>Yes</t>
        </is>
      </c>
    </row>
    <row r="1293">
      <c r="A1293" t="inlineStr">
        <is>
          <t>1292</t>
        </is>
      </c>
      <c r="B1293" t="inlineStr">
        <is>
          <t>Windshield Wiper Motor</t>
        </is>
      </c>
      <c r="C1293" t="inlineStr">
        <is>
          <t>85-383</t>
        </is>
      </c>
      <c r="D1293" t="inlineStr">
        <is>
          <t>Windshield Wiper Motor - 85-383</t>
        </is>
      </c>
      <c r="E1293" t="inlineStr">
        <is>
          <t>CARDONE New</t>
        </is>
      </c>
      <c r="F1293" t="inlineStr">
        <is>
          <t>4339449;4334104</t>
        </is>
      </c>
      <c r="G1293" t="inlineStr">
        <is>
          <t>Chrysler Daytona 1985-1987
Chrysler Executive Limousine 1985
Chrysler Fifth Avenue 1984-1987
Chrysler Laser 1985-1986
Chrysler LeBaron 1985-1987
Chrysler New Yorker 1985-1987
Chrysler Phantom 1987
Chrysler Town &amp; Country 1985-1987
Dodge 600 1985-1987
Dodge Aries 1985-1987
Dodge B150 1985-1987
Dodge B250 1985-1987
Dodge B350 1985-1987
Dodge Caravan 1985-1987
Dodge Charger 1985-1987
Dodge D100 1986-1987
Dodge D150 1985-1987
Dodge D250 1985-1987
Dodge D350 1985-1987
Dodge Daytona 1985-1987
Dodge Diplomat 1985-1987
Dodge Mini Ram 1985-1987
Dodge Omni 1985-1987
Dodge Ramcharger 1985-1987
Dodge W100 1985-1987
Dodge W150 1985-1987
Dodge W250 1985-1987
Dodge W350 1985-1987
Plymouth Caravelle 1985-1987
Plymouth Gran Fury 1985-1987
Plymouth Horizon 1985-1987
Plymouth Reliant 1985-1987
Plymouth Turismo 1985-1987
Plymouth Turismo 2.2 1985-1986
Plymouth Voyager 1985-1987</t>
        </is>
      </c>
      <c r="H1293" t="inlineStr">
        <is>
          <t>Chrysler Daytona 1985-1987 2.2L L4 135cid
Chrysler Daytona 1987 2.5L L4 153cid
Chrysler Executive Limousine 1985 2.6L L4 156cid
Chrysler Fifth Avenue 1984-1987 5.2L V8 318cid
Chrysler Laser 1985-1986 2.2L L4 135cid
Chrysler Laser 1986 2.5L L4 153cid
Chrysler LeBaron 1985 2.6L L4 156cid
Chrysler LeBaron 1985-1987 2.2L L4 135cid
Chrysler LeBaron 1986-1987 2.5L L4 153cid
Chrysler New Yorker 1985 2.6L L4 156cid
Chrysler New Yorker 1985-1987 2.2L L4 135cid
Chrysler New Yorker 1986-1987 2.5L L4 153cid
Chrysler Phantom 1987 2.2L L4 135cid
Chrysler Town &amp; Country 1985 2.6L L4 156cid
Chrysler Town &amp; Country 1985-1987 2.2L L4 135cid
Chrysler Town &amp; Country 1986-1987 2.5L L4 153cid
Dodge 600 1985 2.6L L4 156cid
Dodge 600 1985-1987 2.2L L4 135cid
Dodge 600 1986-1987 2.5L L4 153cid
Dodge Aries 1985 2.6L L4 156cid
Dodge Aries 1985-1987 2.2L L4 135cid
Dodge Aries 1986-1987 2.5L L4 153cid
Dodge B150 1985-1987 3.7L L6 225cid
Dodge B150 1985-1987 5.2L V8 318cid
Dodge B250 1985-1987 3.7L L6 225cid
Dodge B250 1985-1987 5.2L V8 318cid
Dodge B250 1985-1987 5.9L V8 360cid
Dodge B350 1985-1987 5.2L V8 318cid
Dodge B350 1985-1987 5.9L V8 360cid
Dodge Caravan 1985-1987 2.2L L4 135cid
Dodge Caravan 1985-1987 2.6L L4 156cid
Dodge Caravan 1987 3L V6 181cid
Dodge Charger 1985-1986 1.6L L4 97cid
Dodge Charger 1985-1987 2.2L L4 135cid
Dodge D100 1986-1987 3.7L L6 225cid
Dodge D100 1986-1987 5.2L V8 318cid
Dodge D100 1986-1987 5.9L V8 360cid
Dodge D150 1985-1987 3.7L L6 225cid
Dodge D150 1985-1987 5.2L V8 318cid
Dodge D150 1985-1987 5.9L V8 360cid
Dodge D250 1985-1987 3.7L L6 225cid
Dodge D250 1985-1987 5.2L V8 318cid
Dodge D250 1985-1987 5.9L V8 360cid
Dodge D350 1985-1987 3.7L L6 225cid
Dodge D350 1985-1987 5.9L V8 360cid
Dodge Daytona 1985-1987 2.2L L4 135cid
Dodge Daytona 1986-1987 2.5L L4 153cid
Dodge Diplomat 1985-1987 5.2L V8 318cid
Dodge Mini Ram 1985-1987 2.2L L4 135cid
Dodge Mini Ram 1985-1987 2.6L L4 156cid
Dodge Mini Ram 1987 2.5L L4 153cid
Dodge Mini Ram 1987 3L V6 181cid
Dodge Omni 1985-1986 1.6L L4 97cid
Dodge Omni 1985-1987 2.2L L4 135cid
Dodge Ramcharger 1985-1987 5.2L V8 318cid
Dodge Ramcharger 1985-1987 5.9L V8 360cid
Dodge Ramcharger 1986 3.7L L6 225cid
Dodge W100 1985-1987 3.7L L6 225cid
Dodge W100 1985-1987 5.2L V8 318cid
Dodge W100 1985-1987 5.9L V8 360cid
Dodge W150 1985-1987 3.7L L6 225cid
Dodge W150 1985-1987 5.2L V8 318cid
Dodge W150 1985-1987 5.9L V8 360cid
Dodge W250 1985-1987 5.2L V8 318cid
Dodge W250 1985-1987 5.9L V8 360cid
Dodge W250 1986-1987 3.7L L6 225cid
Dodge W350 1985-1987 5.9L V8 360cid
Plymouth Caravelle 1985 2.6L L4 156cid
Plymouth Caravelle 1985-1987 2.2L L4 135cid
Plymouth Caravelle 1985-1987 5.2L V8 318cid
Plymouth Caravelle 1986-1987 2.5L L4 153cid
Plymouth Gran Fury 1985-1987 5.2L V8 318cid
Plymouth Horizon 1985-1986 1.6L L4 97cid
Plymouth Horizon 1985-1987 2.2L L4 135cid
Plymouth Reliant 1985 2.6L L4 156cid
Plymouth Reliant 1985-1987 2.2L L4 135cid
Plymouth Reliant 1986-1987 2.5L L4 153cid
Plymouth Turismo 1985-1986 1.6L L4 97cid
Plymouth Turismo 1985-1987 2.2L L4 135cid
Plymouth Turismo 2.2 1985-1986 2.2L L4 135cid
Plymouth Voyager 1985-1987 2.2L L4 135cid
Plymouth Voyager 1985-1987 2.6L L4 156cid
Plymouth Voyager 1987 2.5L L4 153cid
Plymouth Voyager 1987 3L V6 181cid</t>
        </is>
      </c>
      <c r="I1293" t="inlineStr">
        <is>
          <t>{"0": {"productDeskExternalKey": "CNRD|85-383"}, "1": {"Package Contents": "Wiper Motor; Instruction Manual"}, "2": {"E-Waste": "Yes"}, "3": {"Product Condition": "New"}, "4": {"Terminal Type": "Blade"}, "5": {"Mounting Type": "Direct Bolt"}, "6": {"Weight PG": "4.0000"}, "7": {"Washer Pump Included": "No"}, "8": {"Part Type": "Windshield Wiper Motor"}, "9": {"Warranty Info": "Limited Lifetime"}, "10": {"Lifetime Warranty": "Yes"}, "11": {"Lifecycle Status": "Available to Order"}, "12": {"ItemLevelGTIN": "00884548202733"}}</t>
        </is>
      </c>
      <c r="J1293" t="inlineStr">
        <is>
          <t>https://www.cardone.com/product/windshield-wiper-motor-85-383</t>
        </is>
      </c>
      <c r="K1293">
        <f>DISPIMG("ID_237990B5B9E1495C98812284F10A9F24",1)</f>
        <v/>
      </c>
      <c r="L1293" t="inlineStr">
        <is>
          <t>CNRD|85-383</t>
        </is>
      </c>
      <c r="M1293" t="inlineStr">
        <is>
          <t>Wiper Motor; Instruction Manual</t>
        </is>
      </c>
      <c r="N1293" t="inlineStr">
        <is>
          <t>Yes</t>
        </is>
      </c>
      <c r="O1293" t="inlineStr">
        <is>
          <t>New</t>
        </is>
      </c>
      <c r="P1293" t="inlineStr"/>
      <c r="Q1293" t="inlineStr">
        <is>
          <t>Blade</t>
        </is>
      </c>
      <c r="R1293" t="inlineStr">
        <is>
          <t>Direct Bolt</t>
        </is>
      </c>
      <c r="S1293" t="inlineStr">
        <is>
          <t>4.0000</t>
        </is>
      </c>
      <c r="T1293" t="inlineStr">
        <is>
          <t>No</t>
        </is>
      </c>
      <c r="U1293" t="inlineStr">
        <is>
          <t>Limited Lifetime</t>
        </is>
      </c>
      <c r="V1293" t="inlineStr"/>
      <c r="W1293" t="inlineStr">
        <is>
          <t>Available to Order</t>
        </is>
      </c>
      <c r="X1293" t="inlineStr"/>
      <c r="Y1293" t="inlineStr">
        <is>
          <t>00884548202733</t>
        </is>
      </c>
      <c r="Z1293" t="inlineStr"/>
      <c r="AA1293" t="inlineStr"/>
      <c r="AB1293" t="inlineStr"/>
      <c r="AC1293" t="inlineStr">
        <is>
          <t>Yes</t>
        </is>
      </c>
    </row>
    <row r="1294">
      <c r="A1294" t="inlineStr">
        <is>
          <t>1293</t>
        </is>
      </c>
      <c r="B1294" t="inlineStr">
        <is>
          <t>Windshield Wiper Motor</t>
        </is>
      </c>
      <c r="C1294" t="inlineStr">
        <is>
          <t>85-387</t>
        </is>
      </c>
      <c r="D1294" t="inlineStr">
        <is>
          <t>Windshield Wiper Motor - 85-387</t>
        </is>
      </c>
      <c r="E1294" t="inlineStr">
        <is>
          <t>CARDONE New</t>
        </is>
      </c>
      <c r="F1294" t="inlineStr">
        <is>
          <t>4389131;4584260;4389132;55155043;44389131</t>
        </is>
      </c>
      <c r="G1294" t="inlineStr">
        <is>
          <t>Chrysler Dynasty 1989-1993
Chrysler Imperial 1990-1993
Chrysler LeBaron 1989-1994
Chrysler New Yorker 1989-1993
Chrysler Shadow 1989-1994
Chrysler Spirit 1990-1995
Dodge Dakota 1989-1996
Dodge Dynasty 1989-1993
Dodge Lancer 1989
Dodge Monaco 1991-1992
Dodge Ram 1500 1994-1996
Dodge Ram 2500 1994-1996
Dodge Ram 3500 1994-1996
Dodge Shadow 1989-1994
Dodge Spirit 1989-1995
Eagle Premier 1991-1992
Plymouth Acclaim 1989-1995
Plymouth Sundance 1989-1994</t>
        </is>
      </c>
      <c r="H1294" t="inlineStr">
        <is>
          <t>Chrysler Dynasty 1989-1990 3L V6 181cid
Chrysler Dynasty 1989-1993 2.5L L4 153cid
Chrysler Dynasty 1990-1993 3.3L V6 201cid
Chrysler Imperial 1990-1991 3.3L V6 201cid
Chrysler Imperial 1991-1993 3.8L V6 231cid
Chrysler LeBaron 1989 2.2L L4 135cid
Chrysler LeBaron 1989-1994 2.5L L4 153cid
Chrysler LeBaron 1990-1994 3L V6 181cid
Chrysler New Yorker 1989-1993 3L V6 181cid
Chrysler New Yorker 1990-1993 2.5L L4 153cid
Chrysler New Yorker 1990-1993 3.3L V6 201cid
Chrysler New Yorker 1991-1993 3.8L V6 231cid
Chrysler Shadow 1989-1990 2.2L L4 135cid
Chrysler Shadow 1989-1994 2.5L L4 153cid
Chrysler Spirit 1990-1995 2.5L L4 153cid
Dodge Dakota 1989-1996 2.5L L4 153cid
Dodge Dakota 1989-1996 3.9L V6 239cid
Dodge Dakota 1989-1996 5.2L V8 318cid
Dodge Dynasty 1989-1993 2.5L L4 153cid
Dodge Dynasty 1989-1993 3L V6 181cid
Dodge Dynasty 1990-1993 3.3L V6 201cid
Dodge Lancer 1989 2.2L L4 135cid
Dodge Lancer 1989 2.5L L4 153cid
Dodge Monaco 1991-1992 3L V6 182cid
Dodge Ram 1500 1994-1996 3.9L V6 239cid
Dodge Ram 1500 1994-1996 5.2L V8 318cid
Dodge Ram 1500 1994-1996 5.9L V8 360cid
Dodge Ram 2500 1994-1996 5.2L V8 318cid
Dodge Ram 2500 1994-1996 5.9L L6 359cid
Dodge Ram 2500 1994-1996 5.9L V8 360cid
Dodge Ram 2500 1994-1996 8L V10 488cid
Dodge Ram 3500 1994-1996 5.9L L6 359cid
Dodge Ram 3500 1994-1996 5.9L V8 360cid
Dodge Ram 3500 1994-1996 8L V10 488cid
Dodge Shadow 1989-1994 2.2L L4 135cid
Dodge Shadow 1989-1994 2.5L L4 153cid
Dodge Shadow 1992-1994 3L V6 181cid
Dodge Spirit 1989-1995 2.5L L4 153cid
Dodge Spirit 1989-1995 3L V6 181cid
Dodge Spirit 1991-1992 2.2L L4 135cid
Eagle Premier 1991-1992 3L V6 182cid
Plymouth Acclaim 1989-1995 2.5L L4 153cid
Plymouth Acclaim 1989-1995 3L V6 181cid
Plymouth Sundance 1989-1994 2.2L L4 135cid
Plymouth Sundance 1989-1994 2.5L L4 153cid
Plymouth Sundance 1992-1994 3L V6 181cid</t>
        </is>
      </c>
      <c r="I1294" t="inlineStr">
        <is>
          <t>{"0": {"productDeskExternalKey": "CNRD|85-387"}, "1": {"Package Contents": "Wiper Motor; Instruction Manual"}, "2": {"E-Waste": "Yes"}, "3": {"Product Condition": "New"}, "4": {"Mounting Hole Quantity": "3"}, "5": {"Terminal Type": "Blade"}, "6": {"Mounting Type": "Direct Bolt"}, "7": {"Weight PG": "2.4000"}, "8": {"Washer Pump Included": "No"}, "9": {"Part Type": "Windshield Wiper Motor"}, "10": {"Warranty Info": "Limited Lifetime"}, "11": {"Lifetime Warranty": "Yes"}, "12": {"Lifecycle Status": "Available to Order"}, "13": {"ItemLevelGTIN": "00082617670142"}}</t>
        </is>
      </c>
      <c r="J1294" t="inlineStr">
        <is>
          <t>https://www.cardone.com/product/windshield-wiper-motor-85-387</t>
        </is>
      </c>
      <c r="K1294">
        <f>DISPIMG("ID_0E9C141B1D0946EFA94DD45C1D57ABE7",1)</f>
        <v/>
      </c>
      <c r="L1294" t="inlineStr">
        <is>
          <t>CNRD|85-387</t>
        </is>
      </c>
      <c r="M1294" t="inlineStr">
        <is>
          <t>Wiper Motor; Instruction Manual</t>
        </is>
      </c>
      <c r="N1294" t="inlineStr">
        <is>
          <t>Yes</t>
        </is>
      </c>
      <c r="O1294" t="inlineStr">
        <is>
          <t>New</t>
        </is>
      </c>
      <c r="P1294" t="inlineStr">
        <is>
          <t>3</t>
        </is>
      </c>
      <c r="Q1294" t="inlineStr">
        <is>
          <t>Blade</t>
        </is>
      </c>
      <c r="R1294" t="inlineStr">
        <is>
          <t>Direct Bolt</t>
        </is>
      </c>
      <c r="S1294" t="inlineStr">
        <is>
          <t>2.4000</t>
        </is>
      </c>
      <c r="T1294" t="inlineStr">
        <is>
          <t>No</t>
        </is>
      </c>
      <c r="U1294" t="inlineStr">
        <is>
          <t>Limited Lifetime</t>
        </is>
      </c>
      <c r="V1294" t="inlineStr"/>
      <c r="W1294" t="inlineStr">
        <is>
          <t>Available to Order</t>
        </is>
      </c>
      <c r="X1294" t="inlineStr"/>
      <c r="Y1294" t="inlineStr">
        <is>
          <t>00082617670142</t>
        </is>
      </c>
      <c r="Z1294" t="inlineStr"/>
      <c r="AA1294" t="inlineStr"/>
      <c r="AB1294" t="inlineStr"/>
      <c r="AC1294" t="inlineStr">
        <is>
          <t>Yes</t>
        </is>
      </c>
    </row>
    <row r="1295">
      <c r="A1295" t="inlineStr">
        <is>
          <t>1294</t>
        </is>
      </c>
      <c r="B1295" t="inlineStr">
        <is>
          <t>Windshield Wiper Motor</t>
        </is>
      </c>
      <c r="C1295" t="inlineStr">
        <is>
          <t>85-388</t>
        </is>
      </c>
      <c r="D1295" t="inlineStr">
        <is>
          <t>Windshield Wiper Motor - 85-388</t>
        </is>
      </c>
      <c r="E1295" t="inlineStr">
        <is>
          <t>CARDONE New</t>
        </is>
      </c>
      <c r="F1295" t="inlineStr">
        <is>
          <t>4389132</t>
        </is>
      </c>
      <c r="G1295" t="inlineStr">
        <is>
          <t>Chrysler Daytona 1989-1993
Chrysler Fifth Avenue 1989
Chrysler LeBaron 1989-1995
Chrysler TC Maserati 1989-1991
Chrysler Town &amp; Country 1990-1995
Chrysler Voyager 1994-1995
Dodge Aries 1989
Dodge B150 1989-1994
Dodge B1500 1995-1997
Dodge B250 1989-1994
Dodge B2500 1995-1997
Dodge B350 1989-1994
Dodge B3500 1995-1997
Dodge Caravan 1989-1995
Dodge D100 1989
Dodge D150 1989-1993
Dodge D250 1989-1993
Dodge D350 1989-1993
Dodge Daytona 1989-1993
Dodge Diplomat 1989
Dodge Grand Caravan 1989-1995
Dodge Omni 1989-1990
Dodge Ram 1500 Van 1995-1997
Dodge Ram 2500 Van 1996-1997
Dodge Ram 3500 Van 1996-1997
Dodge Ramcharger 1989-1993
Dodge W100 1989
Dodge W150 1989-1993
Dodge W250 1989-1993
Dodge W350 1989-1993
Plymouth Caravelle 1989
Plymouth Gran Fury 1989
Plymouth Grand Voyager 1989-1995
Plymouth Horizon 1989-1990
Plymouth Reliant 1989
Plymouth Voyager 1989-1995</t>
        </is>
      </c>
      <c r="H1295" t="inlineStr">
        <is>
          <t>Chrysler Daytona 1989-1993 2.2L L4 135cid
Chrysler Daytona 1989-1993 2.5L L4 153cid
Chrysler Daytona 1990-1993 3L V6 181cid
Chrysler Fifth Avenue 1989 5.2L V8 318cid
Chrysler LeBaron 1989-1990 2.2L L4 135cid
Chrysler LeBaron 1989-1993 2.5L L4 153cid
Chrysler LeBaron 1990-1995 3L V6 181cid
Chrysler TC Maserati 1989-1990 2.2L L4 135cid
Chrysler TC Maserati 1990-1991 3L V6 181cid
Chrysler Town &amp; Country 1990 3L V6 181cid
Chrysler Town &amp; Country 1990-1993 3.3L V6 201cid
Chrysler Town &amp; Country 1994-1995 3.8L V6 231cid
Chrysler Voyager 1994-1995 3.3L V6 201cid
Dodge Aries 1989 2.2L L4 135cid
Dodge Aries 1989 2.5L L4 153cid
Dodge B150 1989-1994 3.9L V6 239cid
Dodge B150 1989-1994 5.2L V8 318cid
Dodge B1500 1995-1997 3.9L V6 239cid
Dodge B1500 1995-1997 5.2L V8 318cid
Dodge B250 1989-1994 3.9L V6 239cid
Dodge B250 1989-1994 5.2L V8 318cid
Dodge B250 1989-1994 5.9L V8 360cid
Dodge B2500 1995-1997 3.9L V6 239cid
Dodge B2500 1995-1997 5.2L V8 318cid
Dodge B2500 1995-1997 5.9L V8 360cid
Dodge B350 1989-1994 5.2L V8 318cid
Dodge B350 1989-1994 5.9L V8 360cid
Dodge B3500 1995-1997 5.2L V8 318cid
Dodge B3500 1995-1997 5.9L V8 360cid
Dodge Caravan 1989-1995 2.5L L4 153cid
Dodge Caravan 1989-1995 3L V6 181cid
Dodge Caravan 1990-1995 3.3L V6 201cid
Dodge Caravan 1993-1995
Dodge D100 1989 3.9L V6 239cid
Dodge D100 1989 5.2L V8 318cid
Dodge D150 1989-1990 3.7L L6 225cid
Dodge D150 1989-1993 3.9L V6 239cid
Dodge D150 1989-1993 5.2L V8 318cid
Dodge D150 1989-1993 5.9L V8 360cid
Dodge D250 1989-1993 3.9L V6 239cid
Dodge D250 1989-1993 5.2L V8 318cid
Dodge D250 1989-1993 5.9L L6 359cid
Dodge D250 1989-1993 5.9L V8 360cid
Dodge D350 1989-1993 5.9L L6 359cid
Dodge D350 1989-1993 5.9L V8 360cid
Dodge Daytona 1989-1993 2.2L L4 135cid
Dodge Daytona 1989-1993 2.5L L4 153cid
Dodge Daytona 1990-1993 3L V6 181cid
Dodge Diplomat 1989 5.2L V8 318cid
Dodge Grand Caravan 1989 2.5L L4 153cid
Dodge Grand Caravan 1989-1995 3L V6 181cid
Dodge Grand Caravan 1990-1995 3.3L V6 201cid
Dodge Grand Caravan 1994-1995 3.8L V6 231cid
Dodge Omni 1989-1990 2.2L L4 135cid
Dodge Ram 1500 Van 1995-1996 5.2L V8 318cid
Dodge Ram 1500 Van 1997 3.9L V6 239cid
Dodge Ram 2500 Van 1996-1997 5.2L V8 318cid
Dodge Ram 3500 Van 1996 5.2L V8 318cid
Dodge Ram 3500 Van 1997 5.9L V8 360cid
Dodge Ramcharger 1989-1993 5.2L V8 318cid
Dodge Ramcharger 1989-1993 5.9L V8 360cid
Dodge W100 1989 3.9L V6 239cid
Dodge W100 1989 5.2L V8 318cid
Dodge W150 1989-1993 3.9L V6 239cid
Dodge W150 1989-1993 5.2L V8 318cid
Dodge W150 1989-1993 5.9L V8 360cid
Dodge W250 1989-1993 5.2L V8 318cid
Dodge W250 1989-1993 5.9L L6 359cid
Dodge W250 1989-1993 5.9L V8 360cid
Dodge W350 1989-1993 5.9L L6 359cid
Dodge W350 1989-1993 5.9L V8 360cid
Plymouth Caravelle 1989 5.2L V8 318cid
Plymouth Gran Fury 1989 5.2L V8 318cid
Plymouth Grand Voyager 1989-1995 3L V6 181cid
Plymouth Grand Voyager 1990-1995 3.3L V6 201cid
Plymouth Grand Voyager 1994-1995 3.8L V6 231cid
Plymouth Horizon 1989-1990 2.2L L4 135cid
Plymouth Reliant 1989 2.2L L4 135cid
Plymouth Reliant 1989 2.5L L4 153cid
Plymouth Voyager 1989-1995 2.5L L4 153cid
Plymouth Voyager 1989-1995 3L V6 181cid
Plymouth Voyager 1991-1995 3.3L V6 201cid
Plymouth Voyager 1994-1995</t>
        </is>
      </c>
      <c r="I1295" t="inlineStr">
        <is>
          <t>{"0": {"productDeskExternalKey": "CNRD|85-388"}, "1": {"Package Contents": "Wiper Motor; Instruction Manual"}, "2": {"E-Waste": "Yes"}, "3": {"Product Condition": "New"}, "4": {"Mounting Hole Quantity": "3"}, "5": {"Terminal Type": "Blade"}, "6": {"Mounting Type": "Direct Bolt"}, "7": {"Weight PG": "2.4000"}, "8": {"Washer Pump Included": "No"}, "9": {"Part Type": "Windshield Wiper Motor"}, "10": {"Warranty Info": "Limited Lifetime"}, "11": {"Lifetime Warranty": "Yes"}, "12": {"Lifecycle Status": "Available to Order"}, "13": {"ItemLevelGTIN": "00082617670135"}}</t>
        </is>
      </c>
      <c r="J1295" t="inlineStr">
        <is>
          <t>https://www.cardone.com/product/windshield-wiper-motor-85-388</t>
        </is>
      </c>
      <c r="K1295">
        <f>DISPIMG("ID_DCE53911B0784457B9507B77E734558C",1)</f>
        <v/>
      </c>
      <c r="L1295" t="inlineStr">
        <is>
          <t>CNRD|85-388</t>
        </is>
      </c>
      <c r="M1295" t="inlineStr">
        <is>
          <t>Wiper Motor; Instruction Manual</t>
        </is>
      </c>
      <c r="N1295" t="inlineStr">
        <is>
          <t>Yes</t>
        </is>
      </c>
      <c r="O1295" t="inlineStr">
        <is>
          <t>New</t>
        </is>
      </c>
      <c r="P1295" t="inlineStr">
        <is>
          <t>3</t>
        </is>
      </c>
      <c r="Q1295" t="inlineStr">
        <is>
          <t>Blade</t>
        </is>
      </c>
      <c r="R1295" t="inlineStr">
        <is>
          <t>Direct Bolt</t>
        </is>
      </c>
      <c r="S1295" t="inlineStr">
        <is>
          <t>2.4000</t>
        </is>
      </c>
      <c r="T1295" t="inlineStr">
        <is>
          <t>No</t>
        </is>
      </c>
      <c r="U1295" t="inlineStr">
        <is>
          <t>Limited Lifetime</t>
        </is>
      </c>
      <c r="V1295" t="inlineStr"/>
      <c r="W1295" t="inlineStr">
        <is>
          <t>Available to Order</t>
        </is>
      </c>
      <c r="X1295" t="inlineStr"/>
      <c r="Y1295" t="inlineStr">
        <is>
          <t>00082617670135</t>
        </is>
      </c>
      <c r="Z1295" t="inlineStr"/>
      <c r="AA1295" t="inlineStr"/>
      <c r="AB1295" t="inlineStr"/>
      <c r="AC1295" t="inlineStr">
        <is>
          <t>Yes</t>
        </is>
      </c>
    </row>
    <row r="1296">
      <c r="A1296" t="inlineStr">
        <is>
          <t>1295</t>
        </is>
      </c>
      <c r="B1296" t="inlineStr">
        <is>
          <t>Windshield Wiper Motor</t>
        </is>
      </c>
      <c r="C1296" t="inlineStr">
        <is>
          <t>85-394</t>
        </is>
      </c>
      <c r="D1296" t="inlineStr">
        <is>
          <t>Windshield Wiper Motor - 85-394</t>
        </is>
      </c>
      <c r="E1296" t="inlineStr">
        <is>
          <t>CARDONE New</t>
        </is>
      </c>
      <c r="F1296" t="inlineStr">
        <is>
          <t>4205956</t>
        </is>
      </c>
      <c r="G1296" t="inlineStr">
        <is>
          <t>Chrysler Cordoba 1979-1983
Chrysler Imperial 1981-1983
Chrysler LeBaron 1979
Chrysler New Yorker 1979-1981
Chrysler Newport 1979
Chrysler Town &amp; Country 1979
Dodge Aspen 1979
Dodge B100 1979-1980
Dodge B150 1981-1984
Dodge B200 1979-1980
Dodge B250 1981-1984
Dodge B300 1979-1980
Dodge B350 1981-1984
Dodge D100 1979
Dodge D150 1979-1984
Dodge D200 1979-1980
Dodge D250 1981-1984
Dodge D300 1979-1980
Dodge D350 1981-1984
Dodge D400 1979-1981
Dodge D450 1979-1981
Dodge Diplomat 1979
Dodge Magnum 1979
Dodge Mirada 1980-1983
Dodge Ramcharger 1981-1984
Dodge St. Regis 1979-1981
Dodge W100 1984
Dodge W150 1979-1984
Dodge W200 1979-1980
Dodge W250 1981-1984
Dodge W300 1979-1980
Dodge W350 1981-1984
Plymouth Caravelle 1980-1981
Plymouth Gran Fury 1980-1981
Plymouth Trailduster 1979-1981
Plymouth Volare 1979</t>
        </is>
      </c>
      <c r="H1296" t="inlineStr">
        <is>
          <t>Chrysler Cordoba 1979-1982 5.9L V8 360cid
Chrysler Cordoba 1979-1983 5.2L V8 318cid
Chrysler Cordoba 1980-1983 3.7L L6 225cid
Chrysler Imperial 1981-1983 5.2L V8 318cid
Chrysler LeBaron 1979 3.7L L6 225cid
Chrysler LeBaron 1979 5.2L V8 318cid
Chrysler LeBaron 1979 5.9L V8 360cid
Chrysler New Yorker 1979-1980 5.9L V8 360cid
Chrysler New Yorker 1979-1981 5.2L V8 318cid
Chrysler Newport 1979 3.7L L6 225cid
Chrysler Newport 1979 5.2L V8 318cid
Chrysler Newport 1979 5.9L V8 360cid
Chrysler Town &amp; Country 1979 3.7L L6 225cid
Chrysler Town &amp; Country 1979 5.2L V8 318cid
Chrysler Town &amp; Country 1979 5.9L V8 360cid
Dodge Aspen 1979 3.7L L6 225cid
Dodge Aspen 1979 5.2L V8 318cid
Dodge Aspen 1979 5.9L V8 360cid
Dodge B100 1979-1980 3.7L L6 225cid
Dodge B100 1979-1980 5.2L V8 318cid
Dodge B150 1981-1984 3.7L L6 225cid
Dodge B150 1981-1984 5.2L V8 318cid
Dodge B200 1979-1980 3.7L L6 225cid
Dodge B200 1979-1980 5.2L V8 318cid
Dodge B200 1979-1980 5.9L V8 360cid
Dodge B250 1981-1984 3.7L L6 225cid
Dodge B250 1981-1984 5.2L V8 318cid
Dodge B250 1981-1984 5.9L V8 360cid
Dodge B300 1979-1980 3.7L L6 225cid
Dodge B300 1979-1980 5.2L V8 318cid
Dodge B300 1979-1980 5.9L V8 360cid
Dodge B350 1981-1984 5.2L V8 318cid
Dodge B350 1981-1984 5.9L V8 360cid
Dodge D100 1979 3.7L L6 225cid
Dodge D100 1979 4L L6 243cid
Dodge D100 1979 5.2L V8 318cid
Dodge D100 1979 5.9L V8 360cid
Dodge D150 1979-1980 4L L6 243cid
Dodge D150 1979-1984 3.7L L6 225cid
Dodge D150 1979-1984 5.2L V8 318cid
Dodge D150 1979-1984 5.9L V8 360cid
Dodge D200 1979-1980 3.7L L6 225cid
Dodge D200 1979-1980 5.2L V8 318cid
Dodge D200 1979-1980 5.9L V8 360cid
Dodge D200 1980 4L L6 243cid
Dodge D250 1981-1984 3.7L L6 225cid
Dodge D250 1981-1984 5.2L V8 318cid
Dodge D250 1981-1984 5.9L V8 360cid
Dodge D300 1979-1980 3.7L L6 225cid
Dodge D300 1979-1980 5.2L V8 318cid
Dodge D300 1979-1980 5.9L V8 360cid
Dodge D350 1981-1983 5.2L V8 318cid
Dodge D350 1981-1984 3.7L L6 225cid
Dodge D350 1981-1984 5.9L V8 360cid
Dodge D400 1979-1981 5.9L V8 360cid
Dodge D450 1979-1981 5.9L V8 360cid
Dodge Diplomat 1979 3.7L L6 225cid
Dodge Diplomat 1979 5.2L V8 318cid
Dodge Diplomat 1979 5.9L V8 360cid
Dodge Magnum 1979 5.2L V8 318cid
Dodge Magnum 1979 5.9L V8 360cid
Dodge Mirada 1980 5.9L V8 360cid
Dodge Mirada 1980-1983 3.7L L6 225cid
Dodge Mirada 1980-1983 5.2L V8 318cid
Dodge Ramcharger 1981-1984 5.2L V8 318cid
Dodge Ramcharger 1981-1984 5.9L V8 360cid
Dodge St. Regis 1979-1980 5.9L V8 360cid
Dodge St. Regis 1979-1981 3.7L L6 225cid
Dodge St. Regis 1979-1981 5.2L V8 318cid
Dodge W100 1984 3.7L L6 225cid
Dodge W100 1984 5.2L V8 318cid
Dodge W100 1984 5.9L V8 360cid
Dodge W150 1979 4L L6 243cid
Dodge W150 1979-1984 3.7L L6 225cid
Dodge W150 1979-1984 5.2L V8 318cid
Dodge W150 1979-1984 5.9L V8 360cid
Dodge W200 1979 4L L6 243cid
Dodge W200 1979-1980 3.7L L6 225cid
Dodge W200 1979-1980 5.2L V8 318cid
Dodge W200 1979-1980 5.9L V8 360cid
Dodge W250 1981-1984 5.2L V8 318cid
Dodge W250 1981-1984 5.9L V8 360cid
Dodge W300 1979-1980 5.9L V8 360cid
Dodge W300 1980 5.2L V8 318cid
Dodge W350 1981-1984 5.9L V8 360cid
Dodge W350 1982-1983 5.2L V8 318cid
Plymouth Caravelle 1980-1981 3.7L L6 225cid
Plymouth Caravelle 1980-1981 5.2L V8 318cid
Plymouth Gran Fury 1980 5.9L V8 360cid
Plymouth Gran Fury 1980-1981 3.7L L6 225cid
Plymouth Gran Fury 1980-1981 5.2L V8 318cid
Plymouth Trailduster 1979-1980 3.7L L6 225cid
Plymouth Trailduster 1979-1981 5.2L V8 318cid
Plymouth Trailduster 1979-1981 5.9L V8 360cid
Plymouth Volare 1979 3.7L L6 225cid
Plymouth Volare 1979 5.2L V8 318cid
Plymouth Volare 1979 5.9L V8 360cid</t>
        </is>
      </c>
      <c r="I1296" t="inlineStr">
        <is>
          <t>{"0": {"productDeskExternalKey": "CNRD|85-394"}, "1": {"Package Contents": "Wiper Motor; Instruction Manual"}, "2": {"E-Waste": "Yes"}, "3": {"Product Condition": "New"}, "4": {"Terminal Type": "Blade"}, "5": {"Mounting Type": "Eyelet; Grommet"}, "6": {"Weight PG": "5.2000"}, "7": {"Washer Pump Included": "No"}, "8": {"Part Type": "Windshield Wiper Motor"}, "9": {"Warranty Info": "Limited Lifetime"}, "10": {"Lifetime Warranty": "Yes"}, "11": {"Lifecycle Status": "Available to Order"}, "12": {"ItemLevelGTIN": "00884548201200"}}</t>
        </is>
      </c>
      <c r="J1296" t="inlineStr">
        <is>
          <t>https://www.cardone.com/product/windshield-wiper-motor-85-394</t>
        </is>
      </c>
      <c r="K1296">
        <f>DISPIMG("ID_D3F15A6CF934405C9AEC13361170C592",1)</f>
        <v/>
      </c>
      <c r="L1296" t="inlineStr">
        <is>
          <t>CNRD|85-394</t>
        </is>
      </c>
      <c r="M1296" t="inlineStr">
        <is>
          <t>Wiper Motor; Instruction Manual</t>
        </is>
      </c>
      <c r="N1296" t="inlineStr">
        <is>
          <t>Yes</t>
        </is>
      </c>
      <c r="O1296" t="inlineStr">
        <is>
          <t>New</t>
        </is>
      </c>
      <c r="P1296" t="inlineStr"/>
      <c r="Q1296" t="inlineStr">
        <is>
          <t>Blade</t>
        </is>
      </c>
      <c r="R1296" t="inlineStr">
        <is>
          <t>Eyelet; Grommet</t>
        </is>
      </c>
      <c r="S1296" t="inlineStr">
        <is>
          <t>5.2000</t>
        </is>
      </c>
      <c r="T1296" t="inlineStr">
        <is>
          <t>No</t>
        </is>
      </c>
      <c r="U1296" t="inlineStr">
        <is>
          <t>Limited Lifetime</t>
        </is>
      </c>
      <c r="V1296" t="inlineStr"/>
      <c r="W1296" t="inlineStr">
        <is>
          <t>Available to Order</t>
        </is>
      </c>
      <c r="X1296" t="inlineStr"/>
      <c r="Y1296" t="inlineStr">
        <is>
          <t>00884548201200</t>
        </is>
      </c>
      <c r="Z1296" t="inlineStr"/>
      <c r="AA1296" t="inlineStr"/>
      <c r="AB1296" t="inlineStr"/>
      <c r="AC1296" t="inlineStr">
        <is>
          <t>Yes</t>
        </is>
      </c>
    </row>
    <row r="1297">
      <c r="A1297" t="inlineStr">
        <is>
          <t>1296</t>
        </is>
      </c>
      <c r="B1297" t="inlineStr">
        <is>
          <t>Windshield Wiper Motor</t>
        </is>
      </c>
      <c r="C1297" t="inlineStr">
        <is>
          <t>85-4000</t>
        </is>
      </c>
      <c r="D1297" t="inlineStr">
        <is>
          <t>Windshield Wiper Motor - 85-4000</t>
        </is>
      </c>
      <c r="E1297" t="inlineStr">
        <is>
          <t>CARDONE New</t>
        </is>
      </c>
      <c r="F1297" t="inlineStr">
        <is>
          <t>76505S00C01;76505S04Y01;76505S00A01</t>
        </is>
      </c>
      <c r="G1297" t="inlineStr">
        <is>
          <t>Honda CR-V 1997-2001
Honda Civic 1996-2000</t>
        </is>
      </c>
      <c r="H1297" t="inlineStr">
        <is>
          <t>Honda CR-V 1997-2001 2L L4 1972cc
Honda Civic 1996 1.6L L4 1590cc
Honda Civic 1996-2000 1.6L L4 98cid</t>
        </is>
      </c>
      <c r="I1297" t="inlineStr">
        <is>
          <t>{"0": {"productDeskExternalKey": "CNRD|85-4000"}, "1": {"Package Contents": "Wiper Motor; Instruction Manual"}, "2": {"E-Waste": "Yes"}, "3": {"Product Condition": "New"}, "4": {"Mounting Hole Quantity": "3"}, "5": {"Terminal Type": "Blade"}, "6": {"Mounting Type": "Direct Bolt"}, "7": {"Weight PG": "2.6000"}, "8": {"Washer Pump Included": "No"}, "9": {"Part Type": "Windshield Wiper Motor"}, "10": {"Warranty Info": "Limited Lifetime"}, "11": {"Lifetime Warranty": "Yes"}, "12": {"Lifecycle Status": "Available to Order"}, "13": {"Application Summary": "Honda Civic 2000-96, CR-V 2001-97"}, "14": {"ItemLevelGTIN": "00884548117082"}}</t>
        </is>
      </c>
      <c r="J1297" t="inlineStr">
        <is>
          <t>https://www.cardone.com/product/windshield-wiper-motor-85-4000</t>
        </is>
      </c>
      <c r="K1297">
        <f>DISPIMG("ID_22FC608B2FE74149A456A59BF0E2E5CE",1)</f>
        <v/>
      </c>
      <c r="L1297" t="inlineStr">
        <is>
          <t>CNRD|85-4000</t>
        </is>
      </c>
      <c r="M1297" t="inlineStr">
        <is>
          <t>Wiper Motor; Instruction Manual</t>
        </is>
      </c>
      <c r="N1297" t="inlineStr">
        <is>
          <t>Yes</t>
        </is>
      </c>
      <c r="O1297" t="inlineStr">
        <is>
          <t>New</t>
        </is>
      </c>
      <c r="P1297" t="inlineStr">
        <is>
          <t>3</t>
        </is>
      </c>
      <c r="Q1297" t="inlineStr">
        <is>
          <t>Blade</t>
        </is>
      </c>
      <c r="R1297" t="inlineStr">
        <is>
          <t>Direct Bolt</t>
        </is>
      </c>
      <c r="S1297" t="inlineStr">
        <is>
          <t>2.6000</t>
        </is>
      </c>
      <c r="T1297" t="inlineStr">
        <is>
          <t>No</t>
        </is>
      </c>
      <c r="U1297" t="inlineStr">
        <is>
          <t>Limited Lifetime</t>
        </is>
      </c>
      <c r="V1297" t="inlineStr"/>
      <c r="W1297" t="inlineStr">
        <is>
          <t>Available to Order</t>
        </is>
      </c>
      <c r="X1297" t="inlineStr">
        <is>
          <t>Honda Civic 2000-96, CR-V 2001-97</t>
        </is>
      </c>
      <c r="Y1297" t="inlineStr">
        <is>
          <t>00884548117082</t>
        </is>
      </c>
      <c r="Z1297" t="inlineStr"/>
      <c r="AA1297" t="inlineStr"/>
      <c r="AB1297" t="inlineStr"/>
      <c r="AC1297" t="inlineStr">
        <is>
          <t>Yes</t>
        </is>
      </c>
    </row>
    <row r="1298">
      <c r="A1298" t="inlineStr">
        <is>
          <t>1297</t>
        </is>
      </c>
      <c r="B1298" t="inlineStr">
        <is>
          <t>Windshield Wiper Motor</t>
        </is>
      </c>
      <c r="C1298" t="inlineStr">
        <is>
          <t>85-40000</t>
        </is>
      </c>
      <c r="D1298" t="inlineStr">
        <is>
          <t>Windshield Wiper Motor - 85-40000</t>
        </is>
      </c>
      <c r="E1298" t="inlineStr">
        <is>
          <t>CARDONE New</t>
        </is>
      </c>
      <c r="F1298" t="inlineStr">
        <is>
          <t>55079213AB</t>
        </is>
      </c>
      <c r="G1298" t="inlineStr">
        <is>
          <t>Jeep Grand Cherokee 2011-2013</t>
        </is>
      </c>
      <c r="H1298" t="inlineStr">
        <is>
          <t>Jeep Grand Cherokee 2011-2013 3.6L V6 220cid
Jeep Grand Cherokee 2011-2013 5.7L V8 345cid
Jeep Grand Cherokee 2012-2013 6.4L V8 392cid</t>
        </is>
      </c>
      <c r="I1298" t="inlineStr">
        <is>
          <t>{"0": {"productDeskExternalKey": "CNRD|85-40000"}, "1": {"Package Contents": "Wiper Motor; Instruction Manual"}, "2": {"E-Waste": "Yes"}, "3": {"Product Condition": "New"}, "4": {"Terminal Type": "Blade"}, "5": {"Mounting Type": "Eyelet; Grommet"}, "6": {"Weight PG": "2.0000"}, "7": {"Washer Pump Included": "No"}, "8": {"Part Type": "Windshield Wiper Motor"}, "9": {"Warranty Info": "Limited Lifetime"}, "10": {"Lifetime Warranty": "Yes"}, "11": {"Lifecycle Status": "Available to Order"}, "12": {"Application Summary": "Jeep Grand Cherokee 2013-11"}, "13": {"ItemLevelGTIN": "00884548282384"}}</t>
        </is>
      </c>
      <c r="J1298" t="inlineStr">
        <is>
          <t>https://www.cardone.com/product/windshield-wiper-motor-85-40000</t>
        </is>
      </c>
      <c r="K1298">
        <f>DISPIMG("ID_4CF338C15C774A3A91E97EF42254995C",1)</f>
        <v/>
      </c>
      <c r="L1298" t="inlineStr">
        <is>
          <t>CNRD|85-40000</t>
        </is>
      </c>
      <c r="M1298" t="inlineStr">
        <is>
          <t>Wiper Motor; Instruction Manual</t>
        </is>
      </c>
      <c r="N1298" t="inlineStr">
        <is>
          <t>Yes</t>
        </is>
      </c>
      <c r="O1298" t="inlineStr">
        <is>
          <t>New</t>
        </is>
      </c>
      <c r="P1298" t="inlineStr"/>
      <c r="Q1298" t="inlineStr">
        <is>
          <t>Blade</t>
        </is>
      </c>
      <c r="R1298" t="inlineStr">
        <is>
          <t>Eyelet; Grommet</t>
        </is>
      </c>
      <c r="S1298" t="inlineStr">
        <is>
          <t>2.0000</t>
        </is>
      </c>
      <c r="T1298" t="inlineStr">
        <is>
          <t>No</t>
        </is>
      </c>
      <c r="U1298" t="inlineStr">
        <is>
          <t>Limited Lifetime</t>
        </is>
      </c>
      <c r="V1298" t="inlineStr"/>
      <c r="W1298" t="inlineStr">
        <is>
          <t>Available to Order</t>
        </is>
      </c>
      <c r="X1298" t="inlineStr">
        <is>
          <t>Jeep Grand Cherokee 2013-11</t>
        </is>
      </c>
      <c r="Y1298" t="inlineStr">
        <is>
          <t>00884548282384</t>
        </is>
      </c>
      <c r="Z1298" t="inlineStr"/>
      <c r="AA1298" t="inlineStr"/>
      <c r="AB1298" t="inlineStr"/>
      <c r="AC1298" t="inlineStr">
        <is>
          <t>Yes</t>
        </is>
      </c>
    </row>
    <row r="1299">
      <c r="A1299" t="inlineStr">
        <is>
          <t>1298</t>
        </is>
      </c>
      <c r="B1299" t="inlineStr">
        <is>
          <t>Windshield Wiper Motor</t>
        </is>
      </c>
      <c r="C1299" t="inlineStr">
        <is>
          <t>85-4005</t>
        </is>
      </c>
      <c r="D1299" t="inlineStr">
        <is>
          <t>Windshield Wiper Motor - 85-4005</t>
        </is>
      </c>
      <c r="E1299" t="inlineStr">
        <is>
          <t>CARDONE New</t>
        </is>
      </c>
      <c r="F1299" t="inlineStr">
        <is>
          <t>68383593AA</t>
        </is>
      </c>
      <c r="G1299" t="inlineStr">
        <is>
          <t>Jeep Gladiator 2020-2022
Jeep Wrangler 2018-2022</t>
        </is>
      </c>
      <c r="H1299" t="inlineStr">
        <is>
          <t>Jeep Gladiator 2020-2022 3.6L V6 220cid
Jeep Gladiator 2021-2022 3L V6 182cid
Jeep Wrangler 2018-2022 2L L4 122cid
Jeep Wrangler 2018-2022 3.6L V6 220cid
Jeep Wrangler 2020-2022 3L V6 182cid
Jeep Wrangler 2021-2022 6.4L V8 392cid</t>
        </is>
      </c>
      <c r="I1299" t="inlineStr">
        <is>
          <t>{"0": {"productDeskExternalKey": "CNRD|85-4005"}, "1": {"Package Contents": "Wiper Motor; Instruction Sheet"}, "2": {"E-Waste": "Yes"}, "3": {"Product Condition": "New"}, "4": {"Part Type": "Windshield Wiper Motor"}, "5": {"Mounting Hole Quantity": "3"}, "6": {"Terminal Type": "Blade"}, "7": {"Mounting Type": "Grommet"}, "8": {"Weight PG": "2.7800"}, "9": {"Application Summary": "Jeep Gladiator 2022-20, Wrangler 2022-18"}, "10": {"Washer Pump Included": "No"}, "11": {"Warranty Info": "Limited Lifetime"}, "12": {"Lifetime Warranty": "Yes"}, "13": {"Lifecycle Status": "Available to Order"}, "14": {"ItemLevelGTIN": "00884548340541"}}</t>
        </is>
      </c>
      <c r="J1299" t="inlineStr">
        <is>
          <t>https://www.cardone.com/product/windshield-wiper-motor-85-4005</t>
        </is>
      </c>
      <c r="K1299">
        <f>DISPIMG("ID_9804019AB6954D01A9DB57404C5C8107",1)</f>
        <v/>
      </c>
      <c r="L1299" t="inlineStr">
        <is>
          <t>CNRD|85-4005</t>
        </is>
      </c>
      <c r="M1299" t="inlineStr">
        <is>
          <t>Wiper Motor; Instruction Sheet</t>
        </is>
      </c>
      <c r="N1299" t="inlineStr">
        <is>
          <t>Yes</t>
        </is>
      </c>
      <c r="O1299" t="inlineStr">
        <is>
          <t>New</t>
        </is>
      </c>
      <c r="P1299" t="inlineStr">
        <is>
          <t>3</t>
        </is>
      </c>
      <c r="Q1299" t="inlineStr">
        <is>
          <t>Blade</t>
        </is>
      </c>
      <c r="R1299" t="inlineStr">
        <is>
          <t>Grommet</t>
        </is>
      </c>
      <c r="S1299" t="inlineStr">
        <is>
          <t>2.7800</t>
        </is>
      </c>
      <c r="T1299" t="inlineStr">
        <is>
          <t>No</t>
        </is>
      </c>
      <c r="U1299" t="inlineStr">
        <is>
          <t>Limited Lifetime</t>
        </is>
      </c>
      <c r="V1299" t="inlineStr"/>
      <c r="W1299" t="inlineStr">
        <is>
          <t>Available to Order</t>
        </is>
      </c>
      <c r="X1299" t="inlineStr">
        <is>
          <t>Jeep Gladiator 2022-20, Wrangler 2022-18</t>
        </is>
      </c>
      <c r="Y1299" t="inlineStr">
        <is>
          <t>00884548340541</t>
        </is>
      </c>
      <c r="Z1299" t="inlineStr"/>
      <c r="AA1299" t="inlineStr"/>
      <c r="AB1299" t="inlineStr"/>
      <c r="AC1299" t="inlineStr">
        <is>
          <t>Yes</t>
        </is>
      </c>
    </row>
    <row r="1300">
      <c r="A1300" t="inlineStr">
        <is>
          <t>1299</t>
        </is>
      </c>
      <c r="B1300" t="inlineStr">
        <is>
          <t>Windshield Wiper Motor</t>
        </is>
      </c>
      <c r="C1300" t="inlineStr">
        <is>
          <t>85-4013</t>
        </is>
      </c>
      <c r="D1300" t="inlineStr">
        <is>
          <t>Windshield Wiper Motor - 85-4013</t>
        </is>
      </c>
      <c r="E1300" t="inlineStr">
        <is>
          <t>CARDONE New</t>
        </is>
      </c>
      <c r="F1300" t="inlineStr">
        <is>
          <t>76505S4KA01;76505S84A01</t>
        </is>
      </c>
      <c r="G1300" t="inlineStr">
        <is>
          <t>Acura CL 2001-2003
Acura TL 1999-2003
Honda Accord 1998-2002
Honda Civic 2001</t>
        </is>
      </c>
      <c r="H1300" t="inlineStr">
        <is>
          <t>Acura CL 2001-2003 3.2L V6 3210cc
Acura TL 1999-2003 3.2L V6 3210cc
Honda Accord 1998-2002 2.3L L4 2254cc
Honda Accord 1998-2002 3L V6 2997cc
Honda Civic 2001 1.7L L4 1668cc</t>
        </is>
      </c>
      <c r="I1300" t="inlineStr">
        <is>
          <t>{"0": {"productDeskExternalKey": "CNRD|85-4013"},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"Acura CL 2003-01, TL 2003-99; Honda Accord 2002-98, Civic 2001"}, "13": {"ItemLevelGTIN": "00884548310261"}}</t>
        </is>
      </c>
      <c r="J1300" t="inlineStr">
        <is>
          <t>https://www.cardone.com/product/windshield-wiper-motor-85-4013</t>
        </is>
      </c>
      <c r="K1300">
        <f>DISPIMG("ID_EA1A99D4591E4A5997CA5C7E747ADAE5",1)</f>
        <v/>
      </c>
      <c r="L1300" t="inlineStr">
        <is>
          <t>CNRD|85-4013</t>
        </is>
      </c>
      <c r="M1300" t="inlineStr">
        <is>
          <t>Wiper Motor; Instruction Manual</t>
        </is>
      </c>
      <c r="N1300" t="inlineStr">
        <is>
          <t>Yes</t>
        </is>
      </c>
      <c r="O1300" t="inlineStr">
        <is>
          <t>New</t>
        </is>
      </c>
      <c r="P1300" t="inlineStr"/>
      <c r="Q1300" t="inlineStr">
        <is>
          <t>Blade</t>
        </is>
      </c>
      <c r="R1300" t="inlineStr">
        <is>
          <t>Direct Bolt</t>
        </is>
      </c>
      <c r="S1300" t="inlineStr">
        <is>
          <t>3.0000</t>
        </is>
      </c>
      <c r="T1300" t="inlineStr">
        <is>
          <t>No</t>
        </is>
      </c>
      <c r="U1300" t="inlineStr">
        <is>
          <t>Limited Lifetime</t>
        </is>
      </c>
      <c r="V1300" t="inlineStr"/>
      <c r="W1300" t="inlineStr">
        <is>
          <t>Available to Order</t>
        </is>
      </c>
      <c r="X1300" t="inlineStr">
        <is>
          <t>Acura CL 2003-01, TL 2003-99; Honda Accord 2002-98, Civic 2001</t>
        </is>
      </c>
      <c r="Y1300" t="inlineStr">
        <is>
          <t>00884548310261</t>
        </is>
      </c>
      <c r="Z1300" t="inlineStr"/>
      <c r="AA1300" t="inlineStr"/>
      <c r="AB1300" t="inlineStr"/>
      <c r="AC1300" t="inlineStr">
        <is>
          <t>Yes</t>
        </is>
      </c>
    </row>
    <row r="1301">
      <c r="A1301" t="inlineStr">
        <is>
          <t>1300</t>
        </is>
      </c>
      <c r="B1301" t="inlineStr">
        <is>
          <t>Windshield Wiper Motor</t>
        </is>
      </c>
      <c r="C1301" t="inlineStr">
        <is>
          <t>85-4017</t>
        </is>
      </c>
      <c r="D1301" t="inlineStr">
        <is>
          <t>Windshield Wiper Motor - 85-4017</t>
        </is>
      </c>
      <c r="E1301" t="inlineStr">
        <is>
          <t>CARDONE New</t>
        </is>
      </c>
      <c r="F1301" t="inlineStr">
        <is>
          <t>76505S6MA01</t>
        </is>
      </c>
      <c r="G1301" t="inlineStr">
        <is>
          <t>Acura RSX 2002-2006
Honda CR-V 2002-2006</t>
        </is>
      </c>
      <c r="H1301" t="inlineStr">
        <is>
          <t>Acura RSX 2002-2006 2L L4 122cid
Honda CR-V 2002-2006 2.4L L4 144cid</t>
        </is>
      </c>
      <c r="I1301" t="inlineStr">
        <is>
          <t>{"0": {"productDeskExternalKey": "CNRD|85-4017"}, "1": {"Package Contents": "Wiper Motor; Instruction Manual"}, "2": {"E-Waste": "Yes"}, "3": {"Product Condition": "New"}, "4": {"Mounting Hole Quantity": "2"}, "5": {"Terminal Type": "Blade"}, "6": {"Mounting Type": "Direct Bolt"}, "7": {"Weight PG": "3.0800"}, "8": {"Washer Pump Included": "No"}, "9": {"Part Type": "Windshield Wiper Motor"}, "10": {"Warranty Info": "Limited Lifetime"}, "11": {"Lifetime Warranty": "Yes"}, "12": {"Lifecycle Status": "Available to Order"}, "13": {"Application Summary": "Acura RSX 2006-02; Honda CR-V 2006-02"}, "14": {"ItemLevelGTIN": "00884548320376"}}</t>
        </is>
      </c>
      <c r="J1301" t="inlineStr">
        <is>
          <t>https://www.cardone.com/product/windshield-wiper-motor-85-4017</t>
        </is>
      </c>
      <c r="K1301">
        <f>DISPIMG("ID_8E9E75BF61834878B538A39BE9535FF1",1)</f>
        <v/>
      </c>
      <c r="L1301" t="inlineStr">
        <is>
          <t>CNRD|85-4017</t>
        </is>
      </c>
      <c r="M1301" t="inlineStr">
        <is>
          <t>Wiper Motor; Instruction Manual</t>
        </is>
      </c>
      <c r="N1301" t="inlineStr">
        <is>
          <t>Yes</t>
        </is>
      </c>
      <c r="O1301" t="inlineStr">
        <is>
          <t>New</t>
        </is>
      </c>
      <c r="P1301" t="inlineStr">
        <is>
          <t>2</t>
        </is>
      </c>
      <c r="Q1301" t="inlineStr">
        <is>
          <t>Blade</t>
        </is>
      </c>
      <c r="R1301" t="inlineStr">
        <is>
          <t>Direct Bolt</t>
        </is>
      </c>
      <c r="S1301" t="inlineStr">
        <is>
          <t>3.0800</t>
        </is>
      </c>
      <c r="T1301" t="inlineStr">
        <is>
          <t>No</t>
        </is>
      </c>
      <c r="U1301" t="inlineStr">
        <is>
          <t>Limited Lifetime</t>
        </is>
      </c>
      <c r="V1301" t="inlineStr"/>
      <c r="W1301" t="inlineStr">
        <is>
          <t>Available to Order</t>
        </is>
      </c>
      <c r="X1301" t="inlineStr">
        <is>
          <t>Acura RSX 2006-02; Honda CR-V 2006-02</t>
        </is>
      </c>
      <c r="Y1301" t="inlineStr">
        <is>
          <t>00884548320376</t>
        </is>
      </c>
      <c r="Z1301" t="inlineStr"/>
      <c r="AA1301" t="inlineStr"/>
      <c r="AB1301" t="inlineStr"/>
      <c r="AC1301" t="inlineStr">
        <is>
          <t>Yes</t>
        </is>
      </c>
    </row>
    <row r="1302">
      <c r="A1302" t="inlineStr">
        <is>
          <t>1301</t>
        </is>
      </c>
      <c r="B1302" t="inlineStr">
        <is>
          <t>Windshield Wiper Motor</t>
        </is>
      </c>
      <c r="C1302" t="inlineStr">
        <is>
          <t>85-40180</t>
        </is>
      </c>
      <c r="D1302" t="inlineStr">
        <is>
          <t>Windshield Wiper Motor - 85-40180</t>
        </is>
      </c>
      <c r="E1302" t="inlineStr">
        <is>
          <t>CARDONE New</t>
        </is>
      </c>
      <c r="F1302" t="inlineStr">
        <is>
          <t>76700SR3003</t>
        </is>
      </c>
      <c r="G1302" t="inlineStr">
        <is>
          <t>Honda Civic 1992-1995</t>
        </is>
      </c>
      <c r="H1302" t="inlineStr">
        <is>
          <t>Honda Civic 1992-1995 1.5L L4 1493cc
Honda Civic 1992-1995 1.6L L4 98cid</t>
        </is>
      </c>
      <c r="I1302" t="inlineStr">
        <is>
          <t>{"0": {"productDeskExternalKey": "CNRD|85-40180"}, "1": {"Package Contents": "Wiper Motor; Instruction Manual"}, "2": {"E-Waste": "Yes"}, "3": {"Product Condition": "New"}, "4": {"Mounting Hole Quantity": "3"}, "5": {"Terminal Type": "Blade"}, "6": {"Mounting Type": "Direct Bolt"}, "7": {"Weight PG": "2.2600"}, "8": {"Washer Pump Included": "No"}, "9": {"Part Type": "Windshield Wiper Motor"}, "10": {"Warranty Info": "Limited Lifetime"}, "11": {"Lifetime Warranty": "Yes"}, "12": {"Lifecycle Status": "Available to Order"}, "13": {"Application Summary": "Honda Civic 1995-92"}, "14": {"ItemLevelGTIN": "00884548027886"}}</t>
        </is>
      </c>
      <c r="J1302" t="inlineStr">
        <is>
          <t>https://www.cardone.com/product/windshield-wiper-motor-85-40180</t>
        </is>
      </c>
      <c r="K1302">
        <f>DISPIMG("ID_1F236F75975349DFB34FB4C4433E035A",1)</f>
        <v/>
      </c>
      <c r="L1302" t="inlineStr">
        <is>
          <t>CNRD|85-40180</t>
        </is>
      </c>
      <c r="M1302" t="inlineStr">
        <is>
          <t>Wiper Motor; Instruction Manual</t>
        </is>
      </c>
      <c r="N1302" t="inlineStr">
        <is>
          <t>Yes</t>
        </is>
      </c>
      <c r="O1302" t="inlineStr">
        <is>
          <t>New</t>
        </is>
      </c>
      <c r="P1302" t="inlineStr">
        <is>
          <t>3</t>
        </is>
      </c>
      <c r="Q1302" t="inlineStr">
        <is>
          <t>Blade</t>
        </is>
      </c>
      <c r="R1302" t="inlineStr">
        <is>
          <t>Direct Bolt</t>
        </is>
      </c>
      <c r="S1302" t="inlineStr">
        <is>
          <t>2.2600</t>
        </is>
      </c>
      <c r="T1302" t="inlineStr">
        <is>
          <t>No</t>
        </is>
      </c>
      <c r="U1302" t="inlineStr">
        <is>
          <t>Limited Lifetime</t>
        </is>
      </c>
      <c r="V1302" t="inlineStr"/>
      <c r="W1302" t="inlineStr">
        <is>
          <t>Available to Order</t>
        </is>
      </c>
      <c r="X1302" t="inlineStr">
        <is>
          <t>Honda Civic 1995-92</t>
        </is>
      </c>
      <c r="Y1302" t="inlineStr">
        <is>
          <t>00884548027886</t>
        </is>
      </c>
      <c r="Z1302" t="inlineStr"/>
      <c r="AA1302" t="inlineStr"/>
      <c r="AB1302" t="inlineStr"/>
      <c r="AC1302" t="inlineStr">
        <is>
          <t>Yes</t>
        </is>
      </c>
    </row>
    <row r="1303">
      <c r="A1303" t="inlineStr">
        <is>
          <t>1302</t>
        </is>
      </c>
      <c r="B1303" t="inlineStr">
        <is>
          <t>Windshield Wiper Motor</t>
        </is>
      </c>
      <c r="C1303" t="inlineStr">
        <is>
          <t>85-40210</t>
        </is>
      </c>
      <c r="D1303" t="inlineStr">
        <is>
          <t>Windshield Wiper Motor - 85-40210</t>
        </is>
      </c>
      <c r="E1303" t="inlineStr">
        <is>
          <t>CARDONE New</t>
        </is>
      </c>
      <c r="F1303" t="inlineStr">
        <is>
          <t>76710S0XA01</t>
        </is>
      </c>
      <c r="G1303" t="inlineStr">
        <is>
          <t>Honda Odyssey 1999-2004</t>
        </is>
      </c>
      <c r="H1303" t="inlineStr">
        <is>
          <t>Honda Odyssey 1999-2004 3.5L V6 3474cc
Honda Odyssey 2000 3.5L V6 3471cc</t>
        </is>
      </c>
      <c r="I1303" t="inlineStr">
        <is>
          <t>{"0": {"productDeskExternalKey": "CNRD|85-40210"}, "1": {"Package Contents": "Wiper Motor; Instruction Manual"}, "2": {"E-Waste": "Yes"}, "3": {"Product Condition": "New"}, "4": {"Mounting Hole Quantity": "3"}, "5": {"Terminal Type": "Blade"}, "6": {"Mounting Type": "Direct Bolt"}, "7": {"Weight PG": "2.6000"}, "8": {"Washer Pump Included": "No"}, "9": {"Part Type": "Windshield Wiper Motor"}, "10": {"Warranty Info": "Limited Lifetime"}, "11": {"Lifetime Warranty": "Yes"}, "12": {"Lifecycle Status": "Available to Order"}, "13": {"Application Summary": "Honda Odyssey 2004-99"}, "14": {"ItemLevelGTIN": "00884548012332"}}</t>
        </is>
      </c>
      <c r="J1303" t="inlineStr">
        <is>
          <t>https://www.cardone.com/product/windshield-wiper-motor-85-40210</t>
        </is>
      </c>
      <c r="K1303">
        <f>DISPIMG("ID_7B0EBE2AABFA4BE2B8416B032F7C64A4",1)</f>
        <v/>
      </c>
      <c r="L1303" t="inlineStr">
        <is>
          <t>CNRD|85-40210</t>
        </is>
      </c>
      <c r="M1303" t="inlineStr">
        <is>
          <t>Wiper Motor; Instruction Manual</t>
        </is>
      </c>
      <c r="N1303" t="inlineStr">
        <is>
          <t>Yes</t>
        </is>
      </c>
      <c r="O1303" t="inlineStr">
        <is>
          <t>New</t>
        </is>
      </c>
      <c r="P1303" t="inlineStr">
        <is>
          <t>3</t>
        </is>
      </c>
      <c r="Q1303" t="inlineStr">
        <is>
          <t>Blade</t>
        </is>
      </c>
      <c r="R1303" t="inlineStr">
        <is>
          <t>Direct Bolt</t>
        </is>
      </c>
      <c r="S1303" t="inlineStr">
        <is>
          <t>2.6000</t>
        </is>
      </c>
      <c r="T1303" t="inlineStr">
        <is>
          <t>No</t>
        </is>
      </c>
      <c r="U1303" t="inlineStr">
        <is>
          <t>Limited Lifetime</t>
        </is>
      </c>
      <c r="V1303" t="inlineStr"/>
      <c r="W1303" t="inlineStr">
        <is>
          <t>Available to Order</t>
        </is>
      </c>
      <c r="X1303" t="inlineStr">
        <is>
          <t>Honda Odyssey 2004-99</t>
        </is>
      </c>
      <c r="Y1303" t="inlineStr">
        <is>
          <t>00884548012332</t>
        </is>
      </c>
      <c r="Z1303" t="inlineStr"/>
      <c r="AA1303" t="inlineStr"/>
      <c r="AB1303" t="inlineStr"/>
      <c r="AC1303" t="inlineStr">
        <is>
          <t>Yes</t>
        </is>
      </c>
    </row>
    <row r="1304">
      <c r="A1304" t="inlineStr">
        <is>
          <t>1303</t>
        </is>
      </c>
      <c r="B1304" t="inlineStr">
        <is>
          <t>Windshield Wiper Motor</t>
        </is>
      </c>
      <c r="C1304" t="inlineStr">
        <is>
          <t>85-4025</t>
        </is>
      </c>
      <c r="D1304" t="inlineStr">
        <is>
          <t>Windshield Wiper Motor - 85-4025</t>
        </is>
      </c>
      <c r="E1304" t="inlineStr">
        <is>
          <t>CARDONE New</t>
        </is>
      </c>
      <c r="F1304" t="inlineStr">
        <is>
          <t>76505S3VA01;76505S0XA02</t>
        </is>
      </c>
      <c r="G1304" t="inlineStr">
        <is>
          <t>Acura MDX 2001-2004
Honda Odyssey 2002-2004
Honda Pilot 2003-2004</t>
        </is>
      </c>
      <c r="H1304" t="inlineStr">
        <is>
          <t>Acura MDX 2001-2004 3.5L V6 3471cc
Honda Odyssey 2002-2004 3.5L V6 3474cc
Honda Pilot 2003-2004 3.5L V6 3475cc</t>
        </is>
      </c>
      <c r="I1304" t="inlineStr">
        <is>
          <t>{"0": {"productDeskExternalKey": "CNRD|85-4025"}, "1": {"Package Contents": "Wiper Motor; Instruction Manual"}, "2": {"E-Waste": "Yes"}, "3": {"Product Condition": "New"}, "4": {"Terminal Type": "Blade"}, "5": {"Mounting Type": "Direct Bolt"}, "6": {"Weight PG": "3.4800"}, "7": {"Washer Pump Included": "No"}, "8": {"Part Type": "Windshield Wiper Motor"}, "9": {"Warranty Info": "Limited Lifetime"}, "10": {"Lifetime Warranty": "Yes"}, "11": {"Lifecycle Status": "Available to Order"}, "12": {"Application Summary": "Acura MDX 2004-01; Honda Odyssey 2004-02, Pilot 2004-03"}, "13": {"ItemLevelGTIN": "00884548304321"}}</t>
        </is>
      </c>
      <c r="J1304" t="inlineStr">
        <is>
          <t>https://www.cardone.com/product/windshield-wiper-motor-85-4025</t>
        </is>
      </c>
      <c r="K1304">
        <f>DISPIMG("ID_DDC31658D3E847459AE25C2F5FDA33C8",1)</f>
        <v/>
      </c>
      <c r="L1304" t="inlineStr">
        <is>
          <t>CNRD|85-4025</t>
        </is>
      </c>
      <c r="M1304" t="inlineStr">
        <is>
          <t>Wiper Motor; Instruction Manual</t>
        </is>
      </c>
      <c r="N1304" t="inlineStr">
        <is>
          <t>Yes</t>
        </is>
      </c>
      <c r="O1304" t="inlineStr">
        <is>
          <t>New</t>
        </is>
      </c>
      <c r="P1304" t="inlineStr"/>
      <c r="Q1304" t="inlineStr">
        <is>
          <t>Blade</t>
        </is>
      </c>
      <c r="R1304" t="inlineStr">
        <is>
          <t>Direct Bolt</t>
        </is>
      </c>
      <c r="S1304" t="inlineStr">
        <is>
          <t>3.4800</t>
        </is>
      </c>
      <c r="T1304" t="inlineStr">
        <is>
          <t>No</t>
        </is>
      </c>
      <c r="U1304" t="inlineStr">
        <is>
          <t>Limited Lifetime</t>
        </is>
      </c>
      <c r="V1304" t="inlineStr"/>
      <c r="W1304" t="inlineStr">
        <is>
          <t>Available to Order</t>
        </is>
      </c>
      <c r="X1304" t="inlineStr">
        <is>
          <t>Acura MDX 2004-01; Honda Odyssey 2004-02, Pilot 2004-03</t>
        </is>
      </c>
      <c r="Y1304" t="inlineStr">
        <is>
          <t>00884548304321</t>
        </is>
      </c>
      <c r="Z1304" t="inlineStr"/>
      <c r="AA1304" t="inlineStr"/>
      <c r="AB1304" t="inlineStr"/>
      <c r="AC1304" t="inlineStr">
        <is>
          <t>Yes</t>
        </is>
      </c>
    </row>
    <row r="1305">
      <c r="A1305" t="inlineStr">
        <is>
          <t>1304</t>
        </is>
      </c>
      <c r="B1305" t="inlineStr">
        <is>
          <t>Windshield Wiper Motor</t>
        </is>
      </c>
      <c r="C1305" t="inlineStr">
        <is>
          <t>85-4027</t>
        </is>
      </c>
      <c r="D1305" t="inlineStr">
        <is>
          <t>Windshield Wiper Motor - 85-4027</t>
        </is>
      </c>
      <c r="E1305" t="inlineStr">
        <is>
          <t>CARDONE New</t>
        </is>
      </c>
      <c r="F1305" t="inlineStr">
        <is>
          <t>76505SDNA01</t>
        </is>
      </c>
      <c r="G1305" t="inlineStr">
        <is>
          <t>Honda Accord 2003-2007</t>
        </is>
      </c>
      <c r="H1305" t="inlineStr">
        <is>
          <t>Honda Accord 2003-2007 2.4L L4 144cid
Honda Accord 2003-2007 3L V6 2997cc</t>
        </is>
      </c>
      <c r="I1305" t="inlineStr">
        <is>
          <t>{"0": {"productDeskExternalKey": "CNRD|85-4027"}, "1": {"Package Contents": "Wiper Motor; Instruction Manual"}, "2": {"E-Waste": "Yes"}, "3": {"Product Condition": "New"}, "4": {"Mounting Hole Quantity": "3"}, "5": {"Terminal Type": "Blade"}, "6": {"Mounting Type": "Direct Bolt"}, "7": {"Weight PG": "3.6000"}, "8": {"Washer Pump Included": "No"}, "9": {"Part Type": "Windshield Wiper Motor"}, "10": {"Warranty Info": "Limited Lifetime"}, "11": {"Lifetime Warranty": "Yes"}, "12": {"Lifecycle Status": "Available to Order"}, "13": {"Application Summary": "Honda Accord 2007-03"}, "14": {"ItemLevelGTIN": "00884548216211"}}</t>
        </is>
      </c>
      <c r="J1305" t="inlineStr">
        <is>
          <t>https://www.cardone.com/product/windshield-wiper-motor-85-4027</t>
        </is>
      </c>
      <c r="K1305">
        <f>DISPIMG("ID_8BEEF647B95F4587B224C41C482C08C8",1)</f>
        <v/>
      </c>
      <c r="L1305" t="inlineStr">
        <is>
          <t>CNRD|85-4027</t>
        </is>
      </c>
      <c r="M1305" t="inlineStr">
        <is>
          <t>Wiper Motor; Instruction Manual</t>
        </is>
      </c>
      <c r="N1305" t="inlineStr">
        <is>
          <t>Yes</t>
        </is>
      </c>
      <c r="O1305" t="inlineStr">
        <is>
          <t>New</t>
        </is>
      </c>
      <c r="P1305" t="inlineStr">
        <is>
          <t>3</t>
        </is>
      </c>
      <c r="Q1305" t="inlineStr">
        <is>
          <t>Blade</t>
        </is>
      </c>
      <c r="R1305" t="inlineStr">
        <is>
          <t>Direct Bolt</t>
        </is>
      </c>
      <c r="S1305" t="inlineStr">
        <is>
          <t>3.6000</t>
        </is>
      </c>
      <c r="T1305" t="inlineStr">
        <is>
          <t>No</t>
        </is>
      </c>
      <c r="U1305" t="inlineStr">
        <is>
          <t>Limited Lifetime</t>
        </is>
      </c>
      <c r="V1305" t="inlineStr"/>
      <c r="W1305" t="inlineStr">
        <is>
          <t>Available to Order</t>
        </is>
      </c>
      <c r="X1305" t="inlineStr">
        <is>
          <t>Honda Accord 2007-03</t>
        </is>
      </c>
      <c r="Y1305" t="inlineStr">
        <is>
          <t>00884548216211</t>
        </is>
      </c>
      <c r="Z1305" t="inlineStr"/>
      <c r="AA1305" t="inlineStr"/>
      <c r="AB1305" t="inlineStr"/>
      <c r="AC1305" t="inlineStr">
        <is>
          <t>Yes</t>
        </is>
      </c>
    </row>
    <row r="1306">
      <c r="A1306" t="inlineStr">
        <is>
          <t>1305</t>
        </is>
      </c>
      <c r="B1306" t="inlineStr">
        <is>
          <t>Windshield Wiper Motor</t>
        </is>
      </c>
      <c r="C1306" t="inlineStr">
        <is>
          <t>85-4028</t>
        </is>
      </c>
      <c r="D1306" t="inlineStr">
        <is>
          <t>Windshield Wiper Motor - 85-4028</t>
        </is>
      </c>
      <c r="E1306" t="inlineStr">
        <is>
          <t>CARDONE New</t>
        </is>
      </c>
      <c r="F1306" t="inlineStr">
        <is>
          <t>76505SDAA01;76505S9VA01;76505S9VA02;76505SDAA11</t>
        </is>
      </c>
      <c r="G1306" t="inlineStr">
        <is>
          <t>Acura MDX 2005-2006
Acura TL 2004-2008
Acura TSX 2004-2008
Honda Accord 2003-2007
Honda Pilot 2005-2008</t>
        </is>
      </c>
      <c r="H1306" t="inlineStr">
        <is>
          <t>Acura MDX 2005-2006 3.5L V6 3471cc
Acura TL 2004-2008 3.2L V6 3210cc
Acura TL 2007-2008 3.5L V6 3471cc
Acura TSX 2004-2008 2.4L L4 144cid
Honda Accord 2003-2007 2.4L L4 144cid
Honda Accord 2003-2007 3L V6 2997cc
Honda Pilot 2005-2008 3.5L V6 3471cc</t>
        </is>
      </c>
      <c r="I1306" t="inlineStr">
        <is>
          <t>{"0": {"productDeskExternalKey": "CNRD|85-4028"}, "1": {"Package Contents": "Wiper Motor; Instruction Sheet"}, "2": {"E-Waste": "Yes"}, "3": {"Product Condition": "New"}, "4": {"Mounting Hole Quantity": "3"}, "5": {"Terminal Type": "Blade"}, "6": {"Mounting Type": "Direct Bolt"}, "7": {"Weight PG": "2.6000"}, "8": {"Washer Pump Included": "No"}, "9": {"Part Type": "Windshield Wiper Motor"}, "10": {"Warranty Info": "Limited Lifetime"}, "11": {"Lifetime Warranty": "Yes"}, "12": {"Lifecycle Status": "Available to Order"}, "13": {"Application Summary": "Acura MDX 2006-05, TL 2008-04, TSX 2008-04; Honda Accord 2007-03, Pilot 2008-05"}, "14": {"ItemLevelGTIN": "00082617828086"}}</t>
        </is>
      </c>
      <c r="J1306" t="inlineStr">
        <is>
          <t>https://www.cardone.com/product/windshield-wiper-motor-85-4028</t>
        </is>
      </c>
      <c r="K1306">
        <f>DISPIMG("ID_297936EBEA534A4EBA9C3F10129CCDE5",1)</f>
        <v/>
      </c>
      <c r="L1306" t="inlineStr">
        <is>
          <t>CNRD|85-4028</t>
        </is>
      </c>
      <c r="M1306" t="inlineStr">
        <is>
          <t>Wiper Motor; Instruction Sheet</t>
        </is>
      </c>
      <c r="N1306" t="inlineStr">
        <is>
          <t>Yes</t>
        </is>
      </c>
      <c r="O1306" t="inlineStr">
        <is>
          <t>New</t>
        </is>
      </c>
      <c r="P1306" t="inlineStr">
        <is>
          <t>3</t>
        </is>
      </c>
      <c r="Q1306" t="inlineStr">
        <is>
          <t>Blade</t>
        </is>
      </c>
      <c r="R1306" t="inlineStr">
        <is>
          <t>Direct Bolt</t>
        </is>
      </c>
      <c r="S1306" t="inlineStr">
        <is>
          <t>2.6000</t>
        </is>
      </c>
      <c r="T1306" t="inlineStr">
        <is>
          <t>No</t>
        </is>
      </c>
      <c r="U1306" t="inlineStr">
        <is>
          <t>Limited Lifetime</t>
        </is>
      </c>
      <c r="V1306" t="inlineStr"/>
      <c r="W1306" t="inlineStr">
        <is>
          <t>Available to Order</t>
        </is>
      </c>
      <c r="X1306" t="inlineStr">
        <is>
          <t>Acura MDX 2006-05, TL 2008-04, TSX 2008-04; Honda Accord 2007-03, Pilot 2008-05</t>
        </is>
      </c>
      <c r="Y1306" t="inlineStr">
        <is>
          <t>00082617828086</t>
        </is>
      </c>
      <c r="Z1306" t="inlineStr"/>
      <c r="AA1306" t="inlineStr"/>
      <c r="AB1306" t="inlineStr"/>
      <c r="AC1306" t="inlineStr">
        <is>
          <t>Yes</t>
        </is>
      </c>
    </row>
    <row r="1307">
      <c r="A1307" t="inlineStr">
        <is>
          <t>1306</t>
        </is>
      </c>
      <c r="B1307" t="inlineStr">
        <is>
          <t>Windshield Wiper Motor</t>
        </is>
      </c>
      <c r="C1307" t="inlineStr">
        <is>
          <t>85-4034</t>
        </is>
      </c>
      <c r="D1307" t="inlineStr">
        <is>
          <t>Windshield Wiper Motor - 85-4034</t>
        </is>
      </c>
      <c r="E1307" t="inlineStr">
        <is>
          <t>CARDONE New</t>
        </is>
      </c>
      <c r="F1307" t="inlineStr">
        <is>
          <t>76505SNAA02;76505SNAA01</t>
        </is>
      </c>
      <c r="G1307" t="inlineStr">
        <is>
          <t>Honda Civic 2006-2011</t>
        </is>
      </c>
      <c r="H1307" t="inlineStr">
        <is>
          <t>Honda Civic 2006-2011 1.3L L4 1339cc
Honda Civic 2006-2011 1.8L L4 1799cc
Honda Civic 2007-2011 2L L4 122cid</t>
        </is>
      </c>
      <c r="I1307" t="inlineStr">
        <is>
          <t>{"0": {"productDeskExternalKey": "CNRD|85-4034"},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"Honda Civic 2011-06"}, "13": {"ItemLevelGTIN": "00884548169234"}}</t>
        </is>
      </c>
      <c r="J1307" t="inlineStr">
        <is>
          <t>https://www.cardone.com/product/windshield-wiper-motor-85-4034</t>
        </is>
      </c>
      <c r="K1307">
        <f>DISPIMG("ID_4C0D27684B614DA28C7316C9E48EC66A",1)</f>
        <v/>
      </c>
      <c r="L1307" t="inlineStr">
        <is>
          <t>CNRD|85-4034</t>
        </is>
      </c>
      <c r="M1307" t="inlineStr">
        <is>
          <t>Wiper Motor; Instruction Manual</t>
        </is>
      </c>
      <c r="N1307" t="inlineStr">
        <is>
          <t>Yes</t>
        </is>
      </c>
      <c r="O1307" t="inlineStr">
        <is>
          <t>New</t>
        </is>
      </c>
      <c r="P1307" t="inlineStr"/>
      <c r="Q1307" t="inlineStr">
        <is>
          <t>Blade</t>
        </is>
      </c>
      <c r="R1307" t="inlineStr">
        <is>
          <t>Direct Bolt</t>
        </is>
      </c>
      <c r="S1307" t="inlineStr">
        <is>
          <t>3.0000</t>
        </is>
      </c>
      <c r="T1307" t="inlineStr">
        <is>
          <t>No</t>
        </is>
      </c>
      <c r="U1307" t="inlineStr">
        <is>
          <t>Limited Lifetime</t>
        </is>
      </c>
      <c r="V1307" t="inlineStr"/>
      <c r="W1307" t="inlineStr">
        <is>
          <t>Available to Order</t>
        </is>
      </c>
      <c r="X1307" t="inlineStr">
        <is>
          <t>Honda Civic 2011-06</t>
        </is>
      </c>
      <c r="Y1307" t="inlineStr">
        <is>
          <t>00884548169234</t>
        </is>
      </c>
      <c r="Z1307" t="inlineStr"/>
      <c r="AA1307" t="inlineStr"/>
      <c r="AB1307" t="inlineStr"/>
      <c r="AC1307" t="inlineStr">
        <is>
          <t>Yes</t>
        </is>
      </c>
    </row>
    <row r="1308">
      <c r="A1308" t="inlineStr">
        <is>
          <t>1307</t>
        </is>
      </c>
      <c r="B1308" t="inlineStr">
        <is>
          <t>Windshield Wiper Motor</t>
        </is>
      </c>
      <c r="C1308" t="inlineStr">
        <is>
          <t>85-40360</t>
        </is>
      </c>
      <c r="D1308" t="inlineStr">
        <is>
          <t>Windshield Wiper Motor - 85-40360</t>
        </is>
      </c>
      <c r="E1308" t="inlineStr">
        <is>
          <t>CARDONE New</t>
        </is>
      </c>
      <c r="F1308" t="inlineStr">
        <is>
          <t>76700S9VA01</t>
        </is>
      </c>
      <c r="G1308" t="inlineStr">
        <is>
          <t>Honda Pilot 2003-2008</t>
        </is>
      </c>
      <c r="H1308" t="inlineStr">
        <is>
          <t>Honda Pilot 2003-2004 3.5L V6 3475cc
Honda Pilot 2005-2008 3.5L V6 3471cc</t>
        </is>
      </c>
      <c r="I1308" t="inlineStr">
        <is>
          <t>{"0": {"productDeskExternalKey": "CNRD|85-40360"}, "1": {"Package Contents": "Wiper Motor; Instruction Manual"}, "2": {"E-Waste": "Yes"}, "3": {"Product Condition": "New"}, "4": {"Terminal Type": "Blade"}, "5": {"Mounting Type": "Eyelet; Grommet"}, "6": {"Weight PG": "2.4000"}, "7": {"Washer Pump Included": "No"}, "8": {"Part Type": "Windshield Wiper Motor"}, "9": {"Warranty Info": "Limited Lifetime"}, "10": {"Lifetime Warranty": "Yes"}, "11": {"Lifecycle Status": "Available to Order"}, "12": {"Application Summary": "Honda Pilot 2008-03"}, "13": {"ItemLevelGTIN": "00884548171121"}}</t>
        </is>
      </c>
      <c r="J1308" t="inlineStr">
        <is>
          <t>https://www.cardone.com/product/windshield-wiper-motor-85-40360</t>
        </is>
      </c>
      <c r="K1308">
        <f>DISPIMG("ID_E9DA72486D4C4F1ABE7100EEE054E237",1)</f>
        <v/>
      </c>
      <c r="L1308" t="inlineStr">
        <is>
          <t>CNRD|85-40360</t>
        </is>
      </c>
      <c r="M1308" t="inlineStr">
        <is>
          <t>Wiper Motor; Instruction Manual</t>
        </is>
      </c>
      <c r="N1308" t="inlineStr">
        <is>
          <t>Yes</t>
        </is>
      </c>
      <c r="O1308" t="inlineStr">
        <is>
          <t>New</t>
        </is>
      </c>
      <c r="P1308" t="inlineStr"/>
      <c r="Q1308" t="inlineStr">
        <is>
          <t>Blade</t>
        </is>
      </c>
      <c r="R1308" t="inlineStr">
        <is>
          <t>Eyelet; Grommet</t>
        </is>
      </c>
      <c r="S1308" t="inlineStr">
        <is>
          <t>2.4000</t>
        </is>
      </c>
      <c r="T1308" t="inlineStr">
        <is>
          <t>No</t>
        </is>
      </c>
      <c r="U1308" t="inlineStr">
        <is>
          <t>Limited Lifetime</t>
        </is>
      </c>
      <c r="V1308" t="inlineStr"/>
      <c r="W1308" t="inlineStr">
        <is>
          <t>Available to Order</t>
        </is>
      </c>
      <c r="X1308" t="inlineStr">
        <is>
          <t>Honda Pilot 2008-03</t>
        </is>
      </c>
      <c r="Y1308" t="inlineStr">
        <is>
          <t>00884548171121</t>
        </is>
      </c>
      <c r="Z1308" t="inlineStr"/>
      <c r="AA1308" t="inlineStr"/>
      <c r="AB1308" t="inlineStr"/>
      <c r="AC1308" t="inlineStr">
        <is>
          <t>Yes</t>
        </is>
      </c>
    </row>
    <row r="1309">
      <c r="A1309" t="inlineStr">
        <is>
          <t>1308</t>
        </is>
      </c>
      <c r="B1309" t="inlineStr">
        <is>
          <t>Windshield Wiper Motor</t>
        </is>
      </c>
      <c r="C1309" t="inlineStr">
        <is>
          <t>85-4037</t>
        </is>
      </c>
      <c r="D1309" t="inlineStr">
        <is>
          <t>Windshield Wiper Motor - 85-4037</t>
        </is>
      </c>
      <c r="E1309" t="inlineStr">
        <is>
          <t>CARDONE New</t>
        </is>
      </c>
      <c r="F1309" t="inlineStr">
        <is>
          <t>76710SHJA01</t>
        </is>
      </c>
      <c r="G1309" t="inlineStr">
        <is>
          <t>Honda Odyssey 2005-2010</t>
        </is>
      </c>
      <c r="H1309" t="inlineStr">
        <is>
          <t>Honda Odyssey 2005-2010 3.5L V6 3471cc</t>
        </is>
      </c>
      <c r="I1309" t="inlineStr">
        <is>
          <t>{"0": {"productDeskExternalKey": "CNRD|85-4037"}, "1": {"Package Contents": "Wiper Motor; Instruction Manual"}, "2": {"E-Waste": "Yes"}, "3": {"Product Condition": "New"}, "4": {"Terminal Type": "Blade"}, "5": {"Mounting Type": "Eyelet; Grommet"}, "6": {"Weight PG": "2.4000"}, "7": {"Washer Pump Included": "No"}, "8": {"Part Type": "Windshield Wiper Motor"}, "9": {"Warranty Info": "Limited Lifetime"}, "10": {"Lifetime Warranty": "Yes"}, "11": {"Lifecycle Status": "Available to Order"}, "12": {"Application Summary": "Honda Odyssey 2010-05"}, "13": {"ItemLevelGTIN": "00884548171107"}}</t>
        </is>
      </c>
      <c r="J1309" t="inlineStr">
        <is>
          <t>https://www.cardone.com/product/windshield-wiper-motor-85-4037</t>
        </is>
      </c>
      <c r="K1309">
        <f>DISPIMG("ID_1446EA9DBE774F2E85C1D164C6507CD4",1)</f>
        <v/>
      </c>
      <c r="L1309" t="inlineStr">
        <is>
          <t>CNRD|85-4037</t>
        </is>
      </c>
      <c r="M1309" t="inlineStr">
        <is>
          <t>Wiper Motor; Instruction Manual</t>
        </is>
      </c>
      <c r="N1309" t="inlineStr">
        <is>
          <t>Yes</t>
        </is>
      </c>
      <c r="O1309" t="inlineStr">
        <is>
          <t>New</t>
        </is>
      </c>
      <c r="P1309" t="inlineStr"/>
      <c r="Q1309" t="inlineStr">
        <is>
          <t>Blade</t>
        </is>
      </c>
      <c r="R1309" t="inlineStr">
        <is>
          <t>Eyelet; Grommet</t>
        </is>
      </c>
      <c r="S1309" t="inlineStr">
        <is>
          <t>2.4000</t>
        </is>
      </c>
      <c r="T1309" t="inlineStr">
        <is>
          <t>No</t>
        </is>
      </c>
      <c r="U1309" t="inlineStr">
        <is>
          <t>Limited Lifetime</t>
        </is>
      </c>
      <c r="V1309" t="inlineStr"/>
      <c r="W1309" t="inlineStr">
        <is>
          <t>Available to Order</t>
        </is>
      </c>
      <c r="X1309" t="inlineStr">
        <is>
          <t>Honda Odyssey 2010-05</t>
        </is>
      </c>
      <c r="Y1309" t="inlineStr">
        <is>
          <t>00884548171107</t>
        </is>
      </c>
      <c r="Z1309" t="inlineStr"/>
      <c r="AA1309" t="inlineStr"/>
      <c r="AB1309" t="inlineStr"/>
      <c r="AC1309" t="inlineStr">
        <is>
          <t>Yes</t>
        </is>
      </c>
    </row>
    <row r="1310">
      <c r="A1310" t="inlineStr">
        <is>
          <t>1309</t>
        </is>
      </c>
      <c r="B1310" t="inlineStr">
        <is>
          <t>Windshield Wiper Motor</t>
        </is>
      </c>
      <c r="C1310" t="inlineStr">
        <is>
          <t>85-4042</t>
        </is>
      </c>
      <c r="D1310" t="inlineStr">
        <is>
          <t>Windshield Wiper Motor - 85-4042</t>
        </is>
      </c>
      <c r="E1310" t="inlineStr">
        <is>
          <t>CARDONE New</t>
        </is>
      </c>
      <c r="F1310" t="inlineStr">
        <is>
          <t>76505SHJA01</t>
        </is>
      </c>
      <c r="G1310" t="inlineStr">
        <is>
          <t>Honda Odyssey 2005-2010</t>
        </is>
      </c>
      <c r="H1310" t="inlineStr">
        <is>
          <t>Honda Odyssey 2005-2010 3.5L V6 3471cc</t>
        </is>
      </c>
      <c r="I1310" t="inlineStr">
        <is>
          <t>{"0": {"productDeskExternalKey": "CNRD|85-4042"}, "1": {"Package Contents": "Wiper Motor; Instruction Manual"}, "2": {"E-Waste": "Yes"}, "3": {"Product Condition": "New"}, "4": {"Terminal Type": "Blade"}, "5": {"Mounting Type": "Direct Bolt"}, "6": {"Weight PG": "3.3200"}, "7": {"Washer Pump Included": "No"}, "8": {"Part Type": "Windshield Wiper Motor"}, "9": {"Warranty Info": "Limited Lifetime"}, "10": {"Lifetime Warranty": "Yes"}, "11": {"Lifecycle Status": "Available to Order"}, "12": {"Application Summary": "Honda Odyssey 2010-05"}, "13": {"ItemLevelGTIN": "00884548302372"}}</t>
        </is>
      </c>
      <c r="J1310" t="inlineStr">
        <is>
          <t>https://www.cardone.com/product/windshield-wiper-motor-85-4042</t>
        </is>
      </c>
      <c r="K1310">
        <f>DISPIMG("ID_F654DB7076E646F4A351BC19BEDD67EC",1)</f>
        <v/>
      </c>
      <c r="L1310" t="inlineStr">
        <is>
          <t>CNRD|85-4042</t>
        </is>
      </c>
      <c r="M1310" t="inlineStr">
        <is>
          <t>Wiper Motor; Instruction Manual</t>
        </is>
      </c>
      <c r="N1310" t="inlineStr">
        <is>
          <t>Yes</t>
        </is>
      </c>
      <c r="O1310" t="inlineStr">
        <is>
          <t>New</t>
        </is>
      </c>
      <c r="P1310" t="inlineStr"/>
      <c r="Q1310" t="inlineStr">
        <is>
          <t>Blade</t>
        </is>
      </c>
      <c r="R1310" t="inlineStr">
        <is>
          <t>Direct Bolt</t>
        </is>
      </c>
      <c r="S1310" t="inlineStr">
        <is>
          <t>3.3200</t>
        </is>
      </c>
      <c r="T1310" t="inlineStr">
        <is>
          <t>No</t>
        </is>
      </c>
      <c r="U1310" t="inlineStr">
        <is>
          <t>Limited Lifetime</t>
        </is>
      </c>
      <c r="V1310" t="inlineStr"/>
      <c r="W1310" t="inlineStr">
        <is>
          <t>Available to Order</t>
        </is>
      </c>
      <c r="X1310" t="inlineStr">
        <is>
          <t>Honda Odyssey 2010-05</t>
        </is>
      </c>
      <c r="Y1310" t="inlineStr">
        <is>
          <t>00884548302372</t>
        </is>
      </c>
      <c r="Z1310" t="inlineStr"/>
      <c r="AA1310" t="inlineStr"/>
      <c r="AB1310" t="inlineStr"/>
      <c r="AC1310" t="inlineStr">
        <is>
          <t>Yes</t>
        </is>
      </c>
    </row>
    <row r="1311">
      <c r="A1311" t="inlineStr">
        <is>
          <t>1310</t>
        </is>
      </c>
      <c r="B1311" t="inlineStr">
        <is>
          <t>Windshield Wiper Motor</t>
        </is>
      </c>
      <c r="C1311" t="inlineStr">
        <is>
          <t>85-4043</t>
        </is>
      </c>
      <c r="D1311" t="inlineStr">
        <is>
          <t>Windshield Wiper Motor - 85-4043</t>
        </is>
      </c>
      <c r="E1311" t="inlineStr">
        <is>
          <t>CARDONE New</t>
        </is>
      </c>
      <c r="F1311" t="inlineStr">
        <is>
          <t>76700SCVA01;76700SCVA02</t>
        </is>
      </c>
      <c r="G1311" t="inlineStr">
        <is>
          <t>Honda Element 2003-2011</t>
        </is>
      </c>
      <c r="H1311" t="inlineStr">
        <is>
          <t>Honda Element 2003-2011 2.4L L4 144cid</t>
        </is>
      </c>
      <c r="I1311" t="inlineStr">
        <is>
          <t>{"0": {"productDeskExternalKey": "CNRD|85-4043"}, "1": {"Package Contents": "Wiper Motor; Instruction Sheet"}, "2": {"E-Waste": "Yes"}, "3": {"Product Condition": "New"}, "4": {"Part Type": "Windshield Wiper Motor"}, "5": {"Mounting Hole Quantity": "3"}, "6": {"Terminal Type": "Blade"}, "7": {"Mounting Type": "Direct Bolt; Grommet"}, "8": {"Weight PG": "1.2000"}, "9": {"Application Summary": "Honda Element 2011-03"}, "10": {"Washer Pump Included": "No"}, "11": {"Warranty Info": "Limited Lifetime"}, "12": {"Lifetime Warranty": "Yes"}, "13": {"Lifecycle Status": "Available to Order"}, "14": {"ItemLevelGTIN": "00884548310452"}}</t>
        </is>
      </c>
      <c r="J1311" t="inlineStr">
        <is>
          <t>https://www.cardone.com/product/windshield-wiper-motor-85-4043</t>
        </is>
      </c>
      <c r="K1311">
        <f>DISPIMG("ID_66C8AFA16CE54EDB9959992DBBB64CC7",1)</f>
        <v/>
      </c>
      <c r="L1311" t="inlineStr">
        <is>
          <t>CNRD|85-4043</t>
        </is>
      </c>
      <c r="M1311" t="inlineStr">
        <is>
          <t>Wiper Motor; Instruction Sheet</t>
        </is>
      </c>
      <c r="N1311" t="inlineStr">
        <is>
          <t>Yes</t>
        </is>
      </c>
      <c r="O1311" t="inlineStr">
        <is>
          <t>New</t>
        </is>
      </c>
      <c r="P1311" t="inlineStr">
        <is>
          <t>3</t>
        </is>
      </c>
      <c r="Q1311" t="inlineStr">
        <is>
          <t>Blade</t>
        </is>
      </c>
      <c r="R1311" t="inlineStr">
        <is>
          <t>Direct Bolt; Grommet</t>
        </is>
      </c>
      <c r="S1311" t="inlineStr">
        <is>
          <t>1.2000</t>
        </is>
      </c>
      <c r="T1311" t="inlineStr">
        <is>
          <t>No</t>
        </is>
      </c>
      <c r="U1311" t="inlineStr">
        <is>
          <t>Limited Lifetime</t>
        </is>
      </c>
      <c r="V1311" t="inlineStr"/>
      <c r="W1311" t="inlineStr">
        <is>
          <t>Available to Order</t>
        </is>
      </c>
      <c r="X1311" t="inlineStr">
        <is>
          <t>Honda Element 2011-03</t>
        </is>
      </c>
      <c r="Y1311" t="inlineStr">
        <is>
          <t>00884548310452</t>
        </is>
      </c>
      <c r="Z1311" t="inlineStr"/>
      <c r="AA1311" t="inlineStr"/>
      <c r="AB1311" t="inlineStr"/>
      <c r="AC1311" t="inlineStr">
        <is>
          <t>Yes</t>
        </is>
      </c>
    </row>
    <row r="1312">
      <c r="A1312" t="inlineStr">
        <is>
          <t>1311</t>
        </is>
      </c>
      <c r="B1312" t="inlineStr">
        <is>
          <t>Windshield Wiper Motor</t>
        </is>
      </c>
      <c r="C1312" t="inlineStr">
        <is>
          <t>85-4045</t>
        </is>
      </c>
      <c r="D1312" t="inlineStr">
        <is>
          <t>Windshield Wiper Motor - 85-4045</t>
        </is>
      </c>
      <c r="E1312" t="inlineStr">
        <is>
          <t>CARDONE New</t>
        </is>
      </c>
      <c r="F1312" t="inlineStr">
        <is>
          <t>76710SWA003</t>
        </is>
      </c>
      <c r="G1312" t="inlineStr">
        <is>
          <t>Honda CR-V 2007-2011</t>
        </is>
      </c>
      <c r="H1312" t="inlineStr">
        <is>
          <t>Honda CR-V 2007-2011 2.4L L4 144cid</t>
        </is>
      </c>
      <c r="I1312" t="inlineStr">
        <is>
          <t>{"0": {"productDeskExternalKey": "CNRD|85-4045"}, "1": {"Package Contents": "Wiper Motor; Instruction Manual"}, "2": {"E-Waste": "Yes"}, "3": {"Product Condition": "New"}, "4": {"Terminal Type": "Blade"}, "5": {"Mounting Type": "Eyelet; Grommet"}, "6": {"Weight PG": "3.2000"}, "7": {"Washer Pump Included": "No"}, "8": {"Part Type": "Windshield Wiper Motor"}, "9": {"Warranty Info": "Limited Lifetime"}, "10": {"Lifetime Warranty": "Yes"}, "11": {"Lifecycle Status": "Available to Order"}, "12": {"Application Summary": "Honda CR-V 2011-07"}, "13": {"ItemLevelGTIN": "00884548200104"}}</t>
        </is>
      </c>
      <c r="J1312" t="inlineStr">
        <is>
          <t>https://www.cardone.com/product/windshield-wiper-motor-85-4045</t>
        </is>
      </c>
      <c r="K1312">
        <f>DISPIMG("ID_52C90D1097744C76B0A2835771189CD0",1)</f>
        <v/>
      </c>
      <c r="L1312" t="inlineStr">
        <is>
          <t>CNRD|85-4045</t>
        </is>
      </c>
      <c r="M1312" t="inlineStr">
        <is>
          <t>Wiper Motor; Instruction Manual</t>
        </is>
      </c>
      <c r="N1312" t="inlineStr">
        <is>
          <t>Yes</t>
        </is>
      </c>
      <c r="O1312" t="inlineStr">
        <is>
          <t>New</t>
        </is>
      </c>
      <c r="P1312" t="inlineStr"/>
      <c r="Q1312" t="inlineStr">
        <is>
          <t>Blade</t>
        </is>
      </c>
      <c r="R1312" t="inlineStr">
        <is>
          <t>Eyelet; Grommet</t>
        </is>
      </c>
      <c r="S1312" t="inlineStr">
        <is>
          <t>3.2000</t>
        </is>
      </c>
      <c r="T1312" t="inlineStr">
        <is>
          <t>No</t>
        </is>
      </c>
      <c r="U1312" t="inlineStr">
        <is>
          <t>Limited Lifetime</t>
        </is>
      </c>
      <c r="V1312" t="inlineStr"/>
      <c r="W1312" t="inlineStr">
        <is>
          <t>Available to Order</t>
        </is>
      </c>
      <c r="X1312" t="inlineStr">
        <is>
          <t>Honda CR-V 2011-07</t>
        </is>
      </c>
      <c r="Y1312" t="inlineStr">
        <is>
          <t>00884548200104</t>
        </is>
      </c>
      <c r="Z1312" t="inlineStr"/>
      <c r="AA1312" t="inlineStr"/>
      <c r="AB1312" t="inlineStr"/>
      <c r="AC1312" t="inlineStr">
        <is>
          <t>Yes</t>
        </is>
      </c>
    </row>
    <row r="1313">
      <c r="A1313" t="inlineStr">
        <is>
          <t>1312</t>
        </is>
      </c>
      <c r="B1313" t="inlineStr">
        <is>
          <t>Windshield Wiper Motor</t>
        </is>
      </c>
      <c r="C1313" t="inlineStr">
        <is>
          <t>85-40470</t>
        </is>
      </c>
      <c r="D1313" t="inlineStr">
        <is>
          <t>Windshield Wiper Motor - 85-40470</t>
        </is>
      </c>
      <c r="E1313" t="inlineStr">
        <is>
          <t>CARDONE New</t>
        </is>
      </c>
      <c r="F1313" t="inlineStr">
        <is>
          <t>76505SWAA01</t>
        </is>
      </c>
      <c r="G1313" t="inlineStr">
        <is>
          <t>Honda CR-V 2007-2009</t>
        </is>
      </c>
      <c r="H1313" t="inlineStr">
        <is>
          <t>Honda CR-V 2007-2009 2.4L L4 144cid</t>
        </is>
      </c>
      <c r="I1313" t="inlineStr">
        <is>
          <t>{"0": {"productDeskExternalKey": "CNRD|85-40470"}, "1": {"Package Contents": "Wiper Motor; Instruction Manual"}, "2": {"E-Waste": "Yes"}, "3": {"Product Condition": "New"}, "4": {"Mounting Hole Quantity": "3"}, "5": {"Terminal Type": "Blade"}, "6": {"Mounting Type": "Direct Bolt"}, "7": {"Weight PG": "2.6000"}, "8": {"Washer Pump Included": "No"}, "9": {"Part Type": "Windshield Wiper Motor"}, "10": {"Warranty Info": "Limited Lifetime"}, "11": {"Lifetime Warranty": "Yes"}, "12": {"Lifecycle Status": "Available to Order"}, "13": {"Application Summary": "Honda CR-V 2009-07"}, "14": {"ItemLevelGTIN": "00884548153400"}}</t>
        </is>
      </c>
      <c r="J1313" t="inlineStr">
        <is>
          <t>https://www.cardone.com/product/windshield-wiper-motor-85-40470</t>
        </is>
      </c>
      <c r="K1313">
        <f>DISPIMG("ID_DCE9467FC98940DDAC65247203E74871",1)</f>
        <v/>
      </c>
      <c r="L1313" t="inlineStr">
        <is>
          <t>CNRD|85-40470</t>
        </is>
      </c>
      <c r="M1313" t="inlineStr">
        <is>
          <t>Wiper Motor; Instruction Manual</t>
        </is>
      </c>
      <c r="N1313" t="inlineStr">
        <is>
          <t>Yes</t>
        </is>
      </c>
      <c r="O1313" t="inlineStr">
        <is>
          <t>New</t>
        </is>
      </c>
      <c r="P1313" t="inlineStr">
        <is>
          <t>3</t>
        </is>
      </c>
      <c r="Q1313" t="inlineStr">
        <is>
          <t>Blade</t>
        </is>
      </c>
      <c r="R1313" t="inlineStr">
        <is>
          <t>Direct Bolt</t>
        </is>
      </c>
      <c r="S1313" t="inlineStr">
        <is>
          <t>2.6000</t>
        </is>
      </c>
      <c r="T1313" t="inlineStr">
        <is>
          <t>No</t>
        </is>
      </c>
      <c r="U1313" t="inlineStr">
        <is>
          <t>Limited Lifetime</t>
        </is>
      </c>
      <c r="V1313" t="inlineStr"/>
      <c r="W1313" t="inlineStr">
        <is>
          <t>Available to Order</t>
        </is>
      </c>
      <c r="X1313" t="inlineStr">
        <is>
          <t>Honda CR-V 2009-07</t>
        </is>
      </c>
      <c r="Y1313" t="inlineStr">
        <is>
          <t>00884548153400</t>
        </is>
      </c>
      <c r="Z1313" t="inlineStr"/>
      <c r="AA1313" t="inlineStr"/>
      <c r="AB1313" t="inlineStr"/>
      <c r="AC1313" t="inlineStr">
        <is>
          <t>Yes</t>
        </is>
      </c>
    </row>
    <row r="1314">
      <c r="A1314" t="inlineStr">
        <is>
          <t>1313</t>
        </is>
      </c>
      <c r="B1314" t="inlineStr">
        <is>
          <t>Windshield Wiper Motor</t>
        </is>
      </c>
      <c r="C1314" t="inlineStr">
        <is>
          <t>85-4053</t>
        </is>
      </c>
      <c r="D1314" t="inlineStr">
        <is>
          <t>Windshield Wiper Motor - 85-4053</t>
        </is>
      </c>
      <c r="E1314" t="inlineStr">
        <is>
          <t>CARDONE New</t>
        </is>
      </c>
      <c r="F1314" t="inlineStr">
        <is>
          <t>8511050140;851100E020;8250A057;8511047240</t>
        </is>
      </c>
      <c r="G1314" t="inlineStr">
        <is>
          <t>Lexus HS250h 2010-2012
Lexus LS460 2007-2017
Lexus LS600h 2008-2016
Lexus RX350 2010-2015
Lexus RX450h 2010-2015
Mazda CX-9 2007-2015
Mitsubishi Eclipse 2006-2012
Suzuki Grand Vitara 2007-2013
Toyota Prius 2010-2014
Toyota Prius Plug-In 2012-2014</t>
        </is>
      </c>
      <c r="H1314" t="inlineStr">
        <is>
          <t>Lexus HS250h 2010-2012 2.4L L4 2362cc
Lexus LS460 2007-2017 4.6L V8 4608cc
Lexus LS600h 2008-2016 5L V8 4968cc
Lexus RX350 2010-2015 3.5L V6 3456cc
Lexus RX450h 2010-2015 3.5L V6 3456cc
Mazda CX-9 2007 3.5L V6 213cid
Mazda CX-9 2008-2015 3.7L V6 227cid
Mitsubishi Eclipse 2006-2012 2.4L L4 2378cc
Mitsubishi Eclipse 2006-2012 3.8L V6 230cid
Suzuki Grand Vitara 2007-2008 2.7L V6 2737cc
Suzuki Grand Vitara 2009-2010 3.2L V6 3195cc
Suzuki Grand Vitara 2009-2013 2.4L L4 2393cc
Toyota Prius 2010-2014 1.8L L4 110cid
Toyota Prius Plug-In 2012-2014 1.8L L4 110cid</t>
        </is>
      </c>
      <c r="I1314" t="inlineStr">
        <is>
          <t>{"0": {"productDeskExternalKey": "CNRD|85-4053"},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"Lexus HS250h 2012-10, LS460 2017-07, LS600h 2016-08, RX350 2015-10, RX450h 2015-10; Mazda CX-9 2015-07; Mitsubishi Eclipse 2012-06; Suzuki Grand Vitara 2013-07; Toyota Prius 2014-10, Prius Plug-In 2014-12"}, "13": {"ItemLevelGTIN": "00884548182646"}}</t>
        </is>
      </c>
      <c r="J1314" t="inlineStr">
        <is>
          <t>https://www.cardone.com/product/windshield-wiper-motor-85-4053</t>
        </is>
      </c>
      <c r="K1314">
        <f>DISPIMG("ID_5EE6469B64E94EEBA89D0A3299173AD1",1)</f>
        <v/>
      </c>
      <c r="L1314" t="inlineStr">
        <is>
          <t>CNRD|85-4053</t>
        </is>
      </c>
      <c r="M1314" t="inlineStr">
        <is>
          <t>Wiper Motor; Instruction Manual</t>
        </is>
      </c>
      <c r="N1314" t="inlineStr">
        <is>
          <t>Yes</t>
        </is>
      </c>
      <c r="O1314" t="inlineStr">
        <is>
          <t>New</t>
        </is>
      </c>
      <c r="P1314" t="inlineStr"/>
      <c r="Q1314" t="inlineStr">
        <is>
          <t>Blade</t>
        </is>
      </c>
      <c r="R1314" t="inlineStr">
        <is>
          <t>Direct Bolt</t>
        </is>
      </c>
      <c r="S1314" t="inlineStr">
        <is>
          <t>3.0000</t>
        </is>
      </c>
      <c r="T1314" t="inlineStr">
        <is>
          <t>No</t>
        </is>
      </c>
      <c r="U1314" t="inlineStr">
        <is>
          <t>Limited Lifetime</t>
        </is>
      </c>
      <c r="V1314" t="inlineStr"/>
      <c r="W1314" t="inlineStr">
        <is>
          <t>Available to Order</t>
        </is>
      </c>
      <c r="X1314" t="inlineStr">
        <is>
          <t>Lexus HS250h 2012-10, LS460 2017-07, LS600h 2016-08, RX350 2015-10, RX450h 2015-10; Mazda CX-9 2015-07; Mitsubishi Eclipse 2012-06; Suzuki Grand Vitara 2013-07; Toyota Prius 2014-10, Prius Plug-In 2014-12</t>
        </is>
      </c>
      <c r="Y1314" t="inlineStr">
        <is>
          <t>00884548182646</t>
        </is>
      </c>
      <c r="Z1314" t="inlineStr"/>
      <c r="AA1314" t="inlineStr"/>
      <c r="AB1314" t="inlineStr"/>
      <c r="AC1314" t="inlineStr">
        <is>
          <t>Yes</t>
        </is>
      </c>
    </row>
    <row r="1315">
      <c r="A1315" t="inlineStr">
        <is>
          <t>1314</t>
        </is>
      </c>
      <c r="B1315" t="inlineStr">
        <is>
          <t>Windshield Wiper Motor</t>
        </is>
      </c>
      <c r="C1315" t="inlineStr">
        <is>
          <t>85-4059</t>
        </is>
      </c>
      <c r="D1315" t="inlineStr">
        <is>
          <t>Windshield Wiper Motor - 85-4059</t>
        </is>
      </c>
      <c r="E1315" t="inlineStr">
        <is>
          <t>CARDONE New</t>
        </is>
      </c>
      <c r="F1315" t="inlineStr">
        <is>
          <t>76505SJCA01;76505SJCA02</t>
        </is>
      </c>
      <c r="G1315" t="inlineStr">
        <is>
          <t>Honda Ridgeline 2006-2014</t>
        </is>
      </c>
      <c r="H1315" t="inlineStr">
        <is>
          <t>Honda Ridgeline 2006-2014 3.5L V6 3471cc</t>
        </is>
      </c>
      <c r="I1315" t="inlineStr">
        <is>
          <t>{"0": {"productDeskExternalKey": "CNRD|85-4059"}, "1": {"Package Contents": "Wiper Motor; Instruction Sheet"}, "2": {"E-Waste": "Yes"}, "3": {"Product Condition": "New"}, "4": {"Part Type": "Windshield Wiper Motor"}, "5": {"Mounting Hole Quantity": "3"}, "6": {"Terminal Type": "Blade"}, "7": {"Mounting Type": "Direct Bolt; Grommet"}, "8": {"Weight PG": "3.5400"}, "9": {"Application Summary": "Honda Ridgeline 2014-06"}, "10": {"Washer Pump Included": "No"}, "11": {"Warranty Info": "Limited Lifetime"}, "12": {"Lifetime Warranty": "Yes"}, "13": {"Lifecycle Status": "Available to Order"}, "14": {"ItemLevelGTIN": "00884548321120"}}</t>
        </is>
      </c>
      <c r="J1315" t="inlineStr">
        <is>
          <t>https://www.cardone.com/product/windshield-wiper-motor-85-4059</t>
        </is>
      </c>
      <c r="K1315">
        <f>DISPIMG("ID_480E77AD781842C3ACEB6FFCB46B32A2",1)</f>
        <v/>
      </c>
      <c r="L1315" t="inlineStr">
        <is>
          <t>CNRD|85-4059</t>
        </is>
      </c>
      <c r="M1315" t="inlineStr">
        <is>
          <t>Wiper Motor; Instruction Sheet</t>
        </is>
      </c>
      <c r="N1315" t="inlineStr">
        <is>
          <t>Yes</t>
        </is>
      </c>
      <c r="O1315" t="inlineStr">
        <is>
          <t>New</t>
        </is>
      </c>
      <c r="P1315" t="inlineStr">
        <is>
          <t>3</t>
        </is>
      </c>
      <c r="Q1315" t="inlineStr">
        <is>
          <t>Blade</t>
        </is>
      </c>
      <c r="R1315" t="inlineStr">
        <is>
          <t>Direct Bolt; Grommet</t>
        </is>
      </c>
      <c r="S1315" t="inlineStr">
        <is>
          <t>3.5400</t>
        </is>
      </c>
      <c r="T1315" t="inlineStr">
        <is>
          <t>No</t>
        </is>
      </c>
      <c r="U1315" t="inlineStr">
        <is>
          <t>Limited Lifetime</t>
        </is>
      </c>
      <c r="V1315" t="inlineStr"/>
      <c r="W1315" t="inlineStr">
        <is>
          <t>Available to Order</t>
        </is>
      </c>
      <c r="X1315" t="inlineStr">
        <is>
          <t>Honda Ridgeline 2014-06</t>
        </is>
      </c>
      <c r="Y1315" t="inlineStr">
        <is>
          <t>00884548321120</t>
        </is>
      </c>
      <c r="Z1315" t="inlineStr"/>
      <c r="AA1315" t="inlineStr"/>
      <c r="AB1315" t="inlineStr"/>
      <c r="AC1315" t="inlineStr">
        <is>
          <t>Yes</t>
        </is>
      </c>
    </row>
    <row r="1316">
      <c r="A1316" t="inlineStr">
        <is>
          <t>1315</t>
        </is>
      </c>
      <c r="B1316" t="inlineStr">
        <is>
          <t>Windshield Wiper Motor</t>
        </is>
      </c>
      <c r="C1316" t="inlineStr">
        <is>
          <t>85-4065</t>
        </is>
      </c>
      <c r="D1316" t="inlineStr">
        <is>
          <t>Windshield Wiper Motor - 85-4065</t>
        </is>
      </c>
      <c r="E1316" t="inlineStr">
        <is>
          <t>CARDONE New</t>
        </is>
      </c>
      <c r="F1316" t="inlineStr">
        <is>
          <t>76700STXA01</t>
        </is>
      </c>
      <c r="G1316" t="inlineStr">
        <is>
          <t>Acura MDX 2007-2013</t>
        </is>
      </c>
      <c r="H1316" t="inlineStr">
        <is>
          <t>Acura MDX 2007-2013 3.7L V6 3664cc</t>
        </is>
      </c>
      <c r="I1316" t="inlineStr">
        <is>
          <t>{"0": {"productDeskExternalKey": "CNRD|85-4065"}, "1": {"Package Contents": "Wiper Motor; Instruction Manual"}, "2": {"E-Waste": "Yes"}, "3": {"Product Condition": "New"}, "4": {"Terminal Type": "Blade"}, "5": {"Mounting Type": "Eyelet; Grommet"}, "6": {"Weight PG": "3.4000"}, "7": {"Washer Pump Included": "No"}, "8": {"Part Type": "Windshield Wiper Motor"}, "9": {"Warranty Info": "Limited Lifetime"}, "10": {"Lifetime Warranty": "Yes"}, "11": {"Lifecycle Status": "Available to Order"}, "12": {"Application Summary": "Acura MDX 2013-07"}, "13": {"ItemLevelGTIN": "00884548206854"}}</t>
        </is>
      </c>
      <c r="J1316" t="inlineStr">
        <is>
          <t>https://www.cardone.com/product/windshield-wiper-motor-85-4065</t>
        </is>
      </c>
      <c r="K1316">
        <f>DISPIMG("ID_2981170710244A4FB5BE6AF82136EEE4",1)</f>
        <v/>
      </c>
      <c r="L1316" t="inlineStr">
        <is>
          <t>CNRD|85-4065</t>
        </is>
      </c>
      <c r="M1316" t="inlineStr">
        <is>
          <t>Wiper Motor; Instruction Manual</t>
        </is>
      </c>
      <c r="N1316" t="inlineStr">
        <is>
          <t>Yes</t>
        </is>
      </c>
      <c r="O1316" t="inlineStr">
        <is>
          <t>New</t>
        </is>
      </c>
      <c r="P1316" t="inlineStr"/>
      <c r="Q1316" t="inlineStr">
        <is>
          <t>Blade</t>
        </is>
      </c>
      <c r="R1316" t="inlineStr">
        <is>
          <t>Eyelet; Grommet</t>
        </is>
      </c>
      <c r="S1316" t="inlineStr">
        <is>
          <t>3.4000</t>
        </is>
      </c>
      <c r="T1316" t="inlineStr">
        <is>
          <t>No</t>
        </is>
      </c>
      <c r="U1316" t="inlineStr">
        <is>
          <t>Limited Lifetime</t>
        </is>
      </c>
      <c r="V1316" t="inlineStr"/>
      <c r="W1316" t="inlineStr">
        <is>
          <t>Available to Order</t>
        </is>
      </c>
      <c r="X1316" t="inlineStr">
        <is>
          <t>Acura MDX 2013-07</t>
        </is>
      </c>
      <c r="Y1316" t="inlineStr">
        <is>
          <t>00884548206854</t>
        </is>
      </c>
      <c r="Z1316" t="inlineStr"/>
      <c r="AA1316" t="inlineStr"/>
      <c r="AB1316" t="inlineStr"/>
      <c r="AC1316" t="inlineStr">
        <is>
          <t>Yes</t>
        </is>
      </c>
    </row>
    <row r="1317">
      <c r="A1317" t="inlineStr">
        <is>
          <t>1316</t>
        </is>
      </c>
      <c r="B1317" t="inlineStr">
        <is>
          <t>Windshield Wiper Motor</t>
        </is>
      </c>
      <c r="C1317" t="inlineStr">
        <is>
          <t>85-4066</t>
        </is>
      </c>
      <c r="D1317" t="inlineStr">
        <is>
          <t>Windshield Wiper Motor - 85-4066</t>
        </is>
      </c>
      <c r="E1317" t="inlineStr">
        <is>
          <t>CARDONE New</t>
        </is>
      </c>
      <c r="F1317" t="inlineStr">
        <is>
          <t>76700SZAA01</t>
        </is>
      </c>
      <c r="G1317" t="inlineStr">
        <is>
          <t>Honda Pilot 2009-2015</t>
        </is>
      </c>
      <c r="H1317" t="inlineStr">
        <is>
          <t>Honda Pilot 2009-2015 3.5L V6 3471cc</t>
        </is>
      </c>
      <c r="I1317" t="inlineStr">
        <is>
          <t>{"0": {"productDeskExternalKey": "CNRD|85-4066"}, "1": {"Package Contents": "Wiper Motor; Instruction Manual"}, "2": {"E-Waste": "Yes"}, "3": {"Product Condition": "New"}, "4": {"Terminal Type": "Blade"}, "5": {"Mounting Type": "Direct Bolt; Grommet"}, "6": {"Weight PG": "2.4000"}, "7": {"Washer Pump Included": "No"}, "8": {"Part Type": "Windshield Wiper Motor"}, "9": {"Warranty Info": "Limited Lifetime"}, "10": {"Lifetime Warranty": "Yes"}, "11": {"Lifecycle Status": "Available to Order"}, "12": {"Application Summary": "Honda Pilot 2015-09"}, "13": {"ItemLevelGTIN": "00884548292031"}}</t>
        </is>
      </c>
      <c r="J1317" t="inlineStr">
        <is>
          <t>https://www.cardone.com/product/windshield-wiper-motor-85-4066</t>
        </is>
      </c>
      <c r="K1317">
        <f>DISPIMG("ID_2DFAD5CE17D94222830516160B0171D1",1)</f>
        <v/>
      </c>
      <c r="L1317" t="inlineStr">
        <is>
          <t>CNRD|85-4066</t>
        </is>
      </c>
      <c r="M1317" t="inlineStr">
        <is>
          <t>Wiper Motor; Instruction Manual</t>
        </is>
      </c>
      <c r="N1317" t="inlineStr">
        <is>
          <t>Yes</t>
        </is>
      </c>
      <c r="O1317" t="inlineStr">
        <is>
          <t>New</t>
        </is>
      </c>
      <c r="P1317" t="inlineStr"/>
      <c r="Q1317" t="inlineStr">
        <is>
          <t>Blade</t>
        </is>
      </c>
      <c r="R1317" t="inlineStr">
        <is>
          <t>Direct Bolt; Grommet</t>
        </is>
      </c>
      <c r="S1317" t="inlineStr">
        <is>
          <t>2.4000</t>
        </is>
      </c>
      <c r="T1317" t="inlineStr">
        <is>
          <t>No</t>
        </is>
      </c>
      <c r="U1317" t="inlineStr">
        <is>
          <t>Limited Lifetime</t>
        </is>
      </c>
      <c r="V1317" t="inlineStr"/>
      <c r="W1317" t="inlineStr">
        <is>
          <t>Available to Order</t>
        </is>
      </c>
      <c r="X1317" t="inlineStr">
        <is>
          <t>Honda Pilot 2015-09</t>
        </is>
      </c>
      <c r="Y1317" t="inlineStr">
        <is>
          <t>00884548292031</t>
        </is>
      </c>
      <c r="Z1317" t="inlineStr"/>
      <c r="AA1317" t="inlineStr"/>
      <c r="AB1317" t="inlineStr"/>
      <c r="AC1317" t="inlineStr">
        <is>
          <t>Yes</t>
        </is>
      </c>
    </row>
    <row r="1318">
      <c r="A1318" t="inlineStr">
        <is>
          <t>1317</t>
        </is>
      </c>
      <c r="B1318" t="inlineStr">
        <is>
          <t>Windshield Wiper Motor</t>
        </is>
      </c>
      <c r="C1318" t="inlineStr">
        <is>
          <t>85-4067</t>
        </is>
      </c>
      <c r="D1318" t="inlineStr">
        <is>
          <t>Windshield Wiper Motor - 85-4067</t>
        </is>
      </c>
      <c r="E1318" t="inlineStr">
        <is>
          <t>CARDONE New</t>
        </is>
      </c>
      <c r="F1318" t="inlineStr">
        <is>
          <t>76710TF0003</t>
        </is>
      </c>
      <c r="G1318" t="inlineStr">
        <is>
          <t>Honda Fit 2009-2014</t>
        </is>
      </c>
      <c r="H1318" t="inlineStr">
        <is>
          <t>Honda Fit 2009-2014 1.5L L4 1497cc
Honda Fit 2013-2014</t>
        </is>
      </c>
      <c r="I1318" t="inlineStr">
        <is>
          <t>{"0": {"productDeskExternalKey": "CNRD|85-4067"}, "1": {"Package Contents": "Wiper Motor; Instruction Manual"}, "2": {"E-Waste": "Yes"}, "3": {"Product Condition": "New"}, "4": {"Terminal Type": "Blade"}, "5": {"Mounting Type": "Through Hole"}, "6": {"Weight PG": "3.0000"}, "7": {"Washer Pump Included": "No"}, "8": {"Part Type": "Windshield Wiper Motor"}, "9": {"Warranty Info": "Limited Lifetime"}, "10": {"Lifetime Warranty": "Yes"}, "11": {"Lifecycle Status": "Available to Order"}, "12": {"Application Summary": "Honda Fit 2014-09"}, "13": {"ItemLevelGTIN": "00884548206847"}}</t>
        </is>
      </c>
      <c r="J1318" t="inlineStr">
        <is>
          <t>https://www.cardone.com/product/windshield-wiper-motor-85-4067</t>
        </is>
      </c>
      <c r="K1318">
        <f>DISPIMG("ID_120F885AF1F14C7AA44C31F0C0D56321",1)</f>
        <v/>
      </c>
      <c r="L1318" t="inlineStr">
        <is>
          <t>CNRD|85-4067</t>
        </is>
      </c>
      <c r="M1318" t="inlineStr">
        <is>
          <t>Wiper Motor; Instruction Manual</t>
        </is>
      </c>
      <c r="N1318" t="inlineStr">
        <is>
          <t>Yes</t>
        </is>
      </c>
      <c r="O1318" t="inlineStr">
        <is>
          <t>New</t>
        </is>
      </c>
      <c r="P1318" t="inlineStr"/>
      <c r="Q1318" t="inlineStr">
        <is>
          <t>Blade</t>
        </is>
      </c>
      <c r="R1318" t="inlineStr">
        <is>
          <t>Through Hole</t>
        </is>
      </c>
      <c r="S1318" t="inlineStr">
        <is>
          <t>3.0000</t>
        </is>
      </c>
      <c r="T1318" t="inlineStr">
        <is>
          <t>No</t>
        </is>
      </c>
      <c r="U1318" t="inlineStr">
        <is>
          <t>Limited Lifetime</t>
        </is>
      </c>
      <c r="V1318" t="inlineStr"/>
      <c r="W1318" t="inlineStr">
        <is>
          <t>Available to Order</t>
        </is>
      </c>
      <c r="X1318" t="inlineStr">
        <is>
          <t>Honda Fit 2014-09</t>
        </is>
      </c>
      <c r="Y1318" t="inlineStr">
        <is>
          <t>00884548206847</t>
        </is>
      </c>
      <c r="Z1318" t="inlineStr"/>
      <c r="AA1318" t="inlineStr"/>
      <c r="AB1318" t="inlineStr"/>
      <c r="AC1318" t="inlineStr">
        <is>
          <t>Yes</t>
        </is>
      </c>
    </row>
    <row r="1319">
      <c r="A1319" t="inlineStr">
        <is>
          <t>1318</t>
        </is>
      </c>
      <c r="B1319" t="inlineStr">
        <is>
          <t>Windshield Wiper Motor</t>
        </is>
      </c>
      <c r="C1319" t="inlineStr">
        <is>
          <t>85-4068</t>
        </is>
      </c>
      <c r="D1319" t="inlineStr">
        <is>
          <t>Windshield Wiper Motor - 85-4068</t>
        </is>
      </c>
      <c r="E1319" t="inlineStr">
        <is>
          <t>CARDONE New</t>
        </is>
      </c>
      <c r="F1319" t="inlineStr">
        <is>
          <t>76505SWAA02;76505TK4A01</t>
        </is>
      </c>
      <c r="G1319" t="inlineStr">
        <is>
          <t>Acura TL 2009-2014
Honda CR-V 2010-2011
Honda Pilot 2009-2015</t>
        </is>
      </c>
      <c r="H1319" t="inlineStr">
        <is>
          <t>Acura TL 2009-2014 3.5L V6 3471cc
Acura TL 2009-2014 3.7L V6 3664cc
Honda CR-V 2010-2011 2.4L L4 144cid
Honda Pilot 2009-2015 3.5L V6 3471cc</t>
        </is>
      </c>
      <c r="I1319" t="inlineStr">
        <is>
          <t>{"0": {"productDeskExternalKey": "CNRD|85-4068"}, "1": {"Package Contents": "Wiper Motor; Instruction Sheet"}, "2": {"E-Waste": "Yes"}, "3": {"Product Condition": "New"}, "4": {"Terminal Type": "Blade"}, "5": {"Mounting Type": "Direct Bolt"}, "6": {"Weight PG": "2.8200"}, "7": {"Washer Pump Included": "No"}, "8": {"Part Type": "Windshield Wiper Motor"}, "9": {"Warranty Info": "Limited Lifetime"}, "10": {"Lifetime Warranty": "Yes"}, "11": {"Lifecycle Status": "Available to Order"}, "12": {"Application Summary": "Acura TL 2014-09; Honda CR-V 2011-10, Pilot 2015-09"}, "13": {"ItemLevelGTIN": "00884548309425"}, "14": {"Mounting Hole Quantity": "3"}}</t>
        </is>
      </c>
      <c r="J1319" t="inlineStr">
        <is>
          <t>https://www.cardone.com/product/windshield-wiper-motor-85-4068</t>
        </is>
      </c>
      <c r="K1319">
        <f>DISPIMG("ID_3F3918C4B3574583987B238581B8B3D1",1)</f>
        <v/>
      </c>
      <c r="L1319" t="inlineStr">
        <is>
          <t>CNRD|85-4068</t>
        </is>
      </c>
      <c r="M1319" t="inlineStr">
        <is>
          <t>Wiper Motor; Instruction Sheet</t>
        </is>
      </c>
      <c r="N1319" t="inlineStr">
        <is>
          <t>Yes</t>
        </is>
      </c>
      <c r="O1319" t="inlineStr">
        <is>
          <t>New</t>
        </is>
      </c>
      <c r="P1319" t="inlineStr">
        <is>
          <t>3</t>
        </is>
      </c>
      <c r="Q1319" t="inlineStr">
        <is>
          <t>Blade</t>
        </is>
      </c>
      <c r="R1319" t="inlineStr">
        <is>
          <t>Direct Bolt</t>
        </is>
      </c>
      <c r="S1319" t="inlineStr">
        <is>
          <t>2.8200</t>
        </is>
      </c>
      <c r="T1319" t="inlineStr">
        <is>
          <t>No</t>
        </is>
      </c>
      <c r="U1319" t="inlineStr">
        <is>
          <t>Limited Lifetime</t>
        </is>
      </c>
      <c r="V1319" t="inlineStr"/>
      <c r="W1319" t="inlineStr">
        <is>
          <t>Available to Order</t>
        </is>
      </c>
      <c r="X1319" t="inlineStr">
        <is>
          <t>Acura TL 2014-09; Honda CR-V 2011-10, Pilot 2015-09</t>
        </is>
      </c>
      <c r="Y1319" t="inlineStr">
        <is>
          <t>00884548309425</t>
        </is>
      </c>
      <c r="Z1319" t="inlineStr"/>
      <c r="AA1319" t="inlineStr"/>
      <c r="AB1319" t="inlineStr"/>
      <c r="AC1319" t="inlineStr">
        <is>
          <t>Yes</t>
        </is>
      </c>
    </row>
    <row r="1320">
      <c r="A1320" t="inlineStr">
        <is>
          <t>1319</t>
        </is>
      </c>
      <c r="B1320" t="inlineStr">
        <is>
          <t>Windshield Wiper Motor</t>
        </is>
      </c>
      <c r="C1320" t="inlineStr">
        <is>
          <t>85-4076</t>
        </is>
      </c>
      <c r="D1320" t="inlineStr">
        <is>
          <t>Windshield Wiper Motor - 85-4076</t>
        </is>
      </c>
      <c r="E1320" t="inlineStr">
        <is>
          <t>CARDONE New</t>
        </is>
      </c>
      <c r="F1320" t="inlineStr">
        <is>
          <t>76505TA0A01;76505TA0A02</t>
        </is>
      </c>
      <c r="G1320" t="inlineStr">
        <is>
          <t>Acura TSX 2009-2014
Honda Accord 2008-2012
Honda Accord Crosstour 2010-2011
Honda CR-Z 2014-2015
Honda Crosstour 2012-2015</t>
        </is>
      </c>
      <c r="H1320" t="inlineStr">
        <is>
          <t>Acura TSX 2009-2014 2.4L L4 144cid
Acura TSX 2010-2014 3.5L V6 3471cc
Honda Accord 2008-2012 2.4L L4 144cid
Honda Accord 2008-2012 3.5L V6 3471cc
Honda Accord Crosstour 2010-2011 3.5L V6 3471cc
Honda CR-Z 2014-2015 1.5L L4 1497cc
Honda Crosstour 2012-2015 2.4L L4 144cid
Honda Crosstour 2012-2015 3.5L V6 3471cc</t>
        </is>
      </c>
      <c r="I1320" t="inlineStr">
        <is>
          <t>{"0": {"productDeskExternalKey": "CNRD|85-4076"}, "1": {"Package Contents": "Wiper Motor; Instruction Manual"}, "2": {"E-Waste": "Yes"}, "3": {"Product Condition": "New"}, "4": {"Terminal Type": "Blade"}, "5": {"Mounting Type": "Direct Bolt"}, "6": {"Weight PG": "2.9800"}, "7": {"Washer Pump Included": "No"}, "8": {"Part Type": "Windshield Wiper Motor"}, "9": {"Warranty Info": "Limited Lifetime"}, "10": {"Lifetime Warranty": "Yes"}, "11": {"Lifecycle Status": "Available to Order"}, "12": {"Application Summary": "Acura TSX 2014-09; Honda Accord 2012-08, Accord Crosstour 2011-10, Crosstour 2015-12, CR-Z 2015-14"}, "13": {"ItemLevelGTIN": "00884548309265"}}</t>
        </is>
      </c>
      <c r="J1320" t="inlineStr">
        <is>
          <t>https://www.cardone.com/product/windshield-wiper-motor-85-4076</t>
        </is>
      </c>
      <c r="K1320">
        <f>DISPIMG("ID_9FB891751C67474095D1A7731AD8159C",1)</f>
        <v/>
      </c>
      <c r="L1320" t="inlineStr">
        <is>
          <t>CNRD|85-4076</t>
        </is>
      </c>
      <c r="M1320" t="inlineStr">
        <is>
          <t>Wiper Motor; Instruction Manual</t>
        </is>
      </c>
      <c r="N1320" t="inlineStr">
        <is>
          <t>Yes</t>
        </is>
      </c>
      <c r="O1320" t="inlineStr">
        <is>
          <t>New</t>
        </is>
      </c>
      <c r="P1320" t="inlineStr"/>
      <c r="Q1320" t="inlineStr">
        <is>
          <t>Blade</t>
        </is>
      </c>
      <c r="R1320" t="inlineStr">
        <is>
          <t>Direct Bolt</t>
        </is>
      </c>
      <c r="S1320" t="inlineStr">
        <is>
          <t>2.9800</t>
        </is>
      </c>
      <c r="T1320" t="inlineStr">
        <is>
          <t>No</t>
        </is>
      </c>
      <c r="U1320" t="inlineStr">
        <is>
          <t>Limited Lifetime</t>
        </is>
      </c>
      <c r="V1320" t="inlineStr"/>
      <c r="W1320" t="inlineStr">
        <is>
          <t>Available to Order</t>
        </is>
      </c>
      <c r="X1320" t="inlineStr">
        <is>
          <t>Acura TSX 2014-09; Honda Accord 2012-08, Accord Crosstour 2011-10, Crosstour 2015-12, CR-Z 2015-14</t>
        </is>
      </c>
      <c r="Y1320" t="inlineStr">
        <is>
          <t>00884548309265</t>
        </is>
      </c>
      <c r="Z1320" t="inlineStr"/>
      <c r="AA1320" t="inlineStr"/>
      <c r="AB1320" t="inlineStr"/>
      <c r="AC1320" t="inlineStr">
        <is>
          <t>Yes</t>
        </is>
      </c>
    </row>
    <row r="1321">
      <c r="A1321" t="inlineStr">
        <is>
          <t>1320</t>
        </is>
      </c>
      <c r="B1321" t="inlineStr">
        <is>
          <t>Windshield Wiper Motor</t>
        </is>
      </c>
      <c r="C1321" t="inlineStr">
        <is>
          <t>85-4079</t>
        </is>
      </c>
      <c r="D1321" t="inlineStr">
        <is>
          <t>Windshield Wiper Motor - 85-4079</t>
        </is>
      </c>
      <c r="E1321" t="inlineStr">
        <is>
          <t>CARDONE New</t>
        </is>
      </c>
      <c r="F1321" t="inlineStr">
        <is>
          <t>76700TK8A01</t>
        </is>
      </c>
      <c r="G1321" t="inlineStr">
        <is>
          <t>Honda Odyssey 2011-2016</t>
        </is>
      </c>
      <c r="H1321" t="inlineStr">
        <is>
          <t>Honda Odyssey 2011-2016 3.5L V6 3471cc</t>
        </is>
      </c>
      <c r="I1321" t="inlineStr">
        <is>
          <t>{"0": {"productDeskExternalKey": "CNRD|85-4079"}, "1": {"Package Contents": "Wiper Motor; Instruction Manual"}, "2": {"E-Waste": "Yes"}, "3": {"Product Condition": "New"}, "4": {"Terminal Type": "Blade"}, "5": {"Mounting Type": "Direct Bolt; Grommet"}, "6": {"Weight PG": "2.6000"}, "7": {"Washer Pump Included": "No"}, "8": {"Part Type": "Windshield Wiper Motor"}, "9": {"Warranty Info": "Limited Lifetime"}, "10": {"Lifetime Warranty": "Yes"}, "11": {"Lifecycle Status": "Available to Order"}, "12": {"Application Summary": "Honda Odyssey 2016-11"}, "13": {"ItemLevelGTIN": "00884548292024"}}</t>
        </is>
      </c>
      <c r="J1321" t="inlineStr">
        <is>
          <t>https://www.cardone.com/product/windshield-wiper-motor-85-4079</t>
        </is>
      </c>
      <c r="K1321">
        <f>DISPIMG("ID_9CCE819C639D4B7B837182CF7C0225A3",1)</f>
        <v/>
      </c>
      <c r="L1321" t="inlineStr">
        <is>
          <t>CNRD|85-4079</t>
        </is>
      </c>
      <c r="M1321" t="inlineStr">
        <is>
          <t>Wiper Motor; Instruction Manual</t>
        </is>
      </c>
      <c r="N1321" t="inlineStr">
        <is>
          <t>Yes</t>
        </is>
      </c>
      <c r="O1321" t="inlineStr">
        <is>
          <t>New</t>
        </is>
      </c>
      <c r="P1321" t="inlineStr"/>
      <c r="Q1321" t="inlineStr">
        <is>
          <t>Blade</t>
        </is>
      </c>
      <c r="R1321" t="inlineStr">
        <is>
          <t>Direct Bolt; Grommet</t>
        </is>
      </c>
      <c r="S1321" t="inlineStr">
        <is>
          <t>2.6000</t>
        </is>
      </c>
      <c r="T1321" t="inlineStr">
        <is>
          <t>No</t>
        </is>
      </c>
      <c r="U1321" t="inlineStr">
        <is>
          <t>Limited Lifetime</t>
        </is>
      </c>
      <c r="V1321" t="inlineStr"/>
      <c r="W1321" t="inlineStr">
        <is>
          <t>Available to Order</t>
        </is>
      </c>
      <c r="X1321" t="inlineStr">
        <is>
          <t>Honda Odyssey 2016-11</t>
        </is>
      </c>
      <c r="Y1321" t="inlineStr">
        <is>
          <t>00884548292024</t>
        </is>
      </c>
      <c r="Z1321" t="inlineStr"/>
      <c r="AA1321" t="inlineStr"/>
      <c r="AB1321" t="inlineStr"/>
      <c r="AC1321" t="inlineStr">
        <is>
          <t>Yes</t>
        </is>
      </c>
    </row>
    <row r="1322">
      <c r="A1322" t="inlineStr">
        <is>
          <t>1321</t>
        </is>
      </c>
      <c r="B1322" t="inlineStr">
        <is>
          <t>Windshield Wiper Motor</t>
        </is>
      </c>
      <c r="C1322" t="inlineStr">
        <is>
          <t>85-4081</t>
        </is>
      </c>
      <c r="D1322" t="inlineStr">
        <is>
          <t>Windshield Wiper Motor - 85-4081</t>
        </is>
      </c>
      <c r="E1322" t="inlineStr">
        <is>
          <t>CARDONE New</t>
        </is>
      </c>
      <c r="F1322" t="inlineStr">
        <is>
          <t>76505TE0A02;76505TM8A01;76505TK6A01;76505TE0A01;20910181;76505SZTG01</t>
        </is>
      </c>
      <c r="G1322" t="inlineStr">
        <is>
          <t>Cadillac XTS 2013-2017
Honda Accord 2008-2012
Honda CR-Z 2011-2016
Honda Fit 2009-2014
Honda Insight 2010-2014</t>
        </is>
      </c>
      <c r="H1322" t="inlineStr">
        <is>
          <t>Cadillac XTS 2013-2017 3.6L V6 217cid
Honda Accord 2008-2012 2.4L L4 144cid
Honda Accord 2008-2012 3.5L V6 3471cc
Honda CR-Z 2011-2016 1.5L L4 1497cc
Honda Fit 2009-2014 1.5L L4 1497cc
Honda Fit 2013-2014
Honda Insight 2010-2014 1.3L L4 1339cc</t>
        </is>
      </c>
      <c r="I1322" t="inlineStr">
        <is>
          <t>{"0": {"productDeskExternalKey": "CNRD|85-4081"}, "1": {"Package Contents": "Wiper Motor; Instruction Sheet"}, "2": {"E-Waste": "Yes"}, "3": {"Product Condition": "New"}, "4": {"Mounting Hole Quantity": "3"}, "5": {"Terminal Type": "Blade"}, "6": {"Mounting Type": "Direct Bolt"}, "7": {"Weight PG": "2.5000"}, "8": {"Washer Pump Included": "No"}, "9": {"Part Type": "Windshield Wiper Motor"}, "10": {"Warranty Info": "Limited Lifetime"}, "11": {"Lifetime Warranty": "Yes"}, "12": {"Lifecycle Status": "Available to Order"}, "13": {"Application Summary": "Cadillac XTS 2017-13; Honda Accord 2012-08, CR-Z 2016 2013-11, Fit 2014-09, Insight 2014-10"}, "14": {"ItemLevelGTIN": "00884548298583"}}</t>
        </is>
      </c>
      <c r="J1322" t="inlineStr">
        <is>
          <t>https://www.cardone.com/product/windshield-wiper-motor-85-4081</t>
        </is>
      </c>
      <c r="K1322">
        <f>DISPIMG("ID_A6A3B1A2676849F4A0006E9CF03DC508",1)</f>
        <v/>
      </c>
      <c r="L1322" t="inlineStr">
        <is>
          <t>CNRD|85-4081</t>
        </is>
      </c>
      <c r="M1322" t="inlineStr">
        <is>
          <t>Wiper Motor; Instruction Sheet</t>
        </is>
      </c>
      <c r="N1322" t="inlineStr">
        <is>
          <t>Yes</t>
        </is>
      </c>
      <c r="O1322" t="inlineStr">
        <is>
          <t>New</t>
        </is>
      </c>
      <c r="P1322" t="inlineStr">
        <is>
          <t>3</t>
        </is>
      </c>
      <c r="Q1322" t="inlineStr">
        <is>
          <t>Blade</t>
        </is>
      </c>
      <c r="R1322" t="inlineStr">
        <is>
          <t>Direct Bolt</t>
        </is>
      </c>
      <c r="S1322" t="inlineStr">
        <is>
          <t>2.5000</t>
        </is>
      </c>
      <c r="T1322" t="inlineStr">
        <is>
          <t>No</t>
        </is>
      </c>
      <c r="U1322" t="inlineStr">
        <is>
          <t>Limited Lifetime</t>
        </is>
      </c>
      <c r="V1322" t="inlineStr"/>
      <c r="W1322" t="inlineStr">
        <is>
          <t>Available to Order</t>
        </is>
      </c>
      <c r="X1322" t="inlineStr">
        <is>
          <t>Cadillac XTS 2017-13; Honda Accord 2012-08, CR-Z 2016 2013-11, Fit 2014-09, Insight 2014-10</t>
        </is>
      </c>
      <c r="Y1322" t="inlineStr">
        <is>
          <t>00884548298583</t>
        </is>
      </c>
      <c r="Z1322" t="inlineStr"/>
      <c r="AA1322" t="inlineStr"/>
      <c r="AB1322" t="inlineStr"/>
      <c r="AC1322" t="inlineStr">
        <is>
          <t>Yes</t>
        </is>
      </c>
    </row>
    <row r="1323">
      <c r="A1323" t="inlineStr">
        <is>
          <t>1322</t>
        </is>
      </c>
      <c r="B1323" t="inlineStr">
        <is>
          <t>Windshield Wiper Motor</t>
        </is>
      </c>
      <c r="C1323" t="inlineStr">
        <is>
          <t>85-4083</t>
        </is>
      </c>
      <c r="D1323" t="inlineStr">
        <is>
          <t>Windshield Wiper Motor - 85-4083</t>
        </is>
      </c>
      <c r="E1323" t="inlineStr">
        <is>
          <t>CARDONE New</t>
        </is>
      </c>
      <c r="F1323" t="inlineStr">
        <is>
          <t>76710T0A003</t>
        </is>
      </c>
      <c r="G1323" t="inlineStr">
        <is>
          <t>Honda CR-V 2012-2016</t>
        </is>
      </c>
      <c r="H1323" t="inlineStr">
        <is>
          <t>Honda CR-V 2012-2016 2.4L L4 144cid</t>
        </is>
      </c>
      <c r="I1323" t="inlineStr">
        <is>
          <t>{"0": {"productDeskExternalKey": "CNRD|85-4083"}, "1": {"Package Contents": "Wiper Motor; Instruction Manual"}, "2": {"E-Waste": "Yes"}, "3": {"Product Condition": "New"}, "4": {"Terminal Type": "Blade"}, "5": {"Mounting Type": "Eyelet; Grommet"}, "6": {"Weight PG": "2.5600"}, "7": {"Washer Pump Included": "No"}, "8": {"Part Type": "Windshield Wiper Motor"}, "9": {"Warranty Info": "Limited Lifetime"}, "10": {"Lifetime Warranty": "Yes"}, "11": {"Lifecycle Status": "Available to Order"}, "12": {"Application Summary": "Honda CR-V 2016-12"}, "13": {"ItemLevelGTIN": "00884548308930"}}</t>
        </is>
      </c>
      <c r="J1323" t="inlineStr">
        <is>
          <t>https://www.cardone.com/product/windshield-wiper-motor-85-4083</t>
        </is>
      </c>
      <c r="K1323">
        <f>DISPIMG("ID_87A6197F666F4BBCB657448E888D714E",1)</f>
        <v/>
      </c>
      <c r="L1323" t="inlineStr">
        <is>
          <t>CNRD|85-4083</t>
        </is>
      </c>
      <c r="M1323" t="inlineStr">
        <is>
          <t>Wiper Motor; Instruction Manual</t>
        </is>
      </c>
      <c r="N1323" t="inlineStr">
        <is>
          <t>Yes</t>
        </is>
      </c>
      <c r="O1323" t="inlineStr">
        <is>
          <t>New</t>
        </is>
      </c>
      <c r="P1323" t="inlineStr"/>
      <c r="Q1323" t="inlineStr">
        <is>
          <t>Blade</t>
        </is>
      </c>
      <c r="R1323" t="inlineStr">
        <is>
          <t>Eyelet; Grommet</t>
        </is>
      </c>
      <c r="S1323" t="inlineStr">
        <is>
          <t>2.5600</t>
        </is>
      </c>
      <c r="T1323" t="inlineStr">
        <is>
          <t>No</t>
        </is>
      </c>
      <c r="U1323" t="inlineStr">
        <is>
          <t>Limited Lifetime</t>
        </is>
      </c>
      <c r="V1323" t="inlineStr"/>
      <c r="W1323" t="inlineStr">
        <is>
          <t>Available to Order</t>
        </is>
      </c>
      <c r="X1323" t="inlineStr">
        <is>
          <t>Honda CR-V 2016-12</t>
        </is>
      </c>
      <c r="Y1323" t="inlineStr">
        <is>
          <t>00884548308930</t>
        </is>
      </c>
      <c r="Z1323" t="inlineStr"/>
      <c r="AA1323" t="inlineStr"/>
      <c r="AB1323" t="inlineStr"/>
      <c r="AC1323" t="inlineStr">
        <is>
          <t>Yes</t>
        </is>
      </c>
    </row>
    <row r="1324">
      <c r="A1324" t="inlineStr">
        <is>
          <t>1323</t>
        </is>
      </c>
      <c r="B1324" t="inlineStr">
        <is>
          <t>Windshield Wiper Motor</t>
        </is>
      </c>
      <c r="C1324" t="inlineStr">
        <is>
          <t>85-4201</t>
        </is>
      </c>
      <c r="D1324" t="inlineStr">
        <is>
          <t>Windshield Wiper Motor - 85-4201</t>
        </is>
      </c>
      <c r="E1324" t="inlineStr">
        <is>
          <t>CARDONE New</t>
        </is>
      </c>
      <c r="F1324" t="inlineStr">
        <is>
          <t>MR221974;MR192056</t>
        </is>
      </c>
      <c r="G1324" t="inlineStr">
        <is>
          <t>Mitsubishi Mirage 1997-2002
Mitsubishi Montero Sport 1997-2004</t>
        </is>
      </c>
      <c r="H1324" t="inlineStr">
        <is>
          <t>Mitsubishi Mirage 1997-2002 1.5L L4 90cid
Mitsubishi Mirage 1997-2002 1.8L L4 112cid
Mitsubishi Montero Sport 1997-2003 3L V6 181cid
Mitsubishi Montero Sport 1999-2004 3.5L V6 215cid</t>
        </is>
      </c>
      <c r="I1324" t="inlineStr">
        <is>
          <t>{"0": {"productDeskExternalKey": "CNRD|85-4201"}, "1": {"Package Contents": "Wiper Motor; Instruction Manual"}, "2": {"E-Waste": "Yes"}, "3": {"Product Condition": "New"}, "4": {"Mounting Hole Quantity": "4"}, "5": {"Terminal Type": "Blade"}, "6": {"Mounting Type": "Grommet"}, "7": {"Weight PG": "3.2000"}, "8": {"Washer Pump Included": "No"}, "9": {"Part Type": "Windshield Wiper Motor"}, "10": {"Warranty Info": "Limited Lifetime"}, "11": {"Lifetime Warranty": "Yes"}, "12": {"Lifecycle Status": "Available to Order"}, "13": {"Application Summary": "Mitsubishi Mirage 2002-97, Montero Sport 2004-97"}, "14": {"ItemLevelGTIN": "00082617748001"}}</t>
        </is>
      </c>
      <c r="J1324" t="inlineStr">
        <is>
          <t>https://www.cardone.com/product/windshield-wiper-motor-85-4201</t>
        </is>
      </c>
      <c r="K1324">
        <f>DISPIMG("ID_CC6E47FE66B54EBEB708D433B63F6ED8",1)</f>
        <v/>
      </c>
      <c r="L1324" t="inlineStr">
        <is>
          <t>CNRD|85-4201</t>
        </is>
      </c>
      <c r="M1324" t="inlineStr">
        <is>
          <t>Wiper Motor; Instruction Manual</t>
        </is>
      </c>
      <c r="N1324" t="inlineStr">
        <is>
          <t>Yes</t>
        </is>
      </c>
      <c r="O1324" t="inlineStr">
        <is>
          <t>New</t>
        </is>
      </c>
      <c r="P1324" t="inlineStr">
        <is>
          <t>4</t>
        </is>
      </c>
      <c r="Q1324" t="inlineStr">
        <is>
          <t>Blade</t>
        </is>
      </c>
      <c r="R1324" t="inlineStr">
        <is>
          <t>Grommet</t>
        </is>
      </c>
      <c r="S1324" t="inlineStr">
        <is>
          <t>3.2000</t>
        </is>
      </c>
      <c r="T1324" t="inlineStr">
        <is>
          <t>No</t>
        </is>
      </c>
      <c r="U1324" t="inlineStr">
        <is>
          <t>Limited Lifetime</t>
        </is>
      </c>
      <c r="V1324" t="inlineStr"/>
      <c r="W1324" t="inlineStr">
        <is>
          <t>Available to Order</t>
        </is>
      </c>
      <c r="X1324" t="inlineStr">
        <is>
          <t>Mitsubishi Mirage 2002-97, Montero Sport 2004-97</t>
        </is>
      </c>
      <c r="Y1324" t="inlineStr">
        <is>
          <t>00082617748001</t>
        </is>
      </c>
      <c r="Z1324" t="inlineStr"/>
      <c r="AA1324" t="inlineStr"/>
      <c r="AB1324" t="inlineStr"/>
      <c r="AC1324" t="inlineStr">
        <is>
          <t>Yes</t>
        </is>
      </c>
    </row>
    <row r="1325">
      <c r="A1325" t="inlineStr">
        <is>
          <t>1324</t>
        </is>
      </c>
      <c r="B1325" t="inlineStr">
        <is>
          <t>Windshield Wiper Motor</t>
        </is>
      </c>
      <c r="C1325" t="inlineStr">
        <is>
          <t>85-4307</t>
        </is>
      </c>
      <c r="D1325" t="inlineStr">
        <is>
          <t>Windshield Wiper Motor - 85-4307</t>
        </is>
      </c>
      <c r="E1325" t="inlineStr">
        <is>
          <t>CARDONE New</t>
        </is>
      </c>
      <c r="F1325" t="inlineStr">
        <is>
          <t>288105B600;288109B000</t>
        </is>
      </c>
      <c r="G1325" t="inlineStr">
        <is>
          <t>Nissan Altima 1996-2001</t>
        </is>
      </c>
      <c r="H1325" t="inlineStr">
        <is>
          <t>Nissan Altima 1996-2001 2.4L L4 2389cc</t>
        </is>
      </c>
      <c r="I1325" t="inlineStr">
        <is>
          <t>{"0": {"productDeskExternalKey": "CNRD|85-4307"}, "1": {"Package Contents": "Wiper Motor; Instruction Manual"}, "2": {"E-Waste": "Yes"}, "3": {"Product Condition": "New"}, "4": {"Mounting Hole Quantity": "4"}, "5": {"Terminal Type": "Blade"}, "6": {"Mounting Type": "Grommet"}, "7": {"Weight PG": "3.2000"}, "8": {"Washer Pump Included": "No"}, "9": {"Part Type": "Windshield Wiper Motor"}, "10": {"Warranty Info": "Limited Lifetime"}, "11": {"Lifetime Warranty": "Yes"}, "12": {"Lifecycle Status": "Available to Order"}, "13": {"Application Summary": "Nissan Altima 2001-96"}, "14": {"ItemLevelGTIN": "00082617922258"}}</t>
        </is>
      </c>
      <c r="J1325" t="inlineStr">
        <is>
          <t>https://www.cardone.com/product/windshield-wiper-motor-85-4307</t>
        </is>
      </c>
      <c r="K1325">
        <f>DISPIMG("ID_4B931A3C2B2E4D18A99D21C671A2EA0A",1)</f>
        <v/>
      </c>
      <c r="L1325" t="inlineStr">
        <is>
          <t>CNRD|85-4307</t>
        </is>
      </c>
      <c r="M1325" t="inlineStr">
        <is>
          <t>Wiper Motor; Instruction Manual</t>
        </is>
      </c>
      <c r="N1325" t="inlineStr">
        <is>
          <t>Yes</t>
        </is>
      </c>
      <c r="O1325" t="inlineStr">
        <is>
          <t>New</t>
        </is>
      </c>
      <c r="P1325" t="inlineStr">
        <is>
          <t>4</t>
        </is>
      </c>
      <c r="Q1325" t="inlineStr">
        <is>
          <t>Blade</t>
        </is>
      </c>
      <c r="R1325" t="inlineStr">
        <is>
          <t>Grommet</t>
        </is>
      </c>
      <c r="S1325" t="inlineStr">
        <is>
          <t>3.2000</t>
        </is>
      </c>
      <c r="T1325" t="inlineStr">
        <is>
          <t>No</t>
        </is>
      </c>
      <c r="U1325" t="inlineStr">
        <is>
          <t>Limited Lifetime</t>
        </is>
      </c>
      <c r="V1325" t="inlineStr"/>
      <c r="W1325" t="inlineStr">
        <is>
          <t>Available to Order</t>
        </is>
      </c>
      <c r="X1325" t="inlineStr">
        <is>
          <t>Nissan Altima 2001-96</t>
        </is>
      </c>
      <c r="Y1325" t="inlineStr">
        <is>
          <t>00082617922258</t>
        </is>
      </c>
      <c r="Z1325" t="inlineStr"/>
      <c r="AA1325" t="inlineStr"/>
      <c r="AB1325" t="inlineStr"/>
      <c r="AC1325" t="inlineStr">
        <is>
          <t>Yes</t>
        </is>
      </c>
    </row>
    <row r="1326">
      <c r="A1326" t="inlineStr">
        <is>
          <t>1325</t>
        </is>
      </c>
      <c r="B1326" t="inlineStr">
        <is>
          <t>Windshield Wiper Motor</t>
        </is>
      </c>
      <c r="C1326" t="inlineStr">
        <is>
          <t>85-431</t>
        </is>
      </c>
      <c r="D1326" t="inlineStr">
        <is>
          <t>Windshield Wiper Motor - 85-431</t>
        </is>
      </c>
      <c r="E1326" t="inlineStr">
        <is>
          <t>CARDONE New</t>
        </is>
      </c>
      <c r="F1326" t="inlineStr">
        <is>
          <t>56001402</t>
        </is>
      </c>
      <c r="G1326" t="inlineStr">
        <is>
          <t>Jeep Cherokee 1984-1990
Jeep Comanche 1986-1990
Jeep Wagoneer 1984-1990</t>
        </is>
      </c>
      <c r="H1326" t="inlineStr">
        <is>
          <t>Jeep Cherokee 1984-1986 2.8L V6 173cid
Jeep Cherokee 1984-1990 2.5L L4 150cid
Jeep Cherokee 1985-1987 2.1L L4 126cid
Jeep Cherokee 1987-1990 4L L6 242cid
Jeep Comanche 1986 2.8L V6 173cid
Jeep Comanche 1986-1987 2.1L L4 126cid
Jeep Comanche 1986-1990 2.5L L4 150cid
Jeep Comanche 1987-1990 4L L6 242cid
Jeep Wagoneer 1984-1986 2.8L V6 173cid
Jeep Wagoneer 1984-1987 2.5L L4 150cid
Jeep Wagoneer 1984-1987 4.6L L6 282cid
Jeep Wagoneer 1985 2.1L L4 126cid
Jeep Wagoneer 1987-1990 4L L6 242cid</t>
        </is>
      </c>
      <c r="I1326" t="inlineStr">
        <is>
          <t>{"0": {"productDeskExternalKey": "CNRD|85-431"}, "1": {"Package Contents": "Wiper Motor; Instruction Sheet"}, "2": {"E-Waste": "Yes"}, "3": {"Product Condition": "New"}, "4": {"Mounting Hole Quantity": "3"}, "5": {"Terminal Type": "Bullet"}, "6": {"Mounting Type": "Direct Bolt"}, "7": {"Weight PG": "3.2800"}, "8": {"Washer Pump Included": "No"}, "9": {"Part Type": "Windshield Wiper Motor"}, "10": {"Warranty Info": "Limited Lifetime"}, "11": {"Lifetime Warranty": "Yes"}, "12": {"Lifecycle Status": "Available to Order"}, "13": {"Application Summary": "Jeep Cherokee 1990-84, Comanche 1990-86, Wagoneer 1990-84"}, "14": {"ItemLevelGTIN": "00884548310469"}}</t>
        </is>
      </c>
      <c r="J1326" t="inlineStr">
        <is>
          <t>https://www.cardone.com/product/windshield-wiper-motor-85-431</t>
        </is>
      </c>
      <c r="K1326">
        <f>DISPIMG("ID_D6DF163D2EE54ED6A93E43F10AE38A9A",1)</f>
        <v/>
      </c>
      <c r="L1326" t="inlineStr">
        <is>
          <t>CNRD|85-431</t>
        </is>
      </c>
      <c r="M1326" t="inlineStr">
        <is>
          <t>Wiper Motor; Instruction Sheet</t>
        </is>
      </c>
      <c r="N1326" t="inlineStr">
        <is>
          <t>Yes</t>
        </is>
      </c>
      <c r="O1326" t="inlineStr">
        <is>
          <t>New</t>
        </is>
      </c>
      <c r="P1326" t="inlineStr">
        <is>
          <t>3</t>
        </is>
      </c>
      <c r="Q1326" t="inlineStr">
        <is>
          <t>Bullet</t>
        </is>
      </c>
      <c r="R1326" t="inlineStr">
        <is>
          <t>Direct Bolt</t>
        </is>
      </c>
      <c r="S1326" t="inlineStr">
        <is>
          <t>3.2800</t>
        </is>
      </c>
      <c r="T1326" t="inlineStr">
        <is>
          <t>No</t>
        </is>
      </c>
      <c r="U1326" t="inlineStr">
        <is>
          <t>Limited Lifetime</t>
        </is>
      </c>
      <c r="V1326" t="inlineStr"/>
      <c r="W1326" t="inlineStr">
        <is>
          <t>Available to Order</t>
        </is>
      </c>
      <c r="X1326" t="inlineStr">
        <is>
          <t>Jeep Cherokee 1990-84, Comanche 1990-86, Wagoneer 1990-84</t>
        </is>
      </c>
      <c r="Y1326" t="inlineStr">
        <is>
          <t>00884548310469</t>
        </is>
      </c>
      <c r="Z1326" t="inlineStr"/>
      <c r="AA1326" t="inlineStr"/>
      <c r="AB1326" t="inlineStr"/>
      <c r="AC1326" t="inlineStr">
        <is>
          <t>Yes</t>
        </is>
      </c>
    </row>
    <row r="1327">
      <c r="A1327" t="inlineStr">
        <is>
          <t>1326</t>
        </is>
      </c>
      <c r="B1327" t="inlineStr">
        <is>
          <t>Windshield Wiper Motor</t>
        </is>
      </c>
      <c r="C1327" t="inlineStr">
        <is>
          <t>85-43122</t>
        </is>
      </c>
      <c r="D1327" t="inlineStr">
        <is>
          <t>Windshield Wiper Motor - 85-43122</t>
        </is>
      </c>
      <c r="E1327" t="inlineStr">
        <is>
          <t>CARDONE New</t>
        </is>
      </c>
      <c r="F1327" t="inlineStr">
        <is>
          <t>288103SG0A;288103SG1A</t>
        </is>
      </c>
      <c r="G1327" t="inlineStr">
        <is>
          <t>Nissan Sentra 2013-2019</t>
        </is>
      </c>
      <c r="H1327" t="inlineStr">
        <is>
          <t>Nissan Sentra 2013-2019 1.8L L4 110cid
Nissan Sentra 2017-2019 1.6L L4 1618cc</t>
        </is>
      </c>
      <c r="I1327" t="inlineStr">
        <is>
          <t>{"0": {"productDeskExternalKey": "CNRD|85-43122"}, "1": {"Package Contents": "Wiper Motor; Instruction Manual"}, "2": {"E-Waste": "Yes"}, "3": {"Product Condition": "New"}, "4": {"Terminal Type": "Blade"}, "5": {"Mounting Type": "Direct Bolt"}, "6": {"Weight PG": "2.0000"}, "7": {"Washer Pump Included": "No"}, "8": {"Part Type": "Windshield Wiper Motor"}, "9": {"Warranty Info": "Limited Lifetime"}, "10": {"Lifetime Warranty": "Yes"}, "11": {"Lifecycle Status": "Available to Order"}, "12": {"Application Summary": "Nissan Sentra 2019-13"}, "13": {"ItemLevelGTIN": "00884548298736"}}</t>
        </is>
      </c>
      <c r="J1327" t="inlineStr">
        <is>
          <t>https://www.cardone.com/product/windshield-wiper-motor-85-43122</t>
        </is>
      </c>
      <c r="K1327">
        <f>DISPIMG("ID_74322EA703D34D1E87CBFEBF399BDDA6",1)</f>
        <v/>
      </c>
      <c r="L1327" t="inlineStr">
        <is>
          <t>CNRD|85-43122</t>
        </is>
      </c>
      <c r="M1327" t="inlineStr">
        <is>
          <t>Wiper Motor; Instruction Manual</t>
        </is>
      </c>
      <c r="N1327" t="inlineStr">
        <is>
          <t>Yes</t>
        </is>
      </c>
      <c r="O1327" t="inlineStr">
        <is>
          <t>New</t>
        </is>
      </c>
      <c r="P1327" t="inlineStr"/>
      <c r="Q1327" t="inlineStr">
        <is>
          <t>Blade</t>
        </is>
      </c>
      <c r="R1327" t="inlineStr">
        <is>
          <t>Direct Bolt</t>
        </is>
      </c>
      <c r="S1327" t="inlineStr">
        <is>
          <t>2.0000</t>
        </is>
      </c>
      <c r="T1327" t="inlineStr">
        <is>
          <t>No</t>
        </is>
      </c>
      <c r="U1327" t="inlineStr">
        <is>
          <t>Limited Lifetime</t>
        </is>
      </c>
      <c r="V1327" t="inlineStr"/>
      <c r="W1327" t="inlineStr">
        <is>
          <t>Available to Order</t>
        </is>
      </c>
      <c r="X1327" t="inlineStr">
        <is>
          <t>Nissan Sentra 2019-13</t>
        </is>
      </c>
      <c r="Y1327" t="inlineStr">
        <is>
          <t>00884548298736</t>
        </is>
      </c>
      <c r="Z1327" t="inlineStr"/>
      <c r="AA1327" t="inlineStr"/>
      <c r="AB1327" t="inlineStr"/>
      <c r="AC1327" t="inlineStr">
        <is>
          <t>Yes</t>
        </is>
      </c>
    </row>
    <row r="1328">
      <c r="A1328" t="inlineStr">
        <is>
          <t>1327</t>
        </is>
      </c>
      <c r="B1328" t="inlineStr">
        <is>
          <t>Windshield Wiper Motor</t>
        </is>
      </c>
      <c r="C1328" t="inlineStr">
        <is>
          <t>85-4315</t>
        </is>
      </c>
      <c r="D1328" t="inlineStr">
        <is>
          <t>Windshield Wiper Motor - 85-4315</t>
        </is>
      </c>
      <c r="E1328" t="inlineStr">
        <is>
          <t>CARDONE New</t>
        </is>
      </c>
      <c r="F1328" t="inlineStr">
        <is>
          <t>288103H000;288100W010;288106P100</t>
        </is>
      </c>
      <c r="G1328" t="inlineStr">
        <is>
          <t>INFINITI Q45 1997-2001
INFINITI QX4 1999-2000
Nissan Pathfinder 1998-2001</t>
        </is>
      </c>
      <c r="H1328" t="inlineStr">
        <is>
          <t>INFINITI Q45 1997-2001 4.1L V8 4130cc
INFINITI QX4 1999-2000 3.3L V6 3275cc
Nissan Pathfinder 1998-2000 3.3L V6 3275cc
Nissan Pathfinder 2001 3.5L V6 3498cc</t>
        </is>
      </c>
      <c r="I1328" t="inlineStr">
        <is>
          <t>{"0": {"productDeskExternalKey": "CNRD|85-4315"}, "1": {"Package Contents": "Wiper Motor; Instruction Manual"}, "2": {"E-Waste": "Yes"}, "3": {"Product Condition": "New"}, "4": {"Terminal Type": "Blade"}, "5": {"Mounting Type": "Eyelet; Grommet"}, "6": {"Weight PG": "2.9600"}, "7": {"Washer Pump Included": "No"}, "8": {"Part Type": "Windshield Wiper Motor"}, "9": {"Warranty Info": "Limited Lifetime"}, "10": {"Lifetime Warranty": "Yes"}, "11": {"Lifecycle Status": "Available to Order"}, "12": {"Application Summary": "INFINITI Q45 2001-97, QX4 2000-99; Nissan Pathfinder 2001-98"}, "13": {"ItemLevelGTIN": "00884548275393"}}</t>
        </is>
      </c>
      <c r="J1328" t="inlineStr">
        <is>
          <t>https://www.cardone.com/product/windshield-wiper-motor-85-4315</t>
        </is>
      </c>
      <c r="K1328">
        <f>DISPIMG("ID_C192985565AF479085930E2D60D32BE1",1)</f>
        <v/>
      </c>
      <c r="L1328" t="inlineStr">
        <is>
          <t>CNRD|85-4315</t>
        </is>
      </c>
      <c r="M1328" t="inlineStr">
        <is>
          <t>Wiper Motor; Instruction Manual</t>
        </is>
      </c>
      <c r="N1328" t="inlineStr">
        <is>
          <t>Yes</t>
        </is>
      </c>
      <c r="O1328" t="inlineStr">
        <is>
          <t>New</t>
        </is>
      </c>
      <c r="P1328" t="inlineStr"/>
      <c r="Q1328" t="inlineStr">
        <is>
          <t>Blade</t>
        </is>
      </c>
      <c r="R1328" t="inlineStr">
        <is>
          <t>Eyelet; Grommet</t>
        </is>
      </c>
      <c r="S1328" t="inlineStr">
        <is>
          <t>2.9600</t>
        </is>
      </c>
      <c r="T1328" t="inlineStr">
        <is>
          <t>No</t>
        </is>
      </c>
      <c r="U1328" t="inlineStr">
        <is>
          <t>Limited Lifetime</t>
        </is>
      </c>
      <c r="V1328" t="inlineStr"/>
      <c r="W1328" t="inlineStr">
        <is>
          <t>Available to Order</t>
        </is>
      </c>
      <c r="X1328" t="inlineStr">
        <is>
          <t>INFINITI Q45 2001-97, QX4 2000-99; Nissan Pathfinder 2001-98</t>
        </is>
      </c>
      <c r="Y1328" t="inlineStr">
        <is>
          <t>00884548275393</t>
        </is>
      </c>
      <c r="Z1328" t="inlineStr"/>
      <c r="AA1328" t="inlineStr"/>
      <c r="AB1328" t="inlineStr"/>
      <c r="AC1328" t="inlineStr">
        <is>
          <t>Yes</t>
        </is>
      </c>
    </row>
    <row r="1329">
      <c r="A1329" t="inlineStr">
        <is>
          <t>1328</t>
        </is>
      </c>
      <c r="B1329" t="inlineStr">
        <is>
          <t>Windshield Wiper Motor</t>
        </is>
      </c>
      <c r="C1329" t="inlineStr">
        <is>
          <t>85-4316</t>
        </is>
      </c>
      <c r="D1329" t="inlineStr">
        <is>
          <t>Windshield Wiper Motor - 85-4316</t>
        </is>
      </c>
      <c r="E1329" t="inlineStr">
        <is>
          <t>CARDONE New</t>
        </is>
      </c>
      <c r="F1329" t="inlineStr">
        <is>
          <t>288105M000</t>
        </is>
      </c>
      <c r="G1329" t="inlineStr">
        <is>
          <t>Nissan Sentra 2000-2007</t>
        </is>
      </c>
      <c r="H1329" t="inlineStr">
        <is>
          <t>Nissan Sentra 2000 1.6L L4 97cid
Nissan Sentra 2000-2006 1.8L L4 1769cc
Nissan Sentra 2000-2007 2L L4 122cid
Nissan Sentra 2002-2007 2.5L L4 152cid</t>
        </is>
      </c>
      <c r="I1329" t="inlineStr">
        <is>
          <t>{"0": {"productDeskExternalKey": "CNRD|85-4316"}, "1": {"Package Contents": "Wiper Motor; Instruction Manual"}, "2": {"E-Waste": "Yes"}, "3": {"Product Condition": "New"}, "4": {"Mounting Hole Quantity": "3"}, "5": {"Terminal Type": "Blade"}, "6": {"Mounting Type": "Direct Bolt; Grommet"}, "7": {"Weight PG": "3.4000"}, "8": {"Washer Pump Included": "No"}, "9": {"Part Type": "Windshield Wiper Motor"}, "10": {"Warranty Info": "Limited Lifetime"}, "11": {"Lifetime Warranty": "Yes"}, "12": {"Lifecycle Status": "Available to Order"}, "13": {"Application Summary": "Nissan Sentra 2007-00"}, "14": {"ItemLevelGTIN": "00884548193239"}}</t>
        </is>
      </c>
      <c r="J1329" t="inlineStr">
        <is>
          <t>https://www.cardone.com/product/windshield-wiper-motor-85-4316</t>
        </is>
      </c>
      <c r="K1329">
        <f>DISPIMG("ID_A9F91B4CCA5844A5A05B4B48FE409BD6",1)</f>
        <v/>
      </c>
      <c r="L1329" t="inlineStr">
        <is>
          <t>CNRD|85-4316</t>
        </is>
      </c>
      <c r="M1329" t="inlineStr">
        <is>
          <t>Wiper Motor; Instruction Manual</t>
        </is>
      </c>
      <c r="N1329" t="inlineStr">
        <is>
          <t>Yes</t>
        </is>
      </c>
      <c r="O1329" t="inlineStr">
        <is>
          <t>New</t>
        </is>
      </c>
      <c r="P1329" t="inlineStr">
        <is>
          <t>3</t>
        </is>
      </c>
      <c r="Q1329" t="inlineStr">
        <is>
          <t>Blade</t>
        </is>
      </c>
      <c r="R1329" t="inlineStr">
        <is>
          <t>Direct Bolt; Grommet</t>
        </is>
      </c>
      <c r="S1329" t="inlineStr">
        <is>
          <t>3.4000</t>
        </is>
      </c>
      <c r="T1329" t="inlineStr">
        <is>
          <t>No</t>
        </is>
      </c>
      <c r="U1329" t="inlineStr">
        <is>
          <t>Limited Lifetime</t>
        </is>
      </c>
      <c r="V1329" t="inlineStr"/>
      <c r="W1329" t="inlineStr">
        <is>
          <t>Available to Order</t>
        </is>
      </c>
      <c r="X1329" t="inlineStr">
        <is>
          <t>Nissan Sentra 2007-00</t>
        </is>
      </c>
      <c r="Y1329" t="inlineStr">
        <is>
          <t>00884548193239</t>
        </is>
      </c>
      <c r="Z1329" t="inlineStr"/>
      <c r="AA1329" t="inlineStr"/>
      <c r="AB1329" t="inlineStr"/>
      <c r="AC1329" t="inlineStr">
        <is>
          <t>Yes</t>
        </is>
      </c>
    </row>
    <row r="1330">
      <c r="A1330" t="inlineStr">
        <is>
          <t>1329</t>
        </is>
      </c>
      <c r="B1330" t="inlineStr">
        <is>
          <t>Windshield Wiper Motor</t>
        </is>
      </c>
      <c r="C1330" t="inlineStr">
        <is>
          <t>85-4317</t>
        </is>
      </c>
      <c r="D1330" t="inlineStr">
        <is>
          <t>Windshield Wiper Motor - 85-4317</t>
        </is>
      </c>
      <c r="E1330" t="inlineStr">
        <is>
          <t>CARDONE New</t>
        </is>
      </c>
      <c r="F1330" t="inlineStr">
        <is>
          <t>288102W600;288107J101;288109Z400</t>
        </is>
      </c>
      <c r="G1330" t="inlineStr">
        <is>
          <t>INFINITI G20 2002
INFINITI QX4 2001-2003
Nissan Frontier 2001-2004
Nissan Pathfinder 2001-2004
Nissan Xterra 2001-2004</t>
        </is>
      </c>
      <c r="H1330" t="inlineStr">
        <is>
          <t>INFINITI G20 2002 2L L4 2000cc
INFINITI QX4 2001-2003 3.5L V6 3498cc
Nissan Frontier 2001-2004 2.4L L4 2389cc
Nissan Frontier 2001-2004 3.3L V6 3275cc
Nissan Pathfinder 2001-2004 3.5L V6 3498cc
Nissan Xterra 2001-2004 2.4L L4 2389cc
Nissan Xterra 2001-2004 3.3L V6 3275cc</t>
        </is>
      </c>
      <c r="I1330" t="inlineStr">
        <is>
          <t>{"0": {"productDeskExternalKey": "CNRD|85-4317"}, "1": {"Package Contents": "Wiper Motor; Instruction Manual"}, "2": {"E-Waste": "Yes"}, "3": {"Product Condition": "New"}, "4": {"Terminal Type": "Blade"}, "5": {"Mounting Type": "Eyelet; Grommet"}, "6": {"Weight PG": "3.6000"}, "7": {"Washer Pump Included": "No"}, "8": {"Part Type": "Windshield Wiper Motor"}, "9": {"Warranty Info": "Limited Lifetime"}, "10": {"Lifetime Warranty": "Yes"}, "11": {"Lifecycle Status": "Available to Order"}, "12": {"Application Summary": "INFINITI G20 2002, QX4 2003-01; Nissan Frontier 2004-01, Pathfinder 2004-01, Xterra 2004-01"}, "13": {"ItemLevelGTIN": "00884548295018"}}</t>
        </is>
      </c>
      <c r="J1330" t="inlineStr">
        <is>
          <t>https://www.cardone.com/product/windshield-wiper-motor-85-4317</t>
        </is>
      </c>
      <c r="K1330">
        <f>DISPIMG("ID_95A28AFF18694A728AF9621085CE54A7",1)</f>
        <v/>
      </c>
      <c r="L1330" t="inlineStr">
        <is>
          <t>CNRD|85-4317</t>
        </is>
      </c>
      <c r="M1330" t="inlineStr">
        <is>
          <t>Wiper Motor; Instruction Manual</t>
        </is>
      </c>
      <c r="N1330" t="inlineStr">
        <is>
          <t>Yes</t>
        </is>
      </c>
      <c r="O1330" t="inlineStr">
        <is>
          <t>New</t>
        </is>
      </c>
      <c r="P1330" t="inlineStr"/>
      <c r="Q1330" t="inlineStr">
        <is>
          <t>Blade</t>
        </is>
      </c>
      <c r="R1330" t="inlineStr">
        <is>
          <t>Eyelet; Grommet</t>
        </is>
      </c>
      <c r="S1330" t="inlineStr">
        <is>
          <t>3.6000</t>
        </is>
      </c>
      <c r="T1330" t="inlineStr">
        <is>
          <t>No</t>
        </is>
      </c>
      <c r="U1330" t="inlineStr">
        <is>
          <t>Limited Lifetime</t>
        </is>
      </c>
      <c r="V1330" t="inlineStr"/>
      <c r="W1330" t="inlineStr">
        <is>
          <t>Available to Order</t>
        </is>
      </c>
      <c r="X1330" t="inlineStr">
        <is>
          <t>INFINITI G20 2002, QX4 2003-01; Nissan Frontier 2004-01, Pathfinder 2004-01, Xterra 2004-01</t>
        </is>
      </c>
      <c r="Y1330" t="inlineStr">
        <is>
          <t>00884548295018</t>
        </is>
      </c>
      <c r="Z1330" t="inlineStr"/>
      <c r="AA1330" t="inlineStr"/>
      <c r="AB1330" t="inlineStr"/>
      <c r="AC1330" t="inlineStr">
        <is>
          <t>Yes</t>
        </is>
      </c>
    </row>
    <row r="1331">
      <c r="A1331" t="inlineStr">
        <is>
          <t>1330</t>
        </is>
      </c>
      <c r="B1331" t="inlineStr">
        <is>
          <t>Windshield Wiper Motor</t>
        </is>
      </c>
      <c r="C1331" t="inlineStr">
        <is>
          <t>85-432</t>
        </is>
      </c>
      <c r="D1331" t="inlineStr">
        <is>
          <t>Windshield Wiper Motor - 85-432</t>
        </is>
      </c>
      <c r="E1331" t="inlineStr">
        <is>
          <t>CARDONE New</t>
        </is>
      </c>
      <c r="F1331" t="inlineStr">
        <is>
          <t>56030005</t>
        </is>
      </c>
      <c r="G1331" t="inlineStr">
        <is>
          <t>Jeep Wrangler 1987-1995</t>
        </is>
      </c>
      <c r="H1331" t="inlineStr">
        <is>
          <t>Jeep Wrangler 1987-1990 4.2L L6 258cid
Jeep Wrangler 1987-1995 2.5L L4 150cid
Jeep Wrangler 1991-1995 4L L6 242cid</t>
        </is>
      </c>
      <c r="I1331" t="inlineStr">
        <is>
          <t>{"0": {"productDeskExternalKey": "CNRD|85-432"}, "1": {"Package Contents": "Wiper Motor; Instruction Manual"}, "2": {"E-Waste": "Yes"}, "3": {"Product Condition": "New"}, "4": {"Terminal Type": "Pin"}, "5": {"Mounting Type": "Direct Bolt"}, "6": {"Weight PG": "2.4300"}, "7": {"Washer Pump Included": "No"}, "8": {"Part Type": "Windshield Wiper Motor"}, "9": {"Warranty Info": "Limited Lifetime"}, "10": {"Lifetime Warranty": "Yes"}, "11": {"Lifecycle Status": "Available to Order"}, "12": {"Application Summary": "Jeep Wrangler 1995-87"}, "13": {"ItemLevelGTIN": "00082617790680"}}</t>
        </is>
      </c>
      <c r="J1331" t="inlineStr">
        <is>
          <t>https://www.cardone.com/product/windshield-wiper-motor-85-432</t>
        </is>
      </c>
      <c r="K1331">
        <f>DISPIMG("ID_20ABFF5825C94F0FB66D06DF02E3DF18",1)</f>
        <v/>
      </c>
      <c r="L1331" t="inlineStr">
        <is>
          <t>CNRD|85-432</t>
        </is>
      </c>
      <c r="M1331" t="inlineStr">
        <is>
          <t>Wiper Motor; Instruction Manual</t>
        </is>
      </c>
      <c r="N1331" t="inlineStr">
        <is>
          <t>Yes</t>
        </is>
      </c>
      <c r="O1331" t="inlineStr">
        <is>
          <t>New</t>
        </is>
      </c>
      <c r="P1331" t="inlineStr"/>
      <c r="Q1331" t="inlineStr">
        <is>
          <t>Pin</t>
        </is>
      </c>
      <c r="R1331" t="inlineStr">
        <is>
          <t>Direct Bolt</t>
        </is>
      </c>
      <c r="S1331" t="inlineStr">
        <is>
          <t>2.4300</t>
        </is>
      </c>
      <c r="T1331" t="inlineStr">
        <is>
          <t>No</t>
        </is>
      </c>
      <c r="U1331" t="inlineStr">
        <is>
          <t>Limited Lifetime</t>
        </is>
      </c>
      <c r="V1331" t="inlineStr"/>
      <c r="W1331" t="inlineStr">
        <is>
          <t>Available to Order</t>
        </is>
      </c>
      <c r="X1331" t="inlineStr">
        <is>
          <t>Jeep Wrangler 1995-87</t>
        </is>
      </c>
      <c r="Y1331" t="inlineStr">
        <is>
          <t>00082617790680</t>
        </is>
      </c>
      <c r="Z1331" t="inlineStr"/>
      <c r="AA1331" t="inlineStr"/>
      <c r="AB1331" t="inlineStr"/>
      <c r="AC1331" t="inlineStr">
        <is>
          <t>Yes</t>
        </is>
      </c>
    </row>
    <row r="1332">
      <c r="A1332" t="inlineStr">
        <is>
          <t>1331</t>
        </is>
      </c>
      <c r="B1332" t="inlineStr">
        <is>
          <t>Windshield Wiper Motor</t>
        </is>
      </c>
      <c r="C1332" t="inlineStr">
        <is>
          <t>85-433</t>
        </is>
      </c>
      <c r="D1332" t="inlineStr">
        <is>
          <t>Windshield Wiper Motor - 85-433</t>
        </is>
      </c>
      <c r="E1332" t="inlineStr">
        <is>
          <t>CARDONE New</t>
        </is>
      </c>
      <c r="F1332" t="inlineStr">
        <is>
          <t>5763696</t>
        </is>
      </c>
      <c r="G1332" t="inlineStr">
        <is>
          <t>Jeep CJ5 1983
Jeep CJ7 1983-1986</t>
        </is>
      </c>
      <c r="H1332" t="inlineStr">
        <is>
          <t>Jeep CJ5 1983 2.5L L4 151cid
Jeep CJ5 1983 4.2L L6 258cid
Jeep CJ7 1983 2.5L L4 151cid
Jeep CJ7 1983-1986 2.5L L4 150cid
Jeep CJ7 1983-1986 4.2L L6 258cid
Jeep CJ7 1983-1986 4.6L L6 282cid</t>
        </is>
      </c>
      <c r="I1332" t="inlineStr">
        <is>
          <t>{"0": {"productDeskExternalKey": "CNRD|85-433"}, "1": {"Package Contents": "Wiper Motor; Instruction Manual"}, "2": {"E-Waste": "Yes"}, "3": {"Product Condition": "New"}, "4": {"Terminal Type": "Blade"}, "5": {"Mounting Type": "Direct Bolt"}, "6": {"Weight PG": "2.4700"}, "7": {"Washer Pump Included": "No"}, "8": {"Part Type": "Windshield Wiper Motor"}, "9": {"Warranty Info": "Limited Lifetime"}, "10": {"Lifetime Warranty": "Yes"}, "11": {"Lifecycle Status": "Available to Order"}, "12": {"Application Summary": "Jeep CJ5 1983, CJ7 1986-83"}, "13": {"ItemLevelGTIN": "00082617790703"}}</t>
        </is>
      </c>
      <c r="J1332" t="inlineStr">
        <is>
          <t>https://www.cardone.com/product/windshield-wiper-motor-85-433</t>
        </is>
      </c>
      <c r="K1332">
        <f>DISPIMG("ID_58C227E5260B44B585A1FC80525B2C47",1)</f>
        <v/>
      </c>
      <c r="L1332" t="inlineStr">
        <is>
          <t>CNRD|85-433</t>
        </is>
      </c>
      <c r="M1332" t="inlineStr">
        <is>
          <t>Wiper Motor; Instruction Manual</t>
        </is>
      </c>
      <c r="N1332" t="inlineStr">
        <is>
          <t>Yes</t>
        </is>
      </c>
      <c r="O1332" t="inlineStr">
        <is>
          <t>New</t>
        </is>
      </c>
      <c r="P1332" t="inlineStr"/>
      <c r="Q1332" t="inlineStr">
        <is>
          <t>Blade</t>
        </is>
      </c>
      <c r="R1332" t="inlineStr">
        <is>
          <t>Direct Bolt</t>
        </is>
      </c>
      <c r="S1332" t="inlineStr">
        <is>
          <t>2.4700</t>
        </is>
      </c>
      <c r="T1332" t="inlineStr">
        <is>
          <t>No</t>
        </is>
      </c>
      <c r="U1332" t="inlineStr">
        <is>
          <t>Limited Lifetime</t>
        </is>
      </c>
      <c r="V1332" t="inlineStr"/>
      <c r="W1332" t="inlineStr">
        <is>
          <t>Available to Order</t>
        </is>
      </c>
      <c r="X1332" t="inlineStr">
        <is>
          <t>Jeep CJ5 1983, CJ7 1986-83</t>
        </is>
      </c>
      <c r="Y1332" t="inlineStr">
        <is>
          <t>00082617790703</t>
        </is>
      </c>
      <c r="Z1332" t="inlineStr"/>
      <c r="AA1332" t="inlineStr"/>
      <c r="AB1332" t="inlineStr"/>
      <c r="AC1332" t="inlineStr">
        <is>
          <t>Yes</t>
        </is>
      </c>
    </row>
    <row r="1333">
      <c r="A1333" t="inlineStr">
        <is>
          <t>1332</t>
        </is>
      </c>
      <c r="B1333" t="inlineStr">
        <is>
          <t>Windshield Wiper Motor</t>
        </is>
      </c>
      <c r="C1333" t="inlineStr">
        <is>
          <t>85-4331</t>
        </is>
      </c>
      <c r="D1333" t="inlineStr">
        <is>
          <t>Windshield Wiper Motor - 85-4331</t>
        </is>
      </c>
      <c r="E1333" t="inlineStr">
        <is>
          <t>CARDONE New</t>
        </is>
      </c>
      <c r="F1333" t="inlineStr">
        <is>
          <t>288107Y005;288107Y000</t>
        </is>
      </c>
      <c r="G1333" t="inlineStr">
        <is>
          <t>Nissan Altima 2002-2007
Nissan Maxima 2004-2008</t>
        </is>
      </c>
      <c r="H1333" t="inlineStr">
        <is>
          <t>Nissan Altima 2002-2007 2.5L L4 152cid
Nissan Altima 2002-2007 3.5L V6 3498cc
Nissan Maxima 2004-2008 3.5L V6 3498cc</t>
        </is>
      </c>
      <c r="I1333" t="inlineStr">
        <is>
          <t>{"0": {"productDeskExternalKey": "CNRD|85-4331"},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"Nissan Altima 2007-02, Maxima 2008-04"}, "13": {"ItemLevelGTIN": "00884548291997"}}</t>
        </is>
      </c>
      <c r="J1333" t="inlineStr">
        <is>
          <t>https://www.cardone.com/product/windshield-wiper-motor-85-4331</t>
        </is>
      </c>
      <c r="K1333">
        <f>DISPIMG("ID_411DCA13A8774DC199DA0EE320AB6022",1)</f>
        <v/>
      </c>
      <c r="L1333" t="inlineStr">
        <is>
          <t>CNRD|85-4331</t>
        </is>
      </c>
      <c r="M1333" t="inlineStr">
        <is>
          <t>Wiper Motor; Instruction Manual</t>
        </is>
      </c>
      <c r="N1333" t="inlineStr">
        <is>
          <t>Yes</t>
        </is>
      </c>
      <c r="O1333" t="inlineStr">
        <is>
          <t>New</t>
        </is>
      </c>
      <c r="P1333" t="inlineStr"/>
      <c r="Q1333" t="inlineStr">
        <is>
          <t>Blade</t>
        </is>
      </c>
      <c r="R1333" t="inlineStr">
        <is>
          <t>Direct Bolt</t>
        </is>
      </c>
      <c r="S1333" t="inlineStr">
        <is>
          <t>3.0000</t>
        </is>
      </c>
      <c r="T1333" t="inlineStr">
        <is>
          <t>No</t>
        </is>
      </c>
      <c r="U1333" t="inlineStr">
        <is>
          <t>Limited Lifetime</t>
        </is>
      </c>
      <c r="V1333" t="inlineStr"/>
      <c r="W1333" t="inlineStr">
        <is>
          <t>Available to Order</t>
        </is>
      </c>
      <c r="X1333" t="inlineStr">
        <is>
          <t>Nissan Altima 2007-02, Maxima 2008-04</t>
        </is>
      </c>
      <c r="Y1333" t="inlineStr">
        <is>
          <t>00884548291997</t>
        </is>
      </c>
      <c r="Z1333" t="inlineStr"/>
      <c r="AA1333" t="inlineStr"/>
      <c r="AB1333" t="inlineStr"/>
      <c r="AC1333" t="inlineStr">
        <is>
          <t>Yes</t>
        </is>
      </c>
    </row>
    <row r="1334">
      <c r="A1334" t="inlineStr">
        <is>
          <t>1333</t>
        </is>
      </c>
      <c r="B1334" t="inlineStr">
        <is>
          <t>Windshield Wiper Motor</t>
        </is>
      </c>
      <c r="C1334" t="inlineStr">
        <is>
          <t>85-4334</t>
        </is>
      </c>
      <c r="D1334" t="inlineStr">
        <is>
          <t>Windshield Wiper Motor - 85-4334</t>
        </is>
      </c>
      <c r="E1334" t="inlineStr">
        <is>
          <t>CARDONE New</t>
        </is>
      </c>
      <c r="F1334" t="inlineStr">
        <is>
          <t>28710CA000;28710CB000</t>
        </is>
      </c>
      <c r="G1334" t="inlineStr">
        <is>
          <t>Nissan Murano 2003-2007</t>
        </is>
      </c>
      <c r="H1334" t="inlineStr">
        <is>
          <t>Nissan Murano 2003-2007 3.5L V6 3498cc</t>
        </is>
      </c>
      <c r="I1334" t="inlineStr">
        <is>
          <t>{"0": {"productDeskExternalKey": "CNRD|85-4334"}, "1": {"Package Contents": "Wiper Motor; Instruction Manual"}, "2": {"E-Waste": "Yes"}, "3": {"Product Condition": "New"}, "4": {"Mounting Hole Quantity": "3"}, "5": {"Terminal Type": "Blade"}, "6": {"Mounting Type": "Eyelet; Grommet"}, "7": {"Weight PG": "2.8000"}, "8": {"Washer Pump Included": "No"}, "9": {"Part Type": "Windshield Wiper Motor"}, "10": {"Warranty Info": "Limited Lifetime"}, "11": {"Lifetime Warranty": "Yes"}, "12": {"Lifecycle Status": "Available to Order"}, "13": {"Application Summary": "Nissan Murano 2007-03"}, "14": {"ItemLevelGTIN": "00884548191129"}}</t>
        </is>
      </c>
      <c r="J1334" t="inlineStr">
        <is>
          <t>https://www.cardone.com/product/windshield-wiper-motor-85-4334</t>
        </is>
      </c>
      <c r="K1334">
        <f>DISPIMG("ID_536F5137836E4FE19AA228248476B9CB",1)</f>
        <v/>
      </c>
      <c r="L1334" t="inlineStr">
        <is>
          <t>CNRD|85-4334</t>
        </is>
      </c>
      <c r="M1334" t="inlineStr">
        <is>
          <t>Wiper Motor; Instruction Manual</t>
        </is>
      </c>
      <c r="N1334" t="inlineStr">
        <is>
          <t>Yes</t>
        </is>
      </c>
      <c r="O1334" t="inlineStr">
        <is>
          <t>New</t>
        </is>
      </c>
      <c r="P1334" t="inlineStr">
        <is>
          <t>3</t>
        </is>
      </c>
      <c r="Q1334" t="inlineStr">
        <is>
          <t>Blade</t>
        </is>
      </c>
      <c r="R1334" t="inlineStr">
        <is>
          <t>Eyelet; Grommet</t>
        </is>
      </c>
      <c r="S1334" t="inlineStr">
        <is>
          <t>2.8000</t>
        </is>
      </c>
      <c r="T1334" t="inlineStr">
        <is>
          <t>No</t>
        </is>
      </c>
      <c r="U1334" t="inlineStr">
        <is>
          <t>Limited Lifetime</t>
        </is>
      </c>
      <c r="V1334" t="inlineStr"/>
      <c r="W1334" t="inlineStr">
        <is>
          <t>Available to Order</t>
        </is>
      </c>
      <c r="X1334" t="inlineStr">
        <is>
          <t>Nissan Murano 2007-03</t>
        </is>
      </c>
      <c r="Y1334" t="inlineStr">
        <is>
          <t>00884548191129</t>
        </is>
      </c>
      <c r="Z1334" t="inlineStr"/>
      <c r="AA1334" t="inlineStr"/>
      <c r="AB1334" t="inlineStr"/>
      <c r="AC1334" t="inlineStr">
        <is>
          <t>Yes</t>
        </is>
      </c>
    </row>
    <row r="1335">
      <c r="A1335" t="inlineStr">
        <is>
          <t>1334</t>
        </is>
      </c>
      <c r="B1335" t="inlineStr">
        <is>
          <t>Windshield Wiper Motor</t>
        </is>
      </c>
      <c r="C1335" t="inlineStr">
        <is>
          <t>85-4341</t>
        </is>
      </c>
      <c r="D1335" t="inlineStr">
        <is>
          <t>Windshield Wiper Motor - 85-4341</t>
        </is>
      </c>
      <c r="E1335" t="inlineStr">
        <is>
          <t>CARDONE New</t>
        </is>
      </c>
      <c r="F1335" t="inlineStr">
        <is>
          <t>28810CA000</t>
        </is>
      </c>
      <c r="G1335" t="inlineStr">
        <is>
          <t>Nissan Murano 2003-2007</t>
        </is>
      </c>
      <c r="H1335" t="inlineStr">
        <is>
          <t>Nissan Murano 2003-2007 3.5L V6 3498cc</t>
        </is>
      </c>
      <c r="I1335" t="inlineStr">
        <is>
          <t>{"0": {"productDeskExternalKey": "CNRD|85-4341"}, "1": {"Package Contents": "Wiper Motor; Instruction Manual"}, "2": {"E-Waste": "Yes"}, "3": {"Product Condition": "New"}, "4": {"Terminal Type": "Blade"}, "5": {"Mounting Type": "Direct Bolt; Grommet"}, "6": {"Weight PG": "3.0200"}, "7": {"Washer Pump Included": "No"}, "8": {"Part Type": "Windshield Wiper Motor"}, "9": {"Warranty Info": "Limited Lifetime"}, "10": {"Lifetime Warranty": "Yes"}, "11": {"Lifecycle Status": "Available to Order"}, "12": {"Application Summary": "Nissan Murano 2007-03"}, "13": {"ItemLevelGTIN": "00884548310278"}}</t>
        </is>
      </c>
      <c r="J1335" t="inlineStr">
        <is>
          <t>https://www.cardone.com/product/windshield-wiper-motor-85-4341</t>
        </is>
      </c>
      <c r="K1335">
        <f>DISPIMG("ID_3C52878939B941019C18B66DDD218837",1)</f>
        <v/>
      </c>
      <c r="L1335" t="inlineStr">
        <is>
          <t>CNRD|85-4341</t>
        </is>
      </c>
      <c r="M1335" t="inlineStr">
        <is>
          <t>Wiper Motor; Instruction Manual</t>
        </is>
      </c>
      <c r="N1335" t="inlineStr">
        <is>
          <t>Yes</t>
        </is>
      </c>
      <c r="O1335" t="inlineStr">
        <is>
          <t>New</t>
        </is>
      </c>
      <c r="P1335" t="inlineStr"/>
      <c r="Q1335" t="inlineStr">
        <is>
          <t>Blade</t>
        </is>
      </c>
      <c r="R1335" t="inlineStr">
        <is>
          <t>Direct Bolt; Grommet</t>
        </is>
      </c>
      <c r="S1335" t="inlineStr">
        <is>
          <t>3.0200</t>
        </is>
      </c>
      <c r="T1335" t="inlineStr">
        <is>
          <t>No</t>
        </is>
      </c>
      <c r="U1335" t="inlineStr">
        <is>
          <t>Limited Lifetime</t>
        </is>
      </c>
      <c r="V1335" t="inlineStr"/>
      <c r="W1335" t="inlineStr">
        <is>
          <t>Available to Order</t>
        </is>
      </c>
      <c r="X1335" t="inlineStr">
        <is>
          <t>Nissan Murano 2007-03</t>
        </is>
      </c>
      <c r="Y1335" t="inlineStr">
        <is>
          <t>00884548310278</t>
        </is>
      </c>
      <c r="Z1335" t="inlineStr"/>
      <c r="AA1335" t="inlineStr"/>
      <c r="AB1335" t="inlineStr"/>
      <c r="AC1335" t="inlineStr">
        <is>
          <t>Yes</t>
        </is>
      </c>
    </row>
    <row r="1336">
      <c r="A1336" t="inlineStr">
        <is>
          <t>1335</t>
        </is>
      </c>
      <c r="B1336" t="inlineStr">
        <is>
          <t>Windshield Wiper Motor</t>
        </is>
      </c>
      <c r="C1336" t="inlineStr">
        <is>
          <t>85-4344</t>
        </is>
      </c>
      <c r="D1336" t="inlineStr">
        <is>
          <t>Windshield Wiper Motor - 85-4344</t>
        </is>
      </c>
      <c r="E1336" t="inlineStr">
        <is>
          <t>CARDONE New</t>
        </is>
      </c>
      <c r="F1336" t="inlineStr">
        <is>
          <t>28700EA500</t>
        </is>
      </c>
      <c r="G1336" t="inlineStr">
        <is>
          <t>Nissan Pathfinder 2005-2012</t>
        </is>
      </c>
      <c r="H1336" t="inlineStr">
        <is>
          <t>Nissan Pathfinder 2005-2012 4L V6 3954cc
Nissan Pathfinder 2008-2012 5.6L V8 5552cc</t>
        </is>
      </c>
      <c r="I1336" t="inlineStr">
        <is>
          <t>{"0": {"productDeskExternalKey": "CNRD|85-4344"}, "1": {"Package Contents": "Wiper Motor; Instruction Manual"}, "2": {"E-Waste": "Yes"}, "3": {"Product Condition": "New"}, "4": {"Terminal Type": "Blade"}, "5": {"Mounting Type": "Direct Bolt"}, "6": {"Weight PG": "2.4000"}, "7": {"Washer Pump Included": "No"}, "8": {"Part Type": "Windshield Wiper Motor"}, "9": {"Warranty Info": "Limited Lifetime"}, "10": {"Lifetime Warranty": "Yes"}, "11": {"Lifecycle Status": "Available to Order"}, "12": {"Application Summary": "Nissan Pathfinder 2012-05"}, "13": {"ItemLevelGTIN": "00884548292017"}}</t>
        </is>
      </c>
      <c r="J1336" t="inlineStr">
        <is>
          <t>https://www.cardone.com/product/windshield-wiper-motor-85-4344</t>
        </is>
      </c>
      <c r="K1336">
        <f>DISPIMG("ID_D7BD5A75303D45D6B72EAAFDAA81AF74",1)</f>
        <v/>
      </c>
      <c r="L1336" t="inlineStr">
        <is>
          <t>CNRD|85-4344</t>
        </is>
      </c>
      <c r="M1336" t="inlineStr">
        <is>
          <t>Wiper Motor; Instruction Manual</t>
        </is>
      </c>
      <c r="N1336" t="inlineStr">
        <is>
          <t>Yes</t>
        </is>
      </c>
      <c r="O1336" t="inlineStr">
        <is>
          <t>New</t>
        </is>
      </c>
      <c r="P1336" t="inlineStr"/>
      <c r="Q1336" t="inlineStr">
        <is>
          <t>Blade</t>
        </is>
      </c>
      <c r="R1336" t="inlineStr">
        <is>
          <t>Direct Bolt</t>
        </is>
      </c>
      <c r="S1336" t="inlineStr">
        <is>
          <t>2.4000</t>
        </is>
      </c>
      <c r="T1336" t="inlineStr">
        <is>
          <t>No</t>
        </is>
      </c>
      <c r="U1336" t="inlineStr">
        <is>
          <t>Limited Lifetime</t>
        </is>
      </c>
      <c r="V1336" t="inlineStr"/>
      <c r="W1336" t="inlineStr">
        <is>
          <t>Available to Order</t>
        </is>
      </c>
      <c r="X1336" t="inlineStr">
        <is>
          <t>Nissan Pathfinder 2012-05</t>
        </is>
      </c>
      <c r="Y1336" t="inlineStr">
        <is>
          <t>00884548292017</t>
        </is>
      </c>
      <c r="Z1336" t="inlineStr"/>
      <c r="AA1336" t="inlineStr"/>
      <c r="AB1336" t="inlineStr"/>
      <c r="AC1336" t="inlineStr">
        <is>
          <t>Yes</t>
        </is>
      </c>
    </row>
    <row r="1337">
      <c r="A1337" t="inlineStr">
        <is>
          <t>1336</t>
        </is>
      </c>
      <c r="B1337" t="inlineStr">
        <is>
          <t>Windshield Wiper Motor</t>
        </is>
      </c>
      <c r="C1337" t="inlineStr">
        <is>
          <t>85-4346</t>
        </is>
      </c>
      <c r="D1337" t="inlineStr">
        <is>
          <t>Windshield Wiper Motor - 85-4346</t>
        </is>
      </c>
      <c r="E1337" t="inlineStr">
        <is>
          <t>CARDONE New</t>
        </is>
      </c>
      <c r="F1337" t="inlineStr">
        <is>
          <t>28800JB100;28800JA000;28800ZY80A;28800ZX01A;288009N00A</t>
        </is>
      </c>
      <c r="G1337" t="inlineStr">
        <is>
          <t>Nissan Altima 2007-2012
Nissan Maxima 2009-2014</t>
        </is>
      </c>
      <c r="H1337" t="inlineStr">
        <is>
          <t>Nissan Altima 2007-2012 2.5L L4 152cid
Nissan Altima 2007-2012 3.5L V6 3498cc
Nissan Maxima 2009-2014 3.5L V6 3498cc</t>
        </is>
      </c>
      <c r="I1337" t="inlineStr">
        <is>
          <t>{"0": {"productDeskExternalKey": "CNRD|85-4346"}, "1": {"Package Contents": "Wiper Motor; Instruction Manual"}, "2": {"E-Waste": "Yes"}, "3": {"Product Condition": "New"}, "4": {"Terminal Type": "Blade"}, "5": {"Mounting Type": "Direct Bolt; Grommet"}, "6": {"Weight PG": "3.6000"}, "7": {"Washer Pump Included": "No"}, "8": {"Part Type": "Windshield Wiper Motor"}, "9": {"Warranty Info": "Limited Lifetime"}, "10": {"Lifetime Warranty": "Yes"}, "11": {"Lifecycle Status": "Available to Order"}, "12": {"Application Summary": "Nissan Altima 2012-07, Maxima 2014-09"}, "13": {"ItemLevelGTIN": "00884548295001"}}</t>
        </is>
      </c>
      <c r="J1337" t="inlineStr">
        <is>
          <t>https://www.cardone.com/product/windshield-wiper-motor-85-4346</t>
        </is>
      </c>
      <c r="K1337">
        <f>DISPIMG("ID_13591C3F288C47A3922AB32CDDDEF800",1)</f>
        <v/>
      </c>
      <c r="L1337" t="inlineStr">
        <is>
          <t>CNRD|85-4346</t>
        </is>
      </c>
      <c r="M1337" t="inlineStr">
        <is>
          <t>Wiper Motor; Instruction Manual</t>
        </is>
      </c>
      <c r="N1337" t="inlineStr">
        <is>
          <t>Yes</t>
        </is>
      </c>
      <c r="O1337" t="inlineStr">
        <is>
          <t>New</t>
        </is>
      </c>
      <c r="P1337" t="inlineStr"/>
      <c r="Q1337" t="inlineStr">
        <is>
          <t>Blade</t>
        </is>
      </c>
      <c r="R1337" t="inlineStr">
        <is>
          <t>Direct Bolt; Grommet</t>
        </is>
      </c>
      <c r="S1337" t="inlineStr">
        <is>
          <t>3.6000</t>
        </is>
      </c>
      <c r="T1337" t="inlineStr">
        <is>
          <t>No</t>
        </is>
      </c>
      <c r="U1337" t="inlineStr">
        <is>
          <t>Limited Lifetime</t>
        </is>
      </c>
      <c r="V1337" t="inlineStr"/>
      <c r="W1337" t="inlineStr">
        <is>
          <t>Available to Order</t>
        </is>
      </c>
      <c r="X1337" t="inlineStr">
        <is>
          <t>Nissan Altima 2012-07, Maxima 2014-09</t>
        </is>
      </c>
      <c r="Y1337" t="inlineStr">
        <is>
          <t>00884548295001</t>
        </is>
      </c>
      <c r="Z1337" t="inlineStr"/>
      <c r="AA1337" t="inlineStr"/>
      <c r="AB1337" t="inlineStr"/>
      <c r="AC1337" t="inlineStr">
        <is>
          <t>Yes</t>
        </is>
      </c>
    </row>
    <row r="1338">
      <c r="A1338" t="inlineStr">
        <is>
          <t>1337</t>
        </is>
      </c>
      <c r="B1338" t="inlineStr">
        <is>
          <t>Windshield Wiper Motor</t>
        </is>
      </c>
      <c r="C1338" t="inlineStr">
        <is>
          <t>85-4348</t>
        </is>
      </c>
      <c r="D1338" t="inlineStr">
        <is>
          <t>Windshield Wiper Motor - 85-4348</t>
        </is>
      </c>
      <c r="E1338" t="inlineStr">
        <is>
          <t>CARDONE New</t>
        </is>
      </c>
      <c r="F1338" t="inlineStr">
        <is>
          <t>28710CG000</t>
        </is>
      </c>
      <c r="G1338" t="inlineStr">
        <is>
          <t>INFINITI FX35 2003-2008
INFINITI FX45 2003-2008</t>
        </is>
      </c>
      <c r="H1338" t="inlineStr">
        <is>
          <t>INFINITI FX35 2003-2008 3.5L V6 3498cc
INFINITI FX45 2003-2005 4.5L V8 4500cc
INFINITI FX45 2006-2008 4.5L V8 4494cc</t>
        </is>
      </c>
      <c r="I1338" t="inlineStr">
        <is>
          <t>{"0": {"productDeskExternalKey": "CNRD|85-4348"}, "1": {"Package Contents": "Wiper Motor; Instruction Manual"}, "2": {"E-Waste": "Yes"}, "3": {"Product Condition": "New"}, "4": {"Terminal Type": "Blade"}, "5": {"Mounting Type": "Eyelet; Grommet"}, "6": {"Weight PG": "2.6000"}, "7": {"Washer Pump Included": "No"}, "8": {"Part Type": "Windshield Wiper Motor"}, "9": {"Warranty Info": "Limited Lifetime"}, "10": {"Lifetime Warranty": "Yes"}, "11": {"Lifecycle Status": "Available to Order"}, "12": {"Application Summary": "INFINITI FX35 2008-03, FX45 2008-03"}, "13": {"ItemLevelGTIN": "00884548271593"}}</t>
        </is>
      </c>
      <c r="J1338" t="inlineStr">
        <is>
          <t>https://www.cardone.com/product/windshield-wiper-motor-85-4348</t>
        </is>
      </c>
      <c r="K1338">
        <f>DISPIMG("ID_436F356FA75649A388B067BDFB60C948",1)</f>
        <v/>
      </c>
      <c r="L1338" t="inlineStr">
        <is>
          <t>CNRD|85-4348</t>
        </is>
      </c>
      <c r="M1338" t="inlineStr">
        <is>
          <t>Wiper Motor; Instruction Manual</t>
        </is>
      </c>
      <c r="N1338" t="inlineStr">
        <is>
          <t>Yes</t>
        </is>
      </c>
      <c r="O1338" t="inlineStr">
        <is>
          <t>New</t>
        </is>
      </c>
      <c r="P1338" t="inlineStr"/>
      <c r="Q1338" t="inlineStr">
        <is>
          <t>Blade</t>
        </is>
      </c>
      <c r="R1338" t="inlineStr">
        <is>
          <t>Eyelet; Grommet</t>
        </is>
      </c>
      <c r="S1338" t="inlineStr">
        <is>
          <t>2.6000</t>
        </is>
      </c>
      <c r="T1338" t="inlineStr">
        <is>
          <t>No</t>
        </is>
      </c>
      <c r="U1338" t="inlineStr">
        <is>
          <t>Limited Lifetime</t>
        </is>
      </c>
      <c r="V1338" t="inlineStr"/>
      <c r="W1338" t="inlineStr">
        <is>
          <t>Available to Order</t>
        </is>
      </c>
      <c r="X1338" t="inlineStr">
        <is>
          <t>INFINITI FX35 2008-03, FX45 2008-03</t>
        </is>
      </c>
      <c r="Y1338" t="inlineStr">
        <is>
          <t>00884548271593</t>
        </is>
      </c>
      <c r="Z1338" t="inlineStr"/>
      <c r="AA1338" t="inlineStr"/>
      <c r="AB1338" t="inlineStr"/>
      <c r="AC1338" t="inlineStr">
        <is>
          <t>Yes</t>
        </is>
      </c>
    </row>
    <row r="1339">
      <c r="A1339" t="inlineStr">
        <is>
          <t>1338</t>
        </is>
      </c>
      <c r="B1339" t="inlineStr">
        <is>
          <t>Windshield Wiper Motor</t>
        </is>
      </c>
      <c r="C1339" t="inlineStr">
        <is>
          <t>85-437</t>
        </is>
      </c>
      <c r="D1339" t="inlineStr">
        <is>
          <t>Windshield Wiper Motor - 85-437</t>
        </is>
      </c>
      <c r="E1339" t="inlineStr">
        <is>
          <t>CARDONE New</t>
        </is>
      </c>
      <c r="F1339" t="inlineStr">
        <is>
          <t>5763696</t>
        </is>
      </c>
      <c r="G1339" t="inlineStr">
        <is>
          <t>Jeep CJ5 1981-1982
Jeep CJ7 1981-1982</t>
        </is>
      </c>
      <c r="H1339" t="inlineStr">
        <is>
          <t>Jeep CJ5 1981 5L V8 304cid
Jeep CJ5 1981-1982 2.5L L4 151cid
Jeep CJ5 1981-1982 4.2L L6 258cid
Jeep CJ7 1981 5L V8 304cid
Jeep CJ7 1981-1982 2.5L L4 151cid
Jeep CJ7 1981-1982 4.2L L6 258cid
Jeep CJ7 1981-1982 4.6L L6 282cid</t>
        </is>
      </c>
      <c r="I1339" t="inlineStr">
        <is>
          <t>{"0": {"productDeskExternalKey": "CNRD|85-437"}, "1": {"Package Contents": "Wiper Motor; Instruction Manual"}, "2": {"E-Waste": "Yes"}, "3": {"Product Condition": "New"}, "4": {"Terminal Type": "Blade"}, "5": {"Mounting Type": "Direct Bolt"}, "6": {"Weight PG": "2.5000"}, "7": {"Washer Pump Included": "No"}, "8": {"Part Type": "Windshield Wiper Motor"}, "9": {"Warranty Info": "Limited Lifetime"}, "10": {"Lifetime Warranty": "Yes"}, "11": {"Lifecycle Status": "Available to Order"}, "12": {"Application Summary": "Jeep CJ5 1982-81, CJ7 1982-81"}, "13": {"ItemLevelGTIN": "00082617790697"}}</t>
        </is>
      </c>
      <c r="J1339" t="inlineStr">
        <is>
          <t>https://www.cardone.com/product/windshield-wiper-motor-85-437</t>
        </is>
      </c>
      <c r="K1339">
        <f>DISPIMG("ID_775CE4DC047F465EBF8F766653733B3F",1)</f>
        <v/>
      </c>
      <c r="L1339" t="inlineStr">
        <is>
          <t>CNRD|85-437</t>
        </is>
      </c>
      <c r="M1339" t="inlineStr">
        <is>
          <t>Wiper Motor; Instruction Manual</t>
        </is>
      </c>
      <c r="N1339" t="inlineStr">
        <is>
          <t>Yes</t>
        </is>
      </c>
      <c r="O1339" t="inlineStr">
        <is>
          <t>New</t>
        </is>
      </c>
      <c r="P1339" t="inlineStr"/>
      <c r="Q1339" t="inlineStr">
        <is>
          <t>Blade</t>
        </is>
      </c>
      <c r="R1339" t="inlineStr">
        <is>
          <t>Direct Bolt</t>
        </is>
      </c>
      <c r="S1339" t="inlineStr">
        <is>
          <t>2.5000</t>
        </is>
      </c>
      <c r="T1339" t="inlineStr">
        <is>
          <t>No</t>
        </is>
      </c>
      <c r="U1339" t="inlineStr">
        <is>
          <t>Limited Lifetime</t>
        </is>
      </c>
      <c r="V1339" t="inlineStr"/>
      <c r="W1339" t="inlineStr">
        <is>
          <t>Available to Order</t>
        </is>
      </c>
      <c r="X1339" t="inlineStr">
        <is>
          <t>Jeep CJ5 1982-81, CJ7 1982-81</t>
        </is>
      </c>
      <c r="Y1339" t="inlineStr">
        <is>
          <t>00082617790697</t>
        </is>
      </c>
      <c r="Z1339" t="inlineStr"/>
      <c r="AA1339" t="inlineStr"/>
      <c r="AB1339" t="inlineStr"/>
      <c r="AC1339" t="inlineStr">
        <is>
          <t>Yes</t>
        </is>
      </c>
    </row>
    <row r="1340">
      <c r="A1340" t="inlineStr">
        <is>
          <t>1339</t>
        </is>
      </c>
      <c r="B1340" t="inlineStr">
        <is>
          <t>Windshield Wiper Motor</t>
        </is>
      </c>
      <c r="C1340" t="inlineStr">
        <is>
          <t>85-438</t>
        </is>
      </c>
      <c r="D1340" t="inlineStr">
        <is>
          <t>Windshield Wiper Motor - 85-438</t>
        </is>
      </c>
      <c r="E1340" t="inlineStr">
        <is>
          <t>CARDONE New</t>
        </is>
      </c>
      <c r="F1340" t="inlineStr">
        <is>
          <t>4723460;55155297;55154611;4856478</t>
        </is>
      </c>
      <c r="G1340" t="inlineStr">
        <is>
          <t>Jeep Cherokee 1991-1999
Jeep Comanche 1991-1992</t>
        </is>
      </c>
      <c r="H1340" t="inlineStr">
        <is>
          <t>Jeep Cherokee 1991-1999 2.5L L4 150cid
Jeep Cherokee 1991-1999 4L L6 242cid
Jeep Comanche 1991-1992 2.5L L4 150cid
Jeep Comanche 1991-1992 4L L6 242cid</t>
        </is>
      </c>
      <c r="I1340" t="inlineStr">
        <is>
          <t>{"0": {"productDeskExternalKey": "CNRD|85-438"}, "1": {"Package Contents": "Wiper Motor; Instruction Manual"}, "2": {"E-Waste": "Yes"}, "3": {"Product Condition": "New"}, "4": {"Terminal Type": "Pin"}, "5": {"Mounting Type": "Direct Bolt"}, "6": {"Weight PG": "3.2200"}, "7": {"Washer Pump Included": "No"}, "8": {"Part Type": "Windshield Wiper Motor"}, "9": {"Warranty Info": "Limited Lifetime"}, "10": {"Lifetime Warranty": "Yes"}, "11": {"Lifecycle Status": "Available to Order"}, "12": {"Application Summary": "Jeep Cherokee 1999-91, Comanche 1992-91"}, "13": {"ItemLevelGTIN": "00082617790666"}}</t>
        </is>
      </c>
      <c r="J1340" t="inlineStr">
        <is>
          <t>https://www.cardone.com/product/windshield-wiper-motor-85-438</t>
        </is>
      </c>
      <c r="K1340">
        <f>DISPIMG("ID_F7AB5B8639FA4D1BA5CB3C15AD88639E",1)</f>
        <v/>
      </c>
      <c r="L1340" t="inlineStr">
        <is>
          <t>CNRD|85-438</t>
        </is>
      </c>
      <c r="M1340" t="inlineStr">
        <is>
          <t>Wiper Motor; Instruction Manual</t>
        </is>
      </c>
      <c r="N1340" t="inlineStr">
        <is>
          <t>Yes</t>
        </is>
      </c>
      <c r="O1340" t="inlineStr">
        <is>
          <t>New</t>
        </is>
      </c>
      <c r="P1340" t="inlineStr"/>
      <c r="Q1340" t="inlineStr">
        <is>
          <t>Pin</t>
        </is>
      </c>
      <c r="R1340" t="inlineStr">
        <is>
          <t>Direct Bolt</t>
        </is>
      </c>
      <c r="S1340" t="inlineStr">
        <is>
          <t>3.2200</t>
        </is>
      </c>
      <c r="T1340" t="inlineStr">
        <is>
          <t>No</t>
        </is>
      </c>
      <c r="U1340" t="inlineStr">
        <is>
          <t>Limited Lifetime</t>
        </is>
      </c>
      <c r="V1340" t="inlineStr"/>
      <c r="W1340" t="inlineStr">
        <is>
          <t>Available to Order</t>
        </is>
      </c>
      <c r="X1340" t="inlineStr">
        <is>
          <t>Jeep Cherokee 1999-91, Comanche 1992-91</t>
        </is>
      </c>
      <c r="Y1340" t="inlineStr">
        <is>
          <t>00082617790666</t>
        </is>
      </c>
      <c r="Z1340" t="inlineStr"/>
      <c r="AA1340" t="inlineStr"/>
      <c r="AB1340" t="inlineStr"/>
      <c r="AC1340" t="inlineStr">
        <is>
          <t>Yes</t>
        </is>
      </c>
    </row>
    <row r="1341">
      <c r="A1341" t="inlineStr">
        <is>
          <t>1340</t>
        </is>
      </c>
      <c r="B1341" t="inlineStr">
        <is>
          <t>Windshield Wiper Motor</t>
        </is>
      </c>
      <c r="C1341" t="inlineStr">
        <is>
          <t>85-4383</t>
        </is>
      </c>
      <c r="D1341" t="inlineStr">
        <is>
          <t>Windshield Wiper Motor - 85-4383</t>
        </is>
      </c>
      <c r="E1341" t="inlineStr">
        <is>
          <t>CARDONE New</t>
        </is>
      </c>
      <c r="F1341" t="inlineStr">
        <is>
          <t>28810JM00A</t>
        </is>
      </c>
      <c r="G1341" t="inlineStr">
        <is>
          <t>Nissan Rogue 2008-2013
Nissan Rogue Select 2014-2015</t>
        </is>
      </c>
      <c r="H1341" t="inlineStr">
        <is>
          <t>Nissan Rogue 2008-2013 2.5L L4 152cid
Nissan Rogue Select 2014-2015 2.5L L4 152cid</t>
        </is>
      </c>
      <c r="I1341" t="inlineStr">
        <is>
          <t>{"0": {"productDeskExternalKey": "CNRD|85-4383"}, "1": {"Package Contents": "Wiper Motor; Instruction Manual"}, "2": {"E-Waste": "Yes"}, "3": {"Product Condition": "New"}, "4": {"Terminal Type": "Blade"}, "5": {"Mounting Type": "Direct Bolt; Grommet"}, "6": {"Weight PG": "3.4000"}, "7": {"Washer Pump Included": "No"}, "8": {"Part Type": "Windshield Wiper Motor"}, "9": {"Warranty Info": "Limited Lifetime"}, "10": {"Lifetime Warranty": "Yes"}, "11": {"Lifecycle Status": "Available to Order"}, "12": {"Application Summary": "Nissan Rogue 2013-08, Rogue Select 2015-14"}, "13": {"ItemLevelGTIN": "00884548295049"}}</t>
        </is>
      </c>
      <c r="J1341" t="inlineStr">
        <is>
          <t>https://www.cardone.com/product/windshield-wiper-motor-85-4383</t>
        </is>
      </c>
      <c r="K1341">
        <f>DISPIMG("ID_A4B14F4E24F04B5DBF50C9FB7A9A799C",1)</f>
        <v/>
      </c>
      <c r="L1341" t="inlineStr">
        <is>
          <t>CNRD|85-4383</t>
        </is>
      </c>
      <c r="M1341" t="inlineStr">
        <is>
          <t>Wiper Motor; Instruction Manual</t>
        </is>
      </c>
      <c r="N1341" t="inlineStr">
        <is>
          <t>Yes</t>
        </is>
      </c>
      <c r="O1341" t="inlineStr">
        <is>
          <t>New</t>
        </is>
      </c>
      <c r="P1341" t="inlineStr"/>
      <c r="Q1341" t="inlineStr">
        <is>
          <t>Blade</t>
        </is>
      </c>
      <c r="R1341" t="inlineStr">
        <is>
          <t>Direct Bolt; Grommet</t>
        </is>
      </c>
      <c r="S1341" t="inlineStr">
        <is>
          <t>3.4000</t>
        </is>
      </c>
      <c r="T1341" t="inlineStr">
        <is>
          <t>No</t>
        </is>
      </c>
      <c r="U1341" t="inlineStr">
        <is>
          <t>Limited Lifetime</t>
        </is>
      </c>
      <c r="V1341" t="inlineStr"/>
      <c r="W1341" t="inlineStr">
        <is>
          <t>Available to Order</t>
        </is>
      </c>
      <c r="X1341" t="inlineStr">
        <is>
          <t>Nissan Rogue 2013-08, Rogue Select 2015-14</t>
        </is>
      </c>
      <c r="Y1341" t="inlineStr">
        <is>
          <t>00884548295049</t>
        </is>
      </c>
      <c r="Z1341" t="inlineStr"/>
      <c r="AA1341" t="inlineStr"/>
      <c r="AB1341" t="inlineStr"/>
      <c r="AC1341" t="inlineStr">
        <is>
          <t>Yes</t>
        </is>
      </c>
    </row>
    <row r="1342">
      <c r="A1342" t="inlineStr">
        <is>
          <t>1341</t>
        </is>
      </c>
      <c r="B1342" t="inlineStr">
        <is>
          <t>Windshield Wiper Motor</t>
        </is>
      </c>
      <c r="C1342" t="inlineStr">
        <is>
          <t>85-4384</t>
        </is>
      </c>
      <c r="D1342" t="inlineStr">
        <is>
          <t>Windshield Wiper Motor - 85-4384</t>
        </is>
      </c>
      <c r="E1342" t="inlineStr">
        <is>
          <t>CARDONE New</t>
        </is>
      </c>
      <c r="F1342" t="inlineStr">
        <is>
          <t>28810ZH30A</t>
        </is>
      </c>
      <c r="G1342" t="inlineStr">
        <is>
          <t>INFINITI QX56 2008-2011
Nissan Armada 2008-2015
Nissan TITAN 2007-2022
Nissan TITAN XD 2016-2022</t>
        </is>
      </c>
      <c r="H1342" t="inlineStr">
        <is>
          <t>INFINITI QX56 2008-2011 5.6L V8 5552cc
Nissan Armada 2008-2015 5.6L V8 5552cc
Nissan TITAN 2007-2022 5.6L V8 5552cc
Nissan TITAN XD 2016-2019 5L V8 305cid
Nissan TITAN XD 2016-2022 5.6L V8 5552cc</t>
        </is>
      </c>
      <c r="I1342" t="inlineStr">
        <is>
          <t>{"0": {"productDeskExternalKey": "CNRD|85-4384"}, "1": {"Package Contents": "Wiper Motor; Instruction Sheet"}, "2": {"E-Waste": "Yes"}, "3": {"Product Condition": "New"}, "4": {"Part Type": "Windshield Wiper Motor"}, "5": {"Mounting Hole Quantity": "3"}, "6": {"Terminal Type": "Blade"}, "7": {"Mounting Type": "Direct Bolt; Grommet"}, "8": {"Weight PG": "2.9200"}, "9": {"Application Summary": "INFINITI QX56 2011-08; Nissan Armada 2015-08, Titan 2022-17 2015-07, Titan XD 2022-16"}, "10": {"Washer Pump Included": "No"}, "11": {"Warranty Info": "Limited Lifetime"}, "12": {"Lifetime Warranty": "Yes"}, "13": {"Lifecycle Status": "Available to Order"}, "14": {"ItemLevelGTIN": "00884548321113"}}</t>
        </is>
      </c>
      <c r="J1342" t="inlineStr">
        <is>
          <t>https://www.cardone.com/product/windshield-wiper-motor-85-4384</t>
        </is>
      </c>
      <c r="K1342">
        <f>DISPIMG("ID_2E90FD426512484E9A8B2A028AC48B4D",1)</f>
        <v/>
      </c>
      <c r="L1342" t="inlineStr">
        <is>
          <t>CNRD|85-4384</t>
        </is>
      </c>
      <c r="M1342" t="inlineStr">
        <is>
          <t>Wiper Motor; Instruction Sheet</t>
        </is>
      </c>
      <c r="N1342" t="inlineStr">
        <is>
          <t>Yes</t>
        </is>
      </c>
      <c r="O1342" t="inlineStr">
        <is>
          <t>New</t>
        </is>
      </c>
      <c r="P1342" t="inlineStr">
        <is>
          <t>3</t>
        </is>
      </c>
      <c r="Q1342" t="inlineStr">
        <is>
          <t>Blade</t>
        </is>
      </c>
      <c r="R1342" t="inlineStr">
        <is>
          <t>Direct Bolt; Grommet</t>
        </is>
      </c>
      <c r="S1342" t="inlineStr">
        <is>
          <t>2.9200</t>
        </is>
      </c>
      <c r="T1342" t="inlineStr">
        <is>
          <t>No</t>
        </is>
      </c>
      <c r="U1342" t="inlineStr">
        <is>
          <t>Limited Lifetime</t>
        </is>
      </c>
      <c r="V1342" t="inlineStr"/>
      <c r="W1342" t="inlineStr">
        <is>
          <t>Available to Order</t>
        </is>
      </c>
      <c r="X1342" t="inlineStr">
        <is>
          <t>INFINITI QX56 2011-08; Nissan Armada 2015-08, Titan 2022-17 2015-07, Titan XD 2022-16</t>
        </is>
      </c>
      <c r="Y1342" t="inlineStr">
        <is>
          <t>00884548321113</t>
        </is>
      </c>
      <c r="Z1342" t="inlineStr"/>
      <c r="AA1342" t="inlineStr"/>
      <c r="AB1342" t="inlineStr"/>
      <c r="AC1342" t="inlineStr">
        <is>
          <t>Yes</t>
        </is>
      </c>
    </row>
    <row r="1343">
      <c r="A1343" t="inlineStr">
        <is>
          <t>1342</t>
        </is>
      </c>
      <c r="B1343" t="inlineStr">
        <is>
          <t>Windshield Wiper Motor</t>
        </is>
      </c>
      <c r="C1343" t="inlineStr">
        <is>
          <t>85-440</t>
        </is>
      </c>
      <c r="D1343" t="inlineStr">
        <is>
          <t>Windshield Wiper Motor - 85-440</t>
        </is>
      </c>
      <c r="E1343" t="inlineStr">
        <is>
          <t>CARDONE New</t>
        </is>
      </c>
      <c r="F1343" t="inlineStr">
        <is>
          <t>4769121;4756018;4723419</t>
        </is>
      </c>
      <c r="G1343" t="inlineStr">
        <is>
          <t>Chrysler Concorde 1993-1997
Chrysler Intrepid 1993-1997
Chrysler LHS 1994-1997
Chrysler New Yorker 1994-1996
Dodge Intrepid 1993-1997
Eagle Vision 1993-1997</t>
        </is>
      </c>
      <c r="H1343" t="inlineStr">
        <is>
          <t>Chrysler Concorde 1993-1996 3.3L V6 201cid
Chrysler Concorde 1993-1997 3.5L V6 215cid
Chrysler Intrepid 1993-1997 3.3L V6 201cid
Chrysler Intrepid 1993-1997 3.5L V6 215cid
Chrysler LHS 1994-1997 3.5L V6 215cid
Chrysler New Yorker 1994 3L V6 181cid
Chrysler New Yorker 1994-1996 3.5L V6 215cid
Dodge Intrepid 1993-1997 3.3L V6 201cid
Dodge Intrepid 1993-1997 3.5L V6 215cid
Eagle Vision 1993-1997 3.3L V6 201cid
Eagle Vision 1993-1997 3.5L V6 215cid</t>
        </is>
      </c>
      <c r="I1343" t="inlineStr">
        <is>
          <t>{"0": {"productDeskExternalKey": "CNRD|85-440"}, "1": {"Package Contents": "Wiper Motor; Instruction Manual"}, "2": {"E-Waste": "Yes"}, "3": {"Product Condition": "New"}, "4": {"Mounting Hole Quantity": "3"}, "5": {"Terminal Type": "Bullet"}, "6": {"Mounting Type": "Direct Bolt"}, "7": {"Weight PG": "3.4000"}, "8": {"Washer Pump Included": "No"}, "9": {"Part Type": "Windshield Wiper Motor"}, "10": {"Warranty Info": "Limited Lifetime"}, "11": {"Lifetime Warranty": "Yes"}, "12": {"Lifecycle Status": "Available to Order"}, "13": {"Application Summary": "Chrysler Concorde 1997-93, Intrepid 1997-93, LHS 1997-94, New Yorker 1996-94; Dodge Intrepid 1997-93; Eagle Vision 1997-93"}, "14": {"ItemLevelGTIN": "00082617670166"}}</t>
        </is>
      </c>
      <c r="J1343" t="inlineStr">
        <is>
          <t>https://www.cardone.com/product/windshield-wiper-motor-85-440</t>
        </is>
      </c>
      <c r="K1343">
        <f>DISPIMG("ID_D8C995C64D4E473196A632E54F38C5FA",1)</f>
        <v/>
      </c>
      <c r="L1343" t="inlineStr">
        <is>
          <t>CNRD|85-440</t>
        </is>
      </c>
      <c r="M1343" t="inlineStr">
        <is>
          <t>Wiper Motor; Instruction Manual</t>
        </is>
      </c>
      <c r="N1343" t="inlineStr">
        <is>
          <t>Yes</t>
        </is>
      </c>
      <c r="O1343" t="inlineStr">
        <is>
          <t>New</t>
        </is>
      </c>
      <c r="P1343" t="inlineStr">
        <is>
          <t>3</t>
        </is>
      </c>
      <c r="Q1343" t="inlineStr">
        <is>
          <t>Bullet</t>
        </is>
      </c>
      <c r="R1343" t="inlineStr">
        <is>
          <t>Direct Bolt</t>
        </is>
      </c>
      <c r="S1343" t="inlineStr">
        <is>
          <t>3.4000</t>
        </is>
      </c>
      <c r="T1343" t="inlineStr">
        <is>
          <t>No</t>
        </is>
      </c>
      <c r="U1343" t="inlineStr">
        <is>
          <t>Limited Lifetime</t>
        </is>
      </c>
      <c r="V1343" t="inlineStr"/>
      <c r="W1343" t="inlineStr">
        <is>
          <t>Available to Order</t>
        </is>
      </c>
      <c r="X1343" t="inlineStr">
        <is>
          <t>Chrysler Concorde 1997-93, Intrepid 1997-93, LHS 1997-94, New Yorker 1996-94; Dodge Intrepid 1997-93; Eagle Vision 1997-93</t>
        </is>
      </c>
      <c r="Y1343" t="inlineStr">
        <is>
          <t>00082617670166</t>
        </is>
      </c>
      <c r="Z1343" t="inlineStr"/>
      <c r="AA1343" t="inlineStr"/>
      <c r="AB1343" t="inlineStr"/>
      <c r="AC1343" t="inlineStr">
        <is>
          <t>Yes</t>
        </is>
      </c>
    </row>
    <row r="1344">
      <c r="A1344" t="inlineStr">
        <is>
          <t>1343</t>
        </is>
      </c>
      <c r="B1344" t="inlineStr">
        <is>
          <t>Windshield Wiper Motor</t>
        </is>
      </c>
      <c r="C1344" t="inlineStr">
        <is>
          <t>85-4403</t>
        </is>
      </c>
      <c r="D1344" t="inlineStr">
        <is>
          <t>Windshield Wiper Motor - 85-4403</t>
        </is>
      </c>
      <c r="E1344" t="inlineStr">
        <is>
          <t>CARDONE New</t>
        </is>
      </c>
      <c r="F1344" t="inlineStr">
        <is>
          <t>9810029000;9810025000;9810022100</t>
        </is>
      </c>
      <c r="G1344" t="inlineStr">
        <is>
          <t>Dodge Verna 2004-2005
Hyundai Accent 1997-2005
Hyundai Elantra 1996-2000
Hyundai Tiburon 1997-2001</t>
        </is>
      </c>
      <c r="H1344" t="inlineStr">
        <is>
          <t>Dodge Verna 2004-2005 1.5L L4 1495cc
Dodge Verna 2004-2005 1.6L L4 98cid
Hyundai Accent 1997-2003 1.5L L4 1495cc
Hyundai Accent 2001-2005 1.6L L4 1600cc
Hyundai Elantra 1996-1997 1.8L L4 1795cc
Hyundai Elantra 1998 1.8L L4 1796cc
Hyundai Elantra 1999-2000 2L L4 1975cc
Hyundai Tiburon 1997 1.8L L4 1795cc
Hyundai Tiburon 1997 2L L4 1975cc
Hyundai Tiburon 1998-2001 2L L4 1997cc</t>
        </is>
      </c>
      <c r="I1344" t="inlineStr">
        <is>
          <t>{"0": {"productDeskExternalKey": "CNRD|85-4403"}, "1": {"Package Contents": "Wiper Motor; Instruction Manual"}, "2": {"E-Waste": "Yes"}, "3": {"Product Condition": "New"}, "4": {"Terminal Type": "Blade"}, "5": {"Mounting Type": "Eyelet; Grommet"}, "6": {"Weight PG": "2.8000"}, "7": {"Washer Pump Included": "No"}, "8": {"Part Type": "Windshield Wiper Motor"}, "9": {"Warranty Info": "Limited Lifetime"}, "10": {"Lifetime Warranty": "Yes"}, "11": {"Lifecycle Status": "Available to Order"}, "12": {"Application Summary": "Dodge Verna 2005-04; Hyundai Accent 2005-97, Elantra 2000-96, Tiburon 2001-97"}, "13": {"ItemLevelGTIN": "00082617812665"}}</t>
        </is>
      </c>
      <c r="J1344" t="inlineStr">
        <is>
          <t>https://www.cardone.com/product/windshield-wiper-motor-85-4403</t>
        </is>
      </c>
      <c r="K1344">
        <f>DISPIMG("ID_B041954AB86242F7953B47BCAA961050",1)</f>
        <v/>
      </c>
      <c r="L1344" t="inlineStr">
        <is>
          <t>CNRD|85-4403</t>
        </is>
      </c>
      <c r="M1344" t="inlineStr">
        <is>
          <t>Wiper Motor; Instruction Manual</t>
        </is>
      </c>
      <c r="N1344" t="inlineStr">
        <is>
          <t>Yes</t>
        </is>
      </c>
      <c r="O1344" t="inlineStr">
        <is>
          <t>New</t>
        </is>
      </c>
      <c r="P1344" t="inlineStr"/>
      <c r="Q1344" t="inlineStr">
        <is>
          <t>Blade</t>
        </is>
      </c>
      <c r="R1344" t="inlineStr">
        <is>
          <t>Eyelet; Grommet</t>
        </is>
      </c>
      <c r="S1344" t="inlineStr">
        <is>
          <t>2.8000</t>
        </is>
      </c>
      <c r="T1344" t="inlineStr">
        <is>
          <t>No</t>
        </is>
      </c>
      <c r="U1344" t="inlineStr">
        <is>
          <t>Limited Lifetime</t>
        </is>
      </c>
      <c r="V1344" t="inlineStr"/>
      <c r="W1344" t="inlineStr">
        <is>
          <t>Available to Order</t>
        </is>
      </c>
      <c r="X1344" t="inlineStr">
        <is>
          <t>Dodge Verna 2005-04; Hyundai Accent 2005-97, Elantra 2000-96, Tiburon 2001-97</t>
        </is>
      </c>
      <c r="Y1344" t="inlineStr">
        <is>
          <t>00082617812665</t>
        </is>
      </c>
      <c r="Z1344" t="inlineStr"/>
      <c r="AA1344" t="inlineStr"/>
      <c r="AB1344" t="inlineStr"/>
      <c r="AC1344" t="inlineStr">
        <is>
          <t>Yes</t>
        </is>
      </c>
    </row>
    <row r="1345">
      <c r="A1345" t="inlineStr">
        <is>
          <t>1344</t>
        </is>
      </c>
      <c r="B1345" t="inlineStr">
        <is>
          <t>Windshield Wiper Motor</t>
        </is>
      </c>
      <c r="C1345" t="inlineStr">
        <is>
          <t>85-4417</t>
        </is>
      </c>
      <c r="D1345" t="inlineStr">
        <is>
          <t>Windshield Wiper Motor - 85-4417</t>
        </is>
      </c>
      <c r="E1345" t="inlineStr">
        <is>
          <t>CARDONE New</t>
        </is>
      </c>
      <c r="F1345" t="inlineStr">
        <is>
          <t>6E5Z17508AA;GK2C67340</t>
        </is>
      </c>
      <c r="G1345" t="inlineStr">
        <is>
          <t>Ford Fusion 2006-2012
Lincoln MKZ 2007-2012
Lincoln Zephyr 2006
Mazda 6 2003-2005
Mercury Milan 2006-2011</t>
        </is>
      </c>
      <c r="H1345" t="inlineStr">
        <is>
          <t>Ford Fusion 2006-2010 2.3L L4 140cid
Ford Fusion 2006-2012 3L V6 181cid
Ford Fusion 2010-2012 2.5L L4 152cid
Ford Fusion 2010-2012 3.5L V6 213cid
Lincoln MKZ 2007-2012 3.5L V6 213cid
Lincoln MKZ 2011-2012 2.5L L4 152cid
Lincoln Zephyr 2006 3L V6 181cid
Mazda 6 2003-2005 2.3L L4 2260cc
Mazda 6 2003-2005 3L V6 181cid
Mercury Milan 2006-2009 2.3L L4 140cid
Mercury Milan 2006-2011 3L V6 181cid
Mercury Milan 2010-2011 2.5L L4 152cid</t>
        </is>
      </c>
      <c r="I1345" t="inlineStr">
        <is>
          <t>{"0": {"productDeskExternalKey": "CNRD|85-4417"}, "1": {"Package Contents": "Wiper Motor; Instruction Manual"}, "2": {"E-Waste": "Yes"}, "3": {"Product Condition": "New"}, "4": {"Terminal Type": "Blade"}, "5": {"Mounting Type": "Direct Bolt; Grommet"}, "6": {"Weight PG": "3.2000"}, "7": {"Washer Pump Included": "No"}, "8": {"Part Type": "Windshield Wiper Motor"}, "9": {"Warranty Info": "Limited Lifetime"}, "10": {"Lifetime Warranty": "Yes"}, "11": {"Lifecycle Status": "Available to Order"}, "12": {"Application Summary": "Ford Fusion 2012-06; Lincoln MKZ 2012-07, Zephyr 2006; Mazda 6 2005-03; Mercury Milan 2011-06"}, "13": {"ItemLevelGTIN": "00884548286887"}}</t>
        </is>
      </c>
      <c r="J1345" t="inlineStr">
        <is>
          <t>https://www.cardone.com/product/windshield-wiper-motor-85-4417</t>
        </is>
      </c>
      <c r="K1345">
        <f>DISPIMG("ID_2130EBD515924F9ABB65F277048B0359",1)</f>
        <v/>
      </c>
      <c r="L1345" t="inlineStr">
        <is>
          <t>CNRD|85-4417</t>
        </is>
      </c>
      <c r="M1345" t="inlineStr">
        <is>
          <t>Wiper Motor; Instruction Manual</t>
        </is>
      </c>
      <c r="N1345" t="inlineStr">
        <is>
          <t>Yes</t>
        </is>
      </c>
      <c r="O1345" t="inlineStr">
        <is>
          <t>New</t>
        </is>
      </c>
      <c r="P1345" t="inlineStr"/>
      <c r="Q1345" t="inlineStr">
        <is>
          <t>Blade</t>
        </is>
      </c>
      <c r="R1345" t="inlineStr">
        <is>
          <t>Direct Bolt; Grommet</t>
        </is>
      </c>
      <c r="S1345" t="inlineStr">
        <is>
          <t>3.2000</t>
        </is>
      </c>
      <c r="T1345" t="inlineStr">
        <is>
          <t>No</t>
        </is>
      </c>
      <c r="U1345" t="inlineStr">
        <is>
          <t>Limited Lifetime</t>
        </is>
      </c>
      <c r="V1345" t="inlineStr"/>
      <c r="W1345" t="inlineStr">
        <is>
          <t>Available to Order</t>
        </is>
      </c>
      <c r="X1345" t="inlineStr">
        <is>
          <t>Ford Fusion 2012-06; Lincoln MKZ 2012-07, Zephyr 2006; Mazda 6 2005-03; Mercury Milan 2011-06</t>
        </is>
      </c>
      <c r="Y1345" t="inlineStr">
        <is>
          <t>00884548286887</t>
        </is>
      </c>
      <c r="Z1345" t="inlineStr"/>
      <c r="AA1345" t="inlineStr"/>
      <c r="AB1345" t="inlineStr"/>
      <c r="AC1345" t="inlineStr">
        <is>
          <t>Yes</t>
        </is>
      </c>
    </row>
    <row r="1346">
      <c r="A1346" t="inlineStr">
        <is>
          <t>1345</t>
        </is>
      </c>
      <c r="B1346" t="inlineStr">
        <is>
          <t>Windshield Wiper Motor</t>
        </is>
      </c>
      <c r="C1346" t="inlineStr">
        <is>
          <t>85-4418</t>
        </is>
      </c>
      <c r="D1346" t="inlineStr">
        <is>
          <t>Windshield Wiper Motor - 85-4418</t>
        </is>
      </c>
      <c r="E1346" t="inlineStr">
        <is>
          <t>CARDONE New</t>
        </is>
      </c>
      <c r="F1346" t="inlineStr">
        <is>
          <t>BE8Z17508A;BP4K67340;561955119A;93179149;561955023B</t>
        </is>
      </c>
      <c r="G1346" t="inlineStr">
        <is>
          <t>Chevrolet Astra 2008
Ford Fiesta 2011-2019
Mazda 3 2004-2006
Saturn Astra 2008-2009
Volkswagen Beetle 2012-2019
Volkswagen Passat 2012-2015</t>
        </is>
      </c>
      <c r="H1346" t="inlineStr">
        <is>
          <t>Chevrolet Astra 2008 1.8L L4 110cid
Chevrolet Astra 2008 2L L4 122cid
Ford Fiesta 2011-2013 1.6L L4 98cid
Ford Fiesta 2011-2019 1.6L L4 97cid
Ford Fiesta 2015-2017 1L L3 61cid
Mazda 3 2004-2006 2.3L L4 2260cc
Mazda 3 2004-2006 2L L4 122cid
Saturn Astra 2008-2009 1.8L L4 110cid
Volkswagen Beetle 2012-2019 2.5L L5 151cid
Volkswagen Beetle 2012-2019 2L L4 121cid
Volkswagen Beetle 2013-2015 2L L4 120cid
Volkswagen Beetle 2014-2017 1.8L L4 110cid
Volkswagen Passat 2012-2015 2.5L L5 151cid
Volkswagen Passat 2012-2015 2L L4 120cid
Volkswagen Passat 2012-2015 3.6L V6 219cid
Volkswagen Passat 2014-2015 1.8L L4 110cid</t>
        </is>
      </c>
      <c r="I1346" t="inlineStr">
        <is>
          <t>{"0": {"productDeskExternalKey": "CNRD|85-4418"}, "1": {"Package Contents": "Wiper Motor; Instruction Sheet"}, "2": {"E-Waste": "Yes"}, "3": {"Product Condition": "New"}, "4": {"Mounting Hole Quantity": "3"}, "5": {"Terminal Type": "Blade"}, "6": {"Mounting Type": "Direct Bolt"}, "7": {"Weight PG": "3.0000"}, "8": {"Washer Pump Included": "No"}, "9": {"Part Type": "Windshield Wiper Motor"}, "10": {"Warranty Info": "Limited Lifetime"}, "11": {"Lifetime Warranty": "Yes"}, "12": {"Lifecycle Status": "Available to Order"}, "13": {"Application Summary": "Chevrolet Astra 2008; Ford Fiesta 2019-15 2013-11; Mazda 3 2006-04; Saturn Astra 2009-08; Volkswagen Beetle 2019-12, Passat 2015-12"}, "14": {"ItemLevelGTIN": "00884548266063"}}</t>
        </is>
      </c>
      <c r="J1346" t="inlineStr">
        <is>
          <t>https://www.cardone.com/product/windshield-wiper-motor-85-4418</t>
        </is>
      </c>
      <c r="K1346">
        <f>DISPIMG("ID_18E9B488FCDE4F938F23DC467C0695AE",1)</f>
        <v/>
      </c>
      <c r="L1346" t="inlineStr">
        <is>
          <t>CNRD|85-4418</t>
        </is>
      </c>
      <c r="M1346" t="inlineStr">
        <is>
          <t>Wiper Motor; Instruction Sheet</t>
        </is>
      </c>
      <c r="N1346" t="inlineStr">
        <is>
          <t>Yes</t>
        </is>
      </c>
      <c r="O1346" t="inlineStr">
        <is>
          <t>New</t>
        </is>
      </c>
      <c r="P1346" t="inlineStr">
        <is>
          <t>3</t>
        </is>
      </c>
      <c r="Q1346" t="inlineStr">
        <is>
          <t>Blade</t>
        </is>
      </c>
      <c r="R1346" t="inlineStr">
        <is>
          <t>Direct Bolt</t>
        </is>
      </c>
      <c r="S1346" t="inlineStr">
        <is>
          <t>3.0000</t>
        </is>
      </c>
      <c r="T1346" t="inlineStr">
        <is>
          <t>No</t>
        </is>
      </c>
      <c r="U1346" t="inlineStr">
        <is>
          <t>Limited Lifetime</t>
        </is>
      </c>
      <c r="V1346" t="inlineStr"/>
      <c r="W1346" t="inlineStr">
        <is>
          <t>Available to Order</t>
        </is>
      </c>
      <c r="X1346" t="inlineStr">
        <is>
          <t>Chevrolet Astra 2008; Ford Fiesta 2019-15 2013-11; Mazda 3 2006-04; Saturn Astra 2009-08; Volkswagen Beetle 2019-12, Passat 2015-12</t>
        </is>
      </c>
      <c r="Y1346" t="inlineStr">
        <is>
          <t>00884548266063</t>
        </is>
      </c>
      <c r="Z1346" t="inlineStr"/>
      <c r="AA1346" t="inlineStr"/>
      <c r="AB1346" t="inlineStr"/>
      <c r="AC1346" t="inlineStr">
        <is>
          <t>Yes</t>
        </is>
      </c>
    </row>
    <row r="1347">
      <c r="A1347" t="inlineStr">
        <is>
          <t>1346</t>
        </is>
      </c>
      <c r="B1347" t="inlineStr">
        <is>
          <t>Windshield Wiper Motor</t>
        </is>
      </c>
      <c r="C1347" t="inlineStr">
        <is>
          <t>85-4419</t>
        </is>
      </c>
      <c r="D1347" t="inlineStr">
        <is>
          <t>Windshield Wiper Motor - 85-4419</t>
        </is>
      </c>
      <c r="E1347" t="inlineStr">
        <is>
          <t>CARDONE New</t>
        </is>
      </c>
      <c r="F1347" t="inlineStr">
        <is>
          <t>BN8V67340</t>
        </is>
      </c>
      <c r="G1347" t="inlineStr">
        <is>
          <t>Mazda 3 2006-2009
Mazda 3 Sport 2009</t>
        </is>
      </c>
      <c r="H1347" t="inlineStr">
        <is>
          <t>Mazda 3 2006-2009 2.3L L4 2260cc
Mazda 3 2006-2009 2L L4 122cid
Mazda 3 Sport 2009 2L L4 122cid</t>
        </is>
      </c>
      <c r="I1347" t="inlineStr">
        <is>
          <t>{"0": {"productDeskExternalKey": "CNRD|85-4419"}, "1": {"Package Contents": "Wiper Motor; Instruction Manual"}, "2": {"E-Waste": "Yes"}, "3": {"Product Condition": "New"}, "4": {"Terminal Type": "Blade"}, "5": {"Mounting Type": "Direct Bolt"}, "6": {"Weight PG": "2.7500"}, "7": {"Washer Pump Included": "No"}, "8": {"Part Type": "Windshield Wiper Motor"}, "9": {"Warranty Info": "Limited Lifetime"}, "10": {"Lifetime Warranty": "Yes"}, "11": {"Lifecycle Status": "Available to Order"}, "12": {"Application Summary": "Mazda 3 2009-06, 3 Sport 2009"}, "13": {"ItemLevelGTIN": "00884548306370"}}</t>
        </is>
      </c>
      <c r="J1347" t="inlineStr">
        <is>
          <t>https://www.cardone.com/product/windshield-wiper-motor-85-4419</t>
        </is>
      </c>
      <c r="K1347">
        <f>DISPIMG("ID_37F245D6A0BC4A2F8897562291C90BF0",1)</f>
        <v/>
      </c>
      <c r="L1347" t="inlineStr">
        <is>
          <t>CNRD|85-4419</t>
        </is>
      </c>
      <c r="M1347" t="inlineStr">
        <is>
          <t>Wiper Motor; Instruction Manual</t>
        </is>
      </c>
      <c r="N1347" t="inlineStr">
        <is>
          <t>Yes</t>
        </is>
      </c>
      <c r="O1347" t="inlineStr">
        <is>
          <t>New</t>
        </is>
      </c>
      <c r="P1347" t="inlineStr"/>
      <c r="Q1347" t="inlineStr">
        <is>
          <t>Blade</t>
        </is>
      </c>
      <c r="R1347" t="inlineStr">
        <is>
          <t>Direct Bolt</t>
        </is>
      </c>
      <c r="S1347" t="inlineStr">
        <is>
          <t>2.7500</t>
        </is>
      </c>
      <c r="T1347" t="inlineStr">
        <is>
          <t>No</t>
        </is>
      </c>
      <c r="U1347" t="inlineStr">
        <is>
          <t>Limited Lifetime</t>
        </is>
      </c>
      <c r="V1347" t="inlineStr"/>
      <c r="W1347" t="inlineStr">
        <is>
          <t>Available to Order</t>
        </is>
      </c>
      <c r="X1347" t="inlineStr">
        <is>
          <t>Mazda 3 2009-06, 3 Sport 2009</t>
        </is>
      </c>
      <c r="Y1347" t="inlineStr">
        <is>
          <t>00884548306370</t>
        </is>
      </c>
      <c r="Z1347" t="inlineStr"/>
      <c r="AA1347" t="inlineStr"/>
      <c r="AB1347" t="inlineStr"/>
      <c r="AC1347" t="inlineStr">
        <is>
          <t>Yes</t>
        </is>
      </c>
    </row>
    <row r="1348">
      <c r="A1348" t="inlineStr">
        <is>
          <t>1347</t>
        </is>
      </c>
      <c r="B1348" t="inlineStr">
        <is>
          <t>Windshield Wiper Motor</t>
        </is>
      </c>
      <c r="C1348" t="inlineStr">
        <is>
          <t>85-442</t>
        </is>
      </c>
      <c r="D1348" t="inlineStr">
        <is>
          <t>Windshield Wiper Motor - 85-442</t>
        </is>
      </c>
      <c r="E1348" t="inlineStr">
        <is>
          <t>CARDONE New</t>
        </is>
      </c>
      <c r="F1348" t="inlineStr">
        <is>
          <t>4864892</t>
        </is>
      </c>
      <c r="G1348" t="inlineStr">
        <is>
          <t>Jeep TJ 1997-2002
Jeep Wrangler 1997-2002</t>
        </is>
      </c>
      <c r="H1348" t="inlineStr">
        <is>
          <t>Jeep TJ 1997-2002 2.5L L4 150cid
Jeep TJ 1997-2002 4L L6 242cid
Jeep Wrangler 1997-2002 2.5L L4 150cid
Jeep Wrangler 1997-2002 4L L6 242cid</t>
        </is>
      </c>
      <c r="I1348" t="inlineStr">
        <is>
          <t>{"0": {"productDeskExternalKey": "CNRD|85-442"}, "1": {"Package Contents": "Wiper Motor; Instruction Manual"}, "2": {"E-Waste": "Yes"}, "3": {"Product Condition": "New"}, "4": {"Mounting Hole Quantity": "3"}, "5": {"Terminal Type": "Blade"}, "6": {"Mounting Type": "Direct Bolt"}, "7": {"Weight PG": "3.0000"}, "8": {"Washer Pump Included": "No"}, "9": {"Part Type": "Windshield Wiper Motor"}, "10": {"Warranty Info": "Limited Lifetime"}, "11": {"Lifetime Warranty": "Yes"}, "12": {"Lifecycle Status": "Available to Order"}, "13": {"Application Summary": "Jeep TJ 2002-97, Wrangler 2002-97"}, "14": {"ItemLevelGTIN": "00082617733267"}}</t>
        </is>
      </c>
      <c r="J1348" t="inlineStr">
        <is>
          <t>https://www.cardone.com/product/windshield-wiper-motor-85-442</t>
        </is>
      </c>
      <c r="K1348">
        <f>DISPIMG("ID_729B68BF869E45E18F37CDDE72F2256C",1)</f>
        <v/>
      </c>
      <c r="L1348" t="inlineStr">
        <is>
          <t>CNRD|85-442</t>
        </is>
      </c>
      <c r="M1348" t="inlineStr">
        <is>
          <t>Wiper Motor; Instruction Manual</t>
        </is>
      </c>
      <c r="N1348" t="inlineStr">
        <is>
          <t>Yes</t>
        </is>
      </c>
      <c r="O1348" t="inlineStr">
        <is>
          <t>New</t>
        </is>
      </c>
      <c r="P1348" t="inlineStr">
        <is>
          <t>3</t>
        </is>
      </c>
      <c r="Q1348" t="inlineStr">
        <is>
          <t>Blade</t>
        </is>
      </c>
      <c r="R1348" t="inlineStr">
        <is>
          <t>Direct Bolt</t>
        </is>
      </c>
      <c r="S1348" t="inlineStr">
        <is>
          <t>3.0000</t>
        </is>
      </c>
      <c r="T1348" t="inlineStr">
        <is>
          <t>No</t>
        </is>
      </c>
      <c r="U1348" t="inlineStr">
        <is>
          <t>Limited Lifetime</t>
        </is>
      </c>
      <c r="V1348" t="inlineStr"/>
      <c r="W1348" t="inlineStr">
        <is>
          <t>Available to Order</t>
        </is>
      </c>
      <c r="X1348" t="inlineStr">
        <is>
          <t>Jeep TJ 2002-97, Wrangler 2002-97</t>
        </is>
      </c>
      <c r="Y1348" t="inlineStr">
        <is>
          <t>00082617733267</t>
        </is>
      </c>
      <c r="Z1348" t="inlineStr"/>
      <c r="AA1348" t="inlineStr"/>
      <c r="AB1348" t="inlineStr"/>
      <c r="AC1348" t="inlineStr">
        <is>
          <t>Yes</t>
        </is>
      </c>
    </row>
    <row r="1349">
      <c r="A1349" t="inlineStr">
        <is>
          <t>1348</t>
        </is>
      </c>
      <c r="B1349" t="inlineStr">
        <is>
          <t>Windshield Wiper Motor</t>
        </is>
      </c>
      <c r="C1349" t="inlineStr">
        <is>
          <t>85-443</t>
        </is>
      </c>
      <c r="D1349" t="inlineStr">
        <is>
          <t>Windshield Wiper Motor - 85-443</t>
        </is>
      </c>
      <c r="E1349" t="inlineStr">
        <is>
          <t>CARDONE New</t>
        </is>
      </c>
      <c r="F1349" t="inlineStr">
        <is>
          <t>55154863AC;55155895AB;55155092;55154863AH;55155092AD;55155895AD;55154863AB;55155895AA;55154863AE;55154863AI;55154863AG;55155895AE;55154863</t>
        </is>
      </c>
      <c r="G1349" t="inlineStr">
        <is>
          <t>Dodge Dakota 1997-2011
Dodge Durango 1998-2003
Jeep Grand Cherokee 1999-2004
Jeep Liberty 2002-2007
Mitsubishi Raider 2006-2009
Ram Dakota 2011</t>
        </is>
      </c>
      <c r="H1349" t="inlineStr">
        <is>
          <t>Dodge Dakota 1997-1999 5.2L V8 318cid
Dodge Dakota 1997-2002 2.5L L4 153cid
Dodge Dakota 1997-2003 3.9L V6 239cid
Dodge Dakota 1998-2003 5.9L V8 360cid
Dodge Dakota 2000-2010 4.7L V8 287cid
Dodge Dakota 2004-2011 3.7L V6 226cid
Dodge Durango 1998-1999 3.9L V6 239cid
Dodge Durango 1998-2000 5.2L V8 318cid
Dodge Durango 1998-2003 5.9L V8 360cid
Dodge Durango 2000-2003 4.7L V8 287cid
Jeep Grand Cherokee 1999-2004 4.7L V8 287cid
Jeep Grand Cherokee 1999-2004 4L L6 242cid
Jeep Liberty 2002-2005 2.4L L4 148cid
Jeep Liberty 2002-2007 3.7L V6 226cid
Jeep Liberty 2005-2006 2.8L L4 171cid
Mitsubishi Raider 2006-2007 4.7L V8 287cid
Mitsubishi Raider 2006-2009 3.7L V6 226cid
Ram Dakota 2011 3.7L V6 226cid
Ram Dakota 2011 4.7L V8 287cid</t>
        </is>
      </c>
      <c r="I1349" t="inlineStr">
        <is>
          <t>{"0": {"productDeskExternalKey": "CNRD|85-443"}, "1": {"Package Contents": "Wiper Motor; Instruction Manual"}, "2": {"E-Waste": "Yes"}, "3": {"Product Condition": "New"}, "4": {"Mounting Hole Quantity": "3"}, "5": {"Terminal Type": "Blade"}, "6": {"Mounting Type": "Direct Bolt"}, "7": {"Weight PG": "3.0000"}, "8": {"Washer Pump Included": "No"}, "9": {"Part Type": "Windshield Wiper Motor"}, "10": {"Warranty Info": "Limited Lifetime"}, "11": {"Lifetime Warranty": "Yes"}, "12": {"Lifecycle Status": "Available to Order"}, "13": {"Application Summary": "Dodge Dakota 2011-97, Durango 2003-98; Jeep Grand Cherokee 2004-99, Liberty 2007-02; Mitsubishi Raider 2009-06; Ram Dakota 2011"}, "14": {"ItemLevelGTIN": "00884548192782"}}</t>
        </is>
      </c>
      <c r="J1349" t="inlineStr">
        <is>
          <t>https://www.cardone.com/product/windshield-wiper-motor-85-443</t>
        </is>
      </c>
      <c r="K1349">
        <f>DISPIMG("ID_C1A3BDB8B780448F9F5FA14248CDF1A8",1)</f>
        <v/>
      </c>
      <c r="L1349" t="inlineStr">
        <is>
          <t>CNRD|85-443</t>
        </is>
      </c>
      <c r="M1349" t="inlineStr">
        <is>
          <t>Wiper Motor; Instruction Manual</t>
        </is>
      </c>
      <c r="N1349" t="inlineStr">
        <is>
          <t>Yes</t>
        </is>
      </c>
      <c r="O1349" t="inlineStr">
        <is>
          <t>New</t>
        </is>
      </c>
      <c r="P1349" t="inlineStr">
        <is>
          <t>3</t>
        </is>
      </c>
      <c r="Q1349" t="inlineStr">
        <is>
          <t>Blade</t>
        </is>
      </c>
      <c r="R1349" t="inlineStr">
        <is>
          <t>Direct Bolt</t>
        </is>
      </c>
      <c r="S1349" t="inlineStr">
        <is>
          <t>3.0000</t>
        </is>
      </c>
      <c r="T1349" t="inlineStr">
        <is>
          <t>No</t>
        </is>
      </c>
      <c r="U1349" t="inlineStr">
        <is>
          <t>Limited Lifetime</t>
        </is>
      </c>
      <c r="V1349" t="inlineStr"/>
      <c r="W1349" t="inlineStr">
        <is>
          <t>Available to Order</t>
        </is>
      </c>
      <c r="X1349" t="inlineStr">
        <is>
          <t>Dodge Dakota 2011-97, Durango 2003-98; Jeep Grand Cherokee 2004-99, Liberty 2007-02; Mitsubishi Raider 2009-06; Ram Dakota 2011</t>
        </is>
      </c>
      <c r="Y1349" t="inlineStr">
        <is>
          <t>00884548192782</t>
        </is>
      </c>
      <c r="Z1349" t="inlineStr"/>
      <c r="AA1349" t="inlineStr"/>
      <c r="AB1349" t="inlineStr"/>
      <c r="AC1349" t="inlineStr">
        <is>
          <t>Yes</t>
        </is>
      </c>
    </row>
    <row r="1350">
      <c r="A1350" t="inlineStr">
        <is>
          <t>1349</t>
        </is>
      </c>
      <c r="B1350" t="inlineStr">
        <is>
          <t>Windshield Wiper Motor</t>
        </is>
      </c>
      <c r="C1350" t="inlineStr">
        <is>
          <t>85-444</t>
        </is>
      </c>
      <c r="D1350" t="inlineStr">
        <is>
          <t>Windshield Wiper Motor - 85-444</t>
        </is>
      </c>
      <c r="E1350" t="inlineStr">
        <is>
          <t>CARDONE New</t>
        </is>
      </c>
      <c r="F1350" t="inlineStr">
        <is>
          <t>55154944AB;55154944</t>
        </is>
      </c>
      <c r="G1350" t="inlineStr">
        <is>
          <t>Jeep Cherokee 1997-2001</t>
        </is>
      </c>
      <c r="H1350" t="inlineStr">
        <is>
          <t>Jeep Cherokee 1997-2000 2.5L L4 150cid
Jeep Cherokee 1997-2001 4L L6 242cid</t>
        </is>
      </c>
      <c r="I1350" t="inlineStr">
        <is>
          <t>{"0": {"productDeskExternalKey": "CNRD|85-444"}, "1": {"Package Contents": "Wiper Motor; Instruction Manual"}, "2": {"E-Waste": "Yes"}, "3": {"Product Condition": "New"}, "4": {"Mounting Hole Quantity": "2"}, "5": {"Terminal Type": "Blade"}, "6": {"Mounting Type": "Grommet"}, "7": {"Weight PG": "3.0000"}, "8": {"Washer Pump Included": "No"}, "9": {"Part Type": "Windshield Wiper Motor"}, "10": {"Warranty Info": "Limited Lifetime"}, "11": {"Lifetime Warranty": "Yes"}, "12": {"Lifecycle Status": "Available to Order"}, "13": {"Application Summary": "Jeep Cherokee 2001-97"}, "14": {"ItemLevelGTIN": "00082617748025"}}</t>
        </is>
      </c>
      <c r="J1350" t="inlineStr">
        <is>
          <t>https://www.cardone.com/product/windshield-wiper-motor-85-444</t>
        </is>
      </c>
      <c r="K1350">
        <f>DISPIMG("ID_87239404773B4F5EAD1D11C7EC75764C",1)</f>
        <v/>
      </c>
      <c r="L1350" t="inlineStr">
        <is>
          <t>CNRD|85-444</t>
        </is>
      </c>
      <c r="M1350" t="inlineStr">
        <is>
          <t>Wiper Motor; Instruction Manual</t>
        </is>
      </c>
      <c r="N1350" t="inlineStr">
        <is>
          <t>Yes</t>
        </is>
      </c>
      <c r="O1350" t="inlineStr">
        <is>
          <t>New</t>
        </is>
      </c>
      <c r="P1350" t="inlineStr">
        <is>
          <t>2</t>
        </is>
      </c>
      <c r="Q1350" t="inlineStr">
        <is>
          <t>Blade</t>
        </is>
      </c>
      <c r="R1350" t="inlineStr">
        <is>
          <t>Grommet</t>
        </is>
      </c>
      <c r="S1350" t="inlineStr">
        <is>
          <t>3.0000</t>
        </is>
      </c>
      <c r="T1350" t="inlineStr">
        <is>
          <t>No</t>
        </is>
      </c>
      <c r="U1350" t="inlineStr">
        <is>
          <t>Limited Lifetime</t>
        </is>
      </c>
      <c r="V1350" t="inlineStr"/>
      <c r="W1350" t="inlineStr">
        <is>
          <t>Available to Order</t>
        </is>
      </c>
      <c r="X1350" t="inlineStr">
        <is>
          <t>Jeep Cherokee 2001-97</t>
        </is>
      </c>
      <c r="Y1350" t="inlineStr">
        <is>
          <t>00082617748025</t>
        </is>
      </c>
      <c r="Z1350" t="inlineStr"/>
      <c r="AA1350" t="inlineStr"/>
      <c r="AB1350" t="inlineStr"/>
      <c r="AC1350" t="inlineStr">
        <is>
          <t>Yes</t>
        </is>
      </c>
    </row>
    <row r="1351">
      <c r="A1351" t="inlineStr">
        <is>
          <t>1350</t>
        </is>
      </c>
      <c r="B1351" t="inlineStr">
        <is>
          <t>Windshield Wiper Motor</t>
        </is>
      </c>
      <c r="C1351" t="inlineStr">
        <is>
          <t>85-4461</t>
        </is>
      </c>
      <c r="D1351" t="inlineStr">
        <is>
          <t>Windshield Wiper Motor - 85-4461</t>
        </is>
      </c>
      <c r="E1351" t="inlineStr">
        <is>
          <t>CARDONE New</t>
        </is>
      </c>
      <c r="F1351" t="inlineStr">
        <is>
          <t>0K53Z67450A</t>
        </is>
      </c>
      <c r="G1351" t="inlineStr">
        <is>
          <t>Kia Sedona 2003-2005</t>
        </is>
      </c>
      <c r="H1351" t="inlineStr">
        <is>
          <t>Kia Sedona 2003-2005 3.5L V6 3497cc</t>
        </is>
      </c>
      <c r="I1351" t="inlineStr">
        <is>
          <t>{"0": {"productDeskExternalKey": "CNRD|85-4461"}, "1": {"Package Contents": "Wiper Motor; Instruction Manual"}, "2": {"E-Waste": "Yes"}, "3": {"Product Condition": "New"}, "4": {"Mounting Hole Quantity": "3"}, "5": {"Terminal Type": "Blade"}, "6": {"Mounting Type": "Eyelet; Grommet"}, "7": {"Weight PG": "3.0000"}, "8": {"Washer Pump Included": "No"}, "9": {"Part Type": "Windshield Wiper Motor"}, "10": {"Warranty Info": "Limited Lifetime"}, "11": {"Lifetime Warranty": "Yes"}, "12": {"Lifecycle Status": "Available to Order"}, "13": {"Application Summary": "Kia Sedona 2005-03"}, "14": {"ItemLevelGTIN": "00082617812689"}}</t>
        </is>
      </c>
      <c r="J1351" t="inlineStr">
        <is>
          <t>https://www.cardone.com/product/windshield-wiper-motor-85-4461</t>
        </is>
      </c>
      <c r="K1351">
        <f>DISPIMG("ID_6FB90FD0BDD945188820BB200611D597",1)</f>
        <v/>
      </c>
      <c r="L1351" t="inlineStr">
        <is>
          <t>CNRD|85-4461</t>
        </is>
      </c>
      <c r="M1351" t="inlineStr">
        <is>
          <t>Wiper Motor; Instruction Manual</t>
        </is>
      </c>
      <c r="N1351" t="inlineStr">
        <is>
          <t>Yes</t>
        </is>
      </c>
      <c r="O1351" t="inlineStr">
        <is>
          <t>New</t>
        </is>
      </c>
      <c r="P1351" t="inlineStr">
        <is>
          <t>3</t>
        </is>
      </c>
      <c r="Q1351" t="inlineStr">
        <is>
          <t>Blade</t>
        </is>
      </c>
      <c r="R1351" t="inlineStr">
        <is>
          <t>Eyelet; Grommet</t>
        </is>
      </c>
      <c r="S1351" t="inlineStr">
        <is>
          <t>3.0000</t>
        </is>
      </c>
      <c r="T1351" t="inlineStr">
        <is>
          <t>No</t>
        </is>
      </c>
      <c r="U1351" t="inlineStr">
        <is>
          <t>Limited Lifetime</t>
        </is>
      </c>
      <c r="V1351" t="inlineStr"/>
      <c r="W1351" t="inlineStr">
        <is>
          <t>Available to Order</t>
        </is>
      </c>
      <c r="X1351" t="inlineStr">
        <is>
          <t>Kia Sedona 2005-03</t>
        </is>
      </c>
      <c r="Y1351" t="inlineStr">
        <is>
          <t>00082617812689</t>
        </is>
      </c>
      <c r="Z1351" t="inlineStr"/>
      <c r="AA1351" t="inlineStr"/>
      <c r="AB1351" t="inlineStr"/>
      <c r="AC1351" t="inlineStr">
        <is>
          <t>Yes</t>
        </is>
      </c>
    </row>
    <row r="1352">
      <c r="A1352" t="inlineStr">
        <is>
          <t>1351</t>
        </is>
      </c>
      <c r="B1352" t="inlineStr">
        <is>
          <t>Windshield Wiper Motor</t>
        </is>
      </c>
      <c r="C1352" t="inlineStr">
        <is>
          <t>85-4464</t>
        </is>
      </c>
      <c r="D1352" t="inlineStr">
        <is>
          <t>Windshield Wiper Motor - 85-4464</t>
        </is>
      </c>
      <c r="E1352" t="inlineStr">
        <is>
          <t>CARDONE New</t>
        </is>
      </c>
      <c r="F1352" t="inlineStr">
        <is>
          <t>981103E000</t>
        </is>
      </c>
      <c r="G1352" t="inlineStr">
        <is>
          <t>Kia Sorento 2003-2009</t>
        </is>
      </c>
      <c r="H1352" t="inlineStr">
        <is>
          <t>Kia Sorento 2003-2006 3.5L V6 3497cc
Kia Sorento 2007-2009 3.8L V6 231cid
Kia Sorento 2008-2009 3.3L V6 3342cc</t>
        </is>
      </c>
      <c r="I1352" t="inlineStr">
        <is>
          <t>{"0": {"productDeskExternalKey": "CNRD|85-4464"}, "1": {"Package Contents": "Wiper Motor; Instruction Manual"}, "2": {"E-Waste": "Yes"}, "3": {"Product Condition": "New"}, "4": {"Mounting Hole Quantity": "3"}, "5": {"Terminal Type": "Blade"}, "6": {"Mounting Type": "Direct Bolt"}, "7": {"Weight PG": "3.0000"}, "8": {"Washer Pump Included": "No"}, "9": {"Part Type": "Windshield Wiper Motor"}, "10": {"Warranty Info": "Limited Lifetime"}, "11": {"Lifetime Warranty": "Yes"}, "12": {"Lifecycle Status": "Available to Order"}, "13": {"Application Summary": "Kia Sorento 2009-03"}, "14": {"ItemLevelGTIN": "00884548020207"}}</t>
        </is>
      </c>
      <c r="J1352" t="inlineStr">
        <is>
          <t>https://www.cardone.com/product/windshield-wiper-motor-85-4464</t>
        </is>
      </c>
      <c r="K1352">
        <f>DISPIMG("ID_2C1974E1CD3A4A02ADAFAF2C5F92A51E",1)</f>
        <v/>
      </c>
      <c r="L1352" t="inlineStr">
        <is>
          <t>CNRD|85-4464</t>
        </is>
      </c>
      <c r="M1352" t="inlineStr">
        <is>
          <t>Wiper Motor; Instruction Manual</t>
        </is>
      </c>
      <c r="N1352" t="inlineStr">
        <is>
          <t>Yes</t>
        </is>
      </c>
      <c r="O1352" t="inlineStr">
        <is>
          <t>New</t>
        </is>
      </c>
      <c r="P1352" t="inlineStr">
        <is>
          <t>3</t>
        </is>
      </c>
      <c r="Q1352" t="inlineStr">
        <is>
          <t>Blade</t>
        </is>
      </c>
      <c r="R1352" t="inlineStr">
        <is>
          <t>Direct Bolt</t>
        </is>
      </c>
      <c r="S1352" t="inlineStr">
        <is>
          <t>3.0000</t>
        </is>
      </c>
      <c r="T1352" t="inlineStr">
        <is>
          <t>No</t>
        </is>
      </c>
      <c r="U1352" t="inlineStr">
        <is>
          <t>Limited Lifetime</t>
        </is>
      </c>
      <c r="V1352" t="inlineStr"/>
      <c r="W1352" t="inlineStr">
        <is>
          <t>Available to Order</t>
        </is>
      </c>
      <c r="X1352" t="inlineStr">
        <is>
          <t>Kia Sorento 2009-03</t>
        </is>
      </c>
      <c r="Y1352" t="inlineStr">
        <is>
          <t>00884548020207</t>
        </is>
      </c>
      <c r="Z1352" t="inlineStr"/>
      <c r="AA1352" t="inlineStr"/>
      <c r="AB1352" t="inlineStr"/>
      <c r="AC1352" t="inlineStr">
        <is>
          <t>Yes</t>
        </is>
      </c>
    </row>
    <row r="1353">
      <c r="A1353" t="inlineStr">
        <is>
          <t>1352</t>
        </is>
      </c>
      <c r="B1353" t="inlineStr">
        <is>
          <t>Windshield Wiper Motor</t>
        </is>
      </c>
      <c r="C1353" t="inlineStr">
        <is>
          <t>85-4465</t>
        </is>
      </c>
      <c r="D1353" t="inlineStr">
        <is>
          <t>Windshield Wiper Motor - 85-4465</t>
        </is>
      </c>
      <c r="E1353" t="inlineStr">
        <is>
          <t>CARDONE New</t>
        </is>
      </c>
      <c r="F1353" t="inlineStr">
        <is>
          <t>981102B000;981101G000;981102G000;981102M000</t>
        </is>
      </c>
      <c r="G1353" t="inlineStr">
        <is>
          <t>Dodge Attitude 2006-2011
Hyundai Accent 2006-2011
Hyundai Genesis Coupe 2011-2016
Hyundai Santa Fe 2007-2009
Kia Magentis 2007-2010
Kia Optima 2007-2010
Kia Rio 2006-2011
Kia Rio5 2006-2011</t>
        </is>
      </c>
      <c r="H1353" t="inlineStr">
        <is>
          <t>Dodge Attitude 2006-2011 1.4L L4 85cid
Dodge Attitude 2006-2011 1.6L L4 98cid
Dodge Attitude 2011 1.6L L4 97cid
Hyundai Accent 2006 1.6L L4 1600cc
Hyundai Accent 2006-2011 1.6L L4 1599cc
Hyundai Genesis Coupe 2011-2014 2L L4 122cid
Hyundai Genesis Coupe 2011-2016 3.8L V6 231cid
Hyundai Santa Fe 2007-2009 2.7L V6 2656cc
Hyundai Santa Fe 2007-2009 3.3L V6 3342cc
Kia Magentis 2007-2010 2.4L L4 2359cc
Kia Magentis 2007-2010 2.7L V6 2656cc
Kia Optima 2007-2010 2.4L L4 2359cc
Kia Optima 2007-2010 2.7L V6 2656cc
Kia Rio 2006-2011 1.6L L4 1599cc
Kia Rio5 2006-2011 1.6L L4 1599cc</t>
        </is>
      </c>
      <c r="I1353" t="inlineStr">
        <is>
          <t>{"0": {"productDeskExternalKey": "CNRD|85-4465"}, "1": {"Package Contents": "Wiper Motor; Instruction Manual"}, "2": {"E-Waste": "Yes"}, "3": {"Product Condition": "New"}, "4": {"Mounting Hole Quantity": "3"}, "5": {"Terminal Type": "Blade"}, "6": {"Mounting Type": "Direct Bolt"}, "7": {"Weight PG": "3.0000"}, "8": {"Washer Pump Included": "No"}, "9": {"Part Type": "Windshield Wiper Motor"}, "10": {"Warranty Info": "Limited Lifetime"}, "11": {"Lifetime Warranty": "Yes"}, "12": {"Lifecycle Status": "Available to Order"}, "13": {"Application Summary": "Dodge Attitude 2011-06; Hyundai Accent 2011-06, Genesis Coupe 2016-11, Santa Fe 2009-07; Kia Magentis 2010-07, Optima 2010-07, Rio 2011-06, Rio5 2011-06"}, "14": {"ItemLevelGTIN": "00884548020191"}}</t>
        </is>
      </c>
      <c r="J1353" t="inlineStr">
        <is>
          <t>https://www.cardone.com/product/windshield-wiper-motor-85-4465</t>
        </is>
      </c>
      <c r="K1353">
        <f>DISPIMG("ID_910323E9C58E42DAB0E1D1636B29DDFD",1)</f>
        <v/>
      </c>
      <c r="L1353" t="inlineStr">
        <is>
          <t>CNRD|85-4465</t>
        </is>
      </c>
      <c r="M1353" t="inlineStr">
        <is>
          <t>Wiper Motor; Instruction Manual</t>
        </is>
      </c>
      <c r="N1353" t="inlineStr">
        <is>
          <t>Yes</t>
        </is>
      </c>
      <c r="O1353" t="inlineStr">
        <is>
          <t>New</t>
        </is>
      </c>
      <c r="P1353" t="inlineStr">
        <is>
          <t>3</t>
        </is>
      </c>
      <c r="Q1353" t="inlineStr">
        <is>
          <t>Blade</t>
        </is>
      </c>
      <c r="R1353" t="inlineStr">
        <is>
          <t>Direct Bolt</t>
        </is>
      </c>
      <c r="S1353" t="inlineStr">
        <is>
          <t>3.0000</t>
        </is>
      </c>
      <c r="T1353" t="inlineStr">
        <is>
          <t>No</t>
        </is>
      </c>
      <c r="U1353" t="inlineStr">
        <is>
          <t>Limited Lifetime</t>
        </is>
      </c>
      <c r="V1353" t="inlineStr"/>
      <c r="W1353" t="inlineStr">
        <is>
          <t>Available to Order</t>
        </is>
      </c>
      <c r="X1353" t="inlineStr">
        <is>
          <t>Dodge Attitude 2011-06; Hyundai Accent 2011-06, Genesis Coupe 2016-11, Santa Fe 2009-07; Kia Magentis 2010-07, Optima 2010-07, Rio 2011-06, Rio5 2011-06</t>
        </is>
      </c>
      <c r="Y1353" t="inlineStr">
        <is>
          <t>00884548020191</t>
        </is>
      </c>
      <c r="Z1353" t="inlineStr"/>
      <c r="AA1353" t="inlineStr"/>
      <c r="AB1353" t="inlineStr"/>
      <c r="AC1353" t="inlineStr">
        <is>
          <t>Yes</t>
        </is>
      </c>
    </row>
    <row r="1354">
      <c r="A1354" t="inlineStr">
        <is>
          <t>1353</t>
        </is>
      </c>
      <c r="B1354" t="inlineStr">
        <is>
          <t>Windshield Wiper Motor</t>
        </is>
      </c>
      <c r="C1354" t="inlineStr">
        <is>
          <t>85-4470</t>
        </is>
      </c>
      <c r="D1354" t="inlineStr">
        <is>
          <t>Windshield Wiper Motor - 85-4470</t>
        </is>
      </c>
      <c r="E1354" t="inlineStr">
        <is>
          <t>CARDONE New</t>
        </is>
      </c>
      <c r="F1354" t="inlineStr">
        <is>
          <t>55155297AB</t>
        </is>
      </c>
      <c r="G1354" t="inlineStr">
        <is>
          <t>Jeep Cherokee 2000-2001</t>
        </is>
      </c>
      <c r="H1354" t="inlineStr">
        <is>
          <t>Jeep Cherokee 2000 2.5L L4 150cid
Jeep Cherokee 2000-2001 4L L6 242cid</t>
        </is>
      </c>
      <c r="I1354" t="inlineStr">
        <is>
          <t>{"0": {"productDeskExternalKey": "CNRD|85-4470"}, "1": {"Package Contents": "Wiper Motor; Instruction Manual"}, "2": {"E-Waste": "Yes"}, "3": {"Product Condition": "New"}, "4": {"Terminal Type": "Blade"}, "5": {"Mounting Type": "Direct Bolt"}, "6": {"Weight PG": "2.8000"}, "7": {"Washer Pump Included": "No"}, "8": {"Part Type": "Windshield Wiper Motor"}, "9": {"Warranty Info": "Limited Lifetime"}, "10": {"Lifetime Warranty": "Yes"}, "11": {"Lifecycle Status": "Available to Order"}, "12": {"Application Summary": "Jeep Cherokee 2001-00"}, "13": {"ItemLevelGTIN": "00884548169333"}}</t>
        </is>
      </c>
      <c r="J1354" t="inlineStr">
        <is>
          <t>https://www.cardone.com/product/windshield-wiper-motor-85-4470</t>
        </is>
      </c>
      <c r="K1354">
        <f>DISPIMG("ID_D324737771D7497E991B84C6ACB84A02",1)</f>
        <v/>
      </c>
      <c r="L1354" t="inlineStr">
        <is>
          <t>CNRD|85-4470</t>
        </is>
      </c>
      <c r="M1354" t="inlineStr">
        <is>
          <t>Wiper Motor; Instruction Manual</t>
        </is>
      </c>
      <c r="N1354" t="inlineStr">
        <is>
          <t>Yes</t>
        </is>
      </c>
      <c r="O1354" t="inlineStr">
        <is>
          <t>New</t>
        </is>
      </c>
      <c r="P1354" t="inlineStr"/>
      <c r="Q1354" t="inlineStr">
        <is>
          <t>Blade</t>
        </is>
      </c>
      <c r="R1354" t="inlineStr">
        <is>
          <t>Direct Bolt</t>
        </is>
      </c>
      <c r="S1354" t="inlineStr">
        <is>
          <t>2.8000</t>
        </is>
      </c>
      <c r="T1354" t="inlineStr">
        <is>
          <t>No</t>
        </is>
      </c>
      <c r="U1354" t="inlineStr">
        <is>
          <t>Limited Lifetime</t>
        </is>
      </c>
      <c r="V1354" t="inlineStr"/>
      <c r="W1354" t="inlineStr">
        <is>
          <t>Available to Order</t>
        </is>
      </c>
      <c r="X1354" t="inlineStr">
        <is>
          <t>Jeep Cherokee 2001-00</t>
        </is>
      </c>
      <c r="Y1354" t="inlineStr">
        <is>
          <t>00884548169333</t>
        </is>
      </c>
      <c r="Z1354" t="inlineStr"/>
      <c r="AA1354" t="inlineStr"/>
      <c r="AB1354" t="inlineStr"/>
      <c r="AC1354" t="inlineStr">
        <is>
          <t>Yes</t>
        </is>
      </c>
    </row>
    <row r="1355">
      <c r="A1355" t="inlineStr">
        <is>
          <t>1354</t>
        </is>
      </c>
      <c r="B1355" t="inlineStr">
        <is>
          <t>Windshield Wiper Motor</t>
        </is>
      </c>
      <c r="C1355" t="inlineStr">
        <is>
          <t>85-4473</t>
        </is>
      </c>
      <c r="D1355" t="inlineStr">
        <is>
          <t>Windshield Wiper Motor - 85-4473</t>
        </is>
      </c>
      <c r="E1355" t="inlineStr">
        <is>
          <t>CARDONE New</t>
        </is>
      </c>
      <c r="F1355" t="inlineStr">
        <is>
          <t>GM9A67450B</t>
        </is>
      </c>
      <c r="G1355" t="inlineStr">
        <is>
          <t>Mazda 6 2004-2008</t>
        </is>
      </c>
      <c r="H1355" t="inlineStr">
        <is>
          <t>Mazda 6 2004-2008 2.3L L4 2260cc
Mazda 6 2004-2008 3L V6 181cid</t>
        </is>
      </c>
      <c r="I1355" t="inlineStr">
        <is>
          <t>{"0": {"productDeskExternalKey": "CNRD|85-4473"}, "1": {"Package Contents": "Wiper Motor; Instruction Sheet"}, "2": {"E-Waste": "Yes"}, "3": {"Product Condition": "New"}, "4": {"Mounting Hole Quantity": "3"}, "5": {"Terminal Type": "Blade"}, "6": {"Mounting Type": "Grommet"}, "7": {"Weight PG": "2.0400"}, "8": {"Washer Pump Included": "No"}, "9": {"Part Type": "Windshield Wiper Motor"}, "10": {"Warranty Info": "Limited Lifetime"}, "11": {"Lifetime Warranty": "Yes"}, "12": {"Lifecycle Status": "Available to Order"}, "13": {"Application Summary": "Mazda 6 2008-04"}, "14": {"ItemLevelGTIN": "00884548310254"}}</t>
        </is>
      </c>
      <c r="J1355" t="inlineStr">
        <is>
          <t>https://www.cardone.com/product/windshield-wiper-motor-85-4473</t>
        </is>
      </c>
      <c r="K1355">
        <f>DISPIMG("ID_5813E0CBD0BF4D7C804456419B212213",1)</f>
        <v/>
      </c>
      <c r="L1355" t="inlineStr">
        <is>
          <t>CNRD|85-4473</t>
        </is>
      </c>
      <c r="M1355" t="inlineStr">
        <is>
          <t>Wiper Motor; Instruction Sheet</t>
        </is>
      </c>
      <c r="N1355" t="inlineStr">
        <is>
          <t>Yes</t>
        </is>
      </c>
      <c r="O1355" t="inlineStr">
        <is>
          <t>New</t>
        </is>
      </c>
      <c r="P1355" t="inlineStr">
        <is>
          <t>3</t>
        </is>
      </c>
      <c r="Q1355" t="inlineStr">
        <is>
          <t>Blade</t>
        </is>
      </c>
      <c r="R1355" t="inlineStr">
        <is>
          <t>Grommet</t>
        </is>
      </c>
      <c r="S1355" t="inlineStr">
        <is>
          <t>2.0400</t>
        </is>
      </c>
      <c r="T1355" t="inlineStr">
        <is>
          <t>No</t>
        </is>
      </c>
      <c r="U1355" t="inlineStr">
        <is>
          <t>Limited Lifetime</t>
        </is>
      </c>
      <c r="V1355" t="inlineStr"/>
      <c r="W1355" t="inlineStr">
        <is>
          <t>Available to Order</t>
        </is>
      </c>
      <c r="X1355" t="inlineStr">
        <is>
          <t>Mazda 6 2008-04</t>
        </is>
      </c>
      <c r="Y1355" t="inlineStr">
        <is>
          <t>00884548310254</t>
        </is>
      </c>
      <c r="Z1355" t="inlineStr"/>
      <c r="AA1355" t="inlineStr"/>
      <c r="AB1355" t="inlineStr"/>
      <c r="AC1355" t="inlineStr">
        <is>
          <t>Yes</t>
        </is>
      </c>
    </row>
    <row r="1356">
      <c r="A1356" t="inlineStr">
        <is>
          <t>1355</t>
        </is>
      </c>
      <c r="B1356" t="inlineStr">
        <is>
          <t>Windshield Wiper Motor</t>
        </is>
      </c>
      <c r="C1356" t="inlineStr">
        <is>
          <t>85-4481</t>
        </is>
      </c>
      <c r="D1356" t="inlineStr">
        <is>
          <t>Windshield Wiper Motor - 85-4481</t>
        </is>
      </c>
      <c r="E1356" t="inlineStr">
        <is>
          <t>CARDONE New</t>
        </is>
      </c>
      <c r="F1356" t="inlineStr">
        <is>
          <t>8511006120</t>
        </is>
      </c>
      <c r="G1356" t="inlineStr">
        <is>
          <t>Hyundai Sonata 2011-2015
Kia Sorento 2011-2015
Mazda 6 2006-2008
Toyota Avalon 2013-2014
Toyota Camry 2012-2016
Toyota Venza 2009-2015</t>
        </is>
      </c>
      <c r="H1356" t="inlineStr">
        <is>
          <t>Hyundai Sonata 2011-2014 2.4L L4 2359cc
Hyundai Sonata 2011-2014 2L L4 122cid
Hyundai Sonata 2015 1.6L L4 97cid
Kia Sorento 2011-2013 3.5L V6 3470cc
Kia Sorento 2011-2015 2.4L L4 2359cc
Kia Sorento 2014-2015 3.3L V6 3342cc
Mazda 6 2006-2008 2.3L L4 2260cc
Mazda 6 2006-2008 3L V6 181cid
Toyota Avalon 2013-2014 2.5L L4 152cid
Toyota Avalon 2013-2014 3.5L V6 3456cc
Toyota Camry 2012-2016 2.5L L4 152cid
Toyota Camry 2012-2016 3.5L V6 3456cc
Toyota Venza 2009-2015 2.7L L4 163cid
Toyota Venza 2009-2015 3.5L V6 3456cc</t>
        </is>
      </c>
      <c r="I1356" t="inlineStr">
        <is>
          <t>{"0": {"productDeskExternalKey": "CNRD|85-4481"}, "1": {"Package Contents": "Wiper Motor; Instruction Manual"}, "2": {"E-Waste": "Yes"}, "3": {"Product Condition": "New"}, "4": {"Mounting Hole Quantity": "2"}, "5": {"Terminal Type": "Blade"}, "6": {"Mounting Type": "Direct Bolt"}, "7": {"Weight PG": "2.6600"}, "8": {"Washer Pump Included": "No"}, "9": {"Part Type": "Windshield Wiper Motor"}, "10": {"Warranty Info": "Limited Lifetime"}, "11": {"Lifetime Warranty": "Yes"}, "12": {"Lifecycle Status": "Available to Order"}, "13": {"Application Summary": "Hyundai Sonata 2015-11; Kia Sorento 2015-11; Mazda 6 2008-06; Toyota Avalon 2014-13, Camry 2016-12, Venza 2015-09"}, "14": {"ItemLevelGTIN": "00884548309272"}}</t>
        </is>
      </c>
      <c r="J1356" t="inlineStr">
        <is>
          <t>https://www.cardone.com/product/windshield-wiper-motor-85-4481</t>
        </is>
      </c>
      <c r="K1356">
        <f>DISPIMG("ID_856741C60867476A8105DFDEB64F9CDF",1)</f>
        <v/>
      </c>
      <c r="L1356" t="inlineStr">
        <is>
          <t>CNRD|85-4481</t>
        </is>
      </c>
      <c r="M1356" t="inlineStr">
        <is>
          <t>Wiper Motor; Instruction Manual</t>
        </is>
      </c>
      <c r="N1356" t="inlineStr">
        <is>
          <t>Yes</t>
        </is>
      </c>
      <c r="O1356" t="inlineStr">
        <is>
          <t>New</t>
        </is>
      </c>
      <c r="P1356" t="inlineStr">
        <is>
          <t>2</t>
        </is>
      </c>
      <c r="Q1356" t="inlineStr">
        <is>
          <t>Blade</t>
        </is>
      </c>
      <c r="R1356" t="inlineStr">
        <is>
          <t>Direct Bolt</t>
        </is>
      </c>
      <c r="S1356" t="inlineStr">
        <is>
          <t>2.6600</t>
        </is>
      </c>
      <c r="T1356" t="inlineStr">
        <is>
          <t>No</t>
        </is>
      </c>
      <c r="U1356" t="inlineStr">
        <is>
          <t>Limited Lifetime</t>
        </is>
      </c>
      <c r="V1356" t="inlineStr"/>
      <c r="W1356" t="inlineStr">
        <is>
          <t>Available to Order</t>
        </is>
      </c>
      <c r="X1356" t="inlineStr">
        <is>
          <t>Hyundai Sonata 2015-11; Kia Sorento 2015-11; Mazda 6 2008-06; Toyota Avalon 2014-13, Camry 2016-12, Venza 2015-09</t>
        </is>
      </c>
      <c r="Y1356" t="inlineStr">
        <is>
          <t>00884548309272</t>
        </is>
      </c>
      <c r="Z1356" t="inlineStr"/>
      <c r="AA1356" t="inlineStr"/>
      <c r="AB1356" t="inlineStr"/>
      <c r="AC1356" t="inlineStr">
        <is>
          <t>Yes</t>
        </is>
      </c>
    </row>
    <row r="1357">
      <c r="A1357" t="inlineStr">
        <is>
          <t>1356</t>
        </is>
      </c>
      <c r="B1357" t="inlineStr">
        <is>
          <t>Windshield Wiper Motor</t>
        </is>
      </c>
      <c r="C1357" t="inlineStr">
        <is>
          <t>85-4489</t>
        </is>
      </c>
      <c r="D1357" t="inlineStr">
        <is>
          <t>Windshield Wiper Motor - 85-4489</t>
        </is>
      </c>
      <c r="E1357" t="inlineStr">
        <is>
          <t>CARDONE New</t>
        </is>
      </c>
      <c r="F1357" t="inlineStr">
        <is>
          <t>BBN967450</t>
        </is>
      </c>
      <c r="G1357" t="inlineStr">
        <is>
          <t>Mazda 3 2010-2013
Mazda 3 Sport 2010-2013</t>
        </is>
      </c>
      <c r="H1357" t="inlineStr">
        <is>
          <t>Mazda 3 2010-2013 2.3L L4 2260cc
Mazda 3 2010-2013 2.5L L4 152cid
Mazda 3 2010-2013 2L L4 122cid
Mazda 3 Sport 2010-2013 2.5L L4 152cid
Mazda 3 Sport 2010-2013 2L L4 122cid</t>
        </is>
      </c>
      <c r="I1357" t="inlineStr">
        <is>
          <t>{"0": {"productDeskExternalKey": "CNRD|85-4489"}, "1": {"Package Contents": "Wiper Motor; Instruction Sheet"}, "2": {"E-Waste": "Yes"}, "3": {"Product Condition": "New"}, "4": {"Mounting Hole Quantity": "3"}, "5": {"Terminal Type": "Blade"}, "6": {"Mounting Type": "Grommet"}, "7": {"Weight PG": "2.0400"}, "8": {"Washer Pump Included": "No"}, "9": {"Part Type": "Windshield Wiper Motor"}, "10": {"Warranty Info": "Limited Lifetime"}, "11": {"Lifetime Warranty": "Yes"}, "12": {"Lifecycle Status": "Available to Order"}, "13": {"Application Summary": "Mazda 3 2013-10, 3 Sport 2013-10"}, "14": {"ItemLevelGTIN": "00884548310018"}}</t>
        </is>
      </c>
      <c r="J1357" t="inlineStr">
        <is>
          <t>https://www.cardone.com/product/windshield-wiper-motor-85-4489</t>
        </is>
      </c>
      <c r="K1357">
        <f>DISPIMG("ID_1A7863BEC7A740A3BBDA8D7AFBC99F4D",1)</f>
        <v/>
      </c>
      <c r="L1357" t="inlineStr">
        <is>
          <t>CNRD|85-4489</t>
        </is>
      </c>
      <c r="M1357" t="inlineStr">
        <is>
          <t>Wiper Motor; Instruction Sheet</t>
        </is>
      </c>
      <c r="N1357" t="inlineStr">
        <is>
          <t>Yes</t>
        </is>
      </c>
      <c r="O1357" t="inlineStr">
        <is>
          <t>New</t>
        </is>
      </c>
      <c r="P1357" t="inlineStr">
        <is>
          <t>3</t>
        </is>
      </c>
      <c r="Q1357" t="inlineStr">
        <is>
          <t>Blade</t>
        </is>
      </c>
      <c r="R1357" t="inlineStr">
        <is>
          <t>Grommet</t>
        </is>
      </c>
      <c r="S1357" t="inlineStr">
        <is>
          <t>2.0400</t>
        </is>
      </c>
      <c r="T1357" t="inlineStr">
        <is>
          <t>No</t>
        </is>
      </c>
      <c r="U1357" t="inlineStr">
        <is>
          <t>Limited Lifetime</t>
        </is>
      </c>
      <c r="V1357" t="inlineStr"/>
      <c r="W1357" t="inlineStr">
        <is>
          <t>Available to Order</t>
        </is>
      </c>
      <c r="X1357" t="inlineStr">
        <is>
          <t>Mazda 3 2013-10, 3 Sport 2013-10</t>
        </is>
      </c>
      <c r="Y1357" t="inlineStr">
        <is>
          <t>00884548310018</t>
        </is>
      </c>
      <c r="Z1357" t="inlineStr"/>
      <c r="AA1357" t="inlineStr"/>
      <c r="AB1357" t="inlineStr"/>
      <c r="AC1357" t="inlineStr">
        <is>
          <t>Yes</t>
        </is>
      </c>
    </row>
    <row r="1358">
      <c r="A1358" t="inlineStr">
        <is>
          <t>1357</t>
        </is>
      </c>
      <c r="B1358" t="inlineStr">
        <is>
          <t>Windshield Wiper Motor</t>
        </is>
      </c>
      <c r="C1358" t="inlineStr">
        <is>
          <t>85-450</t>
        </is>
      </c>
      <c r="D1358" t="inlineStr">
        <is>
          <t>Windshield Wiper Motor - 85-450</t>
        </is>
      </c>
      <c r="E1358" t="inlineStr">
        <is>
          <t>CARDONE New</t>
        </is>
      </c>
      <c r="F1358" t="inlineStr">
        <is>
          <t>55155122AF;55155122AD;55155122AG</t>
        </is>
      </c>
      <c r="G1358" t="inlineStr">
        <is>
          <t>Jeep Grand Cherokee 1999-2004
Jeep Liberty 2002-2007</t>
        </is>
      </c>
      <c r="H1358" t="inlineStr">
        <is>
          <t>Jeep Grand Cherokee 1999-2004 4.7L V8 287cid
Jeep Grand Cherokee 1999-2004 4L L6 242cid
Jeep Liberty 2002-2005 2.4L L4 148cid
Jeep Liberty 2002-2007 3.7L V6 226cid
Jeep Liberty 2005-2006 2.8L L4 171cid</t>
        </is>
      </c>
      <c r="I1358" t="inlineStr">
        <is>
          <t>{"0": {"productDeskExternalKey": "CNRD|85-450"}, "1": {"Package Contents": "Wiper Motor; Instruction Manual"}, "2": {"E-Waste": "Yes"}, "3": {"Product Condition": "New"}, "4": {"Mounting Hole Quantity": "2"}, "5": {"Terminal Type": "Blade"}, "6": {"Mounting Type": "Grommet"}, "7": {"Weight PG": "3.2000"}, "8": {"Washer Pump Included": "No"}, "9": {"Part Type": "Windshield Wiper Motor"}, "10": {"Warranty Info": "Limited Lifetime"}, "11": {"Lifetime Warranty": "Yes"}, "12": {"Lifecycle Status": "Available to Order"}, "13": {"Application Summary": "Jeep Grand Cherokee 2004-99, Liberty 2007-02"}, "14": {"ItemLevelGTIN": "00082617860307"}}</t>
        </is>
      </c>
      <c r="J1358" t="inlineStr">
        <is>
          <t>https://www.cardone.com/product/windshield-wiper-motor-85-450</t>
        </is>
      </c>
      <c r="K1358">
        <f>DISPIMG("ID_518BCE41DC874DB5A93160842AD921F2",1)</f>
        <v/>
      </c>
      <c r="L1358" t="inlineStr">
        <is>
          <t>CNRD|85-450</t>
        </is>
      </c>
      <c r="M1358" t="inlineStr">
        <is>
          <t>Wiper Motor; Instruction Manual</t>
        </is>
      </c>
      <c r="N1358" t="inlineStr">
        <is>
          <t>Yes</t>
        </is>
      </c>
      <c r="O1358" t="inlineStr">
        <is>
          <t>New</t>
        </is>
      </c>
      <c r="P1358" t="inlineStr">
        <is>
          <t>2</t>
        </is>
      </c>
      <c r="Q1358" t="inlineStr">
        <is>
          <t>Blade</t>
        </is>
      </c>
      <c r="R1358" t="inlineStr">
        <is>
          <t>Grommet</t>
        </is>
      </c>
      <c r="S1358" t="inlineStr">
        <is>
          <t>3.2000</t>
        </is>
      </c>
      <c r="T1358" t="inlineStr">
        <is>
          <t>No</t>
        </is>
      </c>
      <c r="U1358" t="inlineStr">
        <is>
          <t>Limited Lifetime</t>
        </is>
      </c>
      <c r="V1358" t="inlineStr"/>
      <c r="W1358" t="inlineStr">
        <is>
          <t>Available to Order</t>
        </is>
      </c>
      <c r="X1358" t="inlineStr">
        <is>
          <t>Jeep Grand Cherokee 2004-99, Liberty 2007-02</t>
        </is>
      </c>
      <c r="Y1358" t="inlineStr">
        <is>
          <t>00082617860307</t>
        </is>
      </c>
      <c r="Z1358" t="inlineStr"/>
      <c r="AA1358" t="inlineStr"/>
      <c r="AB1358" t="inlineStr"/>
      <c r="AC1358" t="inlineStr">
        <is>
          <t>Yes</t>
        </is>
      </c>
    </row>
    <row r="1359">
      <c r="A1359" t="inlineStr">
        <is>
          <t>1358</t>
        </is>
      </c>
      <c r="B1359" t="inlineStr">
        <is>
          <t>Windshield Wiper Motor</t>
        </is>
      </c>
      <c r="C1359" t="inlineStr">
        <is>
          <t>85-45007</t>
        </is>
      </c>
      <c r="D1359" t="inlineStr">
        <is>
          <t>Windshield Wiper Motor - 85-45007</t>
        </is>
      </c>
      <c r="E1359" t="inlineStr">
        <is>
          <t>CARDONE New</t>
        </is>
      </c>
      <c r="F1359" t="inlineStr">
        <is>
          <t>987102L100</t>
        </is>
      </c>
      <c r="G1359" t="inlineStr">
        <is>
          <t>Hyundai Elantra 2009-2012
Hyundai Elantra GT 2013</t>
        </is>
      </c>
      <c r="H1359" t="inlineStr">
        <is>
          <t>Hyundai Elantra 2009-2012 2L L4 1975cc
Hyundai Elantra 2011-2012 1.8L L4 1797cc
Hyundai Elantra GT 2013 1.8L L4 1797cc</t>
        </is>
      </c>
      <c r="I1359" t="inlineStr">
        <is>
          <t>{"0": {"productDeskExternalKey": "CNRD|85-45007"}, "1": {"Package Contents": "Wiper Motor; Instruction Manual"}, "2": {"E-Waste": "Yes"}, "3": {"Product Condition": "New"}, "4": {"Mounting Hole Quantity": "2"}, "5": {"Terminal Type": "Blade"}, "6": {"Mounting Type": "Eyelet; Grommet"}, "7": {"Weight PG": "2.6000"}, "8": {"Washer Pump Included": "No"}, "9": {"Part Type": "Windshield Wiper Motor"}, "10": {"Warranty Info": "Limited Lifetime"}, "11": {"Lifetime Warranty": "Yes"}, "12": {"Lifecycle Status": "Available to Order"}, "13": {"Application Summary": "Hyundai Elantra 2012-09, Elantra GT 2013"}, "14": {"ItemLevelGTIN": "00884548188297"}}</t>
        </is>
      </c>
      <c r="J1359" t="inlineStr">
        <is>
          <t>https://www.cardone.com/product/windshield-wiper-motor-85-45007</t>
        </is>
      </c>
      <c r="K1359">
        <f>DISPIMG("ID_69B61E0BF6AE406485AA25052E04E0D5",1)</f>
        <v/>
      </c>
      <c r="L1359" t="inlineStr">
        <is>
          <t>CNRD|85-45007</t>
        </is>
      </c>
      <c r="M1359" t="inlineStr">
        <is>
          <t>Wiper Motor; Instruction Manual</t>
        </is>
      </c>
      <c r="N1359" t="inlineStr">
        <is>
          <t>Yes</t>
        </is>
      </c>
      <c r="O1359" t="inlineStr">
        <is>
          <t>New</t>
        </is>
      </c>
      <c r="P1359" t="inlineStr">
        <is>
          <t>2</t>
        </is>
      </c>
      <c r="Q1359" t="inlineStr">
        <is>
          <t>Blade</t>
        </is>
      </c>
      <c r="R1359" t="inlineStr">
        <is>
          <t>Eyelet; Grommet</t>
        </is>
      </c>
      <c r="S1359" t="inlineStr">
        <is>
          <t>2.6000</t>
        </is>
      </c>
      <c r="T1359" t="inlineStr">
        <is>
          <t>No</t>
        </is>
      </c>
      <c r="U1359" t="inlineStr">
        <is>
          <t>Limited Lifetime</t>
        </is>
      </c>
      <c r="V1359" t="inlineStr"/>
      <c r="W1359" t="inlineStr">
        <is>
          <t>Available to Order</t>
        </is>
      </c>
      <c r="X1359" t="inlineStr">
        <is>
          <t>Hyundai Elantra 2012-09, Elantra GT 2013</t>
        </is>
      </c>
      <c r="Y1359" t="inlineStr">
        <is>
          <t>00884548188297</t>
        </is>
      </c>
      <c r="Z1359" t="inlineStr"/>
      <c r="AA1359" t="inlineStr"/>
      <c r="AB1359" t="inlineStr"/>
      <c r="AC1359" t="inlineStr">
        <is>
          <t>Yes</t>
        </is>
      </c>
    </row>
    <row r="1360">
      <c r="A1360" t="inlineStr">
        <is>
          <t>1359</t>
        </is>
      </c>
      <c r="B1360" t="inlineStr">
        <is>
          <t>Windshield Wiper Motor</t>
        </is>
      </c>
      <c r="C1360" t="inlineStr">
        <is>
          <t>85-45008</t>
        </is>
      </c>
      <c r="D1360" t="inlineStr">
        <is>
          <t>Windshield Wiper Motor - 85-45008</t>
        </is>
      </c>
      <c r="E1360" t="inlineStr">
        <is>
          <t>CARDONE New</t>
        </is>
      </c>
      <c r="F1360" t="inlineStr">
        <is>
          <t>981101M000;981001M000;98110B2000;981102H001;981103S000</t>
        </is>
      </c>
      <c r="G1360" t="inlineStr">
        <is>
          <t>Hyundai Azera 2012-2017
Hyundai Elantra 2008
Hyundai Sonata 2013-2015
Kia Forte 2010-2013
Kia Forte Koup 2010-2013
Kia Forte5 2012-2013
Kia Soul 2014-2022
Kia Soul EV 2015-2022</t>
        </is>
      </c>
      <c r="H1360" t="inlineStr">
        <is>
          <t>Hyundai Azera 2012-2017 3.3L V6 3342cc
Hyundai Elantra 2008 2L L4 1975cc
Hyundai Sonata 2013-2015 2.4L L4 2359cc
Kia Forte 2010-2013 2.4L L4 2359cc
Kia Forte 2010-2013 2L L4 122cid
Kia Forte Koup 2010-2013 2.4L L4 2359cc
Kia Forte Koup 2010-2013 2L L4 122cid
Kia Forte5 2012-2013 2.4L L4 2359cc
Kia Forte5 2012-2013 2L L4 122cid
Kia Soul 2014-2022 1.6L L4 97cid
Kia Soul 2014-2022 2L L4 122cid
Kia Soul EV 2015-2022</t>
        </is>
      </c>
      <c r="I1360" t="inlineStr">
        <is>
          <t>{"0": {"productDeskExternalKey": "CNRD|85-45008"}, "1": {"Package Contents": "Wiper Motor; Instruction Manual"}, "2": {"E-Waste": "Yes"}, "3": {"Product Condition": "New"}, "4": {"Terminal Type": "Blade"}, "5": {"Mounting Type": "Direct Bolt; Grommet"}, "6": {"Weight PG": "2.7000"}, "7": {"Washer Pump Included": "No"}, "8": {"Part Type": "Windshield Wiper Motor"}, "9": {"Warranty Info": "Limited Lifetime"}, "10": {"Lifetime Warranty": "Yes"}, "11": {"Lifecycle Status": "Available to Order"}, "12": {"Application Summary": "Hyundai Azera 2017-12, Elantra 2008, Sonata 2015-13; Kia Forte 2013-10, Forte Koup 2013-10, Forte5 2013-12, Soul 2022-14, Soul EV 2022-15"}, "13": {"ItemLevelGTIN": "00884548130555"}}</t>
        </is>
      </c>
      <c r="J1360" t="inlineStr">
        <is>
          <t>https://www.cardone.com/product/windshield-wiper-motor-85-45008</t>
        </is>
      </c>
      <c r="K1360">
        <f>DISPIMG("ID_BFE23256A1F74A7494809E27BF75A2D7",1)</f>
        <v/>
      </c>
      <c r="L1360" t="inlineStr">
        <is>
          <t>CNRD|85-45008</t>
        </is>
      </c>
      <c r="M1360" t="inlineStr">
        <is>
          <t>Wiper Motor; Instruction Manual</t>
        </is>
      </c>
      <c r="N1360" t="inlineStr">
        <is>
          <t>Yes</t>
        </is>
      </c>
      <c r="O1360" t="inlineStr">
        <is>
          <t>New</t>
        </is>
      </c>
      <c r="P1360" t="inlineStr"/>
      <c r="Q1360" t="inlineStr">
        <is>
          <t>Blade</t>
        </is>
      </c>
      <c r="R1360" t="inlineStr">
        <is>
          <t>Direct Bolt; Grommet</t>
        </is>
      </c>
      <c r="S1360" t="inlineStr">
        <is>
          <t>2.7000</t>
        </is>
      </c>
      <c r="T1360" t="inlineStr">
        <is>
          <t>No</t>
        </is>
      </c>
      <c r="U1360" t="inlineStr">
        <is>
          <t>Limited Lifetime</t>
        </is>
      </c>
      <c r="V1360" t="inlineStr"/>
      <c r="W1360" t="inlineStr">
        <is>
          <t>Available to Order</t>
        </is>
      </c>
      <c r="X1360" t="inlineStr">
        <is>
          <t>Hyundai Azera 2017-12, Elantra 2008, Sonata 2015-13; Kia Forte 2013-10, Forte Koup 2013-10, Forte5 2013-12, Soul 2022-14, Soul EV 2022-15</t>
        </is>
      </c>
      <c r="Y1360" t="inlineStr">
        <is>
          <t>00884548130555</t>
        </is>
      </c>
      <c r="Z1360" t="inlineStr"/>
      <c r="AA1360" t="inlineStr"/>
      <c r="AB1360" t="inlineStr"/>
      <c r="AC1360" t="inlineStr">
        <is>
          <t>Yes</t>
        </is>
      </c>
    </row>
    <row r="1361">
      <c r="A1361" t="inlineStr">
        <is>
          <t>1360</t>
        </is>
      </c>
      <c r="B1361" t="inlineStr">
        <is>
          <t>Windshield Wiper Motor</t>
        </is>
      </c>
      <c r="C1361" t="inlineStr">
        <is>
          <t>85-45009</t>
        </is>
      </c>
      <c r="D1361" t="inlineStr">
        <is>
          <t>Windshield Wiper Motor - 85-45009</t>
        </is>
      </c>
      <c r="E1361" t="inlineStr">
        <is>
          <t>CARDONE New</t>
        </is>
      </c>
      <c r="F1361" t="inlineStr">
        <is>
          <t>981102K000</t>
        </is>
      </c>
      <c r="G1361" t="inlineStr">
        <is>
          <t>Kia Soul 2010-2013</t>
        </is>
      </c>
      <c r="H1361" t="inlineStr">
        <is>
          <t>Kia Soul 2010-2011 2L L4 1975cc
Kia Soul 2010-2013 1.6L L4 97cid
Kia Soul 2012-2013 2L L4 122cid</t>
        </is>
      </c>
      <c r="I1361" t="inlineStr">
        <is>
          <t>{"0": {"productDeskExternalKey": "CNRD|85-45009"}, "1": {"Package Contents": "Wiper Motor; Instruction Manual"}, "2": {"E-Waste": "Yes"}, "3": {"Product Condition": "New"}, "4": {"Terminal Type": "Blade"}, "5": {"Mounting Type": "Direct Bolt"}, "6": {"Weight PG": "3.4000"}, "7": {"Washer Pump Included": "No"}, "8": {"Part Type": "Windshield Wiper Motor"}, "9": {"Warranty Info": "Limited Lifetime"}, "10": {"Lifetime Warranty": "Yes"}, "11": {"Lifecycle Status": "Available to Order"}, "12": {"Application Summary": "Kia Soul 2013-10"}, "13": {"ItemLevelGTIN": "00884548188853"}}</t>
        </is>
      </c>
      <c r="J1361" t="inlineStr">
        <is>
          <t>https://www.cardone.com/product/windshield-wiper-motor-85-45009</t>
        </is>
      </c>
      <c r="K1361">
        <f>DISPIMG("ID_E570DCC71A6D4BB783753DB0E1FB6808",1)</f>
        <v/>
      </c>
      <c r="L1361" t="inlineStr">
        <is>
          <t>CNRD|85-45009</t>
        </is>
      </c>
      <c r="M1361" t="inlineStr">
        <is>
          <t>Wiper Motor; Instruction Manual</t>
        </is>
      </c>
      <c r="N1361" t="inlineStr">
        <is>
          <t>Yes</t>
        </is>
      </c>
      <c r="O1361" t="inlineStr">
        <is>
          <t>New</t>
        </is>
      </c>
      <c r="P1361" t="inlineStr"/>
      <c r="Q1361" t="inlineStr">
        <is>
          <t>Blade</t>
        </is>
      </c>
      <c r="R1361" t="inlineStr">
        <is>
          <t>Direct Bolt</t>
        </is>
      </c>
      <c r="S1361" t="inlineStr">
        <is>
          <t>3.4000</t>
        </is>
      </c>
      <c r="T1361" t="inlineStr">
        <is>
          <t>No</t>
        </is>
      </c>
      <c r="U1361" t="inlineStr">
        <is>
          <t>Limited Lifetime</t>
        </is>
      </c>
      <c r="V1361" t="inlineStr"/>
      <c r="W1361" t="inlineStr">
        <is>
          <t>Available to Order</t>
        </is>
      </c>
      <c r="X1361" t="inlineStr">
        <is>
          <t>Kia Soul 2013-10</t>
        </is>
      </c>
      <c r="Y1361" t="inlineStr">
        <is>
          <t>00884548188853</t>
        </is>
      </c>
      <c r="Z1361" t="inlineStr"/>
      <c r="AA1361" t="inlineStr"/>
      <c r="AB1361" t="inlineStr"/>
      <c r="AC1361" t="inlineStr">
        <is>
          <t>Yes</t>
        </is>
      </c>
    </row>
    <row r="1362">
      <c r="A1362" t="inlineStr">
        <is>
          <t>1361</t>
        </is>
      </c>
      <c r="B1362" t="inlineStr">
        <is>
          <t>Windshield Wiper Motor</t>
        </is>
      </c>
      <c r="C1362" t="inlineStr">
        <is>
          <t>85-45010</t>
        </is>
      </c>
      <c r="D1362" t="inlineStr">
        <is>
          <t>Windshield Wiper Motor - 85-45010</t>
        </is>
      </c>
      <c r="E1362" t="inlineStr">
        <is>
          <t>CARDONE New</t>
        </is>
      </c>
      <c r="F1362" t="inlineStr">
        <is>
          <t>86510FG090</t>
        </is>
      </c>
      <c r="G1362" t="inlineStr">
        <is>
          <t>Subaru Impreza 2010-2015
Subaru WRX 2012-2014
Subaru WRX STI 2013-2014</t>
        </is>
      </c>
      <c r="H1362" t="inlineStr">
        <is>
          <t>Subaru Impreza 2010-2014 2.5L H4 2458cc
Subaru Impreza 2010-2015 2L H4 122cid
Subaru Impreza 2013-2015 2L H4 1995cc
Subaru WRX 2012-2014 2.5L H4 2458cc
Subaru WRX STI 2013-2014 2.5L H4 2458cc</t>
        </is>
      </c>
      <c r="I1362" t="inlineStr">
        <is>
          <t>{"0": {"productDeskExternalKey": "CNRD|85-45010"}, "1": {"Package Contents": "Wiper Motor; Instruction Manual"}, "2": {"E-Waste": "Yes"}, "3": {"Product Condition": "New"}, "4": {"Terminal Type": "Blade"}, "5": {"Mounting Type": "Eyelet; Grommet"}, "6": {"Weight PG": "2.2600"}, "7": {"Washer Pump Included": "No"}, "8": {"Part Type": "Windshield Wiper Motor"}, "9": {"Warranty Info": "Limited Lifetime"}, "10": {"Lifetime Warranty": "Yes"}, "11": {"Lifecycle Status": "Available to Order"}, "12": {"Application Summary": "Subaru Impreza 2015-10, WRX 2014-12, WRX STI 2014-13"}, "13": {"ItemLevelGTIN": "00884548308947"}}</t>
        </is>
      </c>
      <c r="J1362" t="inlineStr">
        <is>
          <t>https://www.cardone.com/product/windshield-wiper-motor-85-45010</t>
        </is>
      </c>
      <c r="K1362">
        <f>DISPIMG("ID_589EAF87A14C4187BCA86217F642D8DA",1)</f>
        <v/>
      </c>
      <c r="L1362" t="inlineStr">
        <is>
          <t>CNRD|85-45010</t>
        </is>
      </c>
      <c r="M1362" t="inlineStr">
        <is>
          <t>Wiper Motor; Instruction Manual</t>
        </is>
      </c>
      <c r="N1362" t="inlineStr">
        <is>
          <t>Yes</t>
        </is>
      </c>
      <c r="O1362" t="inlineStr">
        <is>
          <t>New</t>
        </is>
      </c>
      <c r="P1362" t="inlineStr"/>
      <c r="Q1362" t="inlineStr">
        <is>
          <t>Blade</t>
        </is>
      </c>
      <c r="R1362" t="inlineStr">
        <is>
          <t>Eyelet; Grommet</t>
        </is>
      </c>
      <c r="S1362" t="inlineStr">
        <is>
          <t>2.2600</t>
        </is>
      </c>
      <c r="T1362" t="inlineStr">
        <is>
          <t>No</t>
        </is>
      </c>
      <c r="U1362" t="inlineStr">
        <is>
          <t>Limited Lifetime</t>
        </is>
      </c>
      <c r="V1362" t="inlineStr"/>
      <c r="W1362" t="inlineStr">
        <is>
          <t>Available to Order</t>
        </is>
      </c>
      <c r="X1362" t="inlineStr">
        <is>
          <t>Subaru Impreza 2015-10, WRX 2014-12, WRX STI 2014-13</t>
        </is>
      </c>
      <c r="Y1362" t="inlineStr">
        <is>
          <t>00884548308947</t>
        </is>
      </c>
      <c r="Z1362" t="inlineStr"/>
      <c r="AA1362" t="inlineStr"/>
      <c r="AB1362" t="inlineStr"/>
      <c r="AC1362" t="inlineStr">
        <is>
          <t>Yes</t>
        </is>
      </c>
    </row>
    <row r="1363">
      <c r="A1363" t="inlineStr">
        <is>
          <t>1362</t>
        </is>
      </c>
      <c r="B1363" t="inlineStr">
        <is>
          <t>Windshield Wiper Motor</t>
        </is>
      </c>
      <c r="C1363" t="inlineStr">
        <is>
          <t>85-45013</t>
        </is>
      </c>
      <c r="D1363" t="inlineStr">
        <is>
          <t>Windshield Wiper Motor - 85-45013</t>
        </is>
      </c>
      <c r="E1363" t="inlineStr">
        <is>
          <t>CARDONE New</t>
        </is>
      </c>
      <c r="F1363" t="inlineStr">
        <is>
          <t>981102S000</t>
        </is>
      </c>
      <c r="G1363" t="inlineStr">
        <is>
          <t>Hyundai Tucson 2010-2017
Hyundai ix35 2015</t>
        </is>
      </c>
      <c r="H1363" t="inlineStr">
        <is>
          <t>Hyundai Tucson 2010-2015 2.4L L4 2359cc
Hyundai Tucson 2011-2013 2L L4 1975cc
Hyundai Tucson 2014-2015 2L L4 1999cc
Hyundai Tucson 2015-2017
Hyundai ix35 2015 2L L4 122cid</t>
        </is>
      </c>
      <c r="I1363" t="inlineStr">
        <is>
          <t>{"0": {"productDeskExternalKey": "CNRD|85-45013"}, "1": {"Package Contents": "Wiper Motor; Instruction Manual"}, "2": {"E-Waste": "Yes"}, "3": {"Product Condition": "New"}, "4": {"Terminal Type": "Blade"}, "5": {"Mounting Type": "Direct Bolt"}, "6": {"Weight PG": "3.2000"}, "7": {"Washer Pump Included": "No"}, "8": {"Part Type": "Windshield Wiper Motor"}, "9": {"Warranty Info": "Limited Lifetime"}, "10": {"Lifetime Warranty": "Yes"}, "11": {"Lifecycle Status": "Available to Order"}, "12": {"Application Summary": "Hyundai ix35 2015, Tucson 2017-10"}, "13": {"ItemLevelGTIN": "00884548275409"}}</t>
        </is>
      </c>
      <c r="J1363" t="inlineStr">
        <is>
          <t>https://www.cardone.com/product/windshield-wiper-motor-85-45013</t>
        </is>
      </c>
      <c r="K1363">
        <f>DISPIMG("ID_4FF209BF779A445DB0F8F5A92C832956",1)</f>
        <v/>
      </c>
      <c r="L1363" t="inlineStr">
        <is>
          <t>CNRD|85-45013</t>
        </is>
      </c>
      <c r="M1363" t="inlineStr">
        <is>
          <t>Wiper Motor; Instruction Manual</t>
        </is>
      </c>
      <c r="N1363" t="inlineStr">
        <is>
          <t>Yes</t>
        </is>
      </c>
      <c r="O1363" t="inlineStr">
        <is>
          <t>New</t>
        </is>
      </c>
      <c r="P1363" t="inlineStr"/>
      <c r="Q1363" t="inlineStr">
        <is>
          <t>Blade</t>
        </is>
      </c>
      <c r="R1363" t="inlineStr">
        <is>
          <t>Direct Bolt</t>
        </is>
      </c>
      <c r="S1363" t="inlineStr">
        <is>
          <t>3.2000</t>
        </is>
      </c>
      <c r="T1363" t="inlineStr">
        <is>
          <t>No</t>
        </is>
      </c>
      <c r="U1363" t="inlineStr">
        <is>
          <t>Limited Lifetime</t>
        </is>
      </c>
      <c r="V1363" t="inlineStr"/>
      <c r="W1363" t="inlineStr">
        <is>
          <t>Available to Order</t>
        </is>
      </c>
      <c r="X1363" t="inlineStr">
        <is>
          <t>Hyundai ix35 2015, Tucson 2017-10</t>
        </is>
      </c>
      <c r="Y1363" t="inlineStr">
        <is>
          <t>00884548275409</t>
        </is>
      </c>
      <c r="Z1363" t="inlineStr"/>
      <c r="AA1363" t="inlineStr"/>
      <c r="AB1363" t="inlineStr"/>
      <c r="AC1363" t="inlineStr">
        <is>
          <t>Yes</t>
        </is>
      </c>
    </row>
    <row r="1364">
      <c r="A1364" t="inlineStr">
        <is>
          <t>1363</t>
        </is>
      </c>
      <c r="B1364" t="inlineStr">
        <is>
          <t>Windshield Wiper Motor</t>
        </is>
      </c>
      <c r="C1364" t="inlineStr">
        <is>
          <t>85-45022</t>
        </is>
      </c>
      <c r="D1364" t="inlineStr">
        <is>
          <t>Windshield Wiper Motor - 85-45022</t>
        </is>
      </c>
      <c r="E1364" t="inlineStr">
        <is>
          <t>CARDONE New</t>
        </is>
      </c>
      <c r="F1364" t="inlineStr">
        <is>
          <t>987002P500</t>
        </is>
      </c>
      <c r="G1364" t="inlineStr">
        <is>
          <t>Kia Sorento 2011-2015</t>
        </is>
      </c>
      <c r="H1364" t="inlineStr">
        <is>
          <t>Kia Sorento 2011-2013 3.5L V6 3470cc
Kia Sorento 2011-2015 2.4L L4 2359cc
Kia Sorento 2014-2015 3.3L V6 3342cc</t>
        </is>
      </c>
      <c r="I1364" t="inlineStr">
        <is>
          <t>{"0": {"productDeskExternalKey": "CNRD|85-45022"}, "1": {"Package Contents": "Wiper Motor; Instruction Manual"}, "2": {"E-Waste": "Yes"}, "3": {"Product Condition": "New"}, "4": {"Terminal Type": "Blade"}, "5": {"Mounting Type": "Eyelet; Grommet"}, "6": {"Weight PG": "3.0000"}, "7": {"Washer Pump Included": "No"}, "8": {"Part Type": "Windshield Wiper Motor"}, "9": {"Warranty Info": "Limited Lifetime"}, "10": {"Lifetime Warranty": "Yes"}, "11": {"Lifecycle Status": "Available to Order"}, "12": {"Application Summary": "Kia Sorento 2015-11"}, "13": {"ItemLevelGTIN": "00884548188303"}}</t>
        </is>
      </c>
      <c r="J1364" t="inlineStr">
        <is>
          <t>https://www.cardone.com/product/windshield-wiper-motor-85-45022</t>
        </is>
      </c>
      <c r="K1364">
        <f>DISPIMG("ID_C5CD7E115ACB4FEE91059F4778DD03B5",1)</f>
        <v/>
      </c>
      <c r="L1364" t="inlineStr">
        <is>
          <t>CNRD|85-45022</t>
        </is>
      </c>
      <c r="M1364" t="inlineStr">
        <is>
          <t>Wiper Motor; Instruction Manual</t>
        </is>
      </c>
      <c r="N1364" t="inlineStr">
        <is>
          <t>Yes</t>
        </is>
      </c>
      <c r="O1364" t="inlineStr">
        <is>
          <t>New</t>
        </is>
      </c>
      <c r="P1364" t="inlineStr"/>
      <c r="Q1364" t="inlineStr">
        <is>
          <t>Blade</t>
        </is>
      </c>
      <c r="R1364" t="inlineStr">
        <is>
          <t>Eyelet; Grommet</t>
        </is>
      </c>
      <c r="S1364" t="inlineStr">
        <is>
          <t>3.0000</t>
        </is>
      </c>
      <c r="T1364" t="inlineStr">
        <is>
          <t>No</t>
        </is>
      </c>
      <c r="U1364" t="inlineStr">
        <is>
          <t>Limited Lifetime</t>
        </is>
      </c>
      <c r="V1364" t="inlineStr"/>
      <c r="W1364" t="inlineStr">
        <is>
          <t>Available to Order</t>
        </is>
      </c>
      <c r="X1364" t="inlineStr">
        <is>
          <t>Kia Sorento 2015-11</t>
        </is>
      </c>
      <c r="Y1364" t="inlineStr">
        <is>
          <t>00884548188303</t>
        </is>
      </c>
      <c r="Z1364" t="inlineStr"/>
      <c r="AA1364" t="inlineStr"/>
      <c r="AB1364" t="inlineStr"/>
      <c r="AC1364" t="inlineStr">
        <is>
          <t>Yes</t>
        </is>
      </c>
    </row>
    <row r="1365">
      <c r="A1365" t="inlineStr">
        <is>
          <t>1364</t>
        </is>
      </c>
      <c r="B1365" t="inlineStr">
        <is>
          <t>Windshield Wiper Motor</t>
        </is>
      </c>
      <c r="C1365" t="inlineStr">
        <is>
          <t>85-45026</t>
        </is>
      </c>
      <c r="D1365" t="inlineStr">
        <is>
          <t>Windshield Wiper Motor - 85-45026</t>
        </is>
      </c>
      <c r="E1365" t="inlineStr">
        <is>
          <t>CARDONE New</t>
        </is>
      </c>
      <c r="F1365" t="inlineStr">
        <is>
          <t>981101H000;981102W000;981103W000</t>
        </is>
      </c>
      <c r="G1365" t="inlineStr">
        <is>
          <t>Hyundai Elantra 2009-2012
Hyundai Elantra GT 2013
Hyundai Santa Fe 2013-2018
Hyundai Santa Fe Sport 2013-2018
Hyundai Santa Fe XL 2013-2019
Kia Sportage 2011-2015</t>
        </is>
      </c>
      <c r="H1365" t="inlineStr">
        <is>
          <t>Hyundai Elantra 2009-2012 2L L4 1975cc
Hyundai Elantra 2011 1.8L L4 1797cc
Hyundai Elantra GT 2013 1.8L L4 1797cc
Hyundai Santa Fe 2013-2018 3.3L V6 3342cc
Hyundai Santa Fe Sport 2013-2018 2.4L L4 2359cc
Hyundai Santa Fe Sport 2013-2018 2L L4 122cid
Hyundai Santa Fe XL 2013-2019 3.3L V6 3342cc
Kia Sportage 2011-2015 2.4L L4 2359cc
Kia Sportage 2011-2015 2L L4 122cid</t>
        </is>
      </c>
      <c r="I1365" t="inlineStr">
        <is>
          <t>{"0": {"productDeskExternalKey": "CNRD|85-45026"}, "1": {"Package Contents": "Wiper Motor; Instruction Manual"}, "2": {"E-Waste": "Yes"}, "3": {"Product Condition": "New"}, "4": {"Mounting Hole Quantity": "3"}, "5": {"Terminal Type": "Blade"}, "6": {"Mounting Type": "Direct Bolt"}, "7": {"Weight PG": "3.2000"}, "8": {"Washer Pump Included": "No"}, "9": {"Part Type": "Windshield Wiper Motor"}, "10": {"Warranty Info": "Limited Lifetime"}, "11": {"Lifetime Warranty": "Yes"}, "12": {"Lifecycle Status": "Available to Order"}, "13": {"Application Summary": "Hyundai Elantra 2012-09, Elantra GT 2013, Santa Fe 2018-13, Santa Fe Sport 2018-13, Santa Fe XL 2019 2016-13; Kia Sportage 2015-11"}, "14": {"ItemLevelGTIN": "00884548266261"}}</t>
        </is>
      </c>
      <c r="J1365" t="inlineStr">
        <is>
          <t>https://www.cardone.com/product/windshield-wiper-motor-85-45026</t>
        </is>
      </c>
      <c r="K1365">
        <f>DISPIMG("ID_702F9CC1689C463290F613C373F4A15F",1)</f>
        <v/>
      </c>
      <c r="L1365" t="inlineStr">
        <is>
          <t>CNRD|85-45026</t>
        </is>
      </c>
      <c r="M1365" t="inlineStr">
        <is>
          <t>Wiper Motor; Instruction Manual</t>
        </is>
      </c>
      <c r="N1365" t="inlineStr">
        <is>
          <t>Yes</t>
        </is>
      </c>
      <c r="O1365" t="inlineStr">
        <is>
          <t>New</t>
        </is>
      </c>
      <c r="P1365" t="inlineStr">
        <is>
          <t>3</t>
        </is>
      </c>
      <c r="Q1365" t="inlineStr">
        <is>
          <t>Blade</t>
        </is>
      </c>
      <c r="R1365" t="inlineStr">
        <is>
          <t>Direct Bolt</t>
        </is>
      </c>
      <c r="S1365" t="inlineStr">
        <is>
          <t>3.2000</t>
        </is>
      </c>
      <c r="T1365" t="inlineStr">
        <is>
          <t>No</t>
        </is>
      </c>
      <c r="U1365" t="inlineStr">
        <is>
          <t>Limited Lifetime</t>
        </is>
      </c>
      <c r="V1365" t="inlineStr"/>
      <c r="W1365" t="inlineStr">
        <is>
          <t>Available to Order</t>
        </is>
      </c>
      <c r="X1365" t="inlineStr">
        <is>
          <t>Hyundai Elantra 2012-09, Elantra GT 2013, Santa Fe 2018-13, Santa Fe Sport 2018-13, Santa Fe XL 2019 2016-13; Kia Sportage 2015-11</t>
        </is>
      </c>
      <c r="Y1365" t="inlineStr">
        <is>
          <t>00884548266261</t>
        </is>
      </c>
      <c r="Z1365" t="inlineStr"/>
      <c r="AA1365" t="inlineStr"/>
      <c r="AB1365" t="inlineStr"/>
      <c r="AC1365" t="inlineStr">
        <is>
          <t>Yes</t>
        </is>
      </c>
    </row>
    <row r="1366">
      <c r="A1366" t="inlineStr">
        <is>
          <t>1365</t>
        </is>
      </c>
      <c r="B1366" t="inlineStr">
        <is>
          <t>Windshield Wiper Motor</t>
        </is>
      </c>
      <c r="C1366" t="inlineStr">
        <is>
          <t>85-45031</t>
        </is>
      </c>
      <c r="D1366" t="inlineStr">
        <is>
          <t>Windshield Wiper Motor - 85-45031</t>
        </is>
      </c>
      <c r="E1366" t="inlineStr">
        <is>
          <t>CARDONE New</t>
        </is>
      </c>
      <c r="F1366" t="inlineStr">
        <is>
          <t>981101W000;981101R000;981103X000;98110A7000</t>
        </is>
      </c>
      <c r="G1366" t="inlineStr">
        <is>
          <t>Hyundai Elantra 2012-2016
Hyundai Elantra Coupe 2013-2014
Kia Forte 2014-2018
Kia Forte Koup 2014-2016
Kia Forte5 2014-2018</t>
        </is>
      </c>
      <c r="H1366" t="inlineStr">
        <is>
          <t>Hyundai Elantra 2012-2016 1.8L L4 1797cc
Hyundai Elantra 2014-2016 2L L4 1999cc
Hyundai Elantra Coupe 2013 1.8L L4 1797cc
Hyundai Elantra Coupe 2014 2L L4 1999cc
Kia Forte 2014-2016 1.8L L4 1797cc
Kia Forte 2014-2018 2L L4 122cid
Kia Forte Koup 2014-2016 1.6L L4 97cid
Kia Forte Koup 2014-2016 2L L4 122cid
Kia Forte5 2014-2018 1.6L L4 97cid
Kia Forte5 2014-2018 2L L4 122cid</t>
        </is>
      </c>
      <c r="I1366" t="inlineStr">
        <is>
          <t>{"0": {"productDeskExternalKey": "CNRD|85-45031"},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"Hyundai Elantra 2016-12, Elantra Coupe 2014-13; Kia Forte 2018-14, Forte Koup 2016-14, Forte5 2018-14"}, "13": {"ItemLevelGTIN": "00884548188785"}}</t>
        </is>
      </c>
      <c r="J1366" t="inlineStr">
        <is>
          <t>https://www.cardone.com/product/windshield-wiper-motor-85-45031</t>
        </is>
      </c>
      <c r="K1366">
        <f>DISPIMG("ID_56800F06B6BA49C7A9C4451B251C417A",1)</f>
        <v/>
      </c>
      <c r="L1366" t="inlineStr">
        <is>
          <t>CNRD|85-45031</t>
        </is>
      </c>
      <c r="M1366" t="inlineStr">
        <is>
          <t>Wiper Motor; Instruction Manual</t>
        </is>
      </c>
      <c r="N1366" t="inlineStr">
        <is>
          <t>Yes</t>
        </is>
      </c>
      <c r="O1366" t="inlineStr">
        <is>
          <t>New</t>
        </is>
      </c>
      <c r="P1366" t="inlineStr"/>
      <c r="Q1366" t="inlineStr">
        <is>
          <t>Blade</t>
        </is>
      </c>
      <c r="R1366" t="inlineStr">
        <is>
          <t>Direct Bolt</t>
        </is>
      </c>
      <c r="S1366" t="inlineStr">
        <is>
          <t>3.0000</t>
        </is>
      </c>
      <c r="T1366" t="inlineStr">
        <is>
          <t>No</t>
        </is>
      </c>
      <c r="U1366" t="inlineStr">
        <is>
          <t>Limited Lifetime</t>
        </is>
      </c>
      <c r="V1366" t="inlineStr"/>
      <c r="W1366" t="inlineStr">
        <is>
          <t>Available to Order</t>
        </is>
      </c>
      <c r="X1366" t="inlineStr">
        <is>
          <t>Hyundai Elantra 2016-12, Elantra Coupe 2014-13; Kia Forte 2018-14, Forte Koup 2016-14, Forte5 2018-14</t>
        </is>
      </c>
      <c r="Y1366" t="inlineStr">
        <is>
          <t>00884548188785</t>
        </is>
      </c>
      <c r="Z1366" t="inlineStr"/>
      <c r="AA1366" t="inlineStr"/>
      <c r="AB1366" t="inlineStr"/>
      <c r="AC1366" t="inlineStr">
        <is>
          <t>Yes</t>
        </is>
      </c>
    </row>
    <row r="1367">
      <c r="A1367" t="inlineStr">
        <is>
          <t>1366</t>
        </is>
      </c>
      <c r="B1367" t="inlineStr">
        <is>
          <t>Windshield Wiper Motor</t>
        </is>
      </c>
      <c r="C1367" t="inlineStr">
        <is>
          <t>85-4505</t>
        </is>
      </c>
      <c r="D1367" t="inlineStr">
        <is>
          <t>Windshield Wiper Motor - 85-4505</t>
        </is>
      </c>
      <c r="E1367" t="inlineStr">
        <is>
          <t>CARDONE New</t>
        </is>
      </c>
      <c r="F1367" t="inlineStr">
        <is>
          <t>86510SA070;86511FC060</t>
        </is>
      </c>
      <c r="G1367" t="inlineStr">
        <is>
          <t>Subaru Forester 1998-2002</t>
        </is>
      </c>
      <c r="H1367" t="inlineStr">
        <is>
          <t>Subaru Forester 1998-2002 2.5L H4 2458cc</t>
        </is>
      </c>
      <c r="I1367" t="inlineStr">
        <is>
          <t>{"0": {"productDeskExternalKey": "CNRD|85-4505"}, "1": {"Package Contents": "Wiper Motor; Instruction Manual"}, "2": {"E-Waste": "Yes"}, "3": {"Product Condition": "New"}, "4": {"Mounting Hole Quantity": "3"}, "5": {"Terminal Type": "Blade"}, "6": {"Mounting Type": "Grommet"}, "7": {"Weight PG": "3.9000"}, "8": {"Washer Pump Included": "No"}, "9": {"Part Type": "Windshield Wiper Motor"}, "10": {"Warranty Info": "Limited Lifetime"}, "11": {"Lifetime Warranty": "Yes"}, "12": {"Lifecycle Status": "Available to Order"}, "13": {"Application Summary": "Subaru Forester 2002-98"}, "14": {"ItemLevelGTIN": "00082617884822"}}</t>
        </is>
      </c>
      <c r="J1367" t="inlineStr">
        <is>
          <t>https://www.cardone.com/product/windshield-wiper-motor-85-4505</t>
        </is>
      </c>
      <c r="K1367">
        <f>DISPIMG("ID_0752AB1D594C49C1AD40DC822B6EDF21",1)</f>
        <v/>
      </c>
      <c r="L1367" t="inlineStr">
        <is>
          <t>CNRD|85-4505</t>
        </is>
      </c>
      <c r="M1367" t="inlineStr">
        <is>
          <t>Wiper Motor; Instruction Manual</t>
        </is>
      </c>
      <c r="N1367" t="inlineStr">
        <is>
          <t>Yes</t>
        </is>
      </c>
      <c r="O1367" t="inlineStr">
        <is>
          <t>New</t>
        </is>
      </c>
      <c r="P1367" t="inlineStr">
        <is>
          <t>3</t>
        </is>
      </c>
      <c r="Q1367" t="inlineStr">
        <is>
          <t>Blade</t>
        </is>
      </c>
      <c r="R1367" t="inlineStr">
        <is>
          <t>Grommet</t>
        </is>
      </c>
      <c r="S1367" t="inlineStr">
        <is>
          <t>3.9000</t>
        </is>
      </c>
      <c r="T1367" t="inlineStr">
        <is>
          <t>No</t>
        </is>
      </c>
      <c r="U1367" t="inlineStr">
        <is>
          <t>Limited Lifetime</t>
        </is>
      </c>
      <c r="V1367" t="inlineStr"/>
      <c r="W1367" t="inlineStr">
        <is>
          <t>Available to Order</t>
        </is>
      </c>
      <c r="X1367" t="inlineStr">
        <is>
          <t>Subaru Forester 2002-98</t>
        </is>
      </c>
      <c r="Y1367" t="inlineStr">
        <is>
          <t>00082617884822</t>
        </is>
      </c>
      <c r="Z1367" t="inlineStr"/>
      <c r="AA1367" t="inlineStr"/>
      <c r="AB1367" t="inlineStr"/>
      <c r="AC1367" t="inlineStr">
        <is>
          <t>Yes</t>
        </is>
      </c>
    </row>
    <row r="1368">
      <c r="A1368" t="inlineStr">
        <is>
          <t>1367</t>
        </is>
      </c>
      <c r="B1368" t="inlineStr">
        <is>
          <t>Windshield Wiper Motor</t>
        </is>
      </c>
      <c r="C1368" t="inlineStr">
        <is>
          <t>85-4507</t>
        </is>
      </c>
      <c r="D1368" t="inlineStr">
        <is>
          <t>Windshield Wiper Motor - 85-4507</t>
        </is>
      </c>
      <c r="E1368" t="inlineStr">
        <is>
          <t>CARDONE New</t>
        </is>
      </c>
      <c r="F1368" t="inlineStr">
        <is>
          <t>86511AC101;86511AC040</t>
        </is>
      </c>
      <c r="G1368" t="inlineStr">
        <is>
          <t>Subaru Legacy 1995-1999</t>
        </is>
      </c>
      <c r="H1368" t="inlineStr">
        <is>
          <t>Subaru Legacy 1995-1999 2.2L H4 2212cc
Subaru Legacy 1996-1999 2.5L H4 2458cc</t>
        </is>
      </c>
      <c r="I1368" t="inlineStr">
        <is>
          <t>{"0": {"productDeskExternalKey": "CNRD|85-4507"}, "1": {"Package Contents": "Wiper Motor; Instruction Manual"}, "2": {"E-Waste": "Yes"}, "3": {"Product Condition": "New"}, "4": {"Mounting Hole Quantity": "3"}, "5": {"Terminal Type": "Blade"}, "6": {"Mounting Type": "Grommet"}, "7": {"Weight PG": "2.5600"}, "8": {"Washer Pump Included": "No"}, "9": {"Part Type": "Windshield Wiper Motor"}, "10": {"Warranty Info": "Limited Lifetime"}, "11": {"Lifetime Warranty": "Yes"}, "12": {"Lifecycle Status": "Available to Order"}, "13": {"Application Summary": "Subaru Legacy 1999-95"}, "14": {"ItemLevelGTIN": "00082617884839"}}</t>
        </is>
      </c>
      <c r="J1368" t="inlineStr">
        <is>
          <t>https://www.cardone.com/product/windshield-wiper-motor-85-4507</t>
        </is>
      </c>
      <c r="K1368">
        <f>DISPIMG("ID_F93C73AAAC9B4CE78BEC23592DDD8189",1)</f>
        <v/>
      </c>
      <c r="L1368" t="inlineStr">
        <is>
          <t>CNRD|85-4507</t>
        </is>
      </c>
      <c r="M1368" t="inlineStr">
        <is>
          <t>Wiper Motor; Instruction Manual</t>
        </is>
      </c>
      <c r="N1368" t="inlineStr">
        <is>
          <t>Yes</t>
        </is>
      </c>
      <c r="O1368" t="inlineStr">
        <is>
          <t>New</t>
        </is>
      </c>
      <c r="P1368" t="inlineStr">
        <is>
          <t>3</t>
        </is>
      </c>
      <c r="Q1368" t="inlineStr">
        <is>
          <t>Blade</t>
        </is>
      </c>
      <c r="R1368" t="inlineStr">
        <is>
          <t>Grommet</t>
        </is>
      </c>
      <c r="S1368" t="inlineStr">
        <is>
          <t>2.5600</t>
        </is>
      </c>
      <c r="T1368" t="inlineStr">
        <is>
          <t>No</t>
        </is>
      </c>
      <c r="U1368" t="inlineStr">
        <is>
          <t>Limited Lifetime</t>
        </is>
      </c>
      <c r="V1368" t="inlineStr"/>
      <c r="W1368" t="inlineStr">
        <is>
          <t>Available to Order</t>
        </is>
      </c>
      <c r="X1368" t="inlineStr">
        <is>
          <t>Subaru Legacy 1999-95</t>
        </is>
      </c>
      <c r="Y1368" t="inlineStr">
        <is>
          <t>00082617884839</t>
        </is>
      </c>
      <c r="Z1368" t="inlineStr"/>
      <c r="AA1368" t="inlineStr"/>
      <c r="AB1368" t="inlineStr"/>
      <c r="AC1368" t="inlineStr">
        <is>
          <t>Yes</t>
        </is>
      </c>
    </row>
    <row r="1369">
      <c r="A1369" t="inlineStr">
        <is>
          <t>1368</t>
        </is>
      </c>
      <c r="B1369" t="inlineStr">
        <is>
          <t>Windshield Wiper Motor</t>
        </is>
      </c>
      <c r="C1369" t="inlineStr">
        <is>
          <t>85-4509</t>
        </is>
      </c>
      <c r="D1369" t="inlineStr">
        <is>
          <t>Windshield Wiper Motor - 85-4509</t>
        </is>
      </c>
      <c r="E1369" t="inlineStr">
        <is>
          <t>CARDONE New</t>
        </is>
      </c>
      <c r="F1369" t="inlineStr">
        <is>
          <t>86511AE05A</t>
        </is>
      </c>
      <c r="G1369" t="inlineStr">
        <is>
          <t>Subaru Legacy 2000-2004
Subaru Outback 2000-2004</t>
        </is>
      </c>
      <c r="H1369" t="inlineStr">
        <is>
          <t>Subaru Legacy 2000-2004 2.5L H4 2458cc
Subaru Outback 2000-2004 2.5L H4 2458cc
Subaru Outback 2001-2004 3L H6 3000cc</t>
        </is>
      </c>
      <c r="I1369" t="inlineStr">
        <is>
          <t>{"0": {"productDeskExternalKey": "CNRD|85-4509"}, "1": {"Package Contents": "Wiper Motor; Instruction Manual"}, "2": {"E-Waste": "Yes"}, "3": {"Product Condition": "New"}, "4": {"Mounting Hole Quantity": "3"}, "5": {"Terminal Type": "Blade"}, "6": {"Mounting Type": "Grommet"}, "7": {"Weight PG": "2.5000"}, "8": {"Washer Pump Included": "No"}, "9": {"Part Type": "Windshield Wiper Motor"}, "10": {"Warranty Info": "Limited Lifetime"}, "11": {"Lifetime Warranty": "Yes"}, "12": {"Lifecycle Status": "Available to Order"}, "13": {"Application Summary": "Subaru Legacy 2004-00, Outback 2004-00"}, "14": {"ItemLevelGTIN": "00082617884846"}}</t>
        </is>
      </c>
      <c r="J1369" t="inlineStr">
        <is>
          <t>https://www.cardone.com/product/windshield-wiper-motor-85-4509</t>
        </is>
      </c>
      <c r="K1369">
        <f>DISPIMG("ID_AB53080D86FC47F2B5C263BAF3AFB013",1)</f>
        <v/>
      </c>
      <c r="L1369" t="inlineStr">
        <is>
          <t>CNRD|85-4509</t>
        </is>
      </c>
      <c r="M1369" t="inlineStr">
        <is>
          <t>Wiper Motor; Instruction Manual</t>
        </is>
      </c>
      <c r="N1369" t="inlineStr">
        <is>
          <t>Yes</t>
        </is>
      </c>
      <c r="O1369" t="inlineStr">
        <is>
          <t>New</t>
        </is>
      </c>
      <c r="P1369" t="inlineStr">
        <is>
          <t>3</t>
        </is>
      </c>
      <c r="Q1369" t="inlineStr">
        <is>
          <t>Blade</t>
        </is>
      </c>
      <c r="R1369" t="inlineStr">
        <is>
          <t>Grommet</t>
        </is>
      </c>
      <c r="S1369" t="inlineStr">
        <is>
          <t>2.5000</t>
        </is>
      </c>
      <c r="T1369" t="inlineStr">
        <is>
          <t>No</t>
        </is>
      </c>
      <c r="U1369" t="inlineStr">
        <is>
          <t>Limited Lifetime</t>
        </is>
      </c>
      <c r="V1369" t="inlineStr"/>
      <c r="W1369" t="inlineStr">
        <is>
          <t>Available to Order</t>
        </is>
      </c>
      <c r="X1369" t="inlineStr">
        <is>
          <t>Subaru Legacy 2004-00, Outback 2004-00</t>
        </is>
      </c>
      <c r="Y1369" t="inlineStr">
        <is>
          <t>00082617884846</t>
        </is>
      </c>
      <c r="Z1369" t="inlineStr"/>
      <c r="AA1369" t="inlineStr"/>
      <c r="AB1369" t="inlineStr"/>
      <c r="AC1369" t="inlineStr">
        <is>
          <t>Yes</t>
        </is>
      </c>
    </row>
    <row r="1370">
      <c r="A1370" t="inlineStr">
        <is>
          <t>1369</t>
        </is>
      </c>
      <c r="B1370" t="inlineStr">
        <is>
          <t>Windshield Wiper Motor</t>
        </is>
      </c>
      <c r="C1370" t="inlineStr">
        <is>
          <t>85-4511</t>
        </is>
      </c>
      <c r="D1370" t="inlineStr">
        <is>
          <t>Windshield Wiper Motor - 85-4511</t>
        </is>
      </c>
      <c r="E1370" t="inlineStr">
        <is>
          <t>CARDONE New</t>
        </is>
      </c>
      <c r="F1370" t="inlineStr">
        <is>
          <t>9870025000;9871025050</t>
        </is>
      </c>
      <c r="G1370" t="inlineStr">
        <is>
          <t>Dodge Verna 2004-2005
Hyundai Accent 2000-2005</t>
        </is>
      </c>
      <c r="H1370" t="inlineStr">
        <is>
          <t>Dodge Verna 2004-2005 1.5L L4 1495cc
Dodge Verna 2004-2005 1.6L L4 98cid
Hyundai Accent 2000-2003 1.5L L4 1495cc
Hyundai Accent 2001-2005 1.6L L4 1600cc</t>
        </is>
      </c>
      <c r="I1370" t="inlineStr">
        <is>
          <t>{"0": {"productDeskExternalKey": "CNRD|85-4511"}, "1": {"Package Contents": "Wiper Motor; Instruction Manual"}, "2": {"E-Waste": "Yes"}, "3": {"Product Condition": "New"}, "4": {"Mounting Hole Quantity": "2"}, "5": {"Terminal Type": "Blade"}, "6": {"Mounting Type": "Direct Bolt; Grommet"}, "7": {"Weight PG": "2.0000"}, "8": {"Washer Pump Included": "No"}, "9": {"Part Type": "Windshield Wiper Motor"}, "10": {"Warranty Info": "Limited Lifetime"}, "11": {"Lifetime Warranty": "Yes"}, "12": {"Lifecycle Status": "Available to Order"}, "13": {"Application Summary": "Dodge Verna 2005-04; Hyundai Accent 2005-00"}, "14": {"ItemLevelGTIN": "00082617911504"}}</t>
        </is>
      </c>
      <c r="J1370" t="inlineStr">
        <is>
          <t>https://www.cardone.com/product/windshield-wiper-motor-85-4511</t>
        </is>
      </c>
      <c r="K1370">
        <f>DISPIMG("ID_AE9C4EE914584E9187A577AC0B677120",1)</f>
        <v/>
      </c>
      <c r="L1370" t="inlineStr">
        <is>
          <t>CNRD|85-4511</t>
        </is>
      </c>
      <c r="M1370" t="inlineStr">
        <is>
          <t>Wiper Motor; Instruction Manual</t>
        </is>
      </c>
      <c r="N1370" t="inlineStr">
        <is>
          <t>Yes</t>
        </is>
      </c>
      <c r="O1370" t="inlineStr">
        <is>
          <t>New</t>
        </is>
      </c>
      <c r="P1370" t="inlineStr">
        <is>
          <t>2</t>
        </is>
      </c>
      <c r="Q1370" t="inlineStr">
        <is>
          <t>Blade</t>
        </is>
      </c>
      <c r="R1370" t="inlineStr">
        <is>
          <t>Direct Bolt; Grommet</t>
        </is>
      </c>
      <c r="S1370" t="inlineStr">
        <is>
          <t>2.0000</t>
        </is>
      </c>
      <c r="T1370" t="inlineStr">
        <is>
          <t>No</t>
        </is>
      </c>
      <c r="U1370" t="inlineStr">
        <is>
          <t>Limited Lifetime</t>
        </is>
      </c>
      <c r="V1370" t="inlineStr"/>
      <c r="W1370" t="inlineStr">
        <is>
          <t>Available to Order</t>
        </is>
      </c>
      <c r="X1370" t="inlineStr">
        <is>
          <t>Dodge Verna 2005-04; Hyundai Accent 2005-00</t>
        </is>
      </c>
      <c r="Y1370" t="inlineStr">
        <is>
          <t>00082617911504</t>
        </is>
      </c>
      <c r="Z1370" t="inlineStr"/>
      <c r="AA1370" t="inlineStr"/>
      <c r="AB1370" t="inlineStr"/>
      <c r="AC1370" t="inlineStr">
        <is>
          <t>Yes</t>
        </is>
      </c>
    </row>
    <row r="1371">
      <c r="A1371" t="inlineStr">
        <is>
          <t>1370</t>
        </is>
      </c>
      <c r="B1371" t="inlineStr">
        <is>
          <t>Windshield Wiper Motor</t>
        </is>
      </c>
      <c r="C1371" t="inlineStr">
        <is>
          <t>85-4512</t>
        </is>
      </c>
      <c r="D1371" t="inlineStr">
        <is>
          <t>Windshield Wiper Motor - 85-4512</t>
        </is>
      </c>
      <c r="E1371" t="inlineStr">
        <is>
          <t>CARDONE New</t>
        </is>
      </c>
      <c r="F1371" t="inlineStr">
        <is>
          <t>987002C050</t>
        </is>
      </c>
      <c r="G1371" t="inlineStr">
        <is>
          <t>Hyundai Tiburon 2003-2007</t>
        </is>
      </c>
      <c r="H1371" t="inlineStr">
        <is>
          <t>Hyundai Tiburon 2003-2007 2.7L V6 2656cc
Hyundai Tiburon 2003-2007 2L L4 1975cc</t>
        </is>
      </c>
      <c r="I1371" t="inlineStr">
        <is>
          <t>{"0": {"productDeskExternalKey": "CNRD|85-4512"}, "1": {"Package Contents": "Wiper Motor; Instruction Manual"}, "2": {"E-Waste": "Yes"}, "3": {"Product Condition": "New"}, "4": {"Mounting Hole Quantity": "3"}, "5": {"Terminal Type": "Blade"}, "6": {"Mounting Type": "Grommet"}, "7": {"Weight PG": "2.5000"}, "8": {"Washer Pump Included": "No"}, "9": {"Part Type": "Windshield Wiper Motor"}, "10": {"Warranty Info": "Limited Lifetime"}, "11": {"Lifetime Warranty": "Yes"}, "12": {"Lifecycle Status": "Available to Order"}, "13": {"Application Summary": "Hyundai Tiburon 2007-03"}, "14": {"ItemLevelGTIN": "00884548002043"}}</t>
        </is>
      </c>
      <c r="J1371" t="inlineStr">
        <is>
          <t>https://www.cardone.com/product/windshield-wiper-motor-85-4512</t>
        </is>
      </c>
      <c r="K1371">
        <f>DISPIMG("ID_9DAD458B3EF545DB8226A4B2FF2DD5E5",1)</f>
        <v/>
      </c>
      <c r="L1371" t="inlineStr">
        <is>
          <t>CNRD|85-4512</t>
        </is>
      </c>
      <c r="M1371" t="inlineStr">
        <is>
          <t>Wiper Motor; Instruction Manual</t>
        </is>
      </c>
      <c r="N1371" t="inlineStr">
        <is>
          <t>Yes</t>
        </is>
      </c>
      <c r="O1371" t="inlineStr">
        <is>
          <t>New</t>
        </is>
      </c>
      <c r="P1371" t="inlineStr">
        <is>
          <t>3</t>
        </is>
      </c>
      <c r="Q1371" t="inlineStr">
        <is>
          <t>Blade</t>
        </is>
      </c>
      <c r="R1371" t="inlineStr">
        <is>
          <t>Grommet</t>
        </is>
      </c>
      <c r="S1371" t="inlineStr">
        <is>
          <t>2.5000</t>
        </is>
      </c>
      <c r="T1371" t="inlineStr">
        <is>
          <t>No</t>
        </is>
      </c>
      <c r="U1371" t="inlineStr">
        <is>
          <t>Limited Lifetime</t>
        </is>
      </c>
      <c r="V1371" t="inlineStr"/>
      <c r="W1371" t="inlineStr">
        <is>
          <t>Available to Order</t>
        </is>
      </c>
      <c r="X1371" t="inlineStr">
        <is>
          <t>Hyundai Tiburon 2007-03</t>
        </is>
      </c>
      <c r="Y1371" t="inlineStr">
        <is>
          <t>00884548002043</t>
        </is>
      </c>
      <c r="Z1371" t="inlineStr"/>
      <c r="AA1371" t="inlineStr"/>
      <c r="AB1371" t="inlineStr"/>
      <c r="AC1371" t="inlineStr">
        <is>
          <t>Yes</t>
        </is>
      </c>
    </row>
    <row r="1372">
      <c r="A1372" t="inlineStr">
        <is>
          <t>1371</t>
        </is>
      </c>
      <c r="B1372" t="inlineStr">
        <is>
          <t>Windshield Wiper Motor</t>
        </is>
      </c>
      <c r="C1372" t="inlineStr">
        <is>
          <t>85-4513</t>
        </is>
      </c>
      <c r="D1372" t="inlineStr">
        <is>
          <t>Windshield Wiper Motor - 85-4513</t>
        </is>
      </c>
      <c r="E1372" t="inlineStr">
        <is>
          <t>CARDONE New</t>
        </is>
      </c>
      <c r="F1372" t="inlineStr">
        <is>
          <t>9870029610</t>
        </is>
      </c>
      <c r="G1372" t="inlineStr">
        <is>
          <t>Hyundai Elantra 1996-2000</t>
        </is>
      </c>
      <c r="H1372" t="inlineStr">
        <is>
          <t>Hyundai Elantra 1996-1997 1.8L L4 1795cc
Hyundai Elantra 1998 1.8L L4 1796cc
Hyundai Elantra 1999-2000 2L L4 1975cc</t>
        </is>
      </c>
      <c r="I1372" t="inlineStr">
        <is>
          <t>{"0": {"productDeskExternalKey": "CNRD|85-4513"}, "1": {"Package Contents": "Wiper Motor; Instruction Manual"}, "2": {"E-Waste": "Yes"}, "3": {"Product Condition": "New"}, "4": {"Mounting Hole Quantity": "2"}, "5": {"Terminal Type": "Blade"}, "6": {"Mounting Type": "Grommet"}, "7": {"Weight PG": "2.5000"}, "8": {"Washer Pump Included": "No"}, "9": {"Part Type": "Windshield Wiper Motor"}, "10": {"Warranty Info": "Limited Lifetime"}, "11": {"Lifetime Warranty": "Yes"}, "12": {"Lifecycle Status": "Available to Order"}, "13": {"Application Summary": "Hyundai Elantra 2000-96"}, "14": {"ItemLevelGTIN": "00082617812672"}}</t>
        </is>
      </c>
      <c r="J1372" t="inlineStr">
        <is>
          <t>https://www.cardone.com/product/windshield-wiper-motor-85-4513</t>
        </is>
      </c>
      <c r="K1372">
        <f>DISPIMG("ID_1376D8AE352945CD9DD44822819BF8AF",1)</f>
        <v/>
      </c>
      <c r="L1372" t="inlineStr">
        <is>
          <t>CNRD|85-4513</t>
        </is>
      </c>
      <c r="M1372" t="inlineStr">
        <is>
          <t>Wiper Motor; Instruction Manual</t>
        </is>
      </c>
      <c r="N1372" t="inlineStr">
        <is>
          <t>Yes</t>
        </is>
      </c>
      <c r="O1372" t="inlineStr">
        <is>
          <t>New</t>
        </is>
      </c>
      <c r="P1372" t="inlineStr">
        <is>
          <t>2</t>
        </is>
      </c>
      <c r="Q1372" t="inlineStr">
        <is>
          <t>Blade</t>
        </is>
      </c>
      <c r="R1372" t="inlineStr">
        <is>
          <t>Grommet</t>
        </is>
      </c>
      <c r="S1372" t="inlineStr">
        <is>
          <t>2.5000</t>
        </is>
      </c>
      <c r="T1372" t="inlineStr">
        <is>
          <t>No</t>
        </is>
      </c>
      <c r="U1372" t="inlineStr">
        <is>
          <t>Limited Lifetime</t>
        </is>
      </c>
      <c r="V1372" t="inlineStr"/>
      <c r="W1372" t="inlineStr">
        <is>
          <t>Available to Order</t>
        </is>
      </c>
      <c r="X1372" t="inlineStr">
        <is>
          <t>Hyundai Elantra 2000-96</t>
        </is>
      </c>
      <c r="Y1372" t="inlineStr">
        <is>
          <t>00082617812672</t>
        </is>
      </c>
      <c r="Z1372" t="inlineStr"/>
      <c r="AA1372" t="inlineStr"/>
      <c r="AB1372" t="inlineStr"/>
      <c r="AC1372" t="inlineStr">
        <is>
          <t>Yes</t>
        </is>
      </c>
    </row>
    <row r="1373">
      <c r="A1373" t="inlineStr">
        <is>
          <t>1372</t>
        </is>
      </c>
      <c r="B1373" t="inlineStr">
        <is>
          <t>Windshield Wiper Motor</t>
        </is>
      </c>
      <c r="C1373" t="inlineStr">
        <is>
          <t>85-4514</t>
        </is>
      </c>
      <c r="D1373" t="inlineStr">
        <is>
          <t>Windshield Wiper Motor - 85-4514</t>
        </is>
      </c>
      <c r="E1373" t="inlineStr">
        <is>
          <t>CARDONE New</t>
        </is>
      </c>
      <c r="F1373" t="inlineStr">
        <is>
          <t>9870026000</t>
        </is>
      </c>
      <c r="G1373" t="inlineStr">
        <is>
          <t>Hyundai Santa Fe 2001-2006</t>
        </is>
      </c>
      <c r="H1373" t="inlineStr">
        <is>
          <t>Hyundai Santa Fe 2001-2006 2.4L L4 2351cc
Hyundai Santa Fe 2001-2006 2.7L V6 2656cc
Hyundai Santa Fe 2003-2005 3.5L V6 3500cc
Hyundai Santa Fe 2006 3.5L V6 3467cc</t>
        </is>
      </c>
      <c r="I1373" t="inlineStr">
        <is>
          <t>{"0": {"productDeskExternalKey": "CNRD|85-4514"}, "1": {"Package Contents": "Wiper Motor; Instruction Manual"}, "2": {"E-Waste": "Yes"}, "3": {"Product Condition": "New"}, "4": {"Mounting Hole Quantity": "3"}, "5": {"Terminal Type": "Blade"}, "6": {"Mounting Type": "Grommet"}, "7": {"Weight PG": "2.0000"}, "8": {"Washer Pump Included": "No"}, "9": {"Part Type": "Windshield Wiper Motor"}, "10": {"Warranty Info": "Limited Lifetime"}, "11": {"Lifetime Warranty": "Yes"}, "12": {"Lifecycle Status": "Available to Order"}, "13": {"Application Summary": "Hyundai Santa Fe 2006-01"}, "14": {"ItemLevelGTIN": "00082617911542"}}</t>
        </is>
      </c>
      <c r="J1373" t="inlineStr">
        <is>
          <t>https://www.cardone.com/product/windshield-wiper-motor-85-4514</t>
        </is>
      </c>
      <c r="K1373">
        <f>DISPIMG("ID_A92C0DC2DD86464EB6C4F059DAAAB9DA",1)</f>
        <v/>
      </c>
      <c r="L1373" t="inlineStr">
        <is>
          <t>CNRD|85-4514</t>
        </is>
      </c>
      <c r="M1373" t="inlineStr">
        <is>
          <t>Wiper Motor; Instruction Manual</t>
        </is>
      </c>
      <c r="N1373" t="inlineStr">
        <is>
          <t>Yes</t>
        </is>
      </c>
      <c r="O1373" t="inlineStr">
        <is>
          <t>New</t>
        </is>
      </c>
      <c r="P1373" t="inlineStr">
        <is>
          <t>3</t>
        </is>
      </c>
      <c r="Q1373" t="inlineStr">
        <is>
          <t>Blade</t>
        </is>
      </c>
      <c r="R1373" t="inlineStr">
        <is>
          <t>Grommet</t>
        </is>
      </c>
      <c r="S1373" t="inlineStr">
        <is>
          <t>2.0000</t>
        </is>
      </c>
      <c r="T1373" t="inlineStr">
        <is>
          <t>No</t>
        </is>
      </c>
      <c r="U1373" t="inlineStr">
        <is>
          <t>Limited Lifetime</t>
        </is>
      </c>
      <c r="V1373" t="inlineStr"/>
      <c r="W1373" t="inlineStr">
        <is>
          <t>Available to Order</t>
        </is>
      </c>
      <c r="X1373" t="inlineStr">
        <is>
          <t>Hyundai Santa Fe 2006-01</t>
        </is>
      </c>
      <c r="Y1373" t="inlineStr">
        <is>
          <t>00082617911542</t>
        </is>
      </c>
      <c r="Z1373" t="inlineStr"/>
      <c r="AA1373" t="inlineStr"/>
      <c r="AB1373" t="inlineStr"/>
      <c r="AC1373" t="inlineStr">
        <is>
          <t>Yes</t>
        </is>
      </c>
    </row>
    <row r="1374">
      <c r="A1374" t="inlineStr">
        <is>
          <t>1373</t>
        </is>
      </c>
      <c r="B1374" t="inlineStr">
        <is>
          <t>Windshield Wiper Motor</t>
        </is>
      </c>
      <c r="C1374" t="inlineStr">
        <is>
          <t>85-4515</t>
        </is>
      </c>
      <c r="D1374" t="inlineStr">
        <is>
          <t>Windshield Wiper Motor - 85-4515</t>
        </is>
      </c>
      <c r="E1374" t="inlineStr">
        <is>
          <t>CARDONE New</t>
        </is>
      </c>
      <c r="F1374" t="inlineStr">
        <is>
          <t>9811038500;9811038501</t>
        </is>
      </c>
      <c r="G1374" t="inlineStr">
        <is>
          <t>Hyundai Sonata 2005
Hyundai XG350 2005</t>
        </is>
      </c>
      <c r="H1374" t="inlineStr">
        <is>
          <t>Hyundai Sonata 2005 2.4L L4 2351cc
Hyundai Sonata 2005 2.7L V6 2656cc
Hyundai XG350 2005 3.5L V6 3500cc</t>
        </is>
      </c>
      <c r="I1374" t="inlineStr">
        <is>
          <t>{"0": {"productDeskExternalKey": "CNRD|85-4515"}, "1": {"Package Contents": "Wiper Motor; Instruction Manual"}, "2": {"E-Waste": "Yes"}, "3": {"Product Condition": "New"}, "4": {"Terminal Type": "Blade"}, "5": {"Mounting Type": "Direct Bolt"}, "6": {"Weight PG": "3.0000"}, "7": {"Washer Pump Included": "No"}, "8": {"Part Type": "Windshield Wiper Motor"}, "9": {"Warranty Info": "Limited Lifetime"}, "10": {"Lifetime Warranty": "Yes"}, "11": {"Lifecycle Status": "Available to Order"}, "12": {"Application Summary": "Hyundai Sonata 2005, XG350 2005"}, "13": {"ItemLevelGTIN": "00884548020214"}}</t>
        </is>
      </c>
      <c r="J1374" t="inlineStr">
        <is>
          <t>https://www.cardone.com/product/windshield-wiper-motor-85-4515</t>
        </is>
      </c>
      <c r="K1374">
        <f>DISPIMG("ID_8588A7E33D6441898BE072B4573CF2B2",1)</f>
        <v/>
      </c>
      <c r="L1374" t="inlineStr">
        <is>
          <t>CNRD|85-4515</t>
        </is>
      </c>
      <c r="M1374" t="inlineStr">
        <is>
          <t>Wiper Motor; Instruction Manual</t>
        </is>
      </c>
      <c r="N1374" t="inlineStr">
        <is>
          <t>Yes</t>
        </is>
      </c>
      <c r="O1374" t="inlineStr">
        <is>
          <t>New</t>
        </is>
      </c>
      <c r="P1374" t="inlineStr"/>
      <c r="Q1374" t="inlineStr">
        <is>
          <t>Blade</t>
        </is>
      </c>
      <c r="R1374" t="inlineStr">
        <is>
          <t>Direct Bolt</t>
        </is>
      </c>
      <c r="S1374" t="inlineStr">
        <is>
          <t>3.0000</t>
        </is>
      </c>
      <c r="T1374" t="inlineStr">
        <is>
          <t>No</t>
        </is>
      </c>
      <c r="U1374" t="inlineStr">
        <is>
          <t>Limited Lifetime</t>
        </is>
      </c>
      <c r="V1374" t="inlineStr"/>
      <c r="W1374" t="inlineStr">
        <is>
          <t>Available to Order</t>
        </is>
      </c>
      <c r="X1374" t="inlineStr">
        <is>
          <t>Hyundai Sonata 2005, XG350 2005</t>
        </is>
      </c>
      <c r="Y1374" t="inlineStr">
        <is>
          <t>00884548020214</t>
        </is>
      </c>
      <c r="Z1374" t="inlineStr"/>
      <c r="AA1374" t="inlineStr"/>
      <c r="AB1374" t="inlineStr"/>
      <c r="AC1374" t="inlineStr">
        <is>
          <t>Yes</t>
        </is>
      </c>
    </row>
    <row r="1375">
      <c r="A1375" t="inlineStr">
        <is>
          <t>1374</t>
        </is>
      </c>
      <c r="B1375" t="inlineStr">
        <is>
          <t>Windshield Wiper Motor</t>
        </is>
      </c>
      <c r="C1375" t="inlineStr">
        <is>
          <t>85-4516</t>
        </is>
      </c>
      <c r="D1375" t="inlineStr">
        <is>
          <t>Windshield Wiper Motor - 85-4516</t>
        </is>
      </c>
      <c r="E1375" t="inlineStr">
        <is>
          <t>CARDONE New</t>
        </is>
      </c>
      <c r="F1375" t="inlineStr">
        <is>
          <t>981102V000;981101H900;981102E000;981103L000</t>
        </is>
      </c>
      <c r="G1375" t="inlineStr">
        <is>
          <t>Hyundai Azera 2006-2011
Hyundai Tucson 2005-2009
Hyundai Veloster 2012-2017
Kia Optima 2011-2015
Kia Sportage 2005-2010</t>
        </is>
      </c>
      <c r="H1375" t="inlineStr">
        <is>
          <t>Hyundai Azera 2006-2011 3.8L V6 231cid
Hyundai Azera 2007-2011 3.3L V6 3342cc
Hyundai Tucson 2005-2009 2.7L V6 2656cc
Hyundai Tucson 2005-2009 2L L4 1975cc
Hyundai Veloster 2012-2017 1.6L L4 97cid
Kia Optima 2011-2015 2.4L L4 2359cc
Kia Optima 2011-2015 2L L4 122cid
Kia Sportage 2005-2010 2.7L V6 2656cc
Kia Sportage 2005-2010 2L L4 1975cc</t>
        </is>
      </c>
      <c r="I1375" t="inlineStr">
        <is>
          <t>{"0": {"productDeskExternalKey": "CNRD|85-4516"}, "1": {"Package Contents": "Wiper Motor; Instruction Manual"}, "2": {"E-Waste": "Yes"}, "3": {"Product Condition": "New"}, "4": {"Mounting Hole Quantity": "3"}, "5": {"Terminal Type": "Blade"}, "6": {"Mounting Type": "Direct Bolt"}, "7": {"Weight PG": "3.0400"}, "8": {"Washer Pump Included": "No"}, "9": {"Part Type": "Windshield Wiper Motor"}, "10": {"Warranty Info": "Limited Lifetime"}, "11": {"Lifetime Warranty": "Yes"}, "12": {"Lifecycle Status": "Available to Order"}, "13": {"Application Summary": "Hyundai Azera 2011-06, Tucson 2009-05, Veloster 2017-12; Kia Optima 2015-11, Sportage 2010-05"}, "14": {"ItemLevelGTIN": "00082617911641"}}</t>
        </is>
      </c>
      <c r="J1375" t="inlineStr">
        <is>
          <t>https://www.cardone.com/product/windshield-wiper-motor-85-4516</t>
        </is>
      </c>
      <c r="K1375">
        <f>DISPIMG("ID_8D02BE083ED24E99A7ADDB22A22F5959",1)</f>
        <v/>
      </c>
      <c r="L1375" t="inlineStr">
        <is>
          <t>CNRD|85-4516</t>
        </is>
      </c>
      <c r="M1375" t="inlineStr">
        <is>
          <t>Wiper Motor; Instruction Manual</t>
        </is>
      </c>
      <c r="N1375" t="inlineStr">
        <is>
          <t>Yes</t>
        </is>
      </c>
      <c r="O1375" t="inlineStr">
        <is>
          <t>New</t>
        </is>
      </c>
      <c r="P1375" t="inlineStr">
        <is>
          <t>3</t>
        </is>
      </c>
      <c r="Q1375" t="inlineStr">
        <is>
          <t>Blade</t>
        </is>
      </c>
      <c r="R1375" t="inlineStr">
        <is>
          <t>Direct Bolt</t>
        </is>
      </c>
      <c r="S1375" t="inlineStr">
        <is>
          <t>3.0400</t>
        </is>
      </c>
      <c r="T1375" t="inlineStr">
        <is>
          <t>No</t>
        </is>
      </c>
      <c r="U1375" t="inlineStr">
        <is>
          <t>Limited Lifetime</t>
        </is>
      </c>
      <c r="V1375" t="inlineStr"/>
      <c r="W1375" t="inlineStr">
        <is>
          <t>Available to Order</t>
        </is>
      </c>
      <c r="X1375" t="inlineStr">
        <is>
          <t>Hyundai Azera 2011-06, Tucson 2009-05, Veloster 2017-12; Kia Optima 2015-11, Sportage 2010-05</t>
        </is>
      </c>
      <c r="Y1375" t="inlineStr">
        <is>
          <t>00082617911641</t>
        </is>
      </c>
      <c r="Z1375" t="inlineStr"/>
      <c r="AA1375" t="inlineStr"/>
      <c r="AB1375" t="inlineStr"/>
      <c r="AC1375" t="inlineStr">
        <is>
          <t>Yes</t>
        </is>
      </c>
    </row>
    <row r="1376">
      <c r="A1376" t="inlineStr">
        <is>
          <t>1375</t>
        </is>
      </c>
      <c r="B1376" t="inlineStr">
        <is>
          <t>Windshield Wiper Motor</t>
        </is>
      </c>
      <c r="C1376" t="inlineStr">
        <is>
          <t>85-4518</t>
        </is>
      </c>
      <c r="D1376" t="inlineStr">
        <is>
          <t>Windshield Wiper Motor - 85-4518</t>
        </is>
      </c>
      <c r="E1376" t="inlineStr">
        <is>
          <t>CARDONE New</t>
        </is>
      </c>
      <c r="F1376" t="inlineStr">
        <is>
          <t>28815AC500;32008786;86511SA050;86511FE030;86511AE07A</t>
        </is>
      </c>
      <c r="G1376" t="inlineStr">
        <is>
          <t>Nissan 350Z 2006-2009
Saab 9-2X 2005-2006
Subaru Baja 2004-2006
Subaru Forester 2005-2008
Subaru Impreza 2004-2007
Subaru Legacy 2004
Subaru Outback 2004</t>
        </is>
      </c>
      <c r="H1376" t="inlineStr">
        <is>
          <t>Nissan 350Z 2006-2009 3.5L V6 3498cc
Saab 9-2X 2005 2L H4 1994cc
Saab 9-2X 2005-2006 2.5L H4 2458cc
Subaru Baja 2004-2006 2.5L H4 2458cc
Subaru Forester 2005-2008 2.5L H4 2458cc
Subaru Impreza 2004-2005 2L H4 1994cc
Subaru Impreza 2004-2007 2.5L H4 2458cc
Subaru Legacy 2004 2.5L H4 2458cc
Subaru Outback 2004 2.5L H4 2458cc
Subaru Outback 2004 3L H6 3000cc</t>
        </is>
      </c>
      <c r="I1376" t="inlineStr">
        <is>
          <t>{"0": {"productDeskExternalKey": "CNRD|85-4518"}, "1": {"Package Contents": "Wiper Motor; Instruction Manual"}, "2": {"E-Waste": "Yes"}, "3": {"Product Condition": "New"}, "4": {"Terminal Type": "Blade"}, "5": {"Mounting Type": "Direct Bolt"}, "6": {"Weight PG": "2.7400"}, "7": {"Washer Pump Included": "No"}, "8": {"Part Type": "Windshield Wiper Motor"}, "9": {"Warranty Info": "Limited Lifetime"}, "10": {"Lifetime Warranty": "Yes"}, "11": {"Lifecycle Status": "Available to Order"}, "12": {"Application Summary": "Nissan 350Z 2009-06; Saab 9-2X 2006-05; Subaru Baja 2006-04, Forester 2008-05, Impreza 2007-04, Legacy 2004, Outback 2004"}, "13": {"ItemLevelGTIN": "00884548309692"}}</t>
        </is>
      </c>
      <c r="J1376" t="inlineStr">
        <is>
          <t>https://www.cardone.com/product/windshield-wiper-motor-85-4518</t>
        </is>
      </c>
      <c r="K1376">
        <f>DISPIMG("ID_9A521005BA3C47429A21FD11309D8BD5",1)</f>
        <v/>
      </c>
      <c r="L1376" t="inlineStr">
        <is>
          <t>CNRD|85-4518</t>
        </is>
      </c>
      <c r="M1376" t="inlineStr">
        <is>
          <t>Wiper Motor; Instruction Manual</t>
        </is>
      </c>
      <c r="N1376" t="inlineStr">
        <is>
          <t>Yes</t>
        </is>
      </c>
      <c r="O1376" t="inlineStr">
        <is>
          <t>New</t>
        </is>
      </c>
      <c r="P1376" t="inlineStr"/>
      <c r="Q1376" t="inlineStr">
        <is>
          <t>Blade</t>
        </is>
      </c>
      <c r="R1376" t="inlineStr">
        <is>
          <t>Direct Bolt</t>
        </is>
      </c>
      <c r="S1376" t="inlineStr">
        <is>
          <t>2.7400</t>
        </is>
      </c>
      <c r="T1376" t="inlineStr">
        <is>
          <t>No</t>
        </is>
      </c>
      <c r="U1376" t="inlineStr">
        <is>
          <t>Limited Lifetime</t>
        </is>
      </c>
      <c r="V1376" t="inlineStr"/>
      <c r="W1376" t="inlineStr">
        <is>
          <t>Available to Order</t>
        </is>
      </c>
      <c r="X1376" t="inlineStr">
        <is>
          <t>Nissan 350Z 2009-06; Saab 9-2X 2006-05; Subaru Baja 2006-04, Forester 2008-05, Impreza 2007-04, Legacy 2004, Outback 2004</t>
        </is>
      </c>
      <c r="Y1376" t="inlineStr">
        <is>
          <t>00884548309692</t>
        </is>
      </c>
      <c r="Z1376" t="inlineStr"/>
      <c r="AA1376" t="inlineStr"/>
      <c r="AB1376" t="inlineStr"/>
      <c r="AC1376" t="inlineStr">
        <is>
          <t>Yes</t>
        </is>
      </c>
    </row>
    <row r="1377">
      <c r="A1377" t="inlineStr">
        <is>
          <t>1376</t>
        </is>
      </c>
      <c r="B1377" t="inlineStr">
        <is>
          <t>Windshield Wiper Motor</t>
        </is>
      </c>
      <c r="C1377" t="inlineStr">
        <is>
          <t>85-4520</t>
        </is>
      </c>
      <c r="D1377" t="inlineStr">
        <is>
          <t>Windshield Wiper Motor - 85-4520</t>
        </is>
      </c>
      <c r="E1377" t="inlineStr">
        <is>
          <t>CARDONE New</t>
        </is>
      </c>
      <c r="F1377" t="inlineStr">
        <is>
          <t>86510AG02B;86510AG02D;86510AG02A</t>
        </is>
      </c>
      <c r="G1377" t="inlineStr">
        <is>
          <t>Subaru Legacy 2005-2009
Subaru Outback 2005-2009</t>
        </is>
      </c>
      <c r="H1377" t="inlineStr">
        <is>
          <t>Subaru Legacy 2005-2009 2.5L H4 2458cc
Subaru Legacy 2008-2009 2L H4 122cid
Subaru Legacy 2008-2009 3L H6 3000cc
Subaru Outback 2005-2009 2.5L H4 2458cc
Subaru Outback 2005-2009 3L H6 3000cc</t>
        </is>
      </c>
      <c r="I1377" t="inlineStr">
        <is>
          <t>{"0": {"productDeskExternalKey": "CNRD|85-4520"}, "1": {"Package Contents": "Wiper Motor; Instruction Manual"}, "2": {"E-Waste": "Yes"}, "3": {"Product Condition": "New"}, "4": {"Terminal Type": "Blade"}, "5": {"Mounting Type": "Direct Bolt; Grommet"}, "6": {"Weight PG": "3.0500"}, "7": {"Washer Pump Included": "No"}, "8": {"Part Type": "Windshield Wiper Motor"}, "9": {"Warranty Info": "Limited Lifetime"}, "10": {"Lifetime Warranty": "Yes"}, "11": {"Lifecycle Status": "Available to Order"}, "12": {"Application Summary": "Subaru Legacy 2009-05, Outback 2009-05"}, "13": {"ItemLevelGTIN": "00884548320406"}}</t>
        </is>
      </c>
      <c r="J1377" t="inlineStr">
        <is>
          <t>https://www.cardone.com/product/windshield-wiper-motor-85-4520</t>
        </is>
      </c>
      <c r="K1377">
        <f>DISPIMG("ID_51321C9BBBBD4933A3DFD0D0E57C5C5D",1)</f>
        <v/>
      </c>
      <c r="L1377" t="inlineStr">
        <is>
          <t>CNRD|85-4520</t>
        </is>
      </c>
      <c r="M1377" t="inlineStr">
        <is>
          <t>Wiper Motor; Instruction Manual</t>
        </is>
      </c>
      <c r="N1377" t="inlineStr">
        <is>
          <t>Yes</t>
        </is>
      </c>
      <c r="O1377" t="inlineStr">
        <is>
          <t>New</t>
        </is>
      </c>
      <c r="P1377" t="inlineStr"/>
      <c r="Q1377" t="inlineStr">
        <is>
          <t>Blade</t>
        </is>
      </c>
      <c r="R1377" t="inlineStr">
        <is>
          <t>Direct Bolt; Grommet</t>
        </is>
      </c>
      <c r="S1377" t="inlineStr">
        <is>
          <t>3.0500</t>
        </is>
      </c>
      <c r="T1377" t="inlineStr">
        <is>
          <t>No</t>
        </is>
      </c>
      <c r="U1377" t="inlineStr">
        <is>
          <t>Limited Lifetime</t>
        </is>
      </c>
      <c r="V1377" t="inlineStr"/>
      <c r="W1377" t="inlineStr">
        <is>
          <t>Available to Order</t>
        </is>
      </c>
      <c r="X1377" t="inlineStr">
        <is>
          <t>Subaru Legacy 2009-05, Outback 2009-05</t>
        </is>
      </c>
      <c r="Y1377" t="inlineStr">
        <is>
          <t>00884548320406</t>
        </is>
      </c>
      <c r="Z1377" t="inlineStr"/>
      <c r="AA1377" t="inlineStr"/>
      <c r="AB1377" t="inlineStr"/>
      <c r="AC1377" t="inlineStr">
        <is>
          <t>Yes</t>
        </is>
      </c>
    </row>
    <row r="1378">
      <c r="A1378" t="inlineStr">
        <is>
          <t>1377</t>
        </is>
      </c>
      <c r="B1378" t="inlineStr">
        <is>
          <t>Windshield Wiper Motor</t>
        </is>
      </c>
      <c r="C1378" t="inlineStr">
        <is>
          <t>85-4522</t>
        </is>
      </c>
      <c r="D1378" t="inlineStr">
        <is>
          <t>Windshield Wiper Motor - 85-4522</t>
        </is>
      </c>
      <c r="E1378" t="inlineStr">
        <is>
          <t>CARDONE New</t>
        </is>
      </c>
      <c r="F1378" t="inlineStr">
        <is>
          <t>987003E000</t>
        </is>
      </c>
      <c r="G1378" t="inlineStr">
        <is>
          <t>Kia Sorento 2003-2009</t>
        </is>
      </c>
      <c r="H1378" t="inlineStr">
        <is>
          <t>Kia Sorento 2003-2006 3.5L V6 3497cc
Kia Sorento 2007-2009 3.8L V6 231cid
Kia Sorento 2008-2009 3.3L V6 3342cc</t>
        </is>
      </c>
      <c r="I1378" t="inlineStr">
        <is>
          <t>{"0": {"productDeskExternalKey": "CNRD|85-4522"}, "1": {"Package Contents": "Wiper Motor; Instruction Manual"}, "2": {"E-Waste": "Yes"}, "3": {"Product Condition": "New"}, "4": {"Mounting Hole Quantity": "2"}, "5": {"Terminal Type": "Blade"}, "6": {"Mounting Type": "Grommet"}, "7": {"Weight PG": "2.8500"}, "8": {"Washer Pump Included": "No"}, "9": {"Part Type": "Windshield Wiper Motor"}, "10": {"Warranty Info": "Limited Lifetime"}, "11": {"Lifetime Warranty": "Yes"}, "12": {"Lifecycle Status": "Available to Order"}, "13": {"Application Summary": "Kia Sorento 2009-03"}, "14": {"ItemLevelGTIN": "00884548002036"}}</t>
        </is>
      </c>
      <c r="J1378" t="inlineStr">
        <is>
          <t>https://www.cardone.com/product/windshield-wiper-motor-85-4522</t>
        </is>
      </c>
      <c r="K1378">
        <f>DISPIMG("ID_37A76B81CC29472DBD7026D57413F673",1)</f>
        <v/>
      </c>
      <c r="L1378" t="inlineStr">
        <is>
          <t>CNRD|85-4522</t>
        </is>
      </c>
      <c r="M1378" t="inlineStr">
        <is>
          <t>Wiper Motor; Instruction Manual</t>
        </is>
      </c>
      <c r="N1378" t="inlineStr">
        <is>
          <t>Yes</t>
        </is>
      </c>
      <c r="O1378" t="inlineStr">
        <is>
          <t>New</t>
        </is>
      </c>
      <c r="P1378" t="inlineStr">
        <is>
          <t>2</t>
        </is>
      </c>
      <c r="Q1378" t="inlineStr">
        <is>
          <t>Blade</t>
        </is>
      </c>
      <c r="R1378" t="inlineStr">
        <is>
          <t>Grommet</t>
        </is>
      </c>
      <c r="S1378" t="inlineStr">
        <is>
          <t>2.8500</t>
        </is>
      </c>
      <c r="T1378" t="inlineStr">
        <is>
          <t>No</t>
        </is>
      </c>
      <c r="U1378" t="inlineStr">
        <is>
          <t>Limited Lifetime</t>
        </is>
      </c>
      <c r="V1378" t="inlineStr"/>
      <c r="W1378" t="inlineStr">
        <is>
          <t>Available to Order</t>
        </is>
      </c>
      <c r="X1378" t="inlineStr">
        <is>
          <t>Kia Sorento 2009-03</t>
        </is>
      </c>
      <c r="Y1378" t="inlineStr">
        <is>
          <t>00884548002036</t>
        </is>
      </c>
      <c r="Z1378" t="inlineStr"/>
      <c r="AA1378" t="inlineStr"/>
      <c r="AB1378" t="inlineStr"/>
      <c r="AC1378" t="inlineStr">
        <is>
          <t>Yes</t>
        </is>
      </c>
    </row>
    <row r="1379">
      <c r="A1379" t="inlineStr">
        <is>
          <t>1378</t>
        </is>
      </c>
      <c r="B1379" t="inlineStr">
        <is>
          <t>Windshield Wiper Motor</t>
        </is>
      </c>
      <c r="C1379" t="inlineStr">
        <is>
          <t>85-4526</t>
        </is>
      </c>
      <c r="D1379" t="inlineStr">
        <is>
          <t>Windshield Wiper Motor - 85-4526</t>
        </is>
      </c>
      <c r="E1379" t="inlineStr">
        <is>
          <t>CARDONE New</t>
        </is>
      </c>
      <c r="F1379" t="inlineStr">
        <is>
          <t>981104D000</t>
        </is>
      </c>
      <c r="G1379" t="inlineStr">
        <is>
          <t>Hyundai Entourage 2007-2008
Kia Sedona 2006-2014</t>
        </is>
      </c>
      <c r="H1379" t="inlineStr">
        <is>
          <t>Hyundai Entourage 2007-2008 3.8L V6 231cid
Kia Sedona 2006-2010 3.8L V6 231cid
Kia Sedona 2011-2014 3.5L V6 3470cc</t>
        </is>
      </c>
      <c r="I1379" t="inlineStr">
        <is>
          <t>{"0": {"productDeskExternalKey": "CNRD|85-4526"}, "1": {"Package Contents": "Wiper Motor; Instruction Manual"}, "2": {"E-Waste": "Yes"}, "3": {"Product Condition": "New"}, "4": {"Mounting Hole Quantity": "3"}, "5": {"Terminal Type": "Blade"}, "6": {"Mounting Type": "Direct Bolt"}, "7": {"Weight PG": "3.0000"}, "8": {"Washer Pump Included": "No"}, "9": {"Part Type": "Windshield Wiper Motor"}, "10": {"Warranty Info": "Limited Lifetime"}, "11": {"Lifetime Warranty": "Yes"}, "12": {"Lifecycle Status": "Available to Order"}, "13": {"Application Summary": "Hyundai Entourage 2008-07; Kia Sedona 2014 2012-06"}, "14": {"ItemLevelGTIN": "00082617911634"}}</t>
        </is>
      </c>
      <c r="J1379" t="inlineStr">
        <is>
          <t>https://www.cardone.com/product/windshield-wiper-motor-85-4526</t>
        </is>
      </c>
      <c r="K1379">
        <f>DISPIMG("ID_DCC93712F3A54911A6B4E96EBC7AFEA7",1)</f>
        <v/>
      </c>
      <c r="L1379" t="inlineStr">
        <is>
          <t>CNRD|85-4526</t>
        </is>
      </c>
      <c r="M1379" t="inlineStr">
        <is>
          <t>Wiper Motor; Instruction Manual</t>
        </is>
      </c>
      <c r="N1379" t="inlineStr">
        <is>
          <t>Yes</t>
        </is>
      </c>
      <c r="O1379" t="inlineStr">
        <is>
          <t>New</t>
        </is>
      </c>
      <c r="P1379" t="inlineStr">
        <is>
          <t>3</t>
        </is>
      </c>
      <c r="Q1379" t="inlineStr">
        <is>
          <t>Blade</t>
        </is>
      </c>
      <c r="R1379" t="inlineStr">
        <is>
          <t>Direct Bolt</t>
        </is>
      </c>
      <c r="S1379" t="inlineStr">
        <is>
          <t>3.0000</t>
        </is>
      </c>
      <c r="T1379" t="inlineStr">
        <is>
          <t>No</t>
        </is>
      </c>
      <c r="U1379" t="inlineStr">
        <is>
          <t>Limited Lifetime</t>
        </is>
      </c>
      <c r="V1379" t="inlineStr"/>
      <c r="W1379" t="inlineStr">
        <is>
          <t>Available to Order</t>
        </is>
      </c>
      <c r="X1379" t="inlineStr">
        <is>
          <t>Hyundai Entourage 2008-07; Kia Sedona 2014 2012-06</t>
        </is>
      </c>
      <c r="Y1379" t="inlineStr">
        <is>
          <t>00082617911634</t>
        </is>
      </c>
      <c r="Z1379" t="inlineStr"/>
      <c r="AA1379" t="inlineStr"/>
      <c r="AB1379" t="inlineStr"/>
      <c r="AC1379" t="inlineStr">
        <is>
          <t>Yes</t>
        </is>
      </c>
    </row>
    <row r="1380">
      <c r="A1380" t="inlineStr">
        <is>
          <t>1379</t>
        </is>
      </c>
      <c r="B1380" t="inlineStr">
        <is>
          <t>Windshield Wiper Motor</t>
        </is>
      </c>
      <c r="C1380" t="inlineStr">
        <is>
          <t>85-4527</t>
        </is>
      </c>
      <c r="D1380" t="inlineStr">
        <is>
          <t>Windshield Wiper Motor - 85-4527</t>
        </is>
      </c>
      <c r="E1380" t="inlineStr">
        <is>
          <t>CARDONE New</t>
        </is>
      </c>
      <c r="F1380" t="inlineStr">
        <is>
          <t>987002D001;987002D000</t>
        </is>
      </c>
      <c r="G1380" t="inlineStr">
        <is>
          <t>Hyundai Elantra 2001-2006</t>
        </is>
      </c>
      <c r="H1380" t="inlineStr">
        <is>
          <t>Hyundai Elantra 2001-2006 2L L4 1975cc</t>
        </is>
      </c>
      <c r="I1380" t="inlineStr">
        <is>
          <t>{"0": {"productDeskExternalKey": "CNRD|85-4527"}, "1": {"Package Contents": "Wiper Motor; Instruction Manual"}, "2": {"E-Waste": "Yes"}, "3": {"Product Condition": "New"}, "4": {"Mounting Hole Quantity": "3"}, "5": {"Terminal Type": "Blade"}, "6": {"Mounting Type": "Grommet"}, "7": {"Weight PG": "2.9000"}, "8": {"Washer Pump Included": "No"}, "9": {"Part Type": "Windshield Wiper Motor"}, "10": {"Warranty Info": "Limited Lifetime"}, "11": {"Lifetime Warranty": "Yes"}, "12": {"Lifecycle Status": "Available to Order"}, "13": {"Application Summary": "Hyundai Elantra 2006-01"}, "14": {"ItemLevelGTIN": "00082617911511"}}</t>
        </is>
      </c>
      <c r="J1380" t="inlineStr">
        <is>
          <t>https://www.cardone.com/product/windshield-wiper-motor-85-4527</t>
        </is>
      </c>
      <c r="K1380">
        <f>DISPIMG("ID_952BDF8655B74E4CA7C0FDDE8F556163",1)</f>
        <v/>
      </c>
      <c r="L1380" t="inlineStr">
        <is>
          <t>CNRD|85-4527</t>
        </is>
      </c>
      <c r="M1380" t="inlineStr">
        <is>
          <t>Wiper Motor; Instruction Manual</t>
        </is>
      </c>
      <c r="N1380" t="inlineStr">
        <is>
          <t>Yes</t>
        </is>
      </c>
      <c r="O1380" t="inlineStr">
        <is>
          <t>New</t>
        </is>
      </c>
      <c r="P1380" t="inlineStr">
        <is>
          <t>3</t>
        </is>
      </c>
      <c r="Q1380" t="inlineStr">
        <is>
          <t>Blade</t>
        </is>
      </c>
      <c r="R1380" t="inlineStr">
        <is>
          <t>Grommet</t>
        </is>
      </c>
      <c r="S1380" t="inlineStr">
        <is>
          <t>2.9000</t>
        </is>
      </c>
      <c r="T1380" t="inlineStr">
        <is>
          <t>No</t>
        </is>
      </c>
      <c r="U1380" t="inlineStr">
        <is>
          <t>Limited Lifetime</t>
        </is>
      </c>
      <c r="V1380" t="inlineStr"/>
      <c r="W1380" t="inlineStr">
        <is>
          <t>Available to Order</t>
        </is>
      </c>
      <c r="X1380" t="inlineStr">
        <is>
          <t>Hyundai Elantra 2006-01</t>
        </is>
      </c>
      <c r="Y1380" t="inlineStr">
        <is>
          <t>00082617911511</t>
        </is>
      </c>
      <c r="Z1380" t="inlineStr"/>
      <c r="AA1380" t="inlineStr"/>
      <c r="AB1380" t="inlineStr"/>
      <c r="AC1380" t="inlineStr">
        <is>
          <t>Yes</t>
        </is>
      </c>
    </row>
    <row r="1381">
      <c r="A1381" t="inlineStr">
        <is>
          <t>1380</t>
        </is>
      </c>
      <c r="B1381" t="inlineStr">
        <is>
          <t>Windshield Wiper Motor</t>
        </is>
      </c>
      <c r="C1381" t="inlineStr">
        <is>
          <t>85-453</t>
        </is>
      </c>
      <c r="D1381" t="inlineStr">
        <is>
          <t>Windshield Wiper Motor - 85-453</t>
        </is>
      </c>
      <c r="E1381" t="inlineStr">
        <is>
          <t>CARDONE New</t>
        </is>
      </c>
      <c r="F1381" t="inlineStr">
        <is>
          <t>55156374AC</t>
        </is>
      </c>
      <c r="G1381" t="inlineStr">
        <is>
          <t>Jeep TJ 2003-2006
Jeep Wrangler 2003-2006</t>
        </is>
      </c>
      <c r="H1381" t="inlineStr">
        <is>
          <t>Jeep TJ 2003-2006 2.4L L4 148cid
Jeep TJ 2003-2006 4L L6 242cid
Jeep Wrangler 2003-2006 2.4L L4 148cid
Jeep Wrangler 2003-2006 4L L6 242cid</t>
        </is>
      </c>
      <c r="I1381" t="inlineStr">
        <is>
          <t>{"0": {"productDeskExternalKey": "CNRD|85-453"}, "1": {"Package Contents": "Wiper Motor; Instruction Manual"}, "2": {"E-Waste": "Yes"}, "3": {"Product Condition": "New"}, "4": {"Mounting Hole Quantity": "3"}, "5": {"Terminal Type": "Blade"}, "6": {"Mounting Type": "Direct Bolt"}, "7": {"Weight PG": "3.2000"}, "8": {"Washer Pump Included": "No"}, "9": {"Part Type": "Windshield Wiper Motor"}, "10": {"Warranty Info": "Limited Lifetime"}, "11": {"Lifetime Warranty": "Yes"}, "12": {"Lifecycle Status": "Available to Order"}, "13": {"Application Summary": "Jeep TJ 2006-03, Wrangler 2006-03"}, "14": {"ItemLevelGTIN": "00082617814676"}}</t>
        </is>
      </c>
      <c r="J1381" t="inlineStr">
        <is>
          <t>https://www.cardone.com/product/windshield-wiper-motor-85-453</t>
        </is>
      </c>
      <c r="K1381">
        <f>DISPIMG("ID_E95A4804FF3745668B7E59526C8A1673",1)</f>
        <v/>
      </c>
      <c r="L1381" t="inlineStr">
        <is>
          <t>CNRD|85-453</t>
        </is>
      </c>
      <c r="M1381" t="inlineStr">
        <is>
          <t>Wiper Motor; Instruction Manual</t>
        </is>
      </c>
      <c r="N1381" t="inlineStr">
        <is>
          <t>Yes</t>
        </is>
      </c>
      <c r="O1381" t="inlineStr">
        <is>
          <t>New</t>
        </is>
      </c>
      <c r="P1381" t="inlineStr">
        <is>
          <t>3</t>
        </is>
      </c>
      <c r="Q1381" t="inlineStr">
        <is>
          <t>Blade</t>
        </is>
      </c>
      <c r="R1381" t="inlineStr">
        <is>
          <t>Direct Bolt</t>
        </is>
      </c>
      <c r="S1381" t="inlineStr">
        <is>
          <t>3.2000</t>
        </is>
      </c>
      <c r="T1381" t="inlineStr">
        <is>
          <t>No</t>
        </is>
      </c>
      <c r="U1381" t="inlineStr">
        <is>
          <t>Limited Lifetime</t>
        </is>
      </c>
      <c r="V1381" t="inlineStr"/>
      <c r="W1381" t="inlineStr">
        <is>
          <t>Available to Order</t>
        </is>
      </c>
      <c r="X1381" t="inlineStr">
        <is>
          <t>Jeep TJ 2006-03, Wrangler 2006-03</t>
        </is>
      </c>
      <c r="Y1381" t="inlineStr">
        <is>
          <t>00082617814676</t>
        </is>
      </c>
      <c r="Z1381" t="inlineStr"/>
      <c r="AA1381" t="inlineStr"/>
      <c r="AB1381" t="inlineStr"/>
      <c r="AC1381" t="inlineStr">
        <is>
          <t>Yes</t>
        </is>
      </c>
    </row>
    <row r="1382">
      <c r="A1382" t="inlineStr">
        <is>
          <t>1381</t>
        </is>
      </c>
      <c r="B1382" t="inlineStr">
        <is>
          <t>Windshield Wiper Motor</t>
        </is>
      </c>
      <c r="C1382" t="inlineStr">
        <is>
          <t>85-4532</t>
        </is>
      </c>
      <c r="D1382" t="inlineStr">
        <is>
          <t>Windshield Wiper Motor - 85-4532</t>
        </is>
      </c>
      <c r="E1382" t="inlineStr">
        <is>
          <t>CARDONE New</t>
        </is>
      </c>
      <c r="F1382" t="inlineStr">
        <is>
          <t>86510AG09A</t>
        </is>
      </c>
      <c r="G1382" t="inlineStr">
        <is>
          <t>Subaru B9 Tribeca 2006-2007
Subaru Legacy 2005-2007
Subaru Outback 2005-2009
Subaru Tribeca 2008-2009</t>
        </is>
      </c>
      <c r="H1382" t="inlineStr">
        <is>
          <t>Subaru B9 Tribeca 2006-2007 3L H6 3000cc
Subaru Legacy 2005-2007 2.5L H4 2458cc
Subaru Outback 2005-2009 2.5L H4 2458cc
Subaru Outback 2005-2009 3L H6 3000cc
Subaru Tribeca 2008-2009 3.6L H6 3630cc</t>
        </is>
      </c>
      <c r="I1382" t="inlineStr">
        <is>
          <t>{"0": {"productDeskExternalKey": "CNRD|85-4532"}, "1": {"Package Contents": "Wiper Motor; Instruction Manual"}, "2": {"E-Waste": "Yes"}, "3": {"Product Condition": "New"}, "4": {"Terminal Type": "Blade"}, "5": {"Mounting Type": "Eyelet; Grommet"}, "6": {"Weight PG": "2.4000"}, "7": {"Washer Pump Included": "No"}, "8": {"Part Type": "Windshield Wiper Motor"}, "9": {"Warranty Info": "Limited Lifetime"}, "10": {"Lifetime Warranty": "Yes"}, "11": {"Lifecycle Status": "Available to Order"}, "12": {"Application Summary": "Subaru B9 Tribeca 2007-06, Legacy 2007-05, Outback 2009-05, Tribeca 2009-08"}, "13": {"ItemLevelGTIN": "00884548171114"}}</t>
        </is>
      </c>
      <c r="J1382" t="inlineStr">
        <is>
          <t>https://www.cardone.com/product/windshield-wiper-motor-85-4532</t>
        </is>
      </c>
      <c r="K1382">
        <f>DISPIMG("ID_5176EDB9C39B40B5832DAD3D420EA277",1)</f>
        <v/>
      </c>
      <c r="L1382" t="inlineStr">
        <is>
          <t>CNRD|85-4532</t>
        </is>
      </c>
      <c r="M1382" t="inlineStr">
        <is>
          <t>Wiper Motor; Instruction Manual</t>
        </is>
      </c>
      <c r="N1382" t="inlineStr">
        <is>
          <t>Yes</t>
        </is>
      </c>
      <c r="O1382" t="inlineStr">
        <is>
          <t>New</t>
        </is>
      </c>
      <c r="P1382" t="inlineStr"/>
      <c r="Q1382" t="inlineStr">
        <is>
          <t>Blade</t>
        </is>
      </c>
      <c r="R1382" t="inlineStr">
        <is>
          <t>Eyelet; Grommet</t>
        </is>
      </c>
      <c r="S1382" t="inlineStr">
        <is>
          <t>2.4000</t>
        </is>
      </c>
      <c r="T1382" t="inlineStr">
        <is>
          <t>No</t>
        </is>
      </c>
      <c r="U1382" t="inlineStr">
        <is>
          <t>Limited Lifetime</t>
        </is>
      </c>
      <c r="V1382" t="inlineStr"/>
      <c r="W1382" t="inlineStr">
        <is>
          <t>Available to Order</t>
        </is>
      </c>
      <c r="X1382" t="inlineStr">
        <is>
          <t>Subaru B9 Tribeca 2007-06, Legacy 2007-05, Outback 2009-05, Tribeca 2009-08</t>
        </is>
      </c>
      <c r="Y1382" t="inlineStr">
        <is>
          <t>00884548171114</t>
        </is>
      </c>
      <c r="Z1382" t="inlineStr"/>
      <c r="AA1382" t="inlineStr"/>
      <c r="AB1382" t="inlineStr"/>
      <c r="AC1382" t="inlineStr">
        <is>
          <t>Yes</t>
        </is>
      </c>
    </row>
    <row r="1383">
      <c r="A1383" t="inlineStr">
        <is>
          <t>1382</t>
        </is>
      </c>
      <c r="B1383" t="inlineStr">
        <is>
          <t>Windshield Wiper Motor</t>
        </is>
      </c>
      <c r="C1383" t="inlineStr">
        <is>
          <t>85-4533</t>
        </is>
      </c>
      <c r="D1383" t="inlineStr">
        <is>
          <t>Windshield Wiper Motor - 85-4533</t>
        </is>
      </c>
      <c r="E1383" t="inlineStr">
        <is>
          <t>CARDONE New</t>
        </is>
      </c>
      <c r="F1383" t="inlineStr">
        <is>
          <t>987102E000;987001F000;987002E001;987002E000;987001F001</t>
        </is>
      </c>
      <c r="G1383" t="inlineStr">
        <is>
          <t>Hyundai Tucson 2005-2009
Kia Sportage 2005-2010</t>
        </is>
      </c>
      <c r="H1383" t="inlineStr">
        <is>
          <t>Hyundai Tucson 2005-2009 2.7L V6 2656cc
Hyundai Tucson 2005-2009 2L L4 1975cc
Kia Sportage 2005-2010 2.7L V6 2656cc
Kia Sportage 2005-2010 2L L4 1975cc</t>
        </is>
      </c>
      <c r="I1383" t="inlineStr">
        <is>
          <t>{"0": {"productDeskExternalKey": "CNRD|85-4533"}, "1": {"Package Contents": "Wiper Motor; Instruction Manual"}, "2": {"E-Waste": "Yes"}, "3": {"Product Condition": "New"}, "4": {"Mounting Hole Quantity": "3"}, "5": {"Terminal Type": "Blade"}, "6": {"Mounting Type": "Direct Bolt"}, "7": {"Weight PG": "2.2000"}, "8": {"Washer Pump Included": "No"}, "9": {"Part Type": "Windshield Wiper Motor"}, "10": {"Warranty Info": "Limited Lifetime"}, "11": {"Lifetime Warranty": "Yes"}, "12": {"Lifecycle Status": "Available to Order"}, "13": {"Application Summary": "Hyundai Tucson 2009-05; Kia Sportage 2010-05"}, "14": {"ItemLevelGTIN": "00884548002029"}}</t>
        </is>
      </c>
      <c r="J1383" t="inlineStr">
        <is>
          <t>https://www.cardone.com/product/windshield-wiper-motor-85-4533</t>
        </is>
      </c>
      <c r="K1383">
        <f>DISPIMG("ID_6BAD57759A6B473BB989053CDA38A41F",1)</f>
        <v/>
      </c>
      <c r="L1383" t="inlineStr">
        <is>
          <t>CNRD|85-4533</t>
        </is>
      </c>
      <c r="M1383" t="inlineStr">
        <is>
          <t>Wiper Motor; Instruction Manual</t>
        </is>
      </c>
      <c r="N1383" t="inlineStr">
        <is>
          <t>Yes</t>
        </is>
      </c>
      <c r="O1383" t="inlineStr">
        <is>
          <t>New</t>
        </is>
      </c>
      <c r="P1383" t="inlineStr">
        <is>
          <t>3</t>
        </is>
      </c>
      <c r="Q1383" t="inlineStr">
        <is>
          <t>Blade</t>
        </is>
      </c>
      <c r="R1383" t="inlineStr">
        <is>
          <t>Direct Bolt</t>
        </is>
      </c>
      <c r="S1383" t="inlineStr">
        <is>
          <t>2.2000</t>
        </is>
      </c>
      <c r="T1383" t="inlineStr">
        <is>
          <t>No</t>
        </is>
      </c>
      <c r="U1383" t="inlineStr">
        <is>
          <t>Limited Lifetime</t>
        </is>
      </c>
      <c r="V1383" t="inlineStr"/>
      <c r="W1383" t="inlineStr">
        <is>
          <t>Available to Order</t>
        </is>
      </c>
      <c r="X1383" t="inlineStr">
        <is>
          <t>Hyundai Tucson 2009-05; Kia Sportage 2010-05</t>
        </is>
      </c>
      <c r="Y1383" t="inlineStr">
        <is>
          <t>00884548002029</t>
        </is>
      </c>
      <c r="Z1383" t="inlineStr"/>
      <c r="AA1383" t="inlineStr"/>
      <c r="AB1383" t="inlineStr"/>
      <c r="AC1383" t="inlineStr">
        <is>
          <t>Yes</t>
        </is>
      </c>
    </row>
    <row r="1384">
      <c r="A1384" t="inlineStr">
        <is>
          <t>1383</t>
        </is>
      </c>
      <c r="B1384" t="inlineStr">
        <is>
          <t>Windshield Wiper Motor</t>
        </is>
      </c>
      <c r="C1384" t="inlineStr">
        <is>
          <t>85-4537</t>
        </is>
      </c>
      <c r="D1384" t="inlineStr">
        <is>
          <t>Windshield Wiper Motor - 85-4537</t>
        </is>
      </c>
      <c r="E1384" t="inlineStr">
        <is>
          <t>CARDONE New</t>
        </is>
      </c>
      <c r="F1384" t="inlineStr">
        <is>
          <t>981101D000</t>
        </is>
      </c>
      <c r="G1384" t="inlineStr">
        <is>
          <t>Kia Rondo 2007-2011</t>
        </is>
      </c>
      <c r="H1384" t="inlineStr">
        <is>
          <t>Kia Rondo 2007-2011 2.4L L4 2359cc
Kia Rondo 2007-2011 2.7L V6 2656cc</t>
        </is>
      </c>
      <c r="I1384" t="inlineStr">
        <is>
          <t>{"0": {"productDeskExternalKey": "CNRD|85-4537"}, "1": {"Package Contents": "Wiper Motor; Instruction Manual"}, "2": {"E-Waste": "Yes"}, "3": {"Product Condition": "New"}, "4": {"Terminal Type": "Blade"}, "5": {"Mounting Type": "Direct Bolt"}, "6": {"Weight PG": "2.5500"}, "7": {"Washer Pump Included": "No"}, "8": {"Part Type": "Windshield Wiper Motor"}, "9": {"Warranty Info": "Limited Lifetime"}, "10": {"Lifetime Warranty": "Yes"}, "11": {"Lifecycle Status": "Available to Order"}, "12": {"Application Summary": "Kia Rondo 2011-07"}, "13": {"ItemLevelGTIN": "00884548309289"}}</t>
        </is>
      </c>
      <c r="J1384" t="inlineStr">
        <is>
          <t>https://www.cardone.com/product/windshield-wiper-motor-85-4537</t>
        </is>
      </c>
      <c r="K1384">
        <f>DISPIMG("ID_9DA780EFA41D40C7BD0F8EF66C6C38E5",1)</f>
        <v/>
      </c>
      <c r="L1384" t="inlineStr">
        <is>
          <t>CNRD|85-4537</t>
        </is>
      </c>
      <c r="M1384" t="inlineStr">
        <is>
          <t>Wiper Motor; Instruction Manual</t>
        </is>
      </c>
      <c r="N1384" t="inlineStr">
        <is>
          <t>Yes</t>
        </is>
      </c>
      <c r="O1384" t="inlineStr">
        <is>
          <t>New</t>
        </is>
      </c>
      <c r="P1384" t="inlineStr"/>
      <c r="Q1384" t="inlineStr">
        <is>
          <t>Blade</t>
        </is>
      </c>
      <c r="R1384" t="inlineStr">
        <is>
          <t>Direct Bolt</t>
        </is>
      </c>
      <c r="S1384" t="inlineStr">
        <is>
          <t>2.5500</t>
        </is>
      </c>
      <c r="T1384" t="inlineStr">
        <is>
          <t>No</t>
        </is>
      </c>
      <c r="U1384" t="inlineStr">
        <is>
          <t>Limited Lifetime</t>
        </is>
      </c>
      <c r="V1384" t="inlineStr"/>
      <c r="W1384" t="inlineStr">
        <is>
          <t>Available to Order</t>
        </is>
      </c>
      <c r="X1384" t="inlineStr">
        <is>
          <t>Kia Rondo 2011-07</t>
        </is>
      </c>
      <c r="Y1384" t="inlineStr">
        <is>
          <t>00884548309289</t>
        </is>
      </c>
      <c r="Z1384" t="inlineStr"/>
      <c r="AA1384" t="inlineStr"/>
      <c r="AB1384" t="inlineStr"/>
      <c r="AC1384" t="inlineStr">
        <is>
          <t>Yes</t>
        </is>
      </c>
    </row>
    <row r="1385">
      <c r="A1385" t="inlineStr">
        <is>
          <t>1384</t>
        </is>
      </c>
      <c r="B1385" t="inlineStr">
        <is>
          <t>Windshield Wiper Motor</t>
        </is>
      </c>
      <c r="C1385" t="inlineStr">
        <is>
          <t>85-454</t>
        </is>
      </c>
      <c r="D1385" t="inlineStr">
        <is>
          <t>Windshield Wiper Motor - 85-454</t>
        </is>
      </c>
      <c r="E1385" t="inlineStr">
        <is>
          <t>CARDONE New</t>
        </is>
      </c>
      <c r="F1385" t="inlineStr">
        <is>
          <t>55156278AA</t>
        </is>
      </c>
      <c r="G1385" t="inlineStr">
        <is>
          <t>Jeep TJ 2003-2006
Jeep Wrangler 2003-2006</t>
        </is>
      </c>
      <c r="H1385" t="inlineStr">
        <is>
          <t>Jeep TJ 2003-2006 2.4L L4 148cid
Jeep TJ 2003-2006 4L L6 242cid
Jeep Wrangler 2003-2006 2.4L L4 148cid
Jeep Wrangler 2003-2006 4L L6 242cid</t>
        </is>
      </c>
      <c r="I1385" t="inlineStr">
        <is>
          <t>{"0": {"productDeskExternalKey": "CNRD|85-454"}, "1": {"Package Contents": "Wiper Motor; Instruction Manual"}, "2": {"E-Waste": "Yes"}, "3": {"Product Condition": "New"}, "4": {"Mounting Hole Quantity": "3"}, "5": {"Terminal Type": "Blade"}, "6": {"Mounting Type": "Eyelet; Grommet"}, "7": {"Weight PG": "3.2000"}, "8": {"Washer Pump Included": "No"}, "9": {"Part Type": "Windshield Wiper Motor"}, "10": {"Warranty Info": "Limited Lifetime"}, "11": {"Lifetime Warranty": "Yes"}, "12": {"Lifecycle Status": "Available to Order"}, "13": {"Application Summary": "Jeep TJ 2006-03, Wrangler 2006-03"}, "14": {"ItemLevelGTIN": "00884548202689"}}</t>
        </is>
      </c>
      <c r="J1385" t="inlineStr">
        <is>
          <t>https://www.cardone.com/product/windshield-wiper-motor-85-454</t>
        </is>
      </c>
      <c r="K1385">
        <f>DISPIMG("ID_B0DA99E3675B4C458BB94FDAAFEE465B",1)</f>
        <v/>
      </c>
      <c r="L1385" t="inlineStr">
        <is>
          <t>CNRD|85-454</t>
        </is>
      </c>
      <c r="M1385" t="inlineStr">
        <is>
          <t>Wiper Motor; Instruction Manual</t>
        </is>
      </c>
      <c r="N1385" t="inlineStr">
        <is>
          <t>Yes</t>
        </is>
      </c>
      <c r="O1385" t="inlineStr">
        <is>
          <t>New</t>
        </is>
      </c>
      <c r="P1385" t="inlineStr">
        <is>
          <t>3</t>
        </is>
      </c>
      <c r="Q1385" t="inlineStr">
        <is>
          <t>Blade</t>
        </is>
      </c>
      <c r="R1385" t="inlineStr">
        <is>
          <t>Eyelet; Grommet</t>
        </is>
      </c>
      <c r="S1385" t="inlineStr">
        <is>
          <t>3.2000</t>
        </is>
      </c>
      <c r="T1385" t="inlineStr">
        <is>
          <t>No</t>
        </is>
      </c>
      <c r="U1385" t="inlineStr">
        <is>
          <t>Limited Lifetime</t>
        </is>
      </c>
      <c r="V1385" t="inlineStr"/>
      <c r="W1385" t="inlineStr">
        <is>
          <t>Available to Order</t>
        </is>
      </c>
      <c r="X1385" t="inlineStr">
        <is>
          <t>Jeep TJ 2006-03, Wrangler 2006-03</t>
        </is>
      </c>
      <c r="Y1385" t="inlineStr">
        <is>
          <t>00884548202689</t>
        </is>
      </c>
      <c r="Z1385" t="inlineStr"/>
      <c r="AA1385" t="inlineStr"/>
      <c r="AB1385" t="inlineStr"/>
      <c r="AC1385" t="inlineStr">
        <is>
          <t>Yes</t>
        </is>
      </c>
    </row>
    <row r="1386">
      <c r="A1386" t="inlineStr">
        <is>
          <t>1385</t>
        </is>
      </c>
      <c r="B1386" t="inlineStr">
        <is>
          <t>Windshield Wiper Motor</t>
        </is>
      </c>
      <c r="C1386" t="inlineStr">
        <is>
          <t>85-4540</t>
        </is>
      </c>
      <c r="D1386" t="inlineStr">
        <is>
          <t>Windshield Wiper Motor - 85-4540</t>
        </is>
      </c>
      <c r="E1386" t="inlineStr">
        <is>
          <t>CARDONE New</t>
        </is>
      </c>
      <c r="F1386" t="inlineStr">
        <is>
          <t>987101G000</t>
        </is>
      </c>
      <c r="G1386" t="inlineStr">
        <is>
          <t>Kia Rio5 2006-2011</t>
        </is>
      </c>
      <c r="H1386" t="inlineStr">
        <is>
          <t>Kia Rio5 2006-2011 1.6L L4 1599cc</t>
        </is>
      </c>
      <c r="I1386" t="inlineStr">
        <is>
          <t>{"0": {"productDeskExternalKey": "CNRD|85-4540"}, "1": {"Package Contents": "Wiper Motor; Instruction Sheet"}, "2": {"E-Waste": "Yes"}, "3": {"Product Condition": "New"}, "4": {"Part Type": "Windshield Wiper Motor"}, "5": {"Mounting Hole Quantity": "2"}, "6": {"Terminal Type": "Blade"}, "7": {"Mounting Type": "Direct Bolt; Grommet"}, "8": {"Weight PG": "2.8600"}, "9": {"Application Summary": "Kia Rio5 2011-06"}, "10": {"Washer Pump Included": "No"}, "11": {"Warranty Info": "Limited Lifetime"}, "12": {"Lifetime Warranty": "Yes"}, "13": {"Lifecycle Status": "Available to Order"}, "14": {"ItemLevelGTIN": "00082617911573"}}</t>
        </is>
      </c>
      <c r="J1386" t="inlineStr">
        <is>
          <t>https://www.cardone.com/product/windshield-wiper-motor-85-4540</t>
        </is>
      </c>
      <c r="K1386">
        <f>DISPIMG("ID_FF239DB609D94029BE336E7F879FBE45",1)</f>
        <v/>
      </c>
      <c r="L1386" t="inlineStr">
        <is>
          <t>CNRD|85-4540</t>
        </is>
      </c>
      <c r="M1386" t="inlineStr">
        <is>
          <t>Wiper Motor; Instruction Sheet</t>
        </is>
      </c>
      <c r="N1386" t="inlineStr">
        <is>
          <t>Yes</t>
        </is>
      </c>
      <c r="O1386" t="inlineStr">
        <is>
          <t>New</t>
        </is>
      </c>
      <c r="P1386" t="inlineStr">
        <is>
          <t>2</t>
        </is>
      </c>
      <c r="Q1386" t="inlineStr">
        <is>
          <t>Blade</t>
        </is>
      </c>
      <c r="R1386" t="inlineStr">
        <is>
          <t>Direct Bolt; Grommet</t>
        </is>
      </c>
      <c r="S1386" t="inlineStr">
        <is>
          <t>2.8600</t>
        </is>
      </c>
      <c r="T1386" t="inlineStr">
        <is>
          <t>No</t>
        </is>
      </c>
      <c r="U1386" t="inlineStr">
        <is>
          <t>Limited Lifetime</t>
        </is>
      </c>
      <c r="V1386" t="inlineStr"/>
      <c r="W1386" t="inlineStr">
        <is>
          <t>Available to Order</t>
        </is>
      </c>
      <c r="X1386" t="inlineStr">
        <is>
          <t>Kia Rio5 2011-06</t>
        </is>
      </c>
      <c r="Y1386" t="inlineStr">
        <is>
          <t>00082617911573</t>
        </is>
      </c>
      <c r="Z1386" t="inlineStr"/>
      <c r="AA1386" t="inlineStr"/>
      <c r="AB1386" t="inlineStr"/>
      <c r="AC1386" t="inlineStr">
        <is>
          <t>Yes</t>
        </is>
      </c>
    </row>
    <row r="1387">
      <c r="A1387" t="inlineStr">
        <is>
          <t>1386</t>
        </is>
      </c>
      <c r="B1387" t="inlineStr">
        <is>
          <t>Windshield Wiper Motor</t>
        </is>
      </c>
      <c r="C1387" t="inlineStr">
        <is>
          <t>85-4542</t>
        </is>
      </c>
      <c r="D1387" t="inlineStr">
        <is>
          <t>Windshield Wiper Motor - 85-4542</t>
        </is>
      </c>
      <c r="E1387" t="inlineStr">
        <is>
          <t>CARDONE New</t>
        </is>
      </c>
      <c r="F1387" t="inlineStr">
        <is>
          <t>86510SA160</t>
        </is>
      </c>
      <c r="G1387" t="inlineStr">
        <is>
          <t>Subaru Forester 2006-2008</t>
        </is>
      </c>
      <c r="H1387" t="inlineStr">
        <is>
          <t>Subaru Forester 2006-2008 2.5L H4 2458cc</t>
        </is>
      </c>
      <c r="I1387" t="inlineStr">
        <is>
          <t>{"0": {"productDeskExternalKey": "CNRD|85-4542"}, "1": {"Package Contents": "Wiper Motor; Instruction Manual"}, "2": {"E-Waste": "Yes"}, "3": {"Product Condition": "New"}, "4": {"Terminal Type": "Blade"}, "5": {"Mounting Type": "Eyelet; Grommet"}, "6": {"Weight PG": "3.0000"}, "7": {"Washer Pump Included": "No"}, "8": {"Part Type": "Windshield Wiper Motor"}, "9": {"Warranty Info": "Limited Lifetime"}, "10": {"Lifetime Warranty": "Yes"}, "11": {"Lifecycle Status": "Available to Order"}, "12": {"Application Summary": "Subaru Forester 2008-06"}, "13": {"ItemLevelGTIN": "00884548034020"}}</t>
        </is>
      </c>
      <c r="J1387" t="inlineStr">
        <is>
          <t>https://www.cardone.com/product/windshield-wiper-motor-85-4542</t>
        </is>
      </c>
      <c r="K1387">
        <f>DISPIMG("ID_8B45B64197EB45E8BFCD292EF6CC4359",1)</f>
        <v/>
      </c>
      <c r="L1387" t="inlineStr">
        <is>
          <t>CNRD|85-4542</t>
        </is>
      </c>
      <c r="M1387" t="inlineStr">
        <is>
          <t>Wiper Motor; Instruction Manual</t>
        </is>
      </c>
      <c r="N1387" t="inlineStr">
        <is>
          <t>Yes</t>
        </is>
      </c>
      <c r="O1387" t="inlineStr">
        <is>
          <t>New</t>
        </is>
      </c>
      <c r="P1387" t="inlineStr"/>
      <c r="Q1387" t="inlineStr">
        <is>
          <t>Blade</t>
        </is>
      </c>
      <c r="R1387" t="inlineStr">
        <is>
          <t>Eyelet; Grommet</t>
        </is>
      </c>
      <c r="S1387" t="inlineStr">
        <is>
          <t>3.0000</t>
        </is>
      </c>
      <c r="T1387" t="inlineStr">
        <is>
          <t>No</t>
        </is>
      </c>
      <c r="U1387" t="inlineStr">
        <is>
          <t>Limited Lifetime</t>
        </is>
      </c>
      <c r="V1387" t="inlineStr"/>
      <c r="W1387" t="inlineStr">
        <is>
          <t>Available to Order</t>
        </is>
      </c>
      <c r="X1387" t="inlineStr">
        <is>
          <t>Subaru Forester 2008-06</t>
        </is>
      </c>
      <c r="Y1387" t="inlineStr">
        <is>
          <t>00884548034020</t>
        </is>
      </c>
      <c r="Z1387" t="inlineStr"/>
      <c r="AA1387" t="inlineStr"/>
      <c r="AB1387" t="inlineStr"/>
      <c r="AC1387" t="inlineStr">
        <is>
          <t>Yes</t>
        </is>
      </c>
    </row>
    <row r="1388">
      <c r="A1388" t="inlineStr">
        <is>
          <t>1387</t>
        </is>
      </c>
      <c r="B1388" t="inlineStr">
        <is>
          <t>Windshield Wiper Motor</t>
        </is>
      </c>
      <c r="C1388" t="inlineStr">
        <is>
          <t>85-455</t>
        </is>
      </c>
      <c r="D1388" t="inlineStr">
        <is>
          <t>Windshield Wiper Motor - 85-455</t>
        </is>
      </c>
      <c r="E1388" t="inlineStr">
        <is>
          <t>CARDONE New</t>
        </is>
      </c>
      <c r="F1388" t="inlineStr">
        <is>
          <t>55156325AC;55156325AD</t>
        </is>
      </c>
      <c r="G1388" t="inlineStr">
        <is>
          <t>Jeep Commander 2006-2010
Jeep Grand Cherokee 2005-2010</t>
        </is>
      </c>
      <c r="H1388" t="inlineStr">
        <is>
          <t>Jeep Commander 2006-2010 3.7L V6 226cid
Jeep Commander 2006-2010 4.7L V8 287cid
Jeep Commander 2006-2010 5.7L V8 345cid
Jeep Grand Cherokee 2005-2010 3.7L V6 226cid
Jeep Grand Cherokee 2005-2010 4.7L V8 287cid
Jeep Grand Cherokee 2005-2010 5.7L V8 345cid
Jeep Grand Cherokee 2006-2010 6.1L V8 370cid
Jeep Grand Cherokee 2007-2010 3L V6 182cid</t>
        </is>
      </c>
      <c r="I1388" t="inlineStr">
        <is>
          <t>{"0": {"productDeskExternalKey": "CNRD|85-455"}, "1": {"Package Contents": "Wiper Motor; Instruction Manual"}, "2": {"E-Waste": "Yes"}, "3": {"Product Condition": "New"}, "4": {"Terminal Type": "Blade"}, "5": {"Mounting Type": "Eyelet; Grommet"}, "6": {"Weight PG": "3.0000"}, "7": {"Washer Pump Included": "No"}, "8": {"Part Type": "Windshield Wiper Motor"}, "9": {"Warranty Info": "Limited Lifetime"}, "10": {"Lifetime Warranty": "Yes"}, "11": {"Lifecycle Status": "Available to Order"}, "12": {"Application Summary": "Jeep Commander 2010-06, Grand Cherokee 2010-05"}, "13": {"ItemLevelGTIN": "00884548161641"}}</t>
        </is>
      </c>
      <c r="J1388" t="inlineStr">
        <is>
          <t>https://www.cardone.com/product/windshield-wiper-motor-85-455</t>
        </is>
      </c>
      <c r="K1388">
        <f>DISPIMG("ID_C61238B564994FA8B94E76D9F0488554",1)</f>
        <v/>
      </c>
      <c r="L1388" t="inlineStr">
        <is>
          <t>CNRD|85-455</t>
        </is>
      </c>
      <c r="M1388" t="inlineStr">
        <is>
          <t>Wiper Motor; Instruction Manual</t>
        </is>
      </c>
      <c r="N1388" t="inlineStr">
        <is>
          <t>Yes</t>
        </is>
      </c>
      <c r="O1388" t="inlineStr">
        <is>
          <t>New</t>
        </is>
      </c>
      <c r="P1388" t="inlineStr"/>
      <c r="Q1388" t="inlineStr">
        <is>
          <t>Blade</t>
        </is>
      </c>
      <c r="R1388" t="inlineStr">
        <is>
          <t>Eyelet; Grommet</t>
        </is>
      </c>
      <c r="S1388" t="inlineStr">
        <is>
          <t>3.0000</t>
        </is>
      </c>
      <c r="T1388" t="inlineStr">
        <is>
          <t>No</t>
        </is>
      </c>
      <c r="U1388" t="inlineStr">
        <is>
          <t>Limited Lifetime</t>
        </is>
      </c>
      <c r="V1388" t="inlineStr"/>
      <c r="W1388" t="inlineStr">
        <is>
          <t>Available to Order</t>
        </is>
      </c>
      <c r="X1388" t="inlineStr">
        <is>
          <t>Jeep Commander 2010-06, Grand Cherokee 2010-05</t>
        </is>
      </c>
      <c r="Y1388" t="inlineStr">
        <is>
          <t>00884548161641</t>
        </is>
      </c>
      <c r="Z1388" t="inlineStr"/>
      <c r="AA1388" t="inlineStr"/>
      <c r="AB1388" t="inlineStr"/>
      <c r="AC1388" t="inlineStr">
        <is>
          <t>Yes</t>
        </is>
      </c>
    </row>
    <row r="1389">
      <c r="A1389" t="inlineStr">
        <is>
          <t>1388</t>
        </is>
      </c>
      <c r="B1389" t="inlineStr">
        <is>
          <t>Windshield Wiper Motor</t>
        </is>
      </c>
      <c r="C1389" t="inlineStr">
        <is>
          <t>85-456</t>
        </is>
      </c>
      <c r="D1389" t="inlineStr">
        <is>
          <t>Windshield Wiper Motor - 85-456</t>
        </is>
      </c>
      <c r="E1389" t="inlineStr">
        <is>
          <t>CARDONE New</t>
        </is>
      </c>
      <c r="F1389" t="inlineStr">
        <is>
          <t>5116146AD;5116146AC;5116146AE</t>
        </is>
      </c>
      <c r="G1389" t="inlineStr">
        <is>
          <t>Dodge Caliber 2007-2012
Jeep Compass 2007-2017
Jeep Patriot 2007-2017</t>
        </is>
      </c>
      <c r="H1389" t="inlineStr">
        <is>
          <t>Dodge Caliber 2007-2009 1.8L L4 110cid
Dodge Caliber 2007-2012 2.4L L4 144cid
Dodge Caliber 2007-2012 2L L4 122cid
Jeep Compass 2007-2017 2.4L L4 144cid
Jeep Compass 2007-2017 2L L4 122cid
Jeep Patriot 2007-2017 2.4L L4 144cid
Jeep Patriot 2007-2017 2L L4 122cid</t>
        </is>
      </c>
      <c r="I1389" t="inlineStr">
        <is>
          <t>{"0": {"productDeskExternalKey": "CNRD|85-456"}, "1": {"Package Contents": "Wiper Motor; Instruction Manual"}, "2": {"E-Waste": "Yes"}, "3": {"Product Condition": "New"}, "4": {"Mounting Hole Quantity": "3"}, "5": {"Terminal Type": "Blade"}, "6": {"Mounting Type": "Eyelet; Grommet"}, "7": {"Weight PG": "3.2000"}, "8": {"Washer Pump Included": "No"}, "9": {"Part Type": "Windshield Wiper Motor"}, "10": {"Warranty Info": "Limited Lifetime"}, "11": {"Lifetime Warranty": "Yes"}, "12": {"Lifecycle Status": "Available to Order"}, "13": {"Application Summary": "Dodge Caliber 2012-07; Jeep Compass 2017-07, Patriot 2017-07"}, "14": {"ItemLevelGTIN": "00884548210899"}}</t>
        </is>
      </c>
      <c r="J1389" t="inlineStr">
        <is>
          <t>https://www.cardone.com/product/windshield-wiper-motor-85-456</t>
        </is>
      </c>
      <c r="K1389">
        <f>DISPIMG("ID_4ED77EF3A4E84A73AD79639FAC87DB78",1)</f>
        <v/>
      </c>
      <c r="L1389" t="inlineStr">
        <is>
          <t>CNRD|85-456</t>
        </is>
      </c>
      <c r="M1389" t="inlineStr">
        <is>
          <t>Wiper Motor; Instruction Manual</t>
        </is>
      </c>
      <c r="N1389" t="inlineStr">
        <is>
          <t>Yes</t>
        </is>
      </c>
      <c r="O1389" t="inlineStr">
        <is>
          <t>New</t>
        </is>
      </c>
      <c r="P1389" t="inlineStr">
        <is>
          <t>3</t>
        </is>
      </c>
      <c r="Q1389" t="inlineStr">
        <is>
          <t>Blade</t>
        </is>
      </c>
      <c r="R1389" t="inlineStr">
        <is>
          <t>Eyelet; Grommet</t>
        </is>
      </c>
      <c r="S1389" t="inlineStr">
        <is>
          <t>3.2000</t>
        </is>
      </c>
      <c r="T1389" t="inlineStr">
        <is>
          <t>No</t>
        </is>
      </c>
      <c r="U1389" t="inlineStr">
        <is>
          <t>Limited Lifetime</t>
        </is>
      </c>
      <c r="V1389" t="inlineStr"/>
      <c r="W1389" t="inlineStr">
        <is>
          <t>Available to Order</t>
        </is>
      </c>
      <c r="X1389" t="inlineStr">
        <is>
          <t>Dodge Caliber 2012-07; Jeep Compass 2017-07, Patriot 2017-07</t>
        </is>
      </c>
      <c r="Y1389" t="inlineStr">
        <is>
          <t>00884548210899</t>
        </is>
      </c>
      <c r="Z1389" t="inlineStr"/>
      <c r="AA1389" t="inlineStr"/>
      <c r="AB1389" t="inlineStr"/>
      <c r="AC1389" t="inlineStr">
        <is>
          <t>Yes</t>
        </is>
      </c>
    </row>
    <row r="1390">
      <c r="A1390" t="inlineStr">
        <is>
          <t>1389</t>
        </is>
      </c>
      <c r="B1390" t="inlineStr">
        <is>
          <t>Windshield Wiper Motor</t>
        </is>
      </c>
      <c r="C1390" t="inlineStr">
        <is>
          <t>85-4569</t>
        </is>
      </c>
      <c r="D1390" t="inlineStr">
        <is>
          <t>Windshield Wiper Motor - 85-4569</t>
        </is>
      </c>
      <c r="E1390" t="inlineStr">
        <is>
          <t>CARDONE New</t>
        </is>
      </c>
      <c r="F1390" t="inlineStr">
        <is>
          <t>987001E000</t>
        </is>
      </c>
      <c r="G1390" t="inlineStr">
        <is>
          <t>Dodge Attitude 2007-2011
Hyundai Accent 2007-2011</t>
        </is>
      </c>
      <c r="H1390" t="inlineStr">
        <is>
          <t>Dodge Attitude 2007-2011 1.4L L4 85cid
Dodge Attitude 2007-2011 1.6L L4 98cid
Dodge Attitude 2011 1.6L L4 97cid
Hyundai Accent 2007-2011 1.6L L4 1599cc</t>
        </is>
      </c>
      <c r="I1390" t="inlineStr">
        <is>
          <t>{"0": {"productDeskExternalKey": "CNRD|85-4569"}, "1": {"Package Contents": "Wiper Motor; Instruction Sheet"}, "2": {"E-Waste": "Yes"}, "3": {"Product Condition": "New"}, "4": {"Mounting Hole Quantity": "3"}, "5": {"Terminal Type": "Blade"}, "6": {"Mounting Type": "Grommet"}, "7": {"Application Summary": "Dodge Attitude 2011-07; Hyundai Accent 2011-07"}, "8": {"Washer Pump Included": "No"}, "9": {"Warranty Info": "Limited Lifetime"}, "10": {"Lifecycle Status": "Available to Order"}, "11": {"ItemLevelGTIN": "00082617911658"}, "12": {"Part Type": "Windshield Wiper Motor"}, "13": {"Weight PG": "2.7200"}, "14": {"Lifetime Warranty": "Yes"}}</t>
        </is>
      </c>
      <c r="J1390" t="inlineStr">
        <is>
          <t>https://www.cardone.com/product/windshield-wiper-motor-85-4569</t>
        </is>
      </c>
      <c r="K1390">
        <f>DISPIMG("ID_4C337C2432264A589C92C6577DD8B623",1)</f>
        <v/>
      </c>
      <c r="L1390" t="inlineStr">
        <is>
          <t>CNRD|85-4569</t>
        </is>
      </c>
      <c r="M1390" t="inlineStr">
        <is>
          <t>Wiper Motor; Instruction Sheet</t>
        </is>
      </c>
      <c r="N1390" t="inlineStr">
        <is>
          <t>Yes</t>
        </is>
      </c>
      <c r="O1390" t="inlineStr">
        <is>
          <t>New</t>
        </is>
      </c>
      <c r="P1390" t="inlineStr">
        <is>
          <t>3</t>
        </is>
      </c>
      <c r="Q1390" t="inlineStr">
        <is>
          <t>Blade</t>
        </is>
      </c>
      <c r="R1390" t="inlineStr">
        <is>
          <t>Grommet</t>
        </is>
      </c>
      <c r="S1390" t="inlineStr">
        <is>
          <t>2.7200</t>
        </is>
      </c>
      <c r="T1390" t="inlineStr">
        <is>
          <t>No</t>
        </is>
      </c>
      <c r="U1390" t="inlineStr">
        <is>
          <t>Limited Lifetime</t>
        </is>
      </c>
      <c r="V1390" t="inlineStr"/>
      <c r="W1390" t="inlineStr">
        <is>
          <t>Available to Order</t>
        </is>
      </c>
      <c r="X1390" t="inlineStr">
        <is>
          <t>Dodge Attitude 2011-07; Hyundai Accent 2011-07</t>
        </is>
      </c>
      <c r="Y1390" t="inlineStr">
        <is>
          <t>00082617911658</t>
        </is>
      </c>
      <c r="Z1390" t="inlineStr"/>
      <c r="AA1390" t="inlineStr"/>
      <c r="AB1390" t="inlineStr"/>
      <c r="AC1390" t="inlineStr">
        <is>
          <t>Yes</t>
        </is>
      </c>
    </row>
    <row r="1391">
      <c r="A1391" t="inlineStr">
        <is>
          <t>1390</t>
        </is>
      </c>
      <c r="B1391" t="inlineStr">
        <is>
          <t>Windshield Wiper Motor</t>
        </is>
      </c>
      <c r="C1391" t="inlineStr">
        <is>
          <t>85-4572</t>
        </is>
      </c>
      <c r="D1391" t="inlineStr">
        <is>
          <t>Windshield Wiper Motor - 85-4572</t>
        </is>
      </c>
      <c r="E1391" t="inlineStr">
        <is>
          <t>CARDONE New</t>
        </is>
      </c>
      <c r="F1391" t="inlineStr">
        <is>
          <t>987002F000</t>
        </is>
      </c>
      <c r="G1391" t="inlineStr">
        <is>
          <t>Kia Spectra 2005
Kia Spectra5 2005-2009</t>
        </is>
      </c>
      <c r="H1391" t="inlineStr">
        <is>
          <t>Kia Spectra 2005 2L L4 1975cc
Kia Spectra5 2005-2009 2L L4 1975cc</t>
        </is>
      </c>
      <c r="I1391" t="inlineStr">
        <is>
          <t>{"0": {"productDeskExternalKey": "CNRD|85-4572"}, "1": {"Package Contents": "Wiper Motor; Instruction Manual"}, "2": {"E-Waste": "Yes"}, "3": {"Product Condition": "New"}, "4": {"Terminal Type": "Blade"}, "5": {"Mounting Type": "Eyelet; Grommet"}, "6": {"Weight PG": "3.0000"}, "7": {"Washer Pump Included": "No"}, "8": {"Part Type": "Windshield Wiper Motor"}, "9": {"Warranty Info": "Limited Lifetime"}, "10": {"Lifetime Warranty": "Yes"}, "11": {"Lifecycle Status": "Available to Order"}, "12": {"Application Summary": "Kia Spectra 2005, Spectra5 2009-05"}, "13": {"ItemLevelGTIN": "00082617911580"}}</t>
        </is>
      </c>
      <c r="J1391" t="inlineStr">
        <is>
          <t>https://www.cardone.com/product/windshield-wiper-motor-85-4572</t>
        </is>
      </c>
      <c r="K1391">
        <f>DISPIMG("ID_4AD02938B6784FE29C6A0F2DA5E627A7",1)</f>
        <v/>
      </c>
      <c r="L1391" t="inlineStr">
        <is>
          <t>CNRD|85-4572</t>
        </is>
      </c>
      <c r="M1391" t="inlineStr">
        <is>
          <t>Wiper Motor; Instruction Manual</t>
        </is>
      </c>
      <c r="N1391" t="inlineStr">
        <is>
          <t>Yes</t>
        </is>
      </c>
      <c r="O1391" t="inlineStr">
        <is>
          <t>New</t>
        </is>
      </c>
      <c r="P1391" t="inlineStr"/>
      <c r="Q1391" t="inlineStr">
        <is>
          <t>Blade</t>
        </is>
      </c>
      <c r="R1391" t="inlineStr">
        <is>
          <t>Eyelet; Grommet</t>
        </is>
      </c>
      <c r="S1391" t="inlineStr">
        <is>
          <t>3.0000</t>
        </is>
      </c>
      <c r="T1391" t="inlineStr">
        <is>
          <t>No</t>
        </is>
      </c>
      <c r="U1391" t="inlineStr">
        <is>
          <t>Limited Lifetime</t>
        </is>
      </c>
      <c r="V1391" t="inlineStr"/>
      <c r="W1391" t="inlineStr">
        <is>
          <t>Available to Order</t>
        </is>
      </c>
      <c r="X1391" t="inlineStr">
        <is>
          <t>Kia Spectra 2005, Spectra5 2009-05</t>
        </is>
      </c>
      <c r="Y1391" t="inlineStr">
        <is>
          <t>00082617911580</t>
        </is>
      </c>
      <c r="Z1391" t="inlineStr"/>
      <c r="AA1391" t="inlineStr"/>
      <c r="AB1391" t="inlineStr"/>
      <c r="AC1391" t="inlineStr">
        <is>
          <t>Yes</t>
        </is>
      </c>
    </row>
    <row r="1392">
      <c r="A1392" t="inlineStr">
        <is>
          <t>1391</t>
        </is>
      </c>
      <c r="B1392" t="inlineStr">
        <is>
          <t>Windshield Wiper Motor</t>
        </is>
      </c>
      <c r="C1392" t="inlineStr">
        <is>
          <t>85-4574</t>
        </is>
      </c>
      <c r="D1392" t="inlineStr">
        <is>
          <t>Windshield Wiper Motor - 85-4574</t>
        </is>
      </c>
      <c r="E1392" t="inlineStr">
        <is>
          <t>CARDONE New</t>
        </is>
      </c>
      <c r="F1392" t="inlineStr">
        <is>
          <t>987003J000</t>
        </is>
      </c>
      <c r="G1392" t="inlineStr">
        <is>
          <t>Hyundai Veracruz 2007-2012</t>
        </is>
      </c>
      <c r="H1392" t="inlineStr">
        <is>
          <t>Hyundai Veracruz 2007-2012 3.8L V6 231cid</t>
        </is>
      </c>
      <c r="I1392" t="inlineStr">
        <is>
          <t>{"0": {"productDeskExternalKey": "CNRD|85-4574"}, "1": {"Package Contents": "Wiper Motor; Instruction Manual"}, "2": {"E-Waste": "Yes"}, "3": {"Product Condition": "New"}, "4": {"Terminal Type": "Blade"}, "5": {"Mounting Type": "Eyelet; Grommet"}, "6": {"Weight PG": "2.6000"}, "7": {"Washer Pump Included": "No"}, "8": {"Part Type": "Windshield Wiper Motor"}, "9": {"Warranty Info": "Limited Lifetime"}, "10": {"Lifetime Warranty": "Yes"}, "11": {"Lifecycle Status": "Available to Order"}, "12": {"Application Summary": "Hyundai Veracruz 2012-07"}, "13": {"ItemLevelGTIN": "00884548133167"}}</t>
        </is>
      </c>
      <c r="J1392" t="inlineStr">
        <is>
          <t>https://www.cardone.com/product/windshield-wiper-motor-85-4574</t>
        </is>
      </c>
      <c r="K1392">
        <f>DISPIMG("ID_24F3C51E2EBD460A82CA53ED87E21A5F",1)</f>
        <v/>
      </c>
      <c r="L1392" t="inlineStr">
        <is>
          <t>CNRD|85-4574</t>
        </is>
      </c>
      <c r="M1392" t="inlineStr">
        <is>
          <t>Wiper Motor; Instruction Manual</t>
        </is>
      </c>
      <c r="N1392" t="inlineStr">
        <is>
          <t>Yes</t>
        </is>
      </c>
      <c r="O1392" t="inlineStr">
        <is>
          <t>New</t>
        </is>
      </c>
      <c r="P1392" t="inlineStr"/>
      <c r="Q1392" t="inlineStr">
        <is>
          <t>Blade</t>
        </is>
      </c>
      <c r="R1392" t="inlineStr">
        <is>
          <t>Eyelet; Grommet</t>
        </is>
      </c>
      <c r="S1392" t="inlineStr">
        <is>
          <t>2.6000</t>
        </is>
      </c>
      <c r="T1392" t="inlineStr">
        <is>
          <t>No</t>
        </is>
      </c>
      <c r="U1392" t="inlineStr">
        <is>
          <t>Limited Lifetime</t>
        </is>
      </c>
      <c r="V1392" t="inlineStr"/>
      <c r="W1392" t="inlineStr">
        <is>
          <t>Available to Order</t>
        </is>
      </c>
      <c r="X1392" t="inlineStr">
        <is>
          <t>Hyundai Veracruz 2012-07</t>
        </is>
      </c>
      <c r="Y1392" t="inlineStr">
        <is>
          <t>00884548133167</t>
        </is>
      </c>
      <c r="Z1392" t="inlineStr"/>
      <c r="AA1392" t="inlineStr"/>
      <c r="AB1392" t="inlineStr"/>
      <c r="AC1392" t="inlineStr">
        <is>
          <t>Yes</t>
        </is>
      </c>
    </row>
    <row r="1393">
      <c r="A1393" t="inlineStr">
        <is>
          <t>1392</t>
        </is>
      </c>
      <c r="B1393" t="inlineStr">
        <is>
          <t>Windshield Wiper Motor</t>
        </is>
      </c>
      <c r="C1393" t="inlineStr">
        <is>
          <t>85-458</t>
        </is>
      </c>
      <c r="D1393" t="inlineStr">
        <is>
          <t>Windshield Wiper Motor - 85-458</t>
        </is>
      </c>
      <c r="E1393" t="inlineStr">
        <is>
          <t>CARDONE New</t>
        </is>
      </c>
      <c r="F1393" t="inlineStr">
        <is>
          <t>68002388AA;55077859AB;55077859AC</t>
        </is>
      </c>
      <c r="G1393" t="inlineStr">
        <is>
          <t>Jeep Wrangler 2007-2017
Jeep Wrangler JK 2018</t>
        </is>
      </c>
      <c r="H1393" t="inlineStr">
        <is>
          <t>Jeep Wrangler 2007-2011 3.8L V6 231cid
Jeep Wrangler 2012-2017 3.6L V6 220cid
Jeep Wrangler JK 2018 3.6L V6 220cid</t>
        </is>
      </c>
      <c r="I1393" t="inlineStr">
        <is>
          <t>{"0": {"productDeskExternalKey": "CNRD|85-458"}, "1": {"Package Contents": "Wiper Motor; Instruction Manual"}, "2": {"E-Waste": "Yes"}, "3": {"Product Condition": "New"}, "4": {"Mounting Hole Quantity": "3"}, "5": {"Terminal Type": "Blade"}, "6": {"Mounting Type": "Direct Bolt"}, "7": {"Weight PG": "3.2000"}, "8": {"Washer Pump Included": "No"}, "9": {"Part Type": "Windshield Wiper Motor"}, "10": {"Warranty Info": "Limited Lifetime"}, "11": {"Lifetime Warranty": "Yes"}, "12": {"Lifecycle Status": "Available to Order"}, "13": {"Application Summary": "Jeep Wrangler 2017-07, Wrangler JK 2018"}, "14": {"ItemLevelGTIN": "00884548225275"}}</t>
        </is>
      </c>
      <c r="J1393" t="inlineStr">
        <is>
          <t>https://www.cardone.com/product/windshield-wiper-motor-85-458</t>
        </is>
      </c>
      <c r="K1393">
        <f>DISPIMG("ID_1BC2F004631B4255BC640B5E6C191617",1)</f>
        <v/>
      </c>
      <c r="L1393" t="inlineStr">
        <is>
          <t>CNRD|85-458</t>
        </is>
      </c>
      <c r="M1393" t="inlineStr">
        <is>
          <t>Wiper Motor; Instruction Manual</t>
        </is>
      </c>
      <c r="N1393" t="inlineStr">
        <is>
          <t>Yes</t>
        </is>
      </c>
      <c r="O1393" t="inlineStr">
        <is>
          <t>New</t>
        </is>
      </c>
      <c r="P1393" t="inlineStr">
        <is>
          <t>3</t>
        </is>
      </c>
      <c r="Q1393" t="inlineStr">
        <is>
          <t>Blade</t>
        </is>
      </c>
      <c r="R1393" t="inlineStr">
        <is>
          <t>Direct Bolt</t>
        </is>
      </c>
      <c r="S1393" t="inlineStr">
        <is>
          <t>3.2000</t>
        </is>
      </c>
      <c r="T1393" t="inlineStr">
        <is>
          <t>No</t>
        </is>
      </c>
      <c r="U1393" t="inlineStr">
        <is>
          <t>Limited Lifetime</t>
        </is>
      </c>
      <c r="V1393" t="inlineStr"/>
      <c r="W1393" t="inlineStr">
        <is>
          <t>Available to Order</t>
        </is>
      </c>
      <c r="X1393" t="inlineStr">
        <is>
          <t>Jeep Wrangler 2017-07, Wrangler JK 2018</t>
        </is>
      </c>
      <c r="Y1393" t="inlineStr">
        <is>
          <t>00884548225275</t>
        </is>
      </c>
      <c r="Z1393" t="inlineStr"/>
      <c r="AA1393" t="inlineStr"/>
      <c r="AB1393" t="inlineStr"/>
      <c r="AC1393" t="inlineStr">
        <is>
          <t>Yes</t>
        </is>
      </c>
    </row>
    <row r="1394">
      <c r="A1394" t="inlineStr">
        <is>
          <t>1393</t>
        </is>
      </c>
      <c r="B1394" t="inlineStr">
        <is>
          <t>Windshield Wiper Motor</t>
        </is>
      </c>
      <c r="C1394" t="inlineStr">
        <is>
          <t>85-4586</t>
        </is>
      </c>
      <c r="D1394" t="inlineStr">
        <is>
          <t>Windshield Wiper Motor - 85-4586</t>
        </is>
      </c>
      <c r="E1394" t="inlineStr">
        <is>
          <t>CARDONE New</t>
        </is>
      </c>
      <c r="F1394" t="inlineStr">
        <is>
          <t>86510FE130;32008785</t>
        </is>
      </c>
      <c r="G1394" t="inlineStr">
        <is>
          <t>Saab 9-2X 2005-2006
Subaru Impreza 2005-2007</t>
        </is>
      </c>
      <c r="H1394" t="inlineStr">
        <is>
          <t>Saab 9-2X 2005 2L H4 1994cc
Saab 9-2X 2005-2006 2.5L H4 2458cc
Subaru Impreza 2005 2L H4 1994cc
Subaru Impreza 2005-2007 2.5L H4 2458cc</t>
        </is>
      </c>
      <c r="I1394" t="inlineStr">
        <is>
          <t>{"0": {"productDeskExternalKey": "CNRD|85-4586"}, "1": {"Package Contents": "Wiper Motor; Instruction Manual"}, "2": {"E-Waste": "Yes"}, "3": {"Product Condition": "New"}, "4": {"Mounting Hole Quantity": "3"}, "5": {"Terminal Type": "Blade"}, "6": {"Mounting Type": "Eyelet; Grommet"}, "7": {"Weight PG": "3.2000"}, "8": {"Washer Pump Included": "No"}, "9": {"Part Type": "Windshield Wiper Motor"}, "10": {"Warranty Info": "Limited Lifetime"}, "11": {"Lifetime Warranty": "Yes"}, "12": {"Lifecycle Status": "Available to Order"}, "13": {"Application Summary": "Saab 9-2X 2006-05; Subaru Impreza 2007-05"}, "14": {"ItemLevelGTIN": "00884548241336"}}</t>
        </is>
      </c>
      <c r="J1394" t="inlineStr">
        <is>
          <t>https://www.cardone.com/product/windshield-wiper-motor-85-4586</t>
        </is>
      </c>
      <c r="K1394">
        <f>DISPIMG("ID_16D05BD31B4C4BBB9360D81095EB4D8D",1)</f>
        <v/>
      </c>
      <c r="L1394" t="inlineStr">
        <is>
          <t>CNRD|85-4586</t>
        </is>
      </c>
      <c r="M1394" t="inlineStr">
        <is>
          <t>Wiper Motor; Instruction Manual</t>
        </is>
      </c>
      <c r="N1394" t="inlineStr">
        <is>
          <t>Yes</t>
        </is>
      </c>
      <c r="O1394" t="inlineStr">
        <is>
          <t>New</t>
        </is>
      </c>
      <c r="P1394" t="inlineStr">
        <is>
          <t>3</t>
        </is>
      </c>
      <c r="Q1394" t="inlineStr">
        <is>
          <t>Blade</t>
        </is>
      </c>
      <c r="R1394" t="inlineStr">
        <is>
          <t>Eyelet; Grommet</t>
        </is>
      </c>
      <c r="S1394" t="inlineStr">
        <is>
          <t>3.2000</t>
        </is>
      </c>
      <c r="T1394" t="inlineStr">
        <is>
          <t>No</t>
        </is>
      </c>
      <c r="U1394" t="inlineStr">
        <is>
          <t>Limited Lifetime</t>
        </is>
      </c>
      <c r="V1394" t="inlineStr"/>
      <c r="W1394" t="inlineStr">
        <is>
          <t>Available to Order</t>
        </is>
      </c>
      <c r="X1394" t="inlineStr">
        <is>
          <t>Saab 9-2X 2006-05; Subaru Impreza 2007-05</t>
        </is>
      </c>
      <c r="Y1394" t="inlineStr">
        <is>
          <t>00884548241336</t>
        </is>
      </c>
      <c r="Z1394" t="inlineStr"/>
      <c r="AA1394" t="inlineStr"/>
      <c r="AB1394" t="inlineStr"/>
      <c r="AC1394" t="inlineStr">
        <is>
          <t>Yes</t>
        </is>
      </c>
    </row>
    <row r="1395">
      <c r="A1395" t="inlineStr">
        <is>
          <t>1394</t>
        </is>
      </c>
      <c r="B1395" t="inlineStr">
        <is>
          <t>Windshield Wiper Motor</t>
        </is>
      </c>
      <c r="C1395" t="inlineStr">
        <is>
          <t>85-4595</t>
        </is>
      </c>
      <c r="D1395" t="inlineStr">
        <is>
          <t>Windshield Wiper Motor - 85-4595</t>
        </is>
      </c>
      <c r="E1395" t="inlineStr">
        <is>
          <t>CARDONE New</t>
        </is>
      </c>
      <c r="F1395" t="inlineStr">
        <is>
          <t>0K07067445;0K07267445C</t>
        </is>
      </c>
      <c r="G1395" t="inlineStr">
        <is>
          <t>Kia Sportage 2001-2002</t>
        </is>
      </c>
      <c r="H1395" t="inlineStr">
        <is>
          <t>Kia Sportage 2001-2002 2L L4 122cid</t>
        </is>
      </c>
      <c r="I1395" t="inlineStr">
        <is>
          <t>{"0": {"productDeskExternalKey": "CNRD|85-4595"}, "1": {"Package Contents": "Wiper Motor; Instruction Manual"}, "2": {"E-Waste": "Yes"}, "3": {"Product Condition": "New"}, "4": {"Terminal Type": "Blade"}, "5": {"Mounting Type": "Eyelet"}, "6": {"Weight PG": "2.5500"}, "7": {"Washer Pump Included": "No"}, "8": {"Part Type": "Windshield Wiper Motor"}, "9": {"Warranty Info": "Limited Lifetime"}, "10": {"Lifetime Warranty": "Yes"}, "11": {"Lifecycle Status": "Available to Order"}, "12": {"Application Summary": "Kia Sportage 2002-01"}, "13": {"ItemLevelGTIN": "00082617911610"}}</t>
        </is>
      </c>
      <c r="J1395" t="inlineStr">
        <is>
          <t>https://www.cardone.com/product/windshield-wiper-motor-85-4595</t>
        </is>
      </c>
      <c r="K1395">
        <f>DISPIMG("ID_794FC469E9C74538BD593B153F47620E",1)</f>
        <v/>
      </c>
      <c r="L1395" t="inlineStr">
        <is>
          <t>CNRD|85-4595</t>
        </is>
      </c>
      <c r="M1395" t="inlineStr">
        <is>
          <t>Wiper Motor; Instruction Manual</t>
        </is>
      </c>
      <c r="N1395" t="inlineStr">
        <is>
          <t>Yes</t>
        </is>
      </c>
      <c r="O1395" t="inlineStr">
        <is>
          <t>New</t>
        </is>
      </c>
      <c r="P1395" t="inlineStr"/>
      <c r="Q1395" t="inlineStr">
        <is>
          <t>Blade</t>
        </is>
      </c>
      <c r="R1395" t="inlineStr">
        <is>
          <t>Eyelet</t>
        </is>
      </c>
      <c r="S1395" t="inlineStr">
        <is>
          <t>2.5500</t>
        </is>
      </c>
      <c r="T1395" t="inlineStr">
        <is>
          <t>No</t>
        </is>
      </c>
      <c r="U1395" t="inlineStr">
        <is>
          <t>Limited Lifetime</t>
        </is>
      </c>
      <c r="V1395" t="inlineStr"/>
      <c r="W1395" t="inlineStr">
        <is>
          <t>Available to Order</t>
        </is>
      </c>
      <c r="X1395" t="inlineStr">
        <is>
          <t>Kia Sportage 2002-01</t>
        </is>
      </c>
      <c r="Y1395" t="inlineStr">
        <is>
          <t>00082617911610</t>
        </is>
      </c>
      <c r="Z1395" t="inlineStr"/>
      <c r="AA1395" t="inlineStr"/>
      <c r="AB1395" t="inlineStr"/>
      <c r="AC1395" t="inlineStr">
        <is>
          <t>Yes</t>
        </is>
      </c>
    </row>
    <row r="1396">
      <c r="A1396" t="inlineStr">
        <is>
          <t>1395</t>
        </is>
      </c>
      <c r="B1396" t="inlineStr">
        <is>
          <t>Windshield Wiper Motor</t>
        </is>
      </c>
      <c r="C1396" t="inlineStr">
        <is>
          <t>85-4597</t>
        </is>
      </c>
      <c r="D1396" t="inlineStr">
        <is>
          <t>Windshield Wiper Motor - 85-4597</t>
        </is>
      </c>
      <c r="E1396" t="inlineStr">
        <is>
          <t>CARDONE New</t>
        </is>
      </c>
      <c r="F1396" t="inlineStr">
        <is>
          <t>987102B000</t>
        </is>
      </c>
      <c r="G1396" t="inlineStr">
        <is>
          <t>Hyundai Santa Fe 2007-2012</t>
        </is>
      </c>
      <c r="H1396" t="inlineStr">
        <is>
          <t>Hyundai Santa Fe 2007-2009 2.7L V6 2656cc
Hyundai Santa Fe 2007-2009 3.3L V6 3342cc
Hyundai Santa Fe 2010-2012 2.4L L4 2359cc
Hyundai Santa Fe 2010-2012 3.5L V6 3470cc</t>
        </is>
      </c>
      <c r="I1396" t="inlineStr">
        <is>
          <t>{"0": {"productDeskExternalKey": "CNRD|85-4597"}, "1": {"Package Contents": "Wiper Motor; Instruction Manual"}, "2": {"E-Waste": "Yes"}, "3": {"Product Condition": "New"}, "4": {"Terminal Type": "Blade"}, "5": {"Mounting Type": "Eyelet; Grommet"}, "6": {"Weight PG": "3.0000"}, "7": {"Washer Pump Included": "No"}, "8": {"Part Type": "Windshield Wiper Motor"}, "9": {"Warranty Info": "Limited Lifetime"}, "10": {"Lifetime Warranty": "Yes"}, "11": {"Lifecycle Status": "Available to Order"}, "12": {"Application Summary": "Hyundai Santa Fe 2012-07"}, "13": {"ItemLevelGTIN": "00884548173576"}}</t>
        </is>
      </c>
      <c r="J1396" t="inlineStr">
        <is>
          <t>https://www.cardone.com/product/windshield-wiper-motor-85-4597</t>
        </is>
      </c>
      <c r="K1396">
        <f>DISPIMG("ID_3E103D270C1547ACB23FF24C3C795BA2",1)</f>
        <v/>
      </c>
      <c r="L1396" t="inlineStr">
        <is>
          <t>CNRD|85-4597</t>
        </is>
      </c>
      <c r="M1396" t="inlineStr">
        <is>
          <t>Wiper Motor; Instruction Manual</t>
        </is>
      </c>
      <c r="N1396" t="inlineStr">
        <is>
          <t>Yes</t>
        </is>
      </c>
      <c r="O1396" t="inlineStr">
        <is>
          <t>New</t>
        </is>
      </c>
      <c r="P1396" t="inlineStr"/>
      <c r="Q1396" t="inlineStr">
        <is>
          <t>Blade</t>
        </is>
      </c>
      <c r="R1396" t="inlineStr">
        <is>
          <t>Eyelet; Grommet</t>
        </is>
      </c>
      <c r="S1396" t="inlineStr">
        <is>
          <t>3.0000</t>
        </is>
      </c>
      <c r="T1396" t="inlineStr">
        <is>
          <t>No</t>
        </is>
      </c>
      <c r="U1396" t="inlineStr">
        <is>
          <t>Limited Lifetime</t>
        </is>
      </c>
      <c r="V1396" t="inlineStr"/>
      <c r="W1396" t="inlineStr">
        <is>
          <t>Available to Order</t>
        </is>
      </c>
      <c r="X1396" t="inlineStr">
        <is>
          <t>Hyundai Santa Fe 2012-07</t>
        </is>
      </c>
      <c r="Y1396" t="inlineStr">
        <is>
          <t>00884548173576</t>
        </is>
      </c>
      <c r="Z1396" t="inlineStr"/>
      <c r="AA1396" t="inlineStr"/>
      <c r="AB1396" t="inlineStr"/>
      <c r="AC1396" t="inlineStr">
        <is>
          <t>Yes</t>
        </is>
      </c>
    </row>
    <row r="1397">
      <c r="A1397" t="inlineStr">
        <is>
          <t>1396</t>
        </is>
      </c>
      <c r="B1397" t="inlineStr">
        <is>
          <t>Windshield Wiper Motor</t>
        </is>
      </c>
      <c r="C1397" t="inlineStr">
        <is>
          <t>85-460</t>
        </is>
      </c>
      <c r="D1397" t="inlineStr">
        <is>
          <t>Windshield Wiper Motor - 85-460</t>
        </is>
      </c>
      <c r="E1397" t="inlineStr">
        <is>
          <t>CARDONE New</t>
        </is>
      </c>
      <c r="F1397" t="inlineStr">
        <is>
          <t>68002489AA</t>
        </is>
      </c>
      <c r="G1397" t="inlineStr">
        <is>
          <t>Jeep Wrangler 2007-2017
Jeep Wrangler JK 2018</t>
        </is>
      </c>
      <c r="H1397" t="inlineStr">
        <is>
          <t>Jeep Wrangler 2007-2011 3.8L V6 231cid
Jeep Wrangler 2012-2017 3.6L V6 220cid
Jeep Wrangler JK 2018 3.6L V6 220cid</t>
        </is>
      </c>
      <c r="I1397" t="inlineStr">
        <is>
          <t>{"0": {"productDeskExternalKey": "CNRD|85-460"}, "1": {"Package Contents": "Wiper Motor; Instruction Manual"}, "2": {"E-Waste": "Yes"}, "3": {"Product Condition": "New"}, "4": {"Terminal Type": "Blade"}, "5": {"Mounting Type": "Eyelet; Grommet"}, "6": {"Weight PG": "2.8000"}, "7": {"Washer Pump Included": "No"}, "8": {"Part Type": "Windshield Wiper Motor"}, "9": {"Warranty Info": "Limited Lifetime"}, "10": {"Lifetime Warranty": "Yes"}, "11": {"Lifecycle Status": "Available to Order"}, "12": {"Application Summary": "Jeep Wrangler 2017-07, Wrangler JK 2018"}, "13": {"ItemLevelGTIN": "00884548292000"}}</t>
        </is>
      </c>
      <c r="J1397" t="inlineStr">
        <is>
          <t>https://www.cardone.com/product/windshield-wiper-motor-85-460</t>
        </is>
      </c>
      <c r="K1397">
        <f>DISPIMG("ID_CF034985F5434C9FAF77A8E5A7A30320",1)</f>
        <v/>
      </c>
      <c r="L1397" t="inlineStr">
        <is>
          <t>CNRD|85-460</t>
        </is>
      </c>
      <c r="M1397" t="inlineStr">
        <is>
          <t>Wiper Motor; Instruction Manual</t>
        </is>
      </c>
      <c r="N1397" t="inlineStr">
        <is>
          <t>Yes</t>
        </is>
      </c>
      <c r="O1397" t="inlineStr">
        <is>
          <t>New</t>
        </is>
      </c>
      <c r="P1397" t="inlineStr"/>
      <c r="Q1397" t="inlineStr">
        <is>
          <t>Blade</t>
        </is>
      </c>
      <c r="R1397" t="inlineStr">
        <is>
          <t>Eyelet; Grommet</t>
        </is>
      </c>
      <c r="S1397" t="inlineStr">
        <is>
          <t>2.8000</t>
        </is>
      </c>
      <c r="T1397" t="inlineStr">
        <is>
          <t>No</t>
        </is>
      </c>
      <c r="U1397" t="inlineStr">
        <is>
          <t>Limited Lifetime</t>
        </is>
      </c>
      <c r="V1397" t="inlineStr"/>
      <c r="W1397" t="inlineStr">
        <is>
          <t>Available to Order</t>
        </is>
      </c>
      <c r="X1397" t="inlineStr">
        <is>
          <t>Jeep Wrangler 2017-07, Wrangler JK 2018</t>
        </is>
      </c>
      <c r="Y1397" t="inlineStr">
        <is>
          <t>00884548292000</t>
        </is>
      </c>
      <c r="Z1397" t="inlineStr"/>
      <c r="AA1397" t="inlineStr"/>
      <c r="AB1397" t="inlineStr"/>
      <c r="AC1397" t="inlineStr">
        <is>
          <t>Yes</t>
        </is>
      </c>
    </row>
    <row r="1398">
      <c r="A1398" t="inlineStr">
        <is>
          <t>1397</t>
        </is>
      </c>
      <c r="B1398" t="inlineStr">
        <is>
          <t>Windshield Wiper Motor</t>
        </is>
      </c>
      <c r="C1398" t="inlineStr">
        <is>
          <t>85-4603</t>
        </is>
      </c>
      <c r="D1398" t="inlineStr">
        <is>
          <t>Windshield Wiper Motor - 85-4603</t>
        </is>
      </c>
      <c r="E1398" t="inlineStr">
        <is>
          <t>CARDONE New</t>
        </is>
      </c>
      <c r="F1398" t="inlineStr">
        <is>
          <t>8971383582;8971383572;8971383583</t>
        </is>
      </c>
      <c r="G1398" t="inlineStr">
        <is>
          <t>Honda Passport 1998-2002
Isuzu Rodeo 1998-2004</t>
        </is>
      </c>
      <c r="H1398" t="inlineStr">
        <is>
          <t>Honda Passport 1998-2002 3.2L V6 3165cc
Isuzu Rodeo 1998-2003 2.2L L4 2180cc
Isuzu Rodeo 1998-2004 3.2L V6 3165cc
Isuzu Rodeo 2004 3.5L V6 3494cc</t>
        </is>
      </c>
      <c r="I1398" t="inlineStr">
        <is>
          <t>{"0": {"productDeskExternalKey": "CNRD|85-4603"}, "1": {"Package Contents": "Wiper Motor; Instruction Manual"}, "2": {"E-Waste": "Yes"}, "3": {"Product Condition": "New"}, "4": {"Terminal Type": "Blade"}, "5": {"Mounting Type": "Direct Bolt"}, "6": {"Weight PG": "2.5000"}, "7": {"Washer Pump Included": "No"}, "8": {"Part Type": "Windshield Wiper Motor"}, "9": {"Warranty Info": "Limited Lifetime"}, "10": {"Lifetime Warranty": "Yes"}, "11": {"Lifecycle Status": "Available to Order"}, "12": {"Application Summary": "Honda Passport 2002-98; Isuzu Rodeo 2004-98"}, "13": {"ItemLevelGTIN": "00082617884860"}}</t>
        </is>
      </c>
      <c r="J1398" t="inlineStr">
        <is>
          <t>https://www.cardone.com/product/windshield-wiper-motor-85-4603</t>
        </is>
      </c>
      <c r="K1398">
        <f>DISPIMG("ID_C14C8658772A4DF3B04D999B172DC8CF",1)</f>
        <v/>
      </c>
      <c r="L1398" t="inlineStr">
        <is>
          <t>CNRD|85-4603</t>
        </is>
      </c>
      <c r="M1398" t="inlineStr">
        <is>
          <t>Wiper Motor; Instruction Manual</t>
        </is>
      </c>
      <c r="N1398" t="inlineStr">
        <is>
          <t>Yes</t>
        </is>
      </c>
      <c r="O1398" t="inlineStr">
        <is>
          <t>New</t>
        </is>
      </c>
      <c r="P1398" t="inlineStr"/>
      <c r="Q1398" t="inlineStr">
        <is>
          <t>Blade</t>
        </is>
      </c>
      <c r="R1398" t="inlineStr">
        <is>
          <t>Direct Bolt</t>
        </is>
      </c>
      <c r="S1398" t="inlineStr">
        <is>
          <t>2.5000</t>
        </is>
      </c>
      <c r="T1398" t="inlineStr">
        <is>
          <t>No</t>
        </is>
      </c>
      <c r="U1398" t="inlineStr">
        <is>
          <t>Limited Lifetime</t>
        </is>
      </c>
      <c r="V1398" t="inlineStr"/>
      <c r="W1398" t="inlineStr">
        <is>
          <t>Available to Order</t>
        </is>
      </c>
      <c r="X1398" t="inlineStr">
        <is>
          <t>Honda Passport 2002-98; Isuzu Rodeo 2004-98</t>
        </is>
      </c>
      <c r="Y1398" t="inlineStr">
        <is>
          <t>00082617884860</t>
        </is>
      </c>
      <c r="Z1398" t="inlineStr"/>
      <c r="AA1398" t="inlineStr"/>
      <c r="AB1398" t="inlineStr"/>
      <c r="AC1398" t="inlineStr">
        <is>
          <t>Yes</t>
        </is>
      </c>
    </row>
    <row r="1399">
      <c r="A1399" t="inlineStr">
        <is>
          <t>1398</t>
        </is>
      </c>
      <c r="B1399" t="inlineStr">
        <is>
          <t>Windshield Wiper Motor</t>
        </is>
      </c>
      <c r="C1399" t="inlineStr">
        <is>
          <t>85-4809</t>
        </is>
      </c>
      <c r="D1399" t="inlineStr">
        <is>
          <t>Windshield Wiper Motor - 85-4809</t>
        </is>
      </c>
      <c r="E1399" t="inlineStr">
        <is>
          <t>CARDONE New</t>
        </is>
      </c>
      <c r="F1399" t="inlineStr">
        <is>
          <t>8667188</t>
        </is>
      </c>
      <c r="G1399" t="inlineStr">
        <is>
          <t>Volvo V70 2005-2007
Volvo XC70 2005-2008</t>
        </is>
      </c>
      <c r="H1399" t="inlineStr">
        <is>
          <t>Volvo V70 2005-2007 2.4L L5 2435cc
Volvo V70 2005-2007 2.5L L5 2521cc
Volvo XC70 2005-2007 2.5L L5 154cid
Volvo XC70 2005-2007 2.5L L5 2521cc
Volvo XC70 2008 3.2L L6 3192cc</t>
        </is>
      </c>
      <c r="I1399" t="inlineStr">
        <is>
          <t>{"0": {"productDeskExternalKey": "CNRD|85-4809"}, "1": {"Package Contents": "Wiper Motor; Instruction Manual"}, "2": {"E-Waste": "Yes"}, "3": {"Product Condition": "New"}, "4": {"Mounting Hole Quantity": "3"}, "5": {"Terminal Type": "Blade"}, "6": {"Mounting Type": "Eyelet; Grommet"}, "7": {"Weight PG": "2.4000"}, "8": {"Washer Pump Included": "No"}, "9": {"Part Type": "Windshield Wiper Motor"}, "10": {"Warranty Info": "Limited Lifetime"}, "11": {"Lifetime Warranty": "Yes"}, "12": {"Lifecycle Status": "Available to Order"}, "13": {"Application Summary": "Volvo V70 2007-05, XC70 2008-05"}, "14": {"ItemLevelGTIN": "00884548254121"}}</t>
        </is>
      </c>
      <c r="J1399" t="inlineStr">
        <is>
          <t>https://www.cardone.com/product/windshield-wiper-motor-85-4809</t>
        </is>
      </c>
      <c r="K1399">
        <f>DISPIMG("ID_0AD44939447C443096A0084E184D61EA",1)</f>
        <v/>
      </c>
      <c r="L1399" t="inlineStr">
        <is>
          <t>CNRD|85-4809</t>
        </is>
      </c>
      <c r="M1399" t="inlineStr">
        <is>
          <t>Wiper Motor; Instruction Manual</t>
        </is>
      </c>
      <c r="N1399" t="inlineStr">
        <is>
          <t>Yes</t>
        </is>
      </c>
      <c r="O1399" t="inlineStr">
        <is>
          <t>New</t>
        </is>
      </c>
      <c r="P1399" t="inlineStr">
        <is>
          <t>3</t>
        </is>
      </c>
      <c r="Q1399" t="inlineStr">
        <is>
          <t>Blade</t>
        </is>
      </c>
      <c r="R1399" t="inlineStr">
        <is>
          <t>Eyelet; Grommet</t>
        </is>
      </c>
      <c r="S1399" t="inlineStr">
        <is>
          <t>2.4000</t>
        </is>
      </c>
      <c r="T1399" t="inlineStr">
        <is>
          <t>No</t>
        </is>
      </c>
      <c r="U1399" t="inlineStr">
        <is>
          <t>Limited Lifetime</t>
        </is>
      </c>
      <c r="V1399" t="inlineStr"/>
      <c r="W1399" t="inlineStr">
        <is>
          <t>Available to Order</t>
        </is>
      </c>
      <c r="X1399" t="inlineStr">
        <is>
          <t>Volvo V70 2007-05, XC70 2008-05</t>
        </is>
      </c>
      <c r="Y1399" t="inlineStr">
        <is>
          <t>00884548254121</t>
        </is>
      </c>
      <c r="Z1399" t="inlineStr"/>
      <c r="AA1399" t="inlineStr"/>
      <c r="AB1399" t="inlineStr"/>
      <c r="AC1399" t="inlineStr">
        <is>
          <t>Yes</t>
        </is>
      </c>
    </row>
    <row r="1400">
      <c r="A1400" t="inlineStr">
        <is>
          <t>1399</t>
        </is>
      </c>
      <c r="B1400" t="inlineStr">
        <is>
          <t>Windshield Wiper Motor</t>
        </is>
      </c>
      <c r="C1400" t="inlineStr">
        <is>
          <t>85-4810</t>
        </is>
      </c>
      <c r="D1400" t="inlineStr">
        <is>
          <t>Windshield Wiper Motor - 85-4810</t>
        </is>
      </c>
      <c r="E1400" t="inlineStr">
        <is>
          <t>CARDONE New</t>
        </is>
      </c>
      <c r="F1400" t="inlineStr">
        <is>
          <t>8638163</t>
        </is>
      </c>
      <c r="G1400" t="inlineStr">
        <is>
          <t>Volvo XC90 2003-2014</t>
        </is>
      </c>
      <c r="H1400" t="inlineStr">
        <is>
          <t>Volvo XC90 2003-2006 2.5L L5 2521cc
Volvo XC90 2003-2006 2.9L L6 2917cc
Volvo XC90 2004-2014 2.5L L5 154cid
Volvo XC90 2005-2011 4.4L V8 269cid
Volvo XC90 2007-2014 3.2L L6 3192cc</t>
        </is>
      </c>
      <c r="I1400" t="inlineStr">
        <is>
          <t>{"0": {"productDeskExternalKey": "CNRD|85-4810"}, "1": {"Package Contents": "Wiper Motor; Instruction Manual"}, "2": {"E-Waste": "Yes"}, "3": {"Product Condition": "New"}, "4": {"Terminal Type": "Blade"}, "5": {"Mounting Type": "Eyelet; Grommet"}, "6": {"Weight PG": "2.2600"}, "7": {"Washer Pump Included": "No"}, "8": {"Part Type": "Windshield Wiper Motor"}, "9": {"Warranty Info": "Limited Lifetime"}, "10": {"Lifetime Warranty": "Yes"}, "11": {"Lifecycle Status": "Available to Order"}, "12": {"Application Summary": "Volvo XC90 2014-03"}, "13": {"ItemLevelGTIN": "00884548293557"}}</t>
        </is>
      </c>
      <c r="J1400" t="inlineStr">
        <is>
          <t>https://www.cardone.com/product/windshield-wiper-motor-85-4810</t>
        </is>
      </c>
      <c r="K1400">
        <f>DISPIMG("ID_0FAE80A4379542C0AF3B0E288AFBFA98",1)</f>
        <v/>
      </c>
      <c r="L1400" t="inlineStr">
        <is>
          <t>CNRD|85-4810</t>
        </is>
      </c>
      <c r="M1400" t="inlineStr">
        <is>
          <t>Wiper Motor; Instruction Manual</t>
        </is>
      </c>
      <c r="N1400" t="inlineStr">
        <is>
          <t>Yes</t>
        </is>
      </c>
      <c r="O1400" t="inlineStr">
        <is>
          <t>New</t>
        </is>
      </c>
      <c r="P1400" t="inlineStr"/>
      <c r="Q1400" t="inlineStr">
        <is>
          <t>Blade</t>
        </is>
      </c>
      <c r="R1400" t="inlineStr">
        <is>
          <t>Eyelet; Grommet</t>
        </is>
      </c>
      <c r="S1400" t="inlineStr">
        <is>
          <t>2.2600</t>
        </is>
      </c>
      <c r="T1400" t="inlineStr">
        <is>
          <t>No</t>
        </is>
      </c>
      <c r="U1400" t="inlineStr">
        <is>
          <t>Limited Lifetime</t>
        </is>
      </c>
      <c r="V1400" t="inlineStr"/>
      <c r="W1400" t="inlineStr">
        <is>
          <t>Available to Order</t>
        </is>
      </c>
      <c r="X1400" t="inlineStr">
        <is>
          <t>Volvo XC90 2014-03</t>
        </is>
      </c>
      <c r="Y1400" t="inlineStr">
        <is>
          <t>00884548293557</t>
        </is>
      </c>
      <c r="Z1400" t="inlineStr"/>
      <c r="AA1400" t="inlineStr"/>
      <c r="AB1400" t="inlineStr"/>
      <c r="AC1400" t="inlineStr">
        <is>
          <t>Yes</t>
        </is>
      </c>
    </row>
    <row r="1401">
      <c r="A1401" t="inlineStr">
        <is>
          <t>1400</t>
        </is>
      </c>
      <c r="B1401" t="inlineStr">
        <is>
          <t>Windshield Wiper Motor</t>
        </is>
      </c>
      <c r="C1401" t="inlineStr">
        <is>
          <t>85-4817</t>
        </is>
      </c>
      <c r="D1401" t="inlineStr">
        <is>
          <t>Windshield Wiper Motor - 85-4817</t>
        </is>
      </c>
      <c r="E1401" t="inlineStr">
        <is>
          <t>CARDONE New</t>
        </is>
      </c>
      <c r="F1401" t="inlineStr">
        <is>
          <t>8693848</t>
        </is>
      </c>
      <c r="G1401" t="inlineStr">
        <is>
          <t>Volvo XC90 2004-2014</t>
        </is>
      </c>
      <c r="H1401" t="inlineStr">
        <is>
          <t>Volvo XC90 2004-2006 2.5L L5 2521cc
Volvo XC90 2004-2006 2.9L L6 2917cc
Volvo XC90 2004-2014 2.5L L5 154cid
Volvo XC90 2005-2011 4.4L V8 269cid
Volvo XC90 2007-2014 3.2L L6 3192cc</t>
        </is>
      </c>
      <c r="I1401" t="inlineStr">
        <is>
          <t>{"0": {"productDeskExternalKey": "CNRD|85-4817"}, "1": {"Package Contents": "Wiper Motor; Instruction Sheet"}, "2": {"E-Waste": "Yes"}, "3": {"Product Condition": "New"}, "4": {"Mounting Hole Quantity": "3"}, "5": {"Terminal Type": "Blade"}, "6": {"Mounting Type": "Direct Bolt"}, "7": {"Weight PG": "3.1000"}, "8": {"Washer Pump Included": "No"}, "9": {"Part Type": "Windshield Wiper Motor"}, "10": {"Warranty Info": "Limited Lifetime"}, "11": {"Lifetime Warranty": "Yes"}, "12": {"Lifecycle Status": "Available to Order"}, "13": {"Application Summary": "Volvo XC90 2014-04"}, "14": {"ItemLevelGTIN": "00884548321557"}}</t>
        </is>
      </c>
      <c r="J1401" t="inlineStr">
        <is>
          <t>https://www.cardone.com/product/windshield-wiper-motor-85-4817</t>
        </is>
      </c>
      <c r="K1401">
        <f>DISPIMG("ID_2C1A99C6818E4F2381408A3D0EE76110",1)</f>
        <v/>
      </c>
      <c r="L1401" t="inlineStr">
        <is>
          <t>CNRD|85-4817</t>
        </is>
      </c>
      <c r="M1401" t="inlineStr">
        <is>
          <t>Wiper Motor; Instruction Sheet</t>
        </is>
      </c>
      <c r="N1401" t="inlineStr">
        <is>
          <t>Yes</t>
        </is>
      </c>
      <c r="O1401" t="inlineStr">
        <is>
          <t>New</t>
        </is>
      </c>
      <c r="P1401" t="inlineStr">
        <is>
          <t>3</t>
        </is>
      </c>
      <c r="Q1401" t="inlineStr">
        <is>
          <t>Blade</t>
        </is>
      </c>
      <c r="R1401" t="inlineStr">
        <is>
          <t>Direct Bolt</t>
        </is>
      </c>
      <c r="S1401" t="inlineStr">
        <is>
          <t>3.1000</t>
        </is>
      </c>
      <c r="T1401" t="inlineStr">
        <is>
          <t>No</t>
        </is>
      </c>
      <c r="U1401" t="inlineStr">
        <is>
          <t>Limited Lifetime</t>
        </is>
      </c>
      <c r="V1401" t="inlineStr"/>
      <c r="W1401" t="inlineStr">
        <is>
          <t>Available to Order</t>
        </is>
      </c>
      <c r="X1401" t="inlineStr">
        <is>
          <t>Volvo XC90 2014-04</t>
        </is>
      </c>
      <c r="Y1401" t="inlineStr">
        <is>
          <t>00884548321557</t>
        </is>
      </c>
      <c r="Z1401" t="inlineStr"/>
      <c r="AA1401" t="inlineStr"/>
      <c r="AB1401" t="inlineStr"/>
      <c r="AC1401" t="inlineStr">
        <is>
          <t>Yes</t>
        </is>
      </c>
    </row>
    <row r="1402">
      <c r="A1402" t="inlineStr">
        <is>
          <t>1401</t>
        </is>
      </c>
      <c r="B1402" t="inlineStr">
        <is>
          <t>Windshield Wiper Motor</t>
        </is>
      </c>
      <c r="C1402" t="inlineStr">
        <is>
          <t>85-4822</t>
        </is>
      </c>
      <c r="D1402" t="inlineStr">
        <is>
          <t>Windshield Wiper Motor - 85-4822</t>
        </is>
      </c>
      <c r="E1402" t="inlineStr">
        <is>
          <t>CARDONE New</t>
        </is>
      </c>
      <c r="F1402" t="inlineStr">
        <is>
          <t>31290787;30663891</t>
        </is>
      </c>
      <c r="G1402" t="inlineStr">
        <is>
          <t>Volvo V70 2008-2010
Volvo XC60 2010-2016
Volvo XC70 2009-2016</t>
        </is>
      </c>
      <c r="H1402" t="inlineStr">
        <is>
          <t>Volvo V70 2008-2010 3.2L L6 3192cc
Volvo XC60 2010-2015 3.2L L6 3192cc
Volvo XC60 2010-2015 3L L6 180cid
Volvo XC60 2010-2016 3L L6 2953cc
Volvo XC60 2012-2014 2L L4 122cid
Volvo XC60 2014-2016 2L L4 1969cc
Volvo XC60 2015-2016 2.5L L5 2521cc
Volvo XC70 2009-2015 3.2L L6 3192cc
Volvo XC70 2009-2015 3L L6 2953cc
Volvo XC70 2015-2016 2L L4 1969cc
Volvo XC70 2016 2.5L L5 2521cc</t>
        </is>
      </c>
      <c r="I1402" t="inlineStr">
        <is>
          <t>{"0": {"productDeskExternalKey": "CNRD|85-4822"}, "1": {"Package Contents": "Wiper Motor; Instruction Manual"}, "2": {"E-Waste": "Yes"}, "3": {"Product Condition": "New"}, "4": {"Terminal Type": "Blade"}, "5": {"Mounting Type": "Eyelet; Grommet"}, "6": {"Weight PG": "2.2000"}, "7": {"Washer Pump Included": "No"}, "8": {"Part Type": "Windshield Wiper Motor"}, "9": {"Warranty Info": "Limited Lifetime"}, "10": {"Lifetime Warranty": "Yes"}, "11": {"Lifecycle Status": "Available to Order"}, "12": {"Application Summary": "Volvo V70 2010-08, XC60 2016-10, XC70 2016-09"}, "13": {"ItemLevelGTIN": "00884548273351"}}</t>
        </is>
      </c>
      <c r="J1402" t="inlineStr">
        <is>
          <t>https://www.cardone.com/product/windshield-wiper-motor-85-4822</t>
        </is>
      </c>
      <c r="K1402">
        <f>DISPIMG("ID_7E2F4F1031654FE8856910C4261EAFBA",1)</f>
        <v/>
      </c>
      <c r="L1402" t="inlineStr">
        <is>
          <t>CNRD|85-4822</t>
        </is>
      </c>
      <c r="M1402" t="inlineStr">
        <is>
          <t>Wiper Motor; Instruction Manual</t>
        </is>
      </c>
      <c r="N1402" t="inlineStr">
        <is>
          <t>Yes</t>
        </is>
      </c>
      <c r="O1402" t="inlineStr">
        <is>
          <t>New</t>
        </is>
      </c>
      <c r="P1402" t="inlineStr"/>
      <c r="Q1402" t="inlineStr">
        <is>
          <t>Blade</t>
        </is>
      </c>
      <c r="R1402" t="inlineStr">
        <is>
          <t>Eyelet; Grommet</t>
        </is>
      </c>
      <c r="S1402" t="inlineStr">
        <is>
          <t>2.2000</t>
        </is>
      </c>
      <c r="T1402" t="inlineStr">
        <is>
          <t>No</t>
        </is>
      </c>
      <c r="U1402" t="inlineStr">
        <is>
          <t>Limited Lifetime</t>
        </is>
      </c>
      <c r="V1402" t="inlineStr"/>
      <c r="W1402" t="inlineStr">
        <is>
          <t>Available to Order</t>
        </is>
      </c>
      <c r="X1402" t="inlineStr">
        <is>
          <t>Volvo V70 2010-08, XC60 2016-10, XC70 2016-09</t>
        </is>
      </c>
      <c r="Y1402" t="inlineStr">
        <is>
          <t>00884548273351</t>
        </is>
      </c>
      <c r="Z1402" t="inlineStr"/>
      <c r="AA1402" t="inlineStr"/>
      <c r="AB1402" t="inlineStr"/>
      <c r="AC1402"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2024-07-27T10:18:01Z</dcterms:created>
  <dcterms:modified xmlns:dcterms="http://purl.org/dc/terms/" xmlns:xsi="http://www.w3.org/2001/XMLSchema-instance" xsi:type="dcterms:W3CDTF">2024-07-27T10:18:01Z</dcterms:modified>
</cp:coreProperties>
</file>