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3990" windowWidth="20520" windowHeight="3915"/>
  </bookViews>
  <sheets>
    <sheet name="DCF" sheetId="1" r:id="rId1"/>
    <sheet name="NWC" sheetId="2" r:id="rId2"/>
    <sheet name="WACC" sheetId="3" r:id="rId3"/>
    <sheet name="A1" sheetId="4" r:id="rId4"/>
    <sheet name="A2" sheetId="5" r:id="rId5"/>
  </sheets>
  <externalReferences>
    <externalReference r:id="rId6"/>
  </externalReferences>
  <calcPr calcId="145621" iterate="1" iterateDelta="1.0000000000000001E-5"/>
</workbook>
</file>

<file path=xl/calcChain.xml><?xml version="1.0" encoding="utf-8"?>
<calcChain xmlns="http://schemas.openxmlformats.org/spreadsheetml/2006/main">
  <c r="E26" i="1" l="1"/>
  <c r="O34" i="1" l="1"/>
  <c r="O33" i="1"/>
  <c r="C124" i="1"/>
  <c r="F113" i="1" l="1"/>
  <c r="F112" i="1"/>
  <c r="F111" i="1"/>
  <c r="F110" i="1"/>
  <c r="E39" i="1"/>
  <c r="E36" i="1"/>
  <c r="N28" i="1"/>
  <c r="N29" i="1" s="1"/>
  <c r="K22" i="3"/>
  <c r="J22" i="3"/>
  <c r="L22" i="3" s="1"/>
  <c r="I22" i="3"/>
  <c r="L16" i="3"/>
  <c r="L15" i="3"/>
  <c r="J16" i="3"/>
  <c r="J15" i="3"/>
  <c r="G16" i="3"/>
  <c r="G15" i="3"/>
  <c r="L10" i="3"/>
  <c r="L11" i="3"/>
  <c r="L12" i="3"/>
  <c r="L13" i="3"/>
  <c r="L9" i="3"/>
  <c r="J10" i="3"/>
  <c r="J11" i="3"/>
  <c r="J12" i="3"/>
  <c r="J13" i="3"/>
  <c r="J9" i="3"/>
  <c r="D15" i="3"/>
  <c r="D9" i="3"/>
  <c r="K25" i="1"/>
  <c r="L25" i="1"/>
  <c r="M25" i="1"/>
  <c r="N25" i="1"/>
  <c r="J25" i="1"/>
  <c r="K28" i="1"/>
  <c r="K29" i="1" s="1"/>
  <c r="L28" i="1"/>
  <c r="L29" i="1" s="1"/>
  <c r="M28" i="1"/>
  <c r="M29" i="1" s="1"/>
  <c r="J28" i="1"/>
  <c r="J29" i="1" s="1"/>
  <c r="K27" i="1"/>
  <c r="L27" i="1"/>
  <c r="M27" i="1"/>
  <c r="N27" i="1"/>
  <c r="J27" i="1"/>
  <c r="L23" i="1"/>
  <c r="M23" i="1"/>
  <c r="N23" i="1"/>
  <c r="K23" i="1"/>
  <c r="J23" i="1"/>
  <c r="K26" i="2"/>
  <c r="L26" i="2"/>
  <c r="M26" i="2"/>
  <c r="J26" i="2"/>
  <c r="I26" i="2"/>
  <c r="G26" i="2"/>
  <c r="E26" i="2"/>
  <c r="D26" i="2"/>
  <c r="M24" i="2"/>
  <c r="L24" i="2"/>
  <c r="K24" i="2"/>
  <c r="J24" i="2"/>
  <c r="I24" i="2"/>
  <c r="G24" i="2"/>
  <c r="D24" i="2"/>
  <c r="E24" i="2"/>
  <c r="C24" i="2"/>
  <c r="M23" i="2"/>
  <c r="L23" i="2"/>
  <c r="K23" i="2"/>
  <c r="J23" i="2"/>
  <c r="I23" i="2"/>
  <c r="G23" i="2"/>
  <c r="D23" i="2"/>
  <c r="E23" i="2"/>
  <c r="C23" i="2"/>
  <c r="M15" i="2"/>
  <c r="L15" i="2"/>
  <c r="K15" i="2"/>
  <c r="J15" i="2"/>
  <c r="I15" i="2"/>
  <c r="G15" i="2"/>
  <c r="E15" i="2"/>
  <c r="D15" i="2"/>
  <c r="C15" i="2"/>
  <c r="M21" i="2"/>
  <c r="L21" i="2"/>
  <c r="K21" i="2"/>
  <c r="J21" i="2"/>
  <c r="I21" i="2"/>
  <c r="G21" i="2"/>
  <c r="D21" i="2"/>
  <c r="E21" i="2"/>
  <c r="C21" i="2"/>
  <c r="J20" i="2"/>
  <c r="K20" i="2"/>
  <c r="L20" i="2"/>
  <c r="M20" i="2"/>
  <c r="I20" i="2"/>
  <c r="G20" i="2"/>
  <c r="J19" i="2"/>
  <c r="K19" i="2"/>
  <c r="L19" i="2"/>
  <c r="M19" i="2"/>
  <c r="I19" i="2"/>
  <c r="G19" i="2"/>
  <c r="K18" i="2"/>
  <c r="L18" i="2"/>
  <c r="M18" i="2"/>
  <c r="J18" i="2"/>
  <c r="I18" i="2"/>
  <c r="G18" i="2"/>
  <c r="J14" i="2"/>
  <c r="K14" i="2"/>
  <c r="L14" i="2"/>
  <c r="M14" i="2"/>
  <c r="I14" i="2"/>
  <c r="G14" i="2"/>
  <c r="J13" i="2"/>
  <c r="K13" i="2"/>
  <c r="L13" i="2"/>
  <c r="M13" i="2"/>
  <c r="I13" i="2"/>
  <c r="G13" i="2"/>
  <c r="J12" i="2"/>
  <c r="K12" i="2"/>
  <c r="L12" i="2"/>
  <c r="M12" i="2"/>
  <c r="I12" i="2"/>
  <c r="G12" i="2"/>
  <c r="J35" i="2"/>
  <c r="K35" i="2"/>
  <c r="L35" i="2"/>
  <c r="M35" i="2"/>
  <c r="I35" i="2"/>
  <c r="J34" i="2"/>
  <c r="K34" i="2"/>
  <c r="L34" i="2"/>
  <c r="M34" i="2"/>
  <c r="I34" i="2"/>
  <c r="J33" i="2"/>
  <c r="K33" i="2"/>
  <c r="L33" i="2"/>
  <c r="M33" i="2"/>
  <c r="I33" i="2"/>
  <c r="J31" i="2"/>
  <c r="K31" i="2"/>
  <c r="L31" i="2"/>
  <c r="M31" i="2"/>
  <c r="I31" i="2"/>
  <c r="J30" i="2"/>
  <c r="K30" i="2"/>
  <c r="L30" i="2"/>
  <c r="M30" i="2"/>
  <c r="I30" i="2"/>
  <c r="J29" i="2"/>
  <c r="K29" i="2"/>
  <c r="L29" i="2"/>
  <c r="M29" i="2"/>
  <c r="I29" i="2"/>
  <c r="G35" i="2"/>
  <c r="D35" i="2"/>
  <c r="E35" i="2"/>
  <c r="C35" i="2"/>
  <c r="G34" i="2"/>
  <c r="D34" i="2"/>
  <c r="E34" i="2"/>
  <c r="C34" i="2"/>
  <c r="G33" i="2"/>
  <c r="D33" i="2"/>
  <c r="E33" i="2"/>
  <c r="C33" i="2"/>
  <c r="G31" i="2"/>
  <c r="D31" i="2"/>
  <c r="E31" i="2"/>
  <c r="C31" i="2"/>
  <c r="G30" i="2"/>
  <c r="D30" i="2"/>
  <c r="E30" i="2"/>
  <c r="C30" i="2"/>
  <c r="G29" i="2"/>
  <c r="D29" i="2"/>
  <c r="E29" i="2"/>
  <c r="C29" i="2"/>
  <c r="D20" i="2"/>
  <c r="C20" i="2"/>
  <c r="J8" i="2"/>
  <c r="K8" i="2"/>
  <c r="L8" i="2"/>
  <c r="M8" i="2"/>
  <c r="J9" i="2"/>
  <c r="K9" i="2"/>
  <c r="L9" i="2"/>
  <c r="M9" i="2"/>
  <c r="I9" i="2"/>
  <c r="G9" i="2"/>
  <c r="D9" i="2"/>
  <c r="E9" i="2"/>
  <c r="C9" i="2"/>
  <c r="I8" i="2"/>
  <c r="K22" i="1"/>
  <c r="L22" i="1"/>
  <c r="M22" i="1"/>
  <c r="N22" i="1"/>
  <c r="J22" i="1"/>
  <c r="L21" i="1"/>
  <c r="M21" i="1"/>
  <c r="N21" i="1"/>
  <c r="K21" i="1"/>
  <c r="J21" i="1"/>
  <c r="I21" i="1"/>
  <c r="F21" i="1"/>
  <c r="G21" i="1"/>
  <c r="E21" i="1"/>
  <c r="O19" i="1"/>
  <c r="K19" i="1"/>
  <c r="L19" i="1"/>
  <c r="M19" i="1"/>
  <c r="N19" i="1"/>
  <c r="J19" i="1"/>
  <c r="K18" i="1"/>
  <c r="L18" i="1"/>
  <c r="M18" i="1"/>
  <c r="N18" i="1"/>
  <c r="J18" i="1"/>
  <c r="K17" i="1"/>
  <c r="L17" i="1"/>
  <c r="M17" i="1"/>
  <c r="N17" i="1"/>
  <c r="J17" i="1"/>
  <c r="O16" i="1"/>
  <c r="K16" i="1"/>
  <c r="L16" i="1"/>
  <c r="M16" i="1"/>
  <c r="N16" i="1"/>
  <c r="J16" i="1"/>
  <c r="K15" i="1"/>
  <c r="L15" i="1"/>
  <c r="M15" i="1"/>
  <c r="N15" i="1"/>
  <c r="J15" i="1"/>
  <c r="K14" i="1"/>
  <c r="L14" i="1"/>
  <c r="M14" i="1"/>
  <c r="N14" i="1"/>
  <c r="J14" i="1"/>
  <c r="O13" i="1"/>
  <c r="K13" i="1"/>
  <c r="L13" i="1"/>
  <c r="M13" i="1"/>
  <c r="N13" i="1"/>
  <c r="J13" i="1"/>
  <c r="K12" i="1"/>
  <c r="L12" i="1"/>
  <c r="M12" i="1"/>
  <c r="N12" i="1"/>
  <c r="J12" i="1"/>
  <c r="K11" i="1"/>
  <c r="L11" i="1"/>
  <c r="M11" i="1"/>
  <c r="N11" i="1"/>
  <c r="J11" i="1"/>
  <c r="O10" i="1"/>
  <c r="K10" i="1"/>
  <c r="L10" i="1"/>
  <c r="M10" i="1"/>
  <c r="N10" i="1"/>
  <c r="J10" i="1"/>
  <c r="K9" i="1"/>
  <c r="L9" i="1"/>
  <c r="M9" i="1"/>
  <c r="N9" i="1"/>
  <c r="J9" i="1"/>
  <c r="K8" i="1"/>
  <c r="L8" i="1"/>
  <c r="M8" i="1"/>
  <c r="N8" i="1"/>
  <c r="J8" i="1"/>
  <c r="O7" i="1"/>
  <c r="K7" i="1"/>
  <c r="L7" i="1"/>
  <c r="M7" i="1"/>
  <c r="N7" i="1" s="1"/>
  <c r="G8" i="2"/>
  <c r="D8" i="2"/>
  <c r="E8" i="2"/>
  <c r="C8" i="2"/>
  <c r="K59" i="1"/>
  <c r="L59" i="1"/>
  <c r="M59" i="1"/>
  <c r="N59" i="1"/>
  <c r="L64" i="1"/>
  <c r="M64" i="1"/>
  <c r="N64" i="1"/>
  <c r="K64" i="1"/>
  <c r="J64" i="1"/>
  <c r="L63" i="1"/>
  <c r="M63" i="1"/>
  <c r="N63" i="1"/>
  <c r="K63" i="1"/>
  <c r="J63" i="1"/>
  <c r="L62" i="1"/>
  <c r="M62" i="1"/>
  <c r="N62" i="1"/>
  <c r="K62" i="1"/>
  <c r="J62" i="1"/>
  <c r="L61" i="1"/>
  <c r="M61" i="1"/>
  <c r="N61" i="1"/>
  <c r="K61" i="1"/>
  <c r="J61" i="1"/>
  <c r="L60" i="1"/>
  <c r="M60" i="1"/>
  <c r="N60" i="1"/>
  <c r="K60" i="1"/>
  <c r="J60" i="1"/>
  <c r="I63" i="1"/>
  <c r="F63" i="1"/>
  <c r="G63" i="1"/>
  <c r="E63" i="1"/>
  <c r="I62" i="1"/>
  <c r="F62" i="1"/>
  <c r="G62" i="1"/>
  <c r="E62" i="1"/>
  <c r="I61" i="1"/>
  <c r="F61" i="1"/>
  <c r="G61" i="1"/>
  <c r="E61" i="1"/>
  <c r="I60" i="1"/>
  <c r="F60" i="1"/>
  <c r="G60" i="1"/>
  <c r="E60" i="1"/>
  <c r="E33" i="1" l="1"/>
  <c r="I59" i="1"/>
  <c r="G59" i="1"/>
  <c r="I19" i="1" l="1"/>
  <c r="F19" i="1"/>
  <c r="G19" i="1"/>
  <c r="E19" i="1"/>
  <c r="I18" i="1"/>
  <c r="F18" i="1"/>
  <c r="G18" i="1"/>
  <c r="E18" i="1"/>
  <c r="I17" i="1"/>
  <c r="F17" i="1"/>
  <c r="G17" i="1"/>
  <c r="E17" i="1"/>
  <c r="I16" i="1"/>
  <c r="H16" i="1"/>
  <c r="F16" i="1"/>
  <c r="G16" i="1"/>
  <c r="E16" i="1"/>
  <c r="I14" i="1"/>
  <c r="F14" i="1"/>
  <c r="G14" i="1"/>
  <c r="E14" i="1"/>
  <c r="H13" i="1"/>
  <c r="H10" i="1"/>
  <c r="I13" i="1"/>
  <c r="F13" i="1"/>
  <c r="G13" i="1"/>
  <c r="E13" i="1"/>
  <c r="I11" i="1"/>
  <c r="G11" i="1"/>
  <c r="F11" i="1"/>
  <c r="E11" i="1"/>
  <c r="I10" i="1"/>
  <c r="G10" i="1"/>
  <c r="F10" i="1"/>
  <c r="E10" i="1"/>
  <c r="H7" i="1"/>
  <c r="F59" i="1"/>
  <c r="L46" i="5"/>
  <c r="M46" i="5"/>
  <c r="N46" i="5"/>
  <c r="O46" i="5"/>
  <c r="L47" i="5"/>
  <c r="M47" i="5"/>
  <c r="N47" i="5"/>
  <c r="O47" i="5"/>
  <c r="L48" i="5"/>
  <c r="M48" i="5"/>
  <c r="N48" i="5"/>
  <c r="O48" i="5"/>
  <c r="L49" i="5"/>
  <c r="M49" i="5"/>
  <c r="N49" i="5"/>
  <c r="O49" i="5"/>
  <c r="L50" i="5"/>
  <c r="M50" i="5"/>
  <c r="N50" i="5"/>
  <c r="O50" i="5"/>
  <c r="K47" i="5"/>
  <c r="K48" i="5"/>
  <c r="K49" i="5"/>
  <c r="K50" i="5"/>
  <c r="K46" i="5"/>
  <c r="G45" i="5"/>
  <c r="H45" i="5"/>
  <c r="I45" i="5"/>
  <c r="J45" i="5"/>
  <c r="F45" i="5"/>
  <c r="L39" i="5"/>
  <c r="M39" i="5" s="1"/>
  <c r="N39" i="5" s="1"/>
  <c r="O39" i="5" s="1"/>
  <c r="L40" i="5"/>
  <c r="M40" i="5" s="1"/>
  <c r="N40" i="5" s="1"/>
  <c r="O40" i="5" s="1"/>
  <c r="L41" i="5"/>
  <c r="M41" i="5" s="1"/>
  <c r="N41" i="5" s="1"/>
  <c r="O41" i="5" s="1"/>
  <c r="L42" i="5"/>
  <c r="M42" i="5" s="1"/>
  <c r="N42" i="5" s="1"/>
  <c r="O42" i="5" s="1"/>
  <c r="L43" i="5"/>
  <c r="M43" i="5" s="1"/>
  <c r="N43" i="5" s="1"/>
  <c r="O43" i="5" s="1"/>
  <c r="K40" i="5"/>
  <c r="K41" i="5"/>
  <c r="K42" i="5"/>
  <c r="K43" i="5"/>
  <c r="K39" i="5"/>
  <c r="G38" i="5"/>
  <c r="H38" i="5"/>
  <c r="I38" i="5"/>
  <c r="J38" i="5"/>
  <c r="K38" i="5"/>
  <c r="F38" i="5"/>
  <c r="L32" i="5"/>
  <c r="M32" i="5"/>
  <c r="N32" i="5"/>
  <c r="O32" i="5" s="1"/>
  <c r="L33" i="5"/>
  <c r="M33" i="5"/>
  <c r="N33" i="5"/>
  <c r="O33" i="5" s="1"/>
  <c r="L34" i="5"/>
  <c r="M34" i="5"/>
  <c r="N34" i="5"/>
  <c r="O34" i="5" s="1"/>
  <c r="L35" i="5"/>
  <c r="M35" i="5"/>
  <c r="N35" i="5"/>
  <c r="O35" i="5" s="1"/>
  <c r="L36" i="5"/>
  <c r="M36" i="5"/>
  <c r="N36" i="5"/>
  <c r="O36" i="5" s="1"/>
  <c r="K33" i="5"/>
  <c r="K34" i="5"/>
  <c r="K35" i="5"/>
  <c r="K36" i="5"/>
  <c r="K32" i="5"/>
  <c r="G31" i="5"/>
  <c r="H31" i="5"/>
  <c r="I31" i="5"/>
  <c r="J31" i="5"/>
  <c r="F31" i="5"/>
  <c r="L24" i="5" l="1"/>
  <c r="M24" i="5" s="1"/>
  <c r="N24" i="5" s="1"/>
  <c r="O24" i="5" s="1"/>
  <c r="L25" i="5"/>
  <c r="M25" i="5" s="1"/>
  <c r="N25" i="5" s="1"/>
  <c r="O25" i="5" s="1"/>
  <c r="L26" i="5"/>
  <c r="M26" i="5" s="1"/>
  <c r="N26" i="5" s="1"/>
  <c r="O26" i="5" s="1"/>
  <c r="L27" i="5"/>
  <c r="M27" i="5" s="1"/>
  <c r="N27" i="5" s="1"/>
  <c r="O27" i="5" s="1"/>
  <c r="L28" i="5"/>
  <c r="M28" i="5" s="1"/>
  <c r="N28" i="5" s="1"/>
  <c r="O28" i="5" s="1"/>
  <c r="K25" i="5"/>
  <c r="K26" i="5"/>
  <c r="K27" i="5"/>
  <c r="K28" i="5"/>
  <c r="K24" i="5"/>
  <c r="G23" i="5"/>
  <c r="H23" i="5"/>
  <c r="I23" i="5"/>
  <c r="J23" i="5"/>
  <c r="F23" i="5"/>
  <c r="L17" i="5"/>
  <c r="M17" i="5" s="1"/>
  <c r="N17" i="5" s="1"/>
  <c r="O17" i="5" s="1"/>
  <c r="L18" i="5"/>
  <c r="M18" i="5" s="1"/>
  <c r="N18" i="5" s="1"/>
  <c r="O18" i="5" s="1"/>
  <c r="L19" i="5"/>
  <c r="M19" i="5" s="1"/>
  <c r="N19" i="5" s="1"/>
  <c r="O19" i="5" s="1"/>
  <c r="L20" i="5"/>
  <c r="M20" i="5" s="1"/>
  <c r="N20" i="5" s="1"/>
  <c r="O20" i="5" s="1"/>
  <c r="L21" i="5"/>
  <c r="M21" i="5" s="1"/>
  <c r="N21" i="5" s="1"/>
  <c r="O21" i="5" s="1"/>
  <c r="K18" i="5"/>
  <c r="K19" i="5"/>
  <c r="K20" i="5"/>
  <c r="K21" i="5"/>
  <c r="K17" i="5"/>
  <c r="G16" i="5"/>
  <c r="H16" i="5"/>
  <c r="I16" i="5"/>
  <c r="J16" i="5"/>
  <c r="F16" i="5"/>
  <c r="L10" i="5"/>
  <c r="M10" i="5" s="1"/>
  <c r="N10" i="5" s="1"/>
  <c r="O10" i="5" s="1"/>
  <c r="L11" i="5"/>
  <c r="M11" i="5" s="1"/>
  <c r="N11" i="5" s="1"/>
  <c r="O11" i="5" s="1"/>
  <c r="L12" i="5"/>
  <c r="M12" i="5" s="1"/>
  <c r="N12" i="5" s="1"/>
  <c r="O12" i="5" s="1"/>
  <c r="L13" i="5"/>
  <c r="M13" i="5" s="1"/>
  <c r="N13" i="5" s="1"/>
  <c r="O13" i="5" s="1"/>
  <c r="L14" i="5"/>
  <c r="M14" i="5" s="1"/>
  <c r="N14" i="5" s="1"/>
  <c r="O14" i="5" s="1"/>
  <c r="K11" i="5"/>
  <c r="K12" i="5"/>
  <c r="K13" i="5"/>
  <c r="K14" i="5"/>
  <c r="K10" i="5"/>
  <c r="G9" i="5"/>
  <c r="H9" i="5"/>
  <c r="I9" i="5"/>
  <c r="J9" i="5"/>
  <c r="F9" i="5"/>
  <c r="G38" i="4"/>
  <c r="H38" i="4"/>
  <c r="I38" i="4"/>
  <c r="J38" i="4"/>
  <c r="K38" i="4"/>
  <c r="L38" i="4"/>
  <c r="M38" i="4"/>
  <c r="N38" i="4"/>
  <c r="O38" i="4"/>
  <c r="F38" i="4"/>
  <c r="L39" i="4"/>
  <c r="M39" i="4" s="1"/>
  <c r="N39" i="4" s="1"/>
  <c r="O39" i="4" s="1"/>
  <c r="L40" i="4"/>
  <c r="M40" i="4" s="1"/>
  <c r="N40" i="4" s="1"/>
  <c r="O40" i="4" s="1"/>
  <c r="L41" i="4"/>
  <c r="M41" i="4" s="1"/>
  <c r="N41" i="4" s="1"/>
  <c r="O41" i="4" s="1"/>
  <c r="L42" i="4"/>
  <c r="M42" i="4" s="1"/>
  <c r="N42" i="4" s="1"/>
  <c r="O42" i="4" s="1"/>
  <c r="L43" i="4"/>
  <c r="M43" i="4" s="1"/>
  <c r="N43" i="4" s="1"/>
  <c r="O43" i="4" s="1"/>
  <c r="K40" i="4"/>
  <c r="K41" i="4"/>
  <c r="K42" i="4"/>
  <c r="K43" i="4"/>
  <c r="K39" i="4"/>
  <c r="G30" i="4"/>
  <c r="H30" i="4"/>
  <c r="I30" i="4"/>
  <c r="J30" i="4"/>
  <c r="K30" i="4"/>
  <c r="L30" i="4"/>
  <c r="M30" i="4"/>
  <c r="N30" i="4"/>
  <c r="O30" i="4"/>
  <c r="L31" i="4"/>
  <c r="M31" i="4" s="1"/>
  <c r="N31" i="4" s="1"/>
  <c r="O31" i="4" s="1"/>
  <c r="L32" i="4"/>
  <c r="M32" i="4" s="1"/>
  <c r="N32" i="4" s="1"/>
  <c r="O32" i="4" s="1"/>
  <c r="L33" i="4"/>
  <c r="M33" i="4" s="1"/>
  <c r="N33" i="4" s="1"/>
  <c r="O33" i="4" s="1"/>
  <c r="L34" i="4"/>
  <c r="M34" i="4" s="1"/>
  <c r="N34" i="4" s="1"/>
  <c r="O34" i="4" s="1"/>
  <c r="L35" i="4"/>
  <c r="M35" i="4" s="1"/>
  <c r="N35" i="4" s="1"/>
  <c r="O35" i="4" s="1"/>
  <c r="K32" i="4"/>
  <c r="K33" i="4"/>
  <c r="K34" i="4"/>
  <c r="K35" i="4"/>
  <c r="K31" i="4"/>
  <c r="F30" i="4"/>
  <c r="G23" i="4"/>
  <c r="H23" i="4"/>
  <c r="I23" i="4"/>
  <c r="J23" i="4"/>
  <c r="K23" i="4"/>
  <c r="L23" i="4"/>
  <c r="M23" i="4"/>
  <c r="N23" i="4"/>
  <c r="O23" i="4"/>
  <c r="F23" i="4"/>
  <c r="L24" i="4"/>
  <c r="M24" i="4"/>
  <c r="N24" i="4"/>
  <c r="O24" i="4"/>
  <c r="L25" i="4"/>
  <c r="M25" i="4"/>
  <c r="N25" i="4"/>
  <c r="O25" i="4"/>
  <c r="L26" i="4"/>
  <c r="M26" i="4"/>
  <c r="N26" i="4"/>
  <c r="O26" i="4"/>
  <c r="L27" i="4"/>
  <c r="M27" i="4"/>
  <c r="N27" i="4"/>
  <c r="O27" i="4"/>
  <c r="L28" i="4"/>
  <c r="M28" i="4"/>
  <c r="N28" i="4"/>
  <c r="O28" i="4"/>
  <c r="K25" i="4"/>
  <c r="K26" i="4"/>
  <c r="K27" i="4"/>
  <c r="K28" i="4"/>
  <c r="K24" i="4"/>
  <c r="G16" i="4"/>
  <c r="H16" i="4"/>
  <c r="I16" i="4"/>
  <c r="J16" i="4"/>
  <c r="K16" i="4"/>
  <c r="L16" i="4"/>
  <c r="M16" i="4"/>
  <c r="N16" i="4"/>
  <c r="O16" i="4"/>
  <c r="F16" i="4"/>
  <c r="L17" i="4"/>
  <c r="M17" i="4" s="1"/>
  <c r="N17" i="4" s="1"/>
  <c r="O17" i="4" s="1"/>
  <c r="L18" i="4"/>
  <c r="M18" i="4" s="1"/>
  <c r="N18" i="4" s="1"/>
  <c r="O18" i="4" s="1"/>
  <c r="L19" i="4"/>
  <c r="M19" i="4" s="1"/>
  <c r="N19" i="4" s="1"/>
  <c r="O19" i="4" s="1"/>
  <c r="L20" i="4"/>
  <c r="M20" i="4" s="1"/>
  <c r="N20" i="4" s="1"/>
  <c r="O20" i="4" s="1"/>
  <c r="L21" i="4"/>
  <c r="M21" i="4" s="1"/>
  <c r="N21" i="4" s="1"/>
  <c r="O21" i="4" s="1"/>
  <c r="K18" i="4"/>
  <c r="K19" i="4"/>
  <c r="K20" i="4"/>
  <c r="K21" i="4"/>
  <c r="K17" i="4"/>
  <c r="I9" i="4"/>
  <c r="J9" i="4"/>
  <c r="K9" i="4"/>
  <c r="L9" i="4"/>
  <c r="M9" i="4"/>
  <c r="N9" i="4"/>
  <c r="O9" i="4"/>
  <c r="H9" i="4"/>
  <c r="G9" i="4"/>
  <c r="F9" i="4"/>
  <c r="J59" i="1" s="1"/>
  <c r="J7" i="1" s="1"/>
  <c r="O3" i="1"/>
  <c r="K11" i="4" l="1"/>
  <c r="L11" i="4" s="1"/>
  <c r="M11" i="4" s="1"/>
  <c r="N11" i="4" s="1"/>
  <c r="O11" i="4" s="1"/>
  <c r="K12" i="4"/>
  <c r="L12" i="4" s="1"/>
  <c r="M12" i="4" s="1"/>
  <c r="N12" i="4" s="1"/>
  <c r="O12" i="4" s="1"/>
  <c r="K13" i="4"/>
  <c r="L13" i="4" s="1"/>
  <c r="M13" i="4" s="1"/>
  <c r="N13" i="4" s="1"/>
  <c r="O13" i="4" s="1"/>
  <c r="K14" i="4"/>
  <c r="L14" i="4" s="1"/>
  <c r="M14" i="4" s="1"/>
  <c r="N14" i="4" s="1"/>
  <c r="O14" i="4" s="1"/>
  <c r="K10" i="4"/>
  <c r="L10" i="4" s="1"/>
  <c r="M10" i="4" s="1"/>
  <c r="N10" i="4" s="1"/>
  <c r="O10" i="4" s="1"/>
  <c r="L38" i="5"/>
  <c r="K31" i="5"/>
  <c r="K23" i="5"/>
  <c r="O6" i="5"/>
  <c r="N6" i="5"/>
  <c r="M6" i="5"/>
  <c r="L6" i="5"/>
  <c r="K6" i="5"/>
  <c r="J6" i="5"/>
  <c r="I6" i="5"/>
  <c r="H6" i="5"/>
  <c r="G6" i="5"/>
  <c r="F6" i="5"/>
  <c r="G30" i="3"/>
  <c r="G31" i="3" s="1"/>
  <c r="G28" i="3"/>
  <c r="G27" i="3" s="1"/>
  <c r="K26" i="3"/>
  <c r="L26" i="3" s="1"/>
  <c r="I26" i="3"/>
  <c r="H26" i="3" s="1"/>
  <c r="D21" i="3"/>
  <c r="D23" i="3" s="1"/>
  <c r="D26" i="3" s="1"/>
  <c r="G26" i="3" s="1"/>
  <c r="A1" i="3"/>
  <c r="M6" i="2"/>
  <c r="L6" i="2"/>
  <c r="K6" i="2"/>
  <c r="J6" i="2"/>
  <c r="I6" i="2"/>
  <c r="G6" i="2"/>
  <c r="E6" i="2"/>
  <c r="D6" i="2"/>
  <c r="C6" i="2"/>
  <c r="A1" i="2"/>
  <c r="L40" i="1"/>
  <c r="L35" i="1"/>
  <c r="L33" i="1"/>
  <c r="E38" i="1"/>
  <c r="B36" i="1"/>
  <c r="I8" i="1"/>
  <c r="G8" i="1"/>
  <c r="F8" i="1"/>
  <c r="O35" i="1" l="1"/>
  <c r="O37" i="1"/>
  <c r="E40" i="1"/>
  <c r="L45" i="5"/>
  <c r="K45" i="5"/>
  <c r="M38" i="5"/>
  <c r="L31" i="5"/>
  <c r="L16" i="5"/>
  <c r="K16" i="5"/>
  <c r="K9" i="5"/>
  <c r="L23" i="5"/>
  <c r="N38" i="5"/>
  <c r="M3" i="1"/>
  <c r="J48" i="1" l="1"/>
  <c r="C97" i="1"/>
  <c r="E43" i="1"/>
  <c r="C77" i="1" s="1"/>
  <c r="M45" i="5"/>
  <c r="M31" i="5"/>
  <c r="M16" i="5"/>
  <c r="L9" i="5"/>
  <c r="N45" i="5"/>
  <c r="N31" i="5"/>
  <c r="O38" i="5"/>
  <c r="M23" i="5"/>
  <c r="O40" i="1" l="1"/>
  <c r="O43" i="1" s="1"/>
  <c r="J97" i="1" s="1"/>
  <c r="C48" i="1"/>
  <c r="J33" i="1"/>
  <c r="J39" i="1" s="1"/>
  <c r="J77" i="1" s="1"/>
  <c r="F109" i="1"/>
  <c r="F114" i="1" s="1"/>
  <c r="E41" i="1"/>
  <c r="J87" i="1" s="1"/>
  <c r="N16" i="5"/>
  <c r="M9" i="5"/>
  <c r="N23" i="5"/>
  <c r="O31" i="5"/>
  <c r="O45" i="5"/>
  <c r="O16" i="5" l="1"/>
  <c r="O9" i="5"/>
  <c r="N9" i="5"/>
  <c r="O23" i="5"/>
  <c r="J41" i="1" l="1"/>
  <c r="J43" i="1"/>
  <c r="C87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F127" i="1"/>
  <c r="F128" i="1"/>
  <c r="F129" i="1"/>
  <c r="F131" i="1"/>
  <c r="F133" i="1"/>
</calcChain>
</file>

<file path=xl/sharedStrings.xml><?xml version="1.0" encoding="utf-8"?>
<sst xmlns="http://schemas.openxmlformats.org/spreadsheetml/2006/main" count="301" uniqueCount="193">
  <si>
    <t>ValueCo Corporation</t>
  </si>
  <si>
    <t>Discounted Cash Flow Analysis</t>
    <phoneticPr fontId="1" type="noConversion"/>
  </si>
  <si>
    <t>($ in millions, fiscal year ending December 31)</t>
    <phoneticPr fontId="1" type="noConversion"/>
  </si>
  <si>
    <t xml:space="preserve">Operating Scenario </t>
  </si>
  <si>
    <t>Mid-Year Convention</t>
  </si>
  <si>
    <t>Y</t>
    <phoneticPr fontId="1" type="noConversion"/>
  </si>
  <si>
    <t>Historical Period</t>
    <phoneticPr fontId="1" type="noConversion"/>
  </si>
  <si>
    <t>CAGR</t>
    <phoneticPr fontId="1" type="noConversion"/>
  </si>
  <si>
    <t>Projection Period</t>
    <phoneticPr fontId="1" type="noConversion"/>
  </si>
  <si>
    <t>('05 - '07)</t>
    <phoneticPr fontId="1" type="noConversion"/>
  </si>
  <si>
    <t>2005</t>
    <phoneticPr fontId="1" type="noConversion"/>
  </si>
  <si>
    <t>2006</t>
  </si>
  <si>
    <t>2007</t>
  </si>
  <si>
    <t>('08 - '13)</t>
    <phoneticPr fontId="1" type="noConversion"/>
  </si>
  <si>
    <t>2008</t>
    <phoneticPr fontId="1" type="noConversion"/>
  </si>
  <si>
    <t>2009</t>
  </si>
  <si>
    <t>2010</t>
  </si>
  <si>
    <t>2011</t>
  </si>
  <si>
    <t>2012</t>
  </si>
  <si>
    <t>2013</t>
  </si>
  <si>
    <t>Sales</t>
  </si>
  <si>
    <t>Sales</t>
    <phoneticPr fontId="1" type="noConversion"/>
  </si>
  <si>
    <t>COGS</t>
    <phoneticPr fontId="1" type="noConversion"/>
  </si>
  <si>
    <t>NA</t>
    <phoneticPr fontId="1" type="noConversion"/>
  </si>
  <si>
    <t>Gross Profit</t>
    <phoneticPr fontId="1" type="noConversion"/>
  </si>
  <si>
    <t>% margin</t>
    <phoneticPr fontId="1" type="noConversion"/>
  </si>
  <si>
    <t>SG&amp;A</t>
    <phoneticPr fontId="1" type="noConversion"/>
  </si>
  <si>
    <t>EBITDA</t>
    <phoneticPr fontId="1" type="noConversion"/>
  </si>
  <si>
    <t>%margin</t>
    <phoneticPr fontId="1" type="noConversion"/>
  </si>
  <si>
    <t>Depreciation &amp; Amortization</t>
    <phoneticPr fontId="1" type="noConversion"/>
  </si>
  <si>
    <t>EBIT</t>
    <phoneticPr fontId="1" type="noConversion"/>
  </si>
  <si>
    <t>Taxes</t>
    <phoneticPr fontId="1" type="noConversion"/>
  </si>
  <si>
    <t>EBIAT</t>
    <phoneticPr fontId="1" type="noConversion"/>
  </si>
  <si>
    <t>Plus: Depreciation &amp; Amortization</t>
  </si>
  <si>
    <t>Less: Capital Expenditures</t>
  </si>
  <si>
    <t>Less: Increase in Net Working Capital</t>
  </si>
  <si>
    <t>% margin</t>
    <phoneticPr fontId="1" type="noConversion"/>
  </si>
  <si>
    <t>% growth</t>
    <phoneticPr fontId="1" type="noConversion"/>
  </si>
  <si>
    <t>Unlevered Free Cash Flow</t>
    <phoneticPr fontId="1" type="noConversion"/>
  </si>
  <si>
    <t>WACC</t>
  </si>
  <si>
    <t xml:space="preserve">   WACC</t>
  </si>
  <si>
    <t xml:space="preserve">   WACC</t>
    <phoneticPr fontId="1" type="noConversion"/>
  </si>
  <si>
    <t xml:space="preserve">   Discount Period</t>
    <phoneticPr fontId="1" type="noConversion"/>
  </si>
  <si>
    <t xml:space="preserve">   Discount Factor</t>
    <phoneticPr fontId="1" type="noConversion"/>
  </si>
  <si>
    <t xml:space="preserve">   Present Value of Free Cash Flow</t>
    <phoneticPr fontId="1" type="noConversion"/>
  </si>
  <si>
    <t>Enterprise Value</t>
  </si>
  <si>
    <t>Enterprise Value</t>
    <phoneticPr fontId="1" type="noConversion"/>
  </si>
  <si>
    <t>Implied Equity Value and Share Price</t>
    <phoneticPr fontId="1" type="noConversion"/>
  </si>
  <si>
    <t>Implied Perpetuity Growth Rate</t>
  </si>
  <si>
    <t>Implied Perpetuity Growth Rate</t>
    <phoneticPr fontId="1" type="noConversion"/>
  </si>
  <si>
    <t>Cumulative Present Value of FCF</t>
    <phoneticPr fontId="1" type="noConversion"/>
  </si>
  <si>
    <t>Terminal Value</t>
  </si>
  <si>
    <t>Exit Multiple</t>
    <phoneticPr fontId="1" type="noConversion"/>
  </si>
  <si>
    <t xml:space="preserve">   Terminal Value</t>
    <phoneticPr fontId="1" type="noConversion"/>
  </si>
  <si>
    <t>Discount Factor</t>
    <phoneticPr fontId="1" type="noConversion"/>
  </si>
  <si>
    <t xml:space="preserve">   Present Value of Terminal Value</t>
    <phoneticPr fontId="1" type="noConversion"/>
  </si>
  <si>
    <t xml:space="preserve">   % of Enterprise Value</t>
    <phoneticPr fontId="1" type="noConversion"/>
  </si>
  <si>
    <t xml:space="preserve">   Enterprise Value</t>
    <phoneticPr fontId="1" type="noConversion"/>
  </si>
  <si>
    <t>Less: Total Debt</t>
  </si>
  <si>
    <t>Less: Preferred Securities</t>
  </si>
  <si>
    <t>Less: Noncontrolling Interest</t>
  </si>
  <si>
    <t>Plus: Cash and Cash Equivalents</t>
  </si>
  <si>
    <t xml:space="preserve">   Implied Equity Value</t>
  </si>
  <si>
    <t xml:space="preserve">   Implied Share Price</t>
  </si>
  <si>
    <t>Implied EV/EBITDA</t>
  </si>
  <si>
    <t>Implied EV/EBITDA</t>
    <phoneticPr fontId="1" type="noConversion"/>
  </si>
  <si>
    <t>LTM 9/30/2008 EBITDA</t>
  </si>
  <si>
    <t>Implied Perpetuity Growth Rate</t>
    <phoneticPr fontId="1" type="noConversion"/>
  </si>
  <si>
    <t>WACC</t>
    <phoneticPr fontId="1" type="noConversion"/>
  </si>
  <si>
    <t>Assumptions</t>
  </si>
  <si>
    <t>Sales (% growth)</t>
  </si>
  <si>
    <t>COGS (% sales)</t>
  </si>
  <si>
    <t>SG&amp;A (% sales)</t>
  </si>
  <si>
    <t>Depreciation &amp; Amortization (% sales)</t>
  </si>
  <si>
    <t>Capital Expenditures (% sales)</t>
  </si>
  <si>
    <t>Tax Rate</t>
  </si>
  <si>
    <t>Working Capital (% sales)</t>
  </si>
  <si>
    <t>Sensitivity Analysis</t>
    <phoneticPr fontId="1" type="noConversion"/>
  </si>
  <si>
    <t>($ in millions)</t>
  </si>
  <si>
    <t>($ in millions)</t>
    <phoneticPr fontId="1" type="noConversion"/>
  </si>
  <si>
    <t>Implied Equity Value</t>
    <phoneticPr fontId="1" type="noConversion"/>
  </si>
  <si>
    <t>Implied Share Price</t>
    <phoneticPr fontId="1" type="noConversion"/>
  </si>
  <si>
    <t>PV of Terminal Value as % of Enterprise Value</t>
    <phoneticPr fontId="1" type="noConversion"/>
  </si>
  <si>
    <t>Implied Enterprise Value / LTM EBITDA</t>
    <phoneticPr fontId="1" type="noConversion"/>
  </si>
  <si>
    <t>Calculation of Implied Share Price</t>
    <phoneticPr fontId="1" type="noConversion"/>
  </si>
  <si>
    <t>Options/Warrants</t>
  </si>
  <si>
    <t>Number of</t>
  </si>
  <si>
    <t>Exercise</t>
  </si>
  <si>
    <t>In-the-Money</t>
  </si>
  <si>
    <t>Tranche</t>
  </si>
  <si>
    <t>Shares</t>
  </si>
  <si>
    <t>Price</t>
  </si>
  <si>
    <t>Proceeds</t>
  </si>
  <si>
    <t>Options 1</t>
  </si>
  <si>
    <t>Options 2</t>
  </si>
  <si>
    <t>Options 3</t>
  </si>
  <si>
    <t>Options 4</t>
  </si>
  <si>
    <t>Options 5</t>
  </si>
  <si>
    <t xml:space="preserve">   Total</t>
  </si>
  <si>
    <t>Basic Shares Outstanding</t>
  </si>
  <si>
    <t>Plus: Shares from In-the-Money Options</t>
  </si>
  <si>
    <t>Less: Shares Repurchased</t>
  </si>
  <si>
    <t xml:space="preserve">   Net New Shares from Options</t>
  </si>
  <si>
    <t>Plus: Shares from Convertible Securities</t>
  </si>
  <si>
    <t xml:space="preserve">   Fully Diluted Shares Outstanding</t>
  </si>
  <si>
    <t xml:space="preserve"> </t>
  </si>
  <si>
    <t>Working Capital Projections</t>
  </si>
  <si>
    <t>Historical Period</t>
  </si>
  <si>
    <t>Projection Period</t>
  </si>
  <si>
    <t>Cost of Goods Sold</t>
  </si>
  <si>
    <t>Current Assets</t>
  </si>
  <si>
    <t>Accounts Receivable</t>
  </si>
  <si>
    <t>Inventories</t>
  </si>
  <si>
    <t>Prepaid Expenses and Other</t>
  </si>
  <si>
    <t xml:space="preserve">   Total Current Assets</t>
  </si>
  <si>
    <t>Current Liabilities</t>
  </si>
  <si>
    <t>Accounts Payable</t>
  </si>
  <si>
    <t>Accrued Liabilities</t>
  </si>
  <si>
    <t>Other Current Liabilities</t>
  </si>
  <si>
    <t xml:space="preserve">   Total Current Liabilities</t>
  </si>
  <si>
    <t xml:space="preserve">   Net Working Capital</t>
  </si>
  <si>
    <t xml:space="preserve">   % sales</t>
  </si>
  <si>
    <t xml:space="preserve">   (Increase) / Decrease in NWC</t>
  </si>
  <si>
    <t>Days Sales Outstanding</t>
  </si>
  <si>
    <t>Days Inventory Held</t>
  </si>
  <si>
    <t>Prepaids and Other CA (% of sales)</t>
  </si>
  <si>
    <t>Days Payable Outstanding</t>
  </si>
  <si>
    <t>Accrued Liabilities (% of sales)</t>
  </si>
  <si>
    <t>Other Current Liabilities (% of sales)</t>
  </si>
  <si>
    <t>Weighted Average Cost of Capital Analysis</t>
  </si>
  <si>
    <t>WACC Calculation</t>
  </si>
  <si>
    <t>Comparable Companies Unlevered Beta</t>
  </si>
  <si>
    <t>Target Capital Structure</t>
  </si>
  <si>
    <t>Predicted</t>
  </si>
  <si>
    <t xml:space="preserve">Market </t>
  </si>
  <si>
    <t>Debt/</t>
  </si>
  <si>
    <t>Marginal</t>
  </si>
  <si>
    <t>Unlevered</t>
  </si>
  <si>
    <t>Debt-to-Total Capitalization</t>
  </si>
  <si>
    <t>Company</t>
  </si>
  <si>
    <r>
      <t>Levered Beta</t>
    </r>
    <r>
      <rPr>
        <b/>
        <vertAlign val="superscript"/>
        <sz val="10"/>
        <rFont val="Arial"/>
        <family val="2"/>
      </rPr>
      <t>(4)</t>
    </r>
  </si>
  <si>
    <t>Value of Debt</t>
  </si>
  <si>
    <t>Value of Equity</t>
  </si>
  <si>
    <t>Equity</t>
  </si>
  <si>
    <t>Beta</t>
  </si>
  <si>
    <t>Equity-to-Total Capitalization</t>
  </si>
  <si>
    <t>Cost of Debt</t>
  </si>
  <si>
    <t xml:space="preserve">   After-tax Cost of Debt</t>
  </si>
  <si>
    <t xml:space="preserve">Mean </t>
  </si>
  <si>
    <t>Median</t>
  </si>
  <si>
    <t>Cost of Equity</t>
  </si>
  <si>
    <t>ValueCo Relevered Beta</t>
  </si>
  <si>
    <r>
      <t>Risk-free Rate</t>
    </r>
    <r>
      <rPr>
        <vertAlign val="superscript"/>
        <sz val="10"/>
        <color indexed="8"/>
        <rFont val="Arial"/>
        <family val="2"/>
      </rPr>
      <t>(1)</t>
    </r>
  </si>
  <si>
    <t>Mean</t>
  </si>
  <si>
    <t>Target</t>
  </si>
  <si>
    <r>
      <t>Market Risk Premium</t>
    </r>
    <r>
      <rPr>
        <vertAlign val="superscript"/>
        <sz val="10"/>
        <color indexed="8"/>
        <rFont val="Arial"/>
        <family val="2"/>
      </rPr>
      <t>(2)</t>
    </r>
  </si>
  <si>
    <t>Relevered</t>
  </si>
  <si>
    <t>Levered Beta</t>
  </si>
  <si>
    <r>
      <t>Size Premium</t>
    </r>
    <r>
      <rPr>
        <vertAlign val="superscript"/>
        <sz val="10"/>
        <rFont val="Arial"/>
        <family val="2"/>
      </rPr>
      <t>(3)</t>
    </r>
  </si>
  <si>
    <t>Relevered Beta</t>
  </si>
  <si>
    <t xml:space="preserve">   Cost of Equity</t>
  </si>
  <si>
    <t>WACC Sensitivity Analysis</t>
  </si>
  <si>
    <t>Pre-tax Cost of Debt</t>
  </si>
  <si>
    <t>(1) Interpolated yield on 20-year U.S. Treasury</t>
  </si>
  <si>
    <r>
      <t xml:space="preserve">(2) Obtained from </t>
    </r>
    <r>
      <rPr>
        <i/>
        <sz val="10"/>
        <rFont val="Arial"/>
        <family val="2"/>
      </rPr>
      <t>Ibbotson SBBI Valuation Yearbook</t>
    </r>
  </si>
  <si>
    <t>(3) Low-Cap Decile size premium based on market capitalization, per Ibbotson</t>
  </si>
  <si>
    <t>(4) Sourced from Barra</t>
  </si>
  <si>
    <t>Assumptions Page 1 - Income Statement and Cash Flow Statement</t>
  </si>
  <si>
    <t>2014</t>
  </si>
  <si>
    <t>2015</t>
  </si>
  <si>
    <t>2016</t>
  </si>
  <si>
    <t>2017</t>
  </si>
  <si>
    <t>2018</t>
  </si>
  <si>
    <t>Income Statement Assumptions</t>
  </si>
  <si>
    <t xml:space="preserve">   Base</t>
  </si>
  <si>
    <t xml:space="preserve">   Management </t>
  </si>
  <si>
    <t xml:space="preserve">   Upside</t>
  </si>
  <si>
    <t xml:space="preserve">   Downside 1</t>
  </si>
  <si>
    <t xml:space="preserve">   Downside 2</t>
  </si>
  <si>
    <t>Cost of Goods Sold (% sales)</t>
  </si>
  <si>
    <t>Cash Flow Statement Assumptions</t>
  </si>
  <si>
    <t>Capital Expenditures (% of sales)</t>
  </si>
  <si>
    <t>Assumptions Page 2 - Balance Sheet</t>
  </si>
  <si>
    <t>Days Sales Outstanding (DSO)</t>
  </si>
  <si>
    <t>Days Inventory Held (DIH)</t>
  </si>
  <si>
    <t>Prepaid and Other Current Assets (% of sales)</t>
  </si>
  <si>
    <t>Days Payable Outstanding (DPO)</t>
  </si>
  <si>
    <t>NA</t>
    <phoneticPr fontId="1" type="noConversion"/>
  </si>
  <si>
    <t>Adler Industries</t>
  </si>
  <si>
    <t>Lanzarone International</t>
  </si>
  <si>
    <t>Lajoux Global</t>
  </si>
  <si>
    <t>Momper Corp.</t>
  </si>
  <si>
    <t>McMenamin &amp;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</si>
</sst>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2">
    <numFmt numFmtId="176" formatCode="* _(&quot;$&quot;##,##0.0_);[Red]* \(&quot;$&quot;##,##0.0\);* _(&quot;-&quot;?_);_(@_)"/>
    <numFmt numFmtId="177" formatCode="_(* #,##0.0_);_(* \(#,##0.0\);_(* &quot;-&quot;?_);_(@_)"/>
    <numFmt numFmtId="178" formatCode="_(* #,##0.0%;_(* \(#,##0.0%\);_(* &quot;- %&quot;_);_(* @_%_)"/>
    <numFmt numFmtId="179" formatCode="_(* #,##0.0\x;_(* \(#,##0.0\x\);_(* &quot;- x&quot;_);_(* @_%_)"/>
    <numFmt numFmtId="180" formatCode="_(* #,##0.00_);_(* \(#,##0.00\);_(* &quot;-&quot;?_);_(@_)"/>
    <numFmt numFmtId="181" formatCode="* _(#,##0.0%_);* \(#,##0.0%\);* _(&quot;-&quot;?_);_(@_)"/>
    <numFmt numFmtId="182" formatCode="&quot;$&quot;#,##0.0_);[Red]\(&quot;$&quot;#,##0.0\)"/>
    <numFmt numFmtId="183" formatCode="0.0\x"/>
    <numFmt numFmtId="184" formatCode="0.0%"/>
    <numFmt numFmtId="185" formatCode="_(* #,##0.0%_);_(* \(#,##0.0%\);_(* &quot;--- %&quot;_);_(* @_%_)"/>
    <numFmt numFmtId="186" formatCode="* _(##,##0.000_);* \(##,##0.000\);* _(&quot;-&quot;?_);_(@_)"/>
    <numFmt numFmtId="187" formatCode="* _(&quot;$&quot;#,##0.00_);* \(&quot;$&quot;#,##0.00\);* _(&quot;-&quot;?_);_(@_)"/>
    <numFmt numFmtId="188" formatCode="_(* #,##0.000_);_(* \(#,##0.000\);_(* &quot;-&quot;?_);_(@_)"/>
    <numFmt numFmtId="189" formatCode="* _(#,##0.00_);* \(#,##0.00\);* _(&quot;-&quot;?_);_(@_)"/>
    <numFmt numFmtId="190" formatCode="* _(&quot;$&quot;##,##0.00_);[Red]* \(&quot;$&quot;##,##0.00\);* _(&quot;-&quot;?_);_(@_)"/>
    <numFmt numFmtId="191" formatCode="* _(##,##0.0_);[Red]* \(##,##0.0\);* _(&quot;-&quot;?_);_(@_)"/>
    <numFmt numFmtId="192" formatCode="#,##0.0_);[Red]\(#,##0.0\)"/>
    <numFmt numFmtId="193" formatCode="* _(##,##0.00_);[Red]* \(##,##0.00\);* _(&quot;-&quot;?_);_(@_)"/>
    <numFmt numFmtId="194" formatCode="#,##0.00;\(#,##0.00\);_(* &quot;-&quot;_)"/>
    <numFmt numFmtId="195" formatCode="_(* #,##0.00%;_(* \(#,##0.00%\);_(* &quot;- %&quot;_);_(* @_%_)"/>
    <numFmt numFmtId="196" formatCode="0.00_);[Red]\(0.00\)"/>
    <numFmt numFmtId="197" formatCode="&quot;Year&quot;\ 0"/>
  </numFmts>
  <fonts count="60">
    <font>
      <sz val="10"/>
      <color theme="1"/>
      <name val="Arial"/>
      <family val="2"/>
      <charset val="134"/>
    </font>
    <font>
      <sz val="9"/>
      <name val="Arial"/>
      <family val="2"/>
      <charset val="134"/>
    </font>
    <font>
      <sz val="9"/>
      <color indexed="0"/>
      <name val="Helvetica"/>
    </font>
    <font>
      <sz val="10"/>
      <color theme="3" tint="0.39997558519241921"/>
      <name val="Arial"/>
      <family val="2"/>
    </font>
    <font>
      <b/>
      <sz val="10"/>
      <color rgb="FFFFFFCC"/>
      <name val="Arial"/>
      <family val="2"/>
    </font>
    <font>
      <i/>
      <sz val="9"/>
      <color rgb="FFFFFFCC"/>
      <name val="Arial"/>
      <family val="2"/>
    </font>
    <font>
      <b/>
      <sz val="20"/>
      <color rgb="FFFFFFCC"/>
      <name val="Arial"/>
      <family val="2"/>
    </font>
    <font>
      <b/>
      <sz val="14"/>
      <color rgb="FFFFFFCC"/>
      <name val="Arial"/>
      <family val="2"/>
    </font>
    <font>
      <b/>
      <sz val="10"/>
      <color theme="1"/>
      <name val="Arial"/>
      <family val="2"/>
    </font>
    <font>
      <b/>
      <sz val="10"/>
      <color rgb="FF0000FF"/>
      <name val="Arial"/>
      <family val="2"/>
    </font>
    <font>
      <b/>
      <u val="singleAccounting"/>
      <sz val="10"/>
      <color rgb="FFFFFF99"/>
      <name val="Arial"/>
      <family val="2"/>
    </font>
    <font>
      <u val="singleAccounting"/>
      <sz val="10"/>
      <color theme="1"/>
      <name val="Arial"/>
      <family val="2"/>
      <charset val="134"/>
    </font>
    <font>
      <b/>
      <u val="singleAccounting"/>
      <sz val="10"/>
      <color rgb="FFFFFFCC"/>
      <name val="Arial"/>
      <family val="2"/>
    </font>
    <font>
      <sz val="10"/>
      <color theme="1"/>
      <name val="Arial"/>
      <family val="2"/>
      <charset val="134"/>
    </font>
    <font>
      <sz val="10"/>
      <color rgb="FFFF0000"/>
      <name val="Arial"/>
      <family val="2"/>
      <charset val="134"/>
    </font>
    <font>
      <b/>
      <u val="singleAccounting"/>
      <sz val="10"/>
      <color indexed="12"/>
      <name val="Arial"/>
      <family val="2"/>
    </font>
    <font>
      <b/>
      <u val="singleAccounting"/>
      <sz val="10"/>
      <color rgb="FF0000FF"/>
      <name val="Arial"/>
      <family val="2"/>
    </font>
    <font>
      <i/>
      <sz val="10"/>
      <color theme="1"/>
      <name val="Arial"/>
      <family val="2"/>
    </font>
    <font>
      <sz val="10"/>
      <color rgb="FF0000FF"/>
      <name val="Arial"/>
      <family val="2"/>
      <charset val="134"/>
    </font>
    <font>
      <u val="singleAccounting"/>
      <sz val="10"/>
      <color rgb="FF0000FF"/>
      <name val="Arial"/>
      <family val="2"/>
      <charset val="134"/>
    </font>
    <font>
      <sz val="10"/>
      <color theme="1"/>
      <name val="Arial"/>
      <family val="2"/>
    </font>
    <font>
      <sz val="10"/>
      <color indexed="0"/>
      <name val="Arial"/>
      <family val="2"/>
    </font>
    <font>
      <b/>
      <sz val="10"/>
      <name val="Arial"/>
      <family val="2"/>
    </font>
    <font>
      <u val="singleAccounting"/>
      <sz val="10"/>
      <color rgb="FFFF0000"/>
      <name val="Arial"/>
      <family val="2"/>
      <charset val="134"/>
    </font>
    <font>
      <sz val="10"/>
      <color rgb="FFFFFF99"/>
      <name val="Arial"/>
      <family val="2"/>
      <charset val="134"/>
    </font>
    <font>
      <b/>
      <u val="singleAccounting"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134"/>
    </font>
    <font>
      <u val="singleAccounting"/>
      <sz val="10"/>
      <name val="Arial"/>
      <family val="2"/>
      <charset val="134"/>
    </font>
    <font>
      <b/>
      <sz val="10"/>
      <color indexed="8"/>
      <name val="Arial"/>
      <family val="2"/>
    </font>
    <font>
      <sz val="9"/>
      <color indexed="0"/>
      <name val="Arial"/>
      <family val="2"/>
    </font>
    <font>
      <b/>
      <i/>
      <sz val="10"/>
      <color indexed="8"/>
      <name val="Arial"/>
      <family val="2"/>
    </font>
    <font>
      <i/>
      <sz val="10"/>
      <name val="Arial"/>
      <family val="2"/>
    </font>
    <font>
      <sz val="9"/>
      <name val="Times New Roman"/>
      <family val="1"/>
    </font>
    <font>
      <sz val="10"/>
      <color indexed="12"/>
      <name val="Arial"/>
      <family val="2"/>
    </font>
    <font>
      <b/>
      <u val="singleAccounting"/>
      <sz val="10"/>
      <color theme="1"/>
      <name val="Arial"/>
      <family val="2"/>
    </font>
    <font>
      <sz val="10"/>
      <name val="Times New Roman"/>
      <family val="1"/>
    </font>
    <font>
      <b/>
      <sz val="10"/>
      <name val="MS Sans Serif"/>
      <family val="2"/>
    </font>
    <font>
      <u val="singleAccounting"/>
      <sz val="10"/>
      <color indexed="12"/>
      <name val="Arial"/>
      <family val="2"/>
    </font>
    <font>
      <u val="singleAccounting"/>
      <sz val="10"/>
      <name val="Arial"/>
      <family val="2"/>
    </font>
    <font>
      <b/>
      <u val="doubleAccounting"/>
      <sz val="10"/>
      <name val="Arial"/>
      <family val="2"/>
    </font>
    <font>
      <b/>
      <sz val="16"/>
      <color indexed="9"/>
      <name val="Arial"/>
      <family val="2"/>
    </font>
    <font>
      <b/>
      <sz val="14"/>
      <color indexed="9"/>
      <name val="Arial"/>
      <family val="2"/>
    </font>
    <font>
      <sz val="10"/>
      <color indexed="9"/>
      <name val="Arial"/>
      <family val="2"/>
    </font>
    <font>
      <b/>
      <sz val="12"/>
      <color indexed="9"/>
      <name val="Arial"/>
      <family val="2"/>
    </font>
    <font>
      <i/>
      <sz val="10"/>
      <color indexed="9"/>
      <name val="Arial"/>
      <family val="2"/>
    </font>
    <font>
      <sz val="10"/>
      <color indexed="8"/>
      <name val="Arial"/>
      <family val="2"/>
    </font>
    <font>
      <b/>
      <u val="singleAccounting"/>
      <sz val="10"/>
      <color indexed="9"/>
      <name val="Arial"/>
      <family val="2"/>
    </font>
    <font>
      <u val="singleAccounting"/>
      <sz val="10"/>
      <color indexed="9"/>
      <name val="Arial"/>
      <family val="2"/>
    </font>
    <font>
      <b/>
      <sz val="10"/>
      <color indexed="9"/>
      <name val="Arial"/>
      <family val="2"/>
    </font>
    <font>
      <b/>
      <i/>
      <u val="singleAccounting"/>
      <sz val="10"/>
      <color indexed="8"/>
      <name val="Arial"/>
      <family val="2"/>
    </font>
    <font>
      <i/>
      <sz val="10"/>
      <color indexed="8"/>
      <name val="Arial"/>
      <family val="2"/>
    </font>
    <font>
      <b/>
      <u val="singleAccounting"/>
      <sz val="10"/>
      <color indexed="8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color indexed="8"/>
      <name val="Arial"/>
      <family val="2"/>
    </font>
    <font>
      <vertAlign val="superscript"/>
      <sz val="10"/>
      <name val="Arial"/>
      <family val="2"/>
    </font>
    <font>
      <sz val="10"/>
      <color indexed="51"/>
      <name val="Arial"/>
      <family val="2"/>
    </font>
    <font>
      <b/>
      <sz val="10"/>
      <color indexed="12"/>
      <name val="Arial"/>
      <family val="2"/>
    </font>
    <font>
      <b/>
      <u val="singleAccounting"/>
      <sz val="12"/>
      <color indexed="9"/>
      <name val="Arial"/>
      <family val="2"/>
    </font>
    <font>
      <b/>
      <i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EEBC0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2" fillId="0" borderId="0"/>
    <xf numFmtId="9" fontId="13" fillId="0" borderId="0" applyFont="0" applyFill="0" applyBorder="0" applyAlignment="0" applyProtection="0">
      <alignment vertical="center"/>
    </xf>
    <xf numFmtId="0" fontId="26" fillId="0" borderId="0" applyFill="0" applyBorder="0" applyProtection="0">
      <protection locked="0"/>
    </xf>
    <xf numFmtId="185" fontId="33" fillId="0" borderId="0" applyFont="0" applyFill="0" applyBorder="0" applyAlignment="0" applyProtection="0">
      <alignment horizontal="right"/>
    </xf>
    <xf numFmtId="0" fontId="26" fillId="0" borderId="0"/>
    <xf numFmtId="0" fontId="36" fillId="0" borderId="0"/>
    <xf numFmtId="0" fontId="37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</cellStyleXfs>
  <cellXfs count="346">
    <xf numFmtId="0" fontId="0" fillId="0" borderId="0" xfId="0">
      <alignment vertical="center"/>
    </xf>
    <xf numFmtId="0" fontId="8" fillId="0" borderId="0" xfId="0" applyFont="1">
      <alignment vertical="center"/>
    </xf>
    <xf numFmtId="0" fontId="9" fillId="2" borderId="1" xfId="0" applyNumberFormat="1" applyFont="1" applyFill="1" applyBorder="1" applyAlignment="1">
      <alignment horizontal="center" vertical="center"/>
    </xf>
    <xf numFmtId="0" fontId="6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0" fillId="3" borderId="0" xfId="0" applyFill="1">
      <alignment vertical="center"/>
    </xf>
    <xf numFmtId="0" fontId="5" fillId="3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4" fillId="3" borderId="0" xfId="0" applyFont="1" applyFill="1">
      <alignment vertical="center"/>
    </xf>
    <xf numFmtId="0" fontId="11" fillId="0" borderId="0" xfId="0" applyFont="1">
      <alignment vertical="center"/>
    </xf>
    <xf numFmtId="0" fontId="15" fillId="4" borderId="0" xfId="1" applyFont="1" applyFill="1" applyBorder="1" applyAlignment="1" applyProtection="1">
      <alignment horizontal="center"/>
    </xf>
    <xf numFmtId="0" fontId="16" fillId="2" borderId="0" xfId="0" quotePrefix="1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0" fontId="16" fillId="2" borderId="0" xfId="0" quotePrefix="1" applyFont="1" applyFill="1" applyAlignment="1">
      <alignment horizontal="center"/>
    </xf>
    <xf numFmtId="0" fontId="16" fillId="2" borderId="0" xfId="0" applyFont="1" applyFill="1" applyAlignment="1">
      <alignment horizontal="center" vertical="center"/>
    </xf>
    <xf numFmtId="0" fontId="17" fillId="0" borderId="0" xfId="0" applyFont="1" applyAlignment="1">
      <alignment horizontal="right" vertical="center"/>
    </xf>
    <xf numFmtId="0" fontId="0" fillId="0" borderId="0" xfId="0" applyAlignment="1"/>
    <xf numFmtId="0" fontId="0" fillId="0" borderId="0" xfId="0" applyAlignment="1">
      <alignment horizontal="right"/>
    </xf>
    <xf numFmtId="176" fontId="19" fillId="2" borderId="0" xfId="0" applyNumberFormat="1" applyFont="1" applyFill="1" applyAlignment="1">
      <alignment horizontal="right"/>
    </xf>
    <xf numFmtId="0" fontId="8" fillId="0" borderId="0" xfId="0" applyFont="1" applyAlignment="1"/>
    <xf numFmtId="0" fontId="17" fillId="0" borderId="0" xfId="0" applyFont="1" applyAlignment="1">
      <alignment horizontal="right"/>
    </xf>
    <xf numFmtId="0" fontId="17" fillId="0" borderId="0" xfId="0" applyFont="1" applyAlignment="1"/>
    <xf numFmtId="0" fontId="21" fillId="0" borderId="0" xfId="1" applyFont="1" applyProtection="1"/>
    <xf numFmtId="0" fontId="21" fillId="0" borderId="0" xfId="1" applyFont="1" applyFill="1" applyProtection="1"/>
    <xf numFmtId="0" fontId="22" fillId="0" borderId="0" xfId="1" applyFont="1" applyFill="1" applyProtection="1"/>
    <xf numFmtId="176" fontId="0" fillId="0" borderId="0" xfId="0" applyNumberFormat="1" applyAlignment="1">
      <alignment horizontal="center"/>
    </xf>
    <xf numFmtId="176" fontId="17" fillId="0" borderId="0" xfId="0" applyNumberFormat="1" applyFont="1" applyAlignment="1">
      <alignment horizontal="center"/>
    </xf>
    <xf numFmtId="176" fontId="0" fillId="0" borderId="0" xfId="0" applyNumberFormat="1" applyAlignment="1"/>
    <xf numFmtId="176" fontId="17" fillId="0" borderId="0" xfId="0" applyNumberFormat="1" applyFont="1" applyAlignment="1"/>
    <xf numFmtId="0" fontId="0" fillId="0" borderId="0" xfId="0" applyAlignment="1">
      <alignment horizontal="center"/>
    </xf>
    <xf numFmtId="176" fontId="11" fillId="0" borderId="0" xfId="0" applyNumberFormat="1" applyFont="1" applyAlignment="1"/>
    <xf numFmtId="176" fontId="19" fillId="2" borderId="3" xfId="0" applyNumberFormat="1" applyFont="1" applyFill="1" applyBorder="1" applyAlignment="1">
      <alignment horizontal="right"/>
    </xf>
    <xf numFmtId="176" fontId="0" fillId="0" borderId="3" xfId="0" applyNumberFormat="1" applyBorder="1" applyAlignment="1"/>
    <xf numFmtId="0" fontId="0" fillId="0" borderId="3" xfId="0" applyBorder="1" applyAlignment="1"/>
    <xf numFmtId="176" fontId="14" fillId="0" borderId="0" xfId="0" applyNumberFormat="1" applyFont="1" applyAlignment="1"/>
    <xf numFmtId="176" fontId="23" fillId="0" borderId="0" xfId="0" applyNumberFormat="1" applyFont="1" applyAlignment="1"/>
    <xf numFmtId="0" fontId="0" fillId="5" borderId="0" xfId="0" applyFill="1">
      <alignment vertical="center"/>
    </xf>
    <xf numFmtId="0" fontId="21" fillId="6" borderId="0" xfId="1" applyFont="1" applyFill="1" applyBorder="1" applyProtection="1"/>
    <xf numFmtId="0" fontId="22" fillId="6" borderId="0" xfId="1" applyFont="1" applyFill="1" applyBorder="1" applyProtection="1"/>
    <xf numFmtId="177" fontId="0" fillId="0" borderId="0" xfId="0" applyNumberFormat="1" applyAlignment="1"/>
    <xf numFmtId="176" fontId="21" fillId="6" borderId="0" xfId="1" applyNumberFormat="1" applyFont="1" applyFill="1" applyBorder="1" applyProtection="1"/>
    <xf numFmtId="0" fontId="0" fillId="0" borderId="0" xfId="0" applyBorder="1" applyAlignment="1"/>
    <xf numFmtId="0" fontId="29" fillId="0" borderId="0" xfId="1" applyFont="1" applyFill="1" applyBorder="1" applyProtection="1"/>
    <xf numFmtId="176" fontId="8" fillId="7" borderId="1" xfId="0" applyNumberFormat="1" applyFont="1" applyFill="1" applyBorder="1" applyAlignment="1">
      <alignment horizontal="right"/>
    </xf>
    <xf numFmtId="179" fontId="19" fillId="2" borderId="0" xfId="0" applyNumberFormat="1" applyFont="1" applyFill="1" applyAlignment="1"/>
    <xf numFmtId="180" fontId="28" fillId="0" borderId="0" xfId="0" applyNumberFormat="1" applyFont="1" applyFill="1" applyAlignment="1"/>
    <xf numFmtId="178" fontId="17" fillId="0" borderId="0" xfId="0" applyNumberFormat="1" applyFont="1" applyAlignment="1"/>
    <xf numFmtId="176" fontId="18" fillId="2" borderId="0" xfId="0" applyNumberFormat="1" applyFont="1" applyFill="1" applyBorder="1" applyAlignment="1">
      <alignment horizontal="right"/>
    </xf>
    <xf numFmtId="0" fontId="0" fillId="0" borderId="0" xfId="0" applyBorder="1">
      <alignment vertical="center"/>
    </xf>
    <xf numFmtId="0" fontId="21" fillId="0" borderId="0" xfId="1" applyFont="1" applyFill="1" applyBorder="1" applyProtection="1"/>
    <xf numFmtId="0" fontId="30" fillId="0" borderId="0" xfId="1" applyFont="1" applyProtection="1"/>
    <xf numFmtId="178" fontId="20" fillId="0" borderId="0" xfId="0" applyNumberFormat="1" applyFont="1" applyAlignment="1"/>
    <xf numFmtId="182" fontId="26" fillId="0" borderId="0" xfId="1" applyNumberFormat="1" applyFont="1" applyFill="1" applyProtection="1"/>
    <xf numFmtId="0" fontId="0" fillId="0" borderId="4" xfId="0" applyBorder="1">
      <alignment vertical="center"/>
    </xf>
    <xf numFmtId="38" fontId="0" fillId="0" borderId="0" xfId="0" applyNumberFormat="1" applyAlignment="1">
      <alignment horizontal="center" vertical="center"/>
    </xf>
    <xf numFmtId="38" fontId="24" fillId="3" borderId="0" xfId="0" applyNumberFormat="1" applyFont="1" applyFill="1" applyAlignment="1">
      <alignment horizontal="center" vertical="center"/>
    </xf>
    <xf numFmtId="38" fontId="27" fillId="5" borderId="0" xfId="0" applyNumberFormat="1" applyFont="1" applyFill="1" applyAlignment="1">
      <alignment horizontal="center" vertical="center"/>
    </xf>
    <xf numFmtId="184" fontId="0" fillId="0" borderId="0" xfId="0" applyNumberFormat="1" applyAlignment="1">
      <alignment horizontal="center" vertical="center"/>
    </xf>
    <xf numFmtId="184" fontId="24" fillId="3" borderId="0" xfId="0" applyNumberFormat="1" applyFont="1" applyFill="1" applyAlignment="1">
      <alignment horizontal="center" vertical="center"/>
    </xf>
    <xf numFmtId="184" fontId="27" fillId="5" borderId="0" xfId="0" applyNumberFormat="1" applyFont="1" applyFill="1" applyAlignment="1">
      <alignment horizontal="center" vertical="center"/>
    </xf>
    <xf numFmtId="0" fontId="31" fillId="0" borderId="0" xfId="3" applyFont="1" applyFill="1" applyBorder="1" applyProtection="1"/>
    <xf numFmtId="0" fontId="29" fillId="0" borderId="0" xfId="3" applyFont="1" applyFill="1" applyBorder="1" applyProtection="1"/>
    <xf numFmtId="182" fontId="22" fillId="0" borderId="0" xfId="3" applyNumberFormat="1" applyFont="1" applyFill="1" applyBorder="1" applyProtection="1"/>
    <xf numFmtId="184" fontId="32" fillId="0" borderId="0" xfId="2" applyNumberFormat="1" applyFont="1" applyFill="1" applyBorder="1" applyAlignment="1" applyProtection="1"/>
    <xf numFmtId="185" fontId="32" fillId="0" borderId="0" xfId="4" applyFont="1" applyFill="1" applyBorder="1" applyAlignment="1">
      <alignment horizontal="right"/>
    </xf>
    <xf numFmtId="184" fontId="26" fillId="6" borderId="5" xfId="2" applyNumberFormat="1" applyFont="1" applyFill="1" applyBorder="1" applyAlignment="1" applyProtection="1"/>
    <xf numFmtId="0" fontId="29" fillId="6" borderId="6" xfId="3" applyFont="1" applyFill="1" applyBorder="1" applyProtection="1"/>
    <xf numFmtId="178" fontId="26" fillId="6" borderId="6" xfId="4" applyNumberFormat="1" applyFont="1" applyFill="1" applyBorder="1" applyAlignment="1">
      <alignment horizontal="right" vertical="distributed"/>
    </xf>
    <xf numFmtId="178" fontId="26" fillId="6" borderId="7" xfId="4" applyNumberFormat="1" applyFont="1" applyFill="1" applyBorder="1" applyAlignment="1">
      <alignment horizontal="right" vertical="distributed"/>
    </xf>
    <xf numFmtId="184" fontId="26" fillId="6" borderId="2" xfId="2" applyNumberFormat="1" applyFont="1" applyFill="1" applyBorder="1" applyAlignment="1" applyProtection="1"/>
    <xf numFmtId="0" fontId="29" fillId="6" borderId="0" xfId="3" applyFont="1" applyFill="1" applyBorder="1" applyProtection="1"/>
    <xf numFmtId="178" fontId="26" fillId="6" borderId="0" xfId="4" applyNumberFormat="1" applyFont="1" applyFill="1" applyBorder="1" applyAlignment="1">
      <alignment horizontal="right" vertical="distributed"/>
    </xf>
    <xf numFmtId="178" fontId="26" fillId="6" borderId="9" xfId="4" applyNumberFormat="1" applyFont="1" applyFill="1" applyBorder="1" applyAlignment="1">
      <alignment horizontal="right" vertical="distributed"/>
    </xf>
    <xf numFmtId="178" fontId="26" fillId="6" borderId="10" xfId="4" applyNumberFormat="1" applyFont="1" applyFill="1" applyBorder="1" applyAlignment="1">
      <alignment horizontal="right" vertical="distributed"/>
    </xf>
    <xf numFmtId="184" fontId="26" fillId="6" borderId="2" xfId="2" applyNumberFormat="1" applyFont="1" applyFill="1" applyBorder="1" applyAlignment="1"/>
    <xf numFmtId="178" fontId="34" fillId="4" borderId="0" xfId="4" applyNumberFormat="1" applyFont="1" applyFill="1" applyBorder="1" applyAlignment="1">
      <alignment horizontal="right" vertical="distributed"/>
    </xf>
    <xf numFmtId="178" fontId="34" fillId="6" borderId="0" xfId="4" applyNumberFormat="1" applyFont="1" applyFill="1" applyBorder="1" applyAlignment="1">
      <alignment horizontal="right" vertical="distributed"/>
    </xf>
    <xf numFmtId="184" fontId="26" fillId="6" borderId="11" xfId="2" applyNumberFormat="1" applyFont="1" applyFill="1" applyBorder="1" applyAlignment="1" applyProtection="1"/>
    <xf numFmtId="0" fontId="29" fillId="6" borderId="12" xfId="3" applyFont="1" applyFill="1" applyBorder="1" applyProtection="1"/>
    <xf numFmtId="182" fontId="22" fillId="6" borderId="12" xfId="3" applyNumberFormat="1" applyFont="1" applyFill="1" applyBorder="1" applyProtection="1"/>
    <xf numFmtId="184" fontId="26" fillId="6" borderId="12" xfId="2" applyNumberFormat="1" applyFont="1" applyFill="1" applyBorder="1" applyAlignment="1" applyProtection="1">
      <alignment horizontal="right"/>
    </xf>
    <xf numFmtId="184" fontId="26" fillId="6" borderId="12" xfId="2" applyNumberFormat="1" applyFont="1" applyFill="1" applyBorder="1" applyAlignment="1" applyProtection="1"/>
    <xf numFmtId="178" fontId="26" fillId="6" borderId="13" xfId="4" applyNumberFormat="1" applyFont="1" applyFill="1" applyBorder="1" applyAlignment="1">
      <alignment horizontal="right" vertical="distributed"/>
    </xf>
    <xf numFmtId="178" fontId="26" fillId="6" borderId="12" xfId="4" applyNumberFormat="1" applyFont="1" applyFill="1" applyBorder="1" applyAlignment="1">
      <alignment horizontal="right" vertical="distributed"/>
    </xf>
    <xf numFmtId="178" fontId="26" fillId="6" borderId="14" xfId="4" applyNumberFormat="1" applyFont="1" applyFill="1" applyBorder="1" applyAlignment="1">
      <alignment horizontal="right" vertical="distributed"/>
    </xf>
    <xf numFmtId="183" fontId="8" fillId="8" borderId="12" xfId="0" applyNumberFormat="1" applyFont="1" applyFill="1" applyBorder="1">
      <alignment vertical="center"/>
    </xf>
    <xf numFmtId="183" fontId="9" fillId="8" borderId="12" xfId="0" applyNumberFormat="1" applyFont="1" applyFill="1" applyBorder="1">
      <alignment vertical="center"/>
    </xf>
    <xf numFmtId="184" fontId="8" fillId="8" borderId="10" xfId="0" applyNumberFormat="1" applyFont="1" applyFill="1" applyBorder="1">
      <alignment vertical="center"/>
    </xf>
    <xf numFmtId="184" fontId="9" fillId="8" borderId="10" xfId="0" applyNumberFormat="1" applyFont="1" applyFill="1" applyBorder="1">
      <alignment vertical="center"/>
    </xf>
    <xf numFmtId="0" fontId="27" fillId="8" borderId="0" xfId="0" applyFont="1" applyFill="1">
      <alignment vertical="center"/>
    </xf>
    <xf numFmtId="0" fontId="22" fillId="9" borderId="0" xfId="5" applyFont="1" applyFill="1"/>
    <xf numFmtId="0" fontId="26" fillId="9" borderId="0" xfId="5" applyFont="1" applyFill="1"/>
    <xf numFmtId="0" fontId="8" fillId="5" borderId="0" xfId="0" applyFont="1" applyFill="1">
      <alignment vertical="center"/>
    </xf>
    <xf numFmtId="176" fontId="27" fillId="8" borderId="0" xfId="0" applyNumberFormat="1" applyFont="1" applyFill="1">
      <alignment vertical="center"/>
    </xf>
    <xf numFmtId="176" fontId="28" fillId="8" borderId="0" xfId="0" applyNumberFormat="1" applyFont="1" applyFill="1">
      <alignment vertical="center"/>
    </xf>
    <xf numFmtId="176" fontId="0" fillId="5" borderId="0" xfId="0" applyNumberFormat="1" applyFill="1">
      <alignment vertical="center"/>
    </xf>
    <xf numFmtId="0" fontId="22" fillId="9" borderId="0" xfId="6" applyFont="1" applyFill="1" applyAlignment="1">
      <alignment horizontal="center"/>
    </xf>
    <xf numFmtId="14" fontId="25" fillId="9" borderId="0" xfId="6" applyNumberFormat="1" applyFont="1" applyFill="1" applyAlignment="1">
      <alignment horizontal="center"/>
    </xf>
    <xf numFmtId="0" fontId="26" fillId="9" borderId="0" xfId="6" applyFont="1" applyFill="1" applyAlignment="1"/>
    <xf numFmtId="186" fontId="34" fillId="4" borderId="0" xfId="7" applyNumberFormat="1" applyFont="1" applyFill="1"/>
    <xf numFmtId="187" fontId="34" fillId="4" borderId="0" xfId="7" applyNumberFormat="1" applyFont="1" applyFill="1"/>
    <xf numFmtId="188" fontId="26" fillId="9" borderId="0" xfId="6" applyNumberFormat="1" applyFont="1" applyFill="1" applyBorder="1" applyAlignment="1">
      <alignment horizontal="right"/>
    </xf>
    <xf numFmtId="177" fontId="26" fillId="9" borderId="0" xfId="6" applyNumberFormat="1" applyFont="1" applyFill="1" applyAlignment="1">
      <alignment horizontal="right"/>
    </xf>
    <xf numFmtId="189" fontId="34" fillId="4" borderId="0" xfId="7" applyNumberFormat="1" applyFont="1" applyFill="1"/>
    <xf numFmtId="186" fontId="38" fillId="4" borderId="0" xfId="7" applyNumberFormat="1" applyFont="1" applyFill="1"/>
    <xf numFmtId="189" fontId="38" fillId="4" borderId="0" xfId="7" applyNumberFormat="1" applyFont="1" applyFill="1"/>
    <xf numFmtId="0" fontId="22" fillId="9" borderId="0" xfId="6" applyFont="1" applyFill="1"/>
    <xf numFmtId="188" fontId="22" fillId="9" borderId="0" xfId="6" applyNumberFormat="1" applyFont="1" applyFill="1"/>
    <xf numFmtId="177" fontId="22" fillId="9" borderId="0" xfId="6" applyNumberFormat="1" applyFont="1" applyFill="1"/>
    <xf numFmtId="0" fontId="26" fillId="0" borderId="0" xfId="5" applyFont="1" applyFill="1"/>
    <xf numFmtId="0" fontId="26" fillId="9" borderId="0" xfId="3" applyFont="1" applyFill="1" applyProtection="1"/>
    <xf numFmtId="188" fontId="34" fillId="4" borderId="0" xfId="3" applyNumberFormat="1" applyFont="1" applyFill="1" applyBorder="1" applyProtection="1"/>
    <xf numFmtId="188" fontId="26" fillId="9" borderId="0" xfId="3" applyNumberFormat="1" applyFont="1" applyFill="1" applyBorder="1" applyProtection="1"/>
    <xf numFmtId="188" fontId="39" fillId="9" borderId="0" xfId="3" applyNumberFormat="1" applyFont="1" applyFill="1" applyBorder="1" applyAlignment="1" applyProtection="1"/>
    <xf numFmtId="0" fontId="22" fillId="9" borderId="0" xfId="3" applyFont="1" applyFill="1" applyProtection="1"/>
    <xf numFmtId="188" fontId="22" fillId="9" borderId="0" xfId="3" applyNumberFormat="1" applyFont="1" applyFill="1" applyBorder="1" applyProtection="1"/>
    <xf numFmtId="0" fontId="26" fillId="9" borderId="0" xfId="8" applyFont="1" applyFill="1"/>
    <xf numFmtId="188" fontId="22" fillId="9" borderId="0" xfId="3" applyNumberFormat="1" applyFont="1" applyFill="1" applyBorder="1" applyAlignment="1" applyProtection="1"/>
    <xf numFmtId="188" fontId="39" fillId="0" borderId="0" xfId="3" applyNumberFormat="1" applyFont="1" applyFill="1" applyBorder="1" applyAlignment="1" applyProtection="1"/>
    <xf numFmtId="0" fontId="22" fillId="6" borderId="0" xfId="5" applyFont="1" applyFill="1"/>
    <xf numFmtId="0" fontId="26" fillId="6" borderId="0" xfId="5" applyFont="1" applyFill="1"/>
    <xf numFmtId="190" fontId="40" fillId="6" borderId="0" xfId="7" applyNumberFormat="1" applyFont="1" applyFill="1" applyBorder="1"/>
    <xf numFmtId="0" fontId="41" fillId="10" borderId="0" xfId="3" applyFont="1" applyFill="1" applyBorder="1" applyProtection="1"/>
    <xf numFmtId="0" fontId="42" fillId="10" borderId="0" xfId="3" applyFont="1" applyFill="1" applyBorder="1" applyProtection="1"/>
    <xf numFmtId="0" fontId="43" fillId="10" borderId="0" xfId="3" applyFont="1" applyFill="1" applyBorder="1" applyProtection="1"/>
    <xf numFmtId="0" fontId="43" fillId="10" borderId="0" xfId="3" applyFont="1" applyFill="1" applyBorder="1" applyAlignment="1" applyProtection="1">
      <alignment horizontal="center"/>
    </xf>
    <xf numFmtId="0" fontId="44" fillId="10" borderId="0" xfId="3" applyFont="1" applyFill="1" applyBorder="1" applyProtection="1"/>
    <xf numFmtId="0" fontId="45" fillId="10" borderId="0" xfId="3" applyFont="1" applyFill="1" applyBorder="1" applyProtection="1"/>
    <xf numFmtId="0" fontId="46" fillId="0" borderId="0" xfId="3" applyFont="1" applyProtection="1"/>
    <xf numFmtId="0" fontId="26" fillId="0" borderId="0" xfId="3" applyFont="1" applyBorder="1" applyAlignment="1" applyProtection="1">
      <alignment horizontal="center"/>
    </xf>
    <xf numFmtId="0" fontId="26" fillId="0" borderId="0" xfId="3" applyFont="1" applyAlignment="1" applyProtection="1">
      <alignment horizontal="center"/>
    </xf>
    <xf numFmtId="0" fontId="26" fillId="0" borderId="0" xfId="3" applyFont="1" applyProtection="1"/>
    <xf numFmtId="0" fontId="47" fillId="10" borderId="0" xfId="3" applyFont="1" applyFill="1" applyAlignment="1" applyProtection="1">
      <alignment horizontal="centerContinuous"/>
    </xf>
    <xf numFmtId="0" fontId="48" fillId="10" borderId="0" xfId="3" applyFont="1" applyFill="1" applyAlignment="1" applyProtection="1">
      <alignment horizontal="centerContinuous"/>
    </xf>
    <xf numFmtId="0" fontId="46" fillId="0" borderId="0" xfId="1" applyFont="1" applyFill="1"/>
    <xf numFmtId="0" fontId="46" fillId="0" borderId="0" xfId="1" applyFont="1"/>
    <xf numFmtId="0" fontId="49" fillId="11" borderId="0" xfId="3" applyFont="1" applyFill="1" applyProtection="1"/>
    <xf numFmtId="0" fontId="29" fillId="0" borderId="0" xfId="3" applyFont="1" applyProtection="1"/>
    <xf numFmtId="0" fontId="25" fillId="0" borderId="0" xfId="1" applyFont="1" applyBorder="1" applyAlignment="1" applyProtection="1">
      <alignment horizontal="center"/>
    </xf>
    <xf numFmtId="177" fontId="25" fillId="11" borderId="0" xfId="3" applyNumberFormat="1" applyFont="1" applyFill="1" applyBorder="1" applyAlignment="1" applyProtection="1">
      <alignment horizontal="center"/>
    </xf>
    <xf numFmtId="0" fontId="25" fillId="0" borderId="9" xfId="1" applyFont="1" applyBorder="1" applyAlignment="1" applyProtection="1">
      <alignment horizontal="center"/>
    </xf>
    <xf numFmtId="0" fontId="29" fillId="0" borderId="0" xfId="1" applyFont="1"/>
    <xf numFmtId="0" fontId="29" fillId="0" borderId="0" xfId="1" applyFont="1" applyFill="1" applyBorder="1" applyAlignment="1">
      <alignment horizontal="center"/>
    </xf>
    <xf numFmtId="0" fontId="29" fillId="0" borderId="9" xfId="1" applyFont="1" applyBorder="1" applyAlignment="1">
      <alignment horizontal="center"/>
    </xf>
    <xf numFmtId="0" fontId="29" fillId="0" borderId="0" xfId="1" applyFont="1" applyBorder="1" applyAlignment="1">
      <alignment horizontal="center"/>
    </xf>
    <xf numFmtId="176" fontId="26" fillId="0" borderId="0" xfId="7" applyNumberFormat="1" applyFont="1" applyFill="1"/>
    <xf numFmtId="176" fontId="26" fillId="0" borderId="9" xfId="7" applyNumberFormat="1" applyFont="1" applyFill="1" applyBorder="1"/>
    <xf numFmtId="191" fontId="26" fillId="0" borderId="0" xfId="7" applyNumberFormat="1" applyFont="1" applyFill="1"/>
    <xf numFmtId="191" fontId="26" fillId="0" borderId="9" xfId="7" applyNumberFormat="1" applyFont="1" applyFill="1" applyBorder="1"/>
    <xf numFmtId="177" fontId="34" fillId="0" borderId="0" xfId="1" applyNumberFormat="1" applyFont="1"/>
    <xf numFmtId="177" fontId="34" fillId="0" borderId="0" xfId="1" applyNumberFormat="1" applyFont="1" applyFill="1"/>
    <xf numFmtId="177" fontId="46" fillId="0" borderId="0" xfId="1" applyNumberFormat="1" applyFont="1"/>
    <xf numFmtId="177" fontId="46" fillId="0" borderId="9" xfId="1" applyNumberFormat="1" applyFont="1" applyBorder="1"/>
    <xf numFmtId="0" fontId="50" fillId="0" borderId="0" xfId="3" applyFont="1" applyProtection="1"/>
    <xf numFmtId="177" fontId="34" fillId="0" borderId="0" xfId="1" applyNumberFormat="1" applyFont="1" applyBorder="1"/>
    <xf numFmtId="177" fontId="26" fillId="0" borderId="0" xfId="1" applyNumberFormat="1" applyFont="1" applyFill="1" applyBorder="1"/>
    <xf numFmtId="177" fontId="46" fillId="0" borderId="0" xfId="1" applyNumberFormat="1" applyFont="1" applyBorder="1"/>
    <xf numFmtId="0" fontId="46" fillId="0" borderId="0" xfId="3" applyFont="1" applyAlignment="1" applyProtection="1">
      <alignment horizontal="left"/>
    </xf>
    <xf numFmtId="191" fontId="34" fillId="4" borderId="0" xfId="7" applyNumberFormat="1" applyFont="1" applyFill="1"/>
    <xf numFmtId="191" fontId="34" fillId="0" borderId="0" xfId="7" applyNumberFormat="1" applyFont="1" applyFill="1"/>
    <xf numFmtId="191" fontId="38" fillId="0" borderId="0" xfId="7" applyNumberFormat="1" applyFont="1" applyFill="1"/>
    <xf numFmtId="191" fontId="39" fillId="0" borderId="0" xfId="7" applyNumberFormat="1" applyFont="1" applyFill="1"/>
    <xf numFmtId="191" fontId="39" fillId="0" borderId="9" xfId="7" applyNumberFormat="1" applyFont="1" applyFill="1" applyBorder="1"/>
    <xf numFmtId="176" fontId="22" fillId="0" borderId="0" xfId="7" applyNumberFormat="1" applyFont="1" applyFill="1"/>
    <xf numFmtId="176" fontId="22" fillId="0" borderId="9" xfId="7" applyNumberFormat="1" applyFont="1" applyFill="1" applyBorder="1"/>
    <xf numFmtId="182" fontId="46" fillId="0" borderId="0" xfId="1" applyNumberFormat="1" applyFont="1" applyBorder="1"/>
    <xf numFmtId="182" fontId="26" fillId="0" borderId="0" xfId="1" applyNumberFormat="1" applyFont="1" applyFill="1" applyBorder="1"/>
    <xf numFmtId="182" fontId="46" fillId="0" borderId="9" xfId="1" applyNumberFormat="1" applyFont="1" applyBorder="1"/>
    <xf numFmtId="0" fontId="51" fillId="0" borderId="0" xfId="3" applyFont="1" applyAlignment="1" applyProtection="1">
      <alignment horizontal="left"/>
    </xf>
    <xf numFmtId="181" fontId="32" fillId="0" borderId="0" xfId="7" applyNumberFormat="1" applyFont="1" applyFill="1" applyBorder="1" applyAlignment="1">
      <alignment horizontal="right"/>
    </xf>
    <xf numFmtId="181" fontId="32" fillId="0" borderId="9" xfId="7" applyNumberFormat="1" applyFont="1" applyFill="1" applyBorder="1" applyAlignment="1">
      <alignment horizontal="right"/>
    </xf>
    <xf numFmtId="177" fontId="46" fillId="0" borderId="9" xfId="1" applyNumberFormat="1" applyFont="1" applyFill="1" applyBorder="1"/>
    <xf numFmtId="177" fontId="46" fillId="0" borderId="0" xfId="1" applyNumberFormat="1" applyFont="1" applyFill="1"/>
    <xf numFmtId="182" fontId="29" fillId="0" borderId="0" xfId="1" applyNumberFormat="1" applyFont="1"/>
    <xf numFmtId="182" fontId="29" fillId="6" borderId="0" xfId="3" applyNumberFormat="1" applyFont="1" applyFill="1" applyBorder="1" applyProtection="1"/>
    <xf numFmtId="176" fontId="22" fillId="6" borderId="0" xfId="7" applyNumberFormat="1" applyFont="1" applyFill="1"/>
    <xf numFmtId="176" fontId="22" fillId="6" borderId="9" xfId="7" applyNumberFormat="1" applyFont="1" applyFill="1" applyBorder="1"/>
    <xf numFmtId="182" fontId="29" fillId="0" borderId="0" xfId="3" applyNumberFormat="1" applyFont="1" applyBorder="1" applyProtection="1"/>
    <xf numFmtId="182" fontId="29" fillId="0" borderId="0" xfId="1" applyNumberFormat="1" applyFont="1" applyBorder="1"/>
    <xf numFmtId="182" fontId="29" fillId="0" borderId="9" xfId="1" applyNumberFormat="1" applyFont="1" applyFill="1" applyBorder="1"/>
    <xf numFmtId="182" fontId="29" fillId="0" borderId="0" xfId="1" applyNumberFormat="1" applyFont="1" applyFill="1" applyBorder="1"/>
    <xf numFmtId="0" fontId="31" fillId="0" borderId="0" xfId="3" applyFont="1" applyProtection="1"/>
    <xf numFmtId="0" fontId="46" fillId="0" borderId="9" xfId="1" applyFont="1" applyFill="1" applyBorder="1"/>
    <xf numFmtId="0" fontId="46" fillId="6" borderId="5" xfId="3" applyFont="1" applyFill="1" applyBorder="1" applyAlignment="1" applyProtection="1">
      <alignment horizontal="left"/>
    </xf>
    <xf numFmtId="191" fontId="26" fillId="6" borderId="6" xfId="7" applyNumberFormat="1" applyFont="1" applyFill="1" applyBorder="1"/>
    <xf numFmtId="191" fontId="26" fillId="6" borderId="7" xfId="7" applyNumberFormat="1" applyFont="1" applyFill="1" applyBorder="1"/>
    <xf numFmtId="191" fontId="26" fillId="6" borderId="8" xfId="7" applyNumberFormat="1" applyFont="1" applyFill="1" applyBorder="1"/>
    <xf numFmtId="0" fontId="46" fillId="6" borderId="2" xfId="3" applyFont="1" applyFill="1" applyBorder="1" applyAlignment="1" applyProtection="1">
      <alignment horizontal="left"/>
    </xf>
    <xf numFmtId="191" fontId="26" fillId="6" borderId="0" xfId="7" applyNumberFormat="1" applyFont="1" applyFill="1" applyBorder="1"/>
    <xf numFmtId="191" fontId="26" fillId="6" borderId="9" xfId="7" applyNumberFormat="1" applyFont="1" applyFill="1" applyBorder="1"/>
    <xf numFmtId="191" fontId="26" fillId="6" borderId="10" xfId="7" applyNumberFormat="1" applyFont="1" applyFill="1" applyBorder="1"/>
    <xf numFmtId="184" fontId="46" fillId="6" borderId="0" xfId="1" applyNumberFormat="1" applyFont="1" applyFill="1" applyBorder="1"/>
    <xf numFmtId="0" fontId="46" fillId="6" borderId="2" xfId="1" applyFont="1" applyFill="1" applyBorder="1"/>
    <xf numFmtId="192" fontId="46" fillId="6" borderId="0" xfId="1" applyNumberFormat="1" applyFont="1" applyFill="1" applyBorder="1"/>
    <xf numFmtId="0" fontId="46" fillId="6" borderId="0" xfId="1" applyFont="1" applyFill="1" applyBorder="1"/>
    <xf numFmtId="0" fontId="46" fillId="6" borderId="9" xfId="1" applyFont="1" applyFill="1" applyBorder="1"/>
    <xf numFmtId="0" fontId="46" fillId="6" borderId="10" xfId="1" applyFont="1" applyFill="1" applyBorder="1"/>
    <xf numFmtId="0" fontId="46" fillId="6" borderId="11" xfId="3" applyFont="1" applyFill="1" applyBorder="1" applyAlignment="1" applyProtection="1">
      <alignment horizontal="left"/>
    </xf>
    <xf numFmtId="184" fontId="46" fillId="6" borderId="12" xfId="1" applyNumberFormat="1" applyFont="1" applyFill="1" applyBorder="1"/>
    <xf numFmtId="0" fontId="41" fillId="10" borderId="0" xfId="1" applyFont="1" applyFill="1" applyBorder="1"/>
    <xf numFmtId="0" fontId="43" fillId="10" borderId="0" xfId="1" applyFont="1" applyFill="1" applyBorder="1"/>
    <xf numFmtId="0" fontId="42" fillId="10" borderId="0" xfId="1" applyFont="1" applyFill="1" applyBorder="1"/>
    <xf numFmtId="0" fontId="45" fillId="10" borderId="0" xfId="1" applyFont="1" applyFill="1" applyBorder="1" applyProtection="1"/>
    <xf numFmtId="0" fontId="43" fillId="10" borderId="0" xfId="1" applyFont="1" applyFill="1" applyBorder="1" applyProtection="1"/>
    <xf numFmtId="0" fontId="31" fillId="0" borderId="0" xfId="1" applyFont="1" applyBorder="1"/>
    <xf numFmtId="0" fontId="46" fillId="0" borderId="0" xfId="1" applyFont="1" applyBorder="1"/>
    <xf numFmtId="0" fontId="52" fillId="0" borderId="0" xfId="1" applyFont="1" applyBorder="1" applyAlignment="1"/>
    <xf numFmtId="0" fontId="52" fillId="0" borderId="0" xfId="1" applyFont="1" applyBorder="1" applyAlignment="1">
      <alignment horizontal="center"/>
    </xf>
    <xf numFmtId="0" fontId="26" fillId="0" borderId="0" xfId="3" applyFont="1" applyFill="1" applyBorder="1" applyAlignment="1" applyProtection="1">
      <alignment vertical="top"/>
    </xf>
    <xf numFmtId="178" fontId="26" fillId="0" borderId="0" xfId="4" applyNumberFormat="1" applyFont="1" applyBorder="1" applyAlignment="1">
      <alignment horizontal="right" vertical="distributed"/>
    </xf>
    <xf numFmtId="0" fontId="34" fillId="4" borderId="0" xfId="3" applyFont="1" applyFill="1" applyBorder="1" applyProtection="1"/>
    <xf numFmtId="193" fontId="34" fillId="4" borderId="0" xfId="7" applyNumberFormat="1" applyFont="1" applyFill="1"/>
    <xf numFmtId="176" fontId="34" fillId="4" borderId="0" xfId="7" applyNumberFormat="1" applyFont="1" applyFill="1"/>
    <xf numFmtId="193" fontId="26" fillId="0" borderId="0" xfId="7" applyNumberFormat="1" applyFont="1" applyFill="1"/>
    <xf numFmtId="184" fontId="26" fillId="0" borderId="0" xfId="3" applyNumberFormat="1" applyFont="1" applyProtection="1"/>
    <xf numFmtId="0" fontId="46" fillId="0" borderId="0" xfId="3" applyFont="1" applyFill="1" applyBorder="1" applyProtection="1"/>
    <xf numFmtId="194" fontId="34" fillId="0" borderId="0" xfId="9" applyNumberFormat="1" applyFont="1" applyFill="1"/>
    <xf numFmtId="192" fontId="34" fillId="0" borderId="0" xfId="9" applyNumberFormat="1" applyFont="1" applyFill="1"/>
    <xf numFmtId="184" fontId="34" fillId="0" borderId="0" xfId="9" applyNumberFormat="1" applyFont="1" applyFill="1"/>
    <xf numFmtId="194" fontId="26" fillId="0" borderId="0" xfId="9" applyNumberFormat="1" applyFont="1" applyFill="1"/>
    <xf numFmtId="0" fontId="29" fillId="0" borderId="0" xfId="1" applyFont="1" applyBorder="1"/>
    <xf numFmtId="178" fontId="22" fillId="6" borderId="1" xfId="4" applyNumberFormat="1" applyFont="1" applyFill="1" applyBorder="1" applyAlignment="1">
      <alignment horizontal="right" vertical="distributed"/>
    </xf>
    <xf numFmtId="0" fontId="29" fillId="6" borderId="0" xfId="1" applyFont="1" applyFill="1"/>
    <xf numFmtId="193" fontId="22" fillId="6" borderId="0" xfId="7" applyNumberFormat="1" applyFont="1" applyFill="1"/>
    <xf numFmtId="0" fontId="46" fillId="6" borderId="0" xfId="1" applyFont="1" applyFill="1"/>
    <xf numFmtId="178" fontId="22" fillId="6" borderId="0" xfId="4" applyNumberFormat="1" applyFont="1" applyFill="1" applyBorder="1" applyAlignment="1">
      <alignment horizontal="right" vertical="distributed"/>
    </xf>
    <xf numFmtId="0" fontId="26" fillId="0" borderId="0" xfId="3" applyFont="1" applyBorder="1" applyProtection="1"/>
    <xf numFmtId="0" fontId="46" fillId="0" borderId="0" xfId="1" applyFont="1" applyFill="1" applyBorder="1"/>
    <xf numFmtId="0" fontId="29" fillId="0" borderId="0" xfId="1" applyFont="1" applyAlignment="1">
      <alignment horizontal="center"/>
    </xf>
    <xf numFmtId="195" fontId="34" fillId="4" borderId="0" xfId="4" applyNumberFormat="1" applyFont="1" applyFill="1" applyBorder="1" applyAlignment="1">
      <alignment horizontal="right" vertical="distributed"/>
    </xf>
    <xf numFmtId="0" fontId="29" fillId="0" borderId="0" xfId="1" applyFont="1" applyFill="1" applyBorder="1"/>
    <xf numFmtId="193" fontId="22" fillId="6" borderId="1" xfId="7" applyNumberFormat="1" applyFont="1" applyFill="1" applyBorder="1"/>
    <xf numFmtId="40" fontId="46" fillId="0" borderId="0" xfId="1" applyNumberFormat="1" applyFont="1" applyFill="1" applyBorder="1"/>
    <xf numFmtId="184" fontId="46" fillId="0" borderId="0" xfId="1" applyNumberFormat="1" applyFont="1" applyFill="1" applyBorder="1"/>
    <xf numFmtId="196" fontId="22" fillId="0" borderId="0" xfId="1" applyNumberFormat="1" applyFont="1" applyFill="1" applyBorder="1"/>
    <xf numFmtId="0" fontId="21" fillId="0" borderId="0" xfId="3" applyFont="1" applyAlignment="1" applyProtection="1"/>
    <xf numFmtId="192" fontId="56" fillId="6" borderId="0" xfId="3" applyNumberFormat="1" applyFont="1" applyFill="1" applyBorder="1" applyProtection="1"/>
    <xf numFmtId="184" fontId="22" fillId="9" borderId="12" xfId="3" applyNumberFormat="1" applyFont="1" applyFill="1" applyBorder="1" applyAlignment="1" applyProtection="1">
      <alignment horizontal="center"/>
    </xf>
    <xf numFmtId="184" fontId="57" fillId="9" borderId="12" xfId="3" applyNumberFormat="1" applyFont="1" applyFill="1" applyBorder="1" applyAlignment="1" applyProtection="1">
      <alignment horizontal="center"/>
    </xf>
    <xf numFmtId="0" fontId="26" fillId="0" borderId="12" xfId="3" applyFont="1" applyBorder="1" applyProtection="1"/>
    <xf numFmtId="184" fontId="22" fillId="9" borderId="0" xfId="2" applyNumberFormat="1" applyFont="1" applyFill="1" applyBorder="1" applyAlignment="1"/>
    <xf numFmtId="184" fontId="21" fillId="0" borderId="5" xfId="3" applyNumberFormat="1" applyFont="1" applyBorder="1" applyAlignment="1" applyProtection="1">
      <alignment horizontal="center"/>
    </xf>
    <xf numFmtId="184" fontId="21" fillId="0" borderId="0" xfId="3" applyNumberFormat="1" applyFont="1" applyBorder="1" applyAlignment="1" applyProtection="1">
      <alignment horizontal="center"/>
    </xf>
    <xf numFmtId="184" fontId="21" fillId="0" borderId="2" xfId="3" applyNumberFormat="1" applyFont="1" applyBorder="1" applyAlignment="1" applyProtection="1">
      <alignment horizontal="center"/>
    </xf>
    <xf numFmtId="184" fontId="43" fillId="10" borderId="0" xfId="3" applyNumberFormat="1" applyFont="1" applyFill="1" applyBorder="1" applyAlignment="1" applyProtection="1">
      <alignment horizontal="center"/>
    </xf>
    <xf numFmtId="184" fontId="57" fillId="9" borderId="0" xfId="2" applyNumberFormat="1" applyFont="1" applyFill="1" applyBorder="1" applyAlignment="1"/>
    <xf numFmtId="184" fontId="29" fillId="6" borderId="0" xfId="3" applyNumberFormat="1" applyFont="1" applyFill="1" applyBorder="1" applyAlignment="1" applyProtection="1">
      <alignment horizontal="center"/>
    </xf>
    <xf numFmtId="0" fontId="26" fillId="0" borderId="0" xfId="3" applyFont="1" applyFill="1" applyProtection="1"/>
    <xf numFmtId="192" fontId="26" fillId="0" borderId="0" xfId="3" applyNumberFormat="1" applyFont="1" applyBorder="1" applyProtection="1"/>
    <xf numFmtId="0" fontId="25" fillId="0" borderId="0" xfId="3" applyFont="1" applyBorder="1" applyAlignment="1" applyProtection="1">
      <alignment horizontal="centerContinuous"/>
    </xf>
    <xf numFmtId="0" fontId="39" fillId="0" borderId="0" xfId="3" applyFont="1" applyBorder="1" applyAlignment="1" applyProtection="1">
      <alignment horizontal="centerContinuous"/>
    </xf>
    <xf numFmtId="184" fontId="26" fillId="0" borderId="0" xfId="2" applyNumberFormat="1" applyFont="1" applyFill="1" applyBorder="1" applyAlignment="1"/>
    <xf numFmtId="197" fontId="22" fillId="0" borderId="0" xfId="3" applyNumberFormat="1" applyFont="1" applyBorder="1" applyAlignment="1" applyProtection="1">
      <alignment horizontal="center"/>
    </xf>
    <xf numFmtId="184" fontId="32" fillId="0" borderId="0" xfId="3" applyNumberFormat="1" applyFont="1" applyBorder="1" applyProtection="1"/>
    <xf numFmtId="0" fontId="22" fillId="0" borderId="0" xfId="3" applyFont="1" applyBorder="1" applyProtection="1"/>
    <xf numFmtId="178" fontId="26" fillId="0" borderId="15" xfId="4" applyNumberFormat="1" applyFont="1" applyFill="1" applyBorder="1" applyAlignment="1">
      <alignment horizontal="right" vertical="distributed"/>
    </xf>
    <xf numFmtId="178" fontId="34" fillId="6" borderId="2" xfId="4" applyNumberFormat="1" applyFont="1" applyFill="1" applyBorder="1" applyAlignment="1">
      <alignment horizontal="right" vertical="distributed"/>
    </xf>
    <xf numFmtId="181" fontId="26" fillId="6" borderId="0" xfId="7" applyNumberFormat="1" applyFont="1" applyFill="1" applyBorder="1"/>
    <xf numFmtId="181" fontId="26" fillId="6" borderId="10" xfId="7" applyNumberFormat="1" applyFont="1" applyFill="1" applyBorder="1"/>
    <xf numFmtId="178" fontId="34" fillId="6" borderId="11" xfId="4" applyNumberFormat="1" applyFont="1" applyFill="1" applyBorder="1" applyAlignment="1">
      <alignment horizontal="right" vertical="distributed"/>
    </xf>
    <xf numFmtId="181" fontId="26" fillId="6" borderId="12" xfId="7" applyNumberFormat="1" applyFont="1" applyFill="1" applyBorder="1"/>
    <xf numFmtId="181" fontId="26" fillId="6" borderId="14" xfId="7" applyNumberFormat="1" applyFont="1" applyFill="1" applyBorder="1"/>
    <xf numFmtId="184" fontId="26" fillId="0" borderId="15" xfId="3" applyNumberFormat="1" applyFont="1" applyBorder="1" applyProtection="1"/>
    <xf numFmtId="178" fontId="34" fillId="6" borderId="12" xfId="4" applyNumberFormat="1" applyFont="1" applyFill="1" applyBorder="1" applyAlignment="1">
      <alignment horizontal="right" vertical="distributed"/>
    </xf>
    <xf numFmtId="184" fontId="26" fillId="0" borderId="0" xfId="3" applyNumberFormat="1" applyFont="1" applyBorder="1" applyProtection="1"/>
    <xf numFmtId="0" fontId="26" fillId="0" borderId="0" xfId="10" applyFont="1" applyBorder="1"/>
    <xf numFmtId="0" fontId="26" fillId="0" borderId="10" xfId="3" applyFont="1" applyBorder="1" applyProtection="1"/>
    <xf numFmtId="0" fontId="22" fillId="0" borderId="0" xfId="7" applyFont="1" applyBorder="1"/>
    <xf numFmtId="184" fontId="32" fillId="0" borderId="0" xfId="7" applyNumberFormat="1" applyFont="1" applyBorder="1"/>
    <xf numFmtId="0" fontId="25" fillId="0" borderId="0" xfId="7" applyFont="1" applyBorder="1" applyAlignment="1">
      <alignment horizontal="centerContinuous"/>
    </xf>
    <xf numFmtId="0" fontId="39" fillId="0" borderId="0" xfId="7" applyFont="1" applyBorder="1" applyAlignment="1">
      <alignment horizontal="centerContinuous"/>
    </xf>
    <xf numFmtId="197" fontId="22" fillId="0" borderId="0" xfId="7" applyNumberFormat="1" applyFont="1" applyBorder="1" applyAlignment="1">
      <alignment horizontal="center"/>
    </xf>
    <xf numFmtId="0" fontId="59" fillId="0" borderId="0" xfId="7" applyFont="1" applyBorder="1"/>
    <xf numFmtId="0" fontId="22" fillId="0" borderId="12" xfId="7" applyFont="1" applyBorder="1"/>
    <xf numFmtId="0" fontId="26" fillId="0" borderId="0" xfId="7" applyFont="1" applyBorder="1"/>
    <xf numFmtId="191" fontId="34" fillId="6" borderId="5" xfId="7" applyNumberFormat="1" applyFont="1" applyFill="1" applyBorder="1"/>
    <xf numFmtId="191" fontId="34" fillId="6" borderId="6" xfId="7" applyNumberFormat="1" applyFont="1" applyFill="1" applyBorder="1"/>
    <xf numFmtId="191" fontId="34" fillId="6" borderId="2" xfId="7" applyNumberFormat="1" applyFont="1" applyFill="1" applyBorder="1"/>
    <xf numFmtId="191" fontId="34" fillId="6" borderId="0" xfId="7" applyNumberFormat="1" applyFont="1" applyFill="1" applyBorder="1"/>
    <xf numFmtId="191" fontId="34" fillId="6" borderId="11" xfId="7" applyNumberFormat="1" applyFont="1" applyFill="1" applyBorder="1"/>
    <xf numFmtId="191" fontId="34" fillId="6" borderId="12" xfId="7" applyNumberFormat="1" applyFont="1" applyFill="1" applyBorder="1"/>
    <xf numFmtId="191" fontId="26" fillId="6" borderId="12" xfId="7" applyNumberFormat="1" applyFont="1" applyFill="1" applyBorder="1"/>
    <xf numFmtId="191" fontId="26" fillId="6" borderId="14" xfId="7" applyNumberFormat="1" applyFont="1" applyFill="1" applyBorder="1"/>
    <xf numFmtId="191" fontId="32" fillId="0" borderId="0" xfId="7" applyNumberFormat="1" applyFont="1" applyBorder="1"/>
    <xf numFmtId="181" fontId="32" fillId="0" borderId="0" xfId="7" applyNumberFormat="1" applyFont="1" applyBorder="1"/>
    <xf numFmtId="181" fontId="26" fillId="6" borderId="8" xfId="7" applyNumberFormat="1" applyFont="1" applyFill="1" applyBorder="1"/>
    <xf numFmtId="181" fontId="26" fillId="6" borderId="6" xfId="7" applyNumberFormat="1" applyFont="1" applyFill="1" applyBorder="1"/>
    <xf numFmtId="191" fontId="26" fillId="0" borderId="15" xfId="7" applyNumberFormat="1" applyFont="1" applyFill="1" applyBorder="1"/>
    <xf numFmtId="178" fontId="26" fillId="0" borderId="15" xfId="7" applyNumberFormat="1" applyFont="1" applyFill="1" applyBorder="1"/>
    <xf numFmtId="0" fontId="25" fillId="2" borderId="0" xfId="7" quotePrefix="1" applyFont="1" applyFill="1" applyBorder="1" applyAlignment="1">
      <alignment horizontal="center"/>
    </xf>
    <xf numFmtId="178" fontId="17" fillId="0" borderId="0" xfId="0" applyNumberFormat="1" applyFont="1" applyAlignment="1">
      <alignment horizontal="right"/>
    </xf>
    <xf numFmtId="178" fontId="17" fillId="0" borderId="0" xfId="0" applyNumberFormat="1" applyFont="1" applyAlignment="1">
      <alignment horizontal="center"/>
    </xf>
    <xf numFmtId="178" fontId="17" fillId="0" borderId="3" xfId="0" applyNumberFormat="1" applyFont="1" applyBorder="1" applyAlignment="1">
      <alignment horizontal="right"/>
    </xf>
    <xf numFmtId="176" fontId="9" fillId="2" borderId="0" xfId="0" applyNumberFormat="1" applyFont="1" applyFill="1" applyAlignment="1">
      <alignment horizontal="right"/>
    </xf>
    <xf numFmtId="176" fontId="9" fillId="2" borderId="3" xfId="0" applyNumberFormat="1" applyFont="1" applyFill="1" applyBorder="1" applyAlignment="1">
      <alignment horizontal="right"/>
    </xf>
    <xf numFmtId="176" fontId="8" fillId="0" borderId="0" xfId="0" applyNumberFormat="1" applyFont="1" applyAlignment="1"/>
    <xf numFmtId="176" fontId="8" fillId="0" borderId="3" xfId="0" applyNumberFormat="1" applyFont="1" applyBorder="1" applyAlignment="1"/>
    <xf numFmtId="178" fontId="17" fillId="0" borderId="3" xfId="0" applyNumberFormat="1" applyFont="1" applyBorder="1" applyAlignment="1">
      <alignment horizontal="center"/>
    </xf>
    <xf numFmtId="176" fontId="11" fillId="0" borderId="3" xfId="0" applyNumberFormat="1" applyFont="1" applyBorder="1" applyAlignment="1"/>
    <xf numFmtId="176" fontId="26" fillId="0" borderId="0" xfId="7" applyNumberFormat="1" applyFont="1" applyFill="1" applyBorder="1"/>
    <xf numFmtId="177" fontId="38" fillId="4" borderId="0" xfId="3" applyNumberFormat="1" applyFont="1" applyFill="1" applyBorder="1" applyProtection="1"/>
    <xf numFmtId="180" fontId="0" fillId="0" borderId="0" xfId="0" applyNumberFormat="1" applyAlignment="1"/>
    <xf numFmtId="176" fontId="22" fillId="6" borderId="0" xfId="1" applyNumberFormat="1" applyFont="1" applyFill="1" applyBorder="1" applyProtection="1"/>
    <xf numFmtId="178" fontId="22" fillId="0" borderId="0" xfId="0" applyNumberFormat="1" applyFont="1" applyFill="1" applyAlignment="1"/>
    <xf numFmtId="176" fontId="8" fillId="7" borderId="1" xfId="0" applyNumberFormat="1" applyFont="1" applyFill="1" applyBorder="1" applyAlignment="1"/>
    <xf numFmtId="177" fontId="18" fillId="2" borderId="0" xfId="0" applyNumberFormat="1" applyFont="1" applyFill="1" applyBorder="1" applyAlignment="1">
      <alignment horizontal="right"/>
    </xf>
    <xf numFmtId="177" fontId="19" fillId="2" borderId="0" xfId="0" applyNumberFormat="1" applyFont="1" applyFill="1" applyBorder="1" applyAlignment="1">
      <alignment horizontal="right"/>
    </xf>
    <xf numFmtId="176" fontId="22" fillId="8" borderId="0" xfId="0" applyNumberFormat="1" applyFont="1" applyFill="1">
      <alignment vertical="center"/>
    </xf>
    <xf numFmtId="177" fontId="27" fillId="8" borderId="0" xfId="0" applyNumberFormat="1" applyFont="1" applyFill="1">
      <alignment vertical="center"/>
    </xf>
    <xf numFmtId="176" fontId="8" fillId="5" borderId="0" xfId="0" applyNumberFormat="1" applyFont="1" applyFill="1">
      <alignment vertical="center"/>
    </xf>
    <xf numFmtId="188" fontId="39" fillId="2" borderId="0" xfId="3" applyNumberFormat="1" applyFont="1" applyFill="1" applyBorder="1" applyAlignment="1" applyProtection="1"/>
    <xf numFmtId="178" fontId="8" fillId="7" borderId="1" xfId="0" applyNumberFormat="1" applyFont="1" applyFill="1" applyBorder="1" applyAlignment="1">
      <alignment horizontal="right"/>
    </xf>
    <xf numFmtId="179" fontId="8" fillId="7" borderId="1" xfId="0" applyNumberFormat="1" applyFont="1" applyFill="1" applyBorder="1" applyAlignment="1">
      <alignment horizontal="right"/>
    </xf>
    <xf numFmtId="178" fontId="0" fillId="5" borderId="0" xfId="0" applyNumberFormat="1" applyFill="1">
      <alignment vertical="center"/>
    </xf>
    <xf numFmtId="191" fontId="0" fillId="0" borderId="0" xfId="0" applyNumberFormat="1" applyAlignment="1">
      <alignment horizontal="center" vertical="center"/>
    </xf>
    <xf numFmtId="191" fontId="24" fillId="3" borderId="0" xfId="0" applyNumberFormat="1" applyFont="1" applyFill="1" applyAlignment="1">
      <alignment horizontal="center" vertical="center"/>
    </xf>
    <xf numFmtId="191" fontId="27" fillId="5" borderId="0" xfId="0" applyNumberFormat="1" applyFont="1" applyFill="1" applyAlignment="1">
      <alignment horizontal="center" vertical="center"/>
    </xf>
    <xf numFmtId="193" fontId="0" fillId="0" borderId="0" xfId="0" applyNumberFormat="1" applyAlignment="1">
      <alignment horizontal="center" vertical="center"/>
    </xf>
    <xf numFmtId="193" fontId="24" fillId="3" borderId="0" xfId="0" applyNumberFormat="1" applyFont="1" applyFill="1" applyAlignment="1">
      <alignment horizontal="center" vertical="center"/>
    </xf>
    <xf numFmtId="193" fontId="27" fillId="5" borderId="0" xfId="0" applyNumberFormat="1" applyFont="1" applyFill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24" fillId="3" borderId="0" xfId="0" applyNumberFormat="1" applyFont="1" applyFill="1" applyAlignment="1">
      <alignment horizontal="center" vertical="center"/>
    </xf>
    <xf numFmtId="178" fontId="27" fillId="5" borderId="0" xfId="0" applyNumberFormat="1" applyFont="1" applyFill="1" applyAlignment="1">
      <alignment horizontal="center" vertical="center"/>
    </xf>
    <xf numFmtId="179" fontId="0" fillId="5" borderId="0" xfId="0" applyNumberFormat="1" applyFill="1">
      <alignment vertical="center"/>
    </xf>
    <xf numFmtId="179" fontId="0" fillId="0" borderId="0" xfId="0" applyNumberFormat="1" applyAlignment="1">
      <alignment horizontal="center" vertical="center"/>
    </xf>
    <xf numFmtId="179" fontId="24" fillId="3" borderId="0" xfId="0" applyNumberFormat="1" applyFont="1" applyFill="1" applyAlignment="1">
      <alignment horizontal="center" vertical="center"/>
    </xf>
    <xf numFmtId="179" fontId="27" fillId="5" borderId="0" xfId="0" applyNumberFormat="1" applyFont="1" applyFill="1" applyAlignment="1">
      <alignment horizontal="center" vertical="center"/>
    </xf>
    <xf numFmtId="178" fontId="26" fillId="6" borderId="8" xfId="4" applyNumberFormat="1" applyFont="1" applyFill="1" applyBorder="1" applyAlignment="1">
      <alignment horizontal="right" vertical="distributed"/>
    </xf>
    <xf numFmtId="0" fontId="12" fillId="3" borderId="2" xfId="0" applyFont="1" applyFill="1" applyBorder="1" applyAlignment="1">
      <alignment horizontal="center"/>
    </xf>
    <xf numFmtId="0" fontId="12" fillId="3" borderId="0" xfId="0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0" fontId="25" fillId="0" borderId="0" xfId="3" applyFont="1" applyFill="1" applyAlignment="1" applyProtection="1">
      <alignment horizontal="left"/>
    </xf>
    <xf numFmtId="0" fontId="10" fillId="3" borderId="0" xfId="0" applyFont="1" applyFill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 textRotation="90"/>
    </xf>
    <xf numFmtId="0" fontId="12" fillId="3" borderId="0" xfId="0" applyFont="1" applyFill="1" applyAlignment="1">
      <alignment horizontal="left" vertical="center"/>
    </xf>
    <xf numFmtId="0" fontId="25" fillId="9" borderId="0" xfId="5" applyFont="1" applyFill="1" applyAlignment="1">
      <alignment horizontal="left"/>
    </xf>
    <xf numFmtId="0" fontId="47" fillId="10" borderId="0" xfId="3" applyFont="1" applyFill="1" applyAlignment="1" applyProtection="1">
      <alignment horizontal="center"/>
    </xf>
    <xf numFmtId="0" fontId="47" fillId="10" borderId="0" xfId="3" applyFont="1" applyFill="1" applyBorder="1" applyAlignment="1" applyProtection="1">
      <alignment horizontal="center"/>
    </xf>
    <xf numFmtId="0" fontId="29" fillId="0" borderId="0" xfId="3" applyFont="1" applyBorder="1" applyAlignment="1" applyProtection="1">
      <alignment horizontal="right" vertical="distributed" textRotation="90"/>
      <protection locked="0"/>
    </xf>
    <xf numFmtId="0" fontId="47" fillId="10" borderId="0" xfId="3" applyFont="1" applyFill="1" applyAlignment="1" applyProtection="1">
      <alignment horizontal="left"/>
    </xf>
    <xf numFmtId="0" fontId="47" fillId="10" borderId="0" xfId="1" applyFont="1" applyFill="1" applyAlignment="1">
      <alignment horizontal="left"/>
    </xf>
    <xf numFmtId="0" fontId="25" fillId="0" borderId="0" xfId="3" applyFont="1" applyBorder="1" applyAlignment="1" applyProtection="1">
      <alignment horizontal="center"/>
    </xf>
    <xf numFmtId="0" fontId="58" fillId="10" borderId="0" xfId="3" applyFont="1" applyFill="1" applyBorder="1" applyAlignment="1" applyProtection="1">
      <alignment horizontal="left"/>
    </xf>
    <xf numFmtId="0" fontId="58" fillId="10" borderId="0" xfId="7" applyFont="1" applyFill="1" applyBorder="1" applyAlignment="1">
      <alignment horizontal="left"/>
    </xf>
  </cellXfs>
  <cellStyles count="11">
    <cellStyle name="_x000a_386grabber=M" xfId="7"/>
    <cellStyle name="AFE" xfId="3"/>
    <cellStyle name="Normal_Ch01 Pics v2.2" xfId="1"/>
    <cellStyle name="Normal_Ch03 Pics" xfId="6"/>
    <cellStyle name="Normal_compSet(1)" xfId="9"/>
    <cellStyle name="Normal_Financials" xfId="10"/>
    <cellStyle name="Normal_Implied Share Price v12-22-07" xfId="5"/>
    <cellStyle name="Normal_Input Page2" xfId="8"/>
    <cellStyle name="Pctg" xfId="4"/>
    <cellStyle name="百分比" xfId="2" builtinId="5"/>
    <cellStyle name="常规" xfId="0" builtinId="0"/>
  </cellStyles>
  <dxfs count="0"/>
  <tableStyles count="0" defaultTableStyle="TableStyleMedium2" defaultPivotStyle="PivotStyleLight16"/>
  <colors>
    <mruColors>
      <color rgb="FFFFFF99"/>
      <color rgb="FFFFFFCC"/>
      <color rgb="FFEEBC04"/>
      <color rgb="FFCCFFFF"/>
      <color rgb="FF3366FF"/>
      <color rgb="FF0000FF"/>
      <color rgb="FFFFFF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14</xdr:row>
      <xdr:rowOff>0</xdr:rowOff>
    </xdr:from>
    <xdr:to>
      <xdr:col>12</xdr:col>
      <xdr:colOff>0</xdr:colOff>
      <xdr:row>16</xdr:row>
      <xdr:rowOff>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3920378" y="2454088"/>
          <a:ext cx="7162240" cy="31376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23398;&#20064;\&#37329;&#34701;&amp;&#32463;&#27982;\Investment%20Banking%20Models\DCF%20Analysis_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DCF"/>
      <sheetName val="NWC"/>
      <sheetName val="WACC"/>
      <sheetName val="A1"/>
      <sheetName val="A2"/>
      <sheetName val="Rights"/>
    </sheetNames>
    <sheetDataSet>
      <sheetData sheetId="0"/>
      <sheetData sheetId="1">
        <row r="1">
          <cell r="A1" t="str">
            <v>ValueCo Corporation</v>
          </cell>
        </row>
        <row r="6">
          <cell r="E6" t="str">
            <v>2005</v>
          </cell>
          <cell r="F6" t="str">
            <v>2006</v>
          </cell>
          <cell r="G6" t="str">
            <v>2007</v>
          </cell>
          <cell r="I6" t="str">
            <v>2008</v>
          </cell>
          <cell r="J6" t="str">
            <v>2009</v>
          </cell>
          <cell r="K6" t="str">
            <v>2010</v>
          </cell>
          <cell r="L6" t="str">
            <v>2011</v>
          </cell>
          <cell r="M6" t="str">
            <v>2012</v>
          </cell>
          <cell r="N6" t="str">
            <v>2013</v>
          </cell>
        </row>
      </sheetData>
      <sheetData sheetId="2"/>
      <sheetData sheetId="3"/>
      <sheetData sheetId="4">
        <row r="6">
          <cell r="F6" t="str">
            <v>2009</v>
          </cell>
          <cell r="G6" t="str">
            <v>2010</v>
          </cell>
          <cell r="H6" t="str">
            <v>2011</v>
          </cell>
          <cell r="I6" t="str">
            <v>2012</v>
          </cell>
          <cell r="J6" t="str">
            <v>2013</v>
          </cell>
          <cell r="K6" t="str">
            <v>2014</v>
          </cell>
          <cell r="L6" t="str">
            <v>2015</v>
          </cell>
          <cell r="M6" t="str">
            <v>2016</v>
          </cell>
          <cell r="N6" t="str">
            <v>2017</v>
          </cell>
          <cell r="O6" t="str">
            <v>2018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3"/>
  <sheetViews>
    <sheetView tabSelected="1" topLeftCell="A64" zoomScale="85" zoomScaleNormal="85" workbookViewId="0">
      <selection activeCell="J117" sqref="J117"/>
    </sheetView>
  </sheetViews>
  <sheetFormatPr defaultRowHeight="12.75"/>
  <cols>
    <col min="1" max="1" width="1.140625" customWidth="1"/>
    <col min="2" max="14" width="12.85546875" customWidth="1"/>
    <col min="15" max="15" width="15" customWidth="1"/>
  </cols>
  <sheetData>
    <row r="1" spans="1:18" ht="26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8" ht="18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8">
      <c r="A3" s="7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9" t="str">
        <f>B4</f>
        <v xml:space="preserve">Operating Scenario </v>
      </c>
      <c r="N3" s="6"/>
      <c r="O3" s="9" t="str">
        <f>CHOOSE(D4,'A1'!B10,'A1'!B11,'A1'!B12,'A1'!B13,'A1'!B14)</f>
        <v xml:space="preserve">   Base</v>
      </c>
    </row>
    <row r="4" spans="1:18">
      <c r="B4" s="1" t="s">
        <v>3</v>
      </c>
      <c r="D4" s="2">
        <v>1</v>
      </c>
    </row>
    <row r="5" spans="1:18" ht="15">
      <c r="B5" s="1" t="s">
        <v>4</v>
      </c>
      <c r="D5" s="2" t="s">
        <v>5</v>
      </c>
      <c r="E5" s="329" t="s">
        <v>6</v>
      </c>
      <c r="F5" s="330"/>
      <c r="G5" s="330"/>
      <c r="H5" s="8" t="s">
        <v>7</v>
      </c>
      <c r="J5" s="331" t="s">
        <v>8</v>
      </c>
      <c r="K5" s="331"/>
      <c r="L5" s="331"/>
      <c r="M5" s="331"/>
      <c r="N5" s="331"/>
      <c r="O5" s="8" t="s">
        <v>7</v>
      </c>
      <c r="R5" s="10"/>
    </row>
    <row r="6" spans="1:18" ht="15">
      <c r="E6" s="12" t="s">
        <v>10</v>
      </c>
      <c r="F6" s="12" t="s">
        <v>11</v>
      </c>
      <c r="G6" s="12" t="s">
        <v>12</v>
      </c>
      <c r="H6" s="13" t="s">
        <v>9</v>
      </c>
      <c r="I6" s="14" t="s">
        <v>14</v>
      </c>
      <c r="J6" s="14" t="s">
        <v>15</v>
      </c>
      <c r="K6" s="14" t="s">
        <v>16</v>
      </c>
      <c r="L6" s="14" t="s">
        <v>17</v>
      </c>
      <c r="M6" s="14" t="s">
        <v>18</v>
      </c>
      <c r="N6" s="14" t="s">
        <v>19</v>
      </c>
      <c r="O6" s="15" t="s">
        <v>13</v>
      </c>
    </row>
    <row r="7" spans="1:18">
      <c r="B7" s="1" t="s">
        <v>21</v>
      </c>
      <c r="E7" s="294">
        <v>780</v>
      </c>
      <c r="F7" s="294">
        <v>850</v>
      </c>
      <c r="G7" s="294">
        <v>925</v>
      </c>
      <c r="H7" s="292">
        <f>IF(ISERROR((G7/E7)^(1/($G$6-$E$6))-1),"-",(G7/E7)^(1/($G$6-$E$6))-1)</f>
        <v>8.8989180799072809E-2</v>
      </c>
      <c r="I7" s="295">
        <v>1000</v>
      </c>
      <c r="J7" s="296">
        <f>I7*(1+J59)</f>
        <v>1080</v>
      </c>
      <c r="K7" s="296">
        <f t="shared" ref="K7:N7" si="0">J7*(1+K59)</f>
        <v>1144.8</v>
      </c>
      <c r="L7" s="296">
        <f t="shared" si="0"/>
        <v>1190.5920000000001</v>
      </c>
      <c r="M7" s="296">
        <f t="shared" si="0"/>
        <v>1226.3097600000001</v>
      </c>
      <c r="N7" s="296">
        <f t="shared" si="0"/>
        <v>1263.0990528000002</v>
      </c>
      <c r="O7" s="292">
        <f>IF(ISERROR((N7/I7)^(1/($N$6-$I$6))-1),"-",(N7/I7)^(1/($N$6-$I$6))-1)</f>
        <v>4.7821925850228819E-2</v>
      </c>
    </row>
    <row r="8" spans="1:18">
      <c r="B8" s="16" t="s">
        <v>37</v>
      </c>
      <c r="E8" s="21" t="s">
        <v>23</v>
      </c>
      <c r="F8" s="291">
        <f>IF(ISERROR(F7/E7-1),0,F7/E7-1)</f>
        <v>8.9743589743589647E-2</v>
      </c>
      <c r="G8" s="291">
        <f>IF(ISERROR(G7/F7-1),0,G7/F7-1)</f>
        <v>8.8235294117646967E-2</v>
      </c>
      <c r="H8" s="292"/>
      <c r="I8" s="293">
        <f>IF(ISERROR(I7/G7-1),0,I7/G7-1)</f>
        <v>8.1081081081081141E-2</v>
      </c>
      <c r="J8" s="47">
        <f>IF(ISERROR(J7/I7-1),"-",J7/I7-1)</f>
        <v>8.0000000000000071E-2</v>
      </c>
      <c r="K8" s="29">
        <f t="shared" ref="K8:N8" si="1">IF(ISERROR(K7/J7-1),"-",K7/J7-1)</f>
        <v>6.0000000000000053E-2</v>
      </c>
      <c r="L8" s="29">
        <f t="shared" si="1"/>
        <v>4.0000000000000036E-2</v>
      </c>
      <c r="M8" s="29">
        <f t="shared" si="1"/>
        <v>3.0000000000000027E-2</v>
      </c>
      <c r="N8" s="29">
        <f t="shared" si="1"/>
        <v>3.0000000000000027E-2</v>
      </c>
      <c r="O8" s="292"/>
    </row>
    <row r="9" spans="1:18" ht="15">
      <c r="B9" s="17" t="s">
        <v>22</v>
      </c>
      <c r="E9" s="19">
        <v>471.9</v>
      </c>
      <c r="F9" s="19">
        <v>512.1</v>
      </c>
      <c r="G9" s="19">
        <v>555</v>
      </c>
      <c r="H9" s="30"/>
      <c r="I9" s="32">
        <v>600</v>
      </c>
      <c r="J9" s="31">
        <f>J7*J60</f>
        <v>648</v>
      </c>
      <c r="K9" s="31">
        <f t="shared" ref="K9:N9" si="2">K7*K60</f>
        <v>686.88</v>
      </c>
      <c r="L9" s="31">
        <f t="shared" si="2"/>
        <v>714.35520000000008</v>
      </c>
      <c r="M9" s="31">
        <f t="shared" si="2"/>
        <v>735.78585600000008</v>
      </c>
      <c r="N9" s="31">
        <f t="shared" si="2"/>
        <v>757.85943168000006</v>
      </c>
      <c r="O9" s="292"/>
    </row>
    <row r="10" spans="1:18">
      <c r="B10" s="20" t="s">
        <v>24</v>
      </c>
      <c r="E10" s="296">
        <f>E7-E9</f>
        <v>308.10000000000002</v>
      </c>
      <c r="F10" s="296">
        <f>F7-F9</f>
        <v>337.9</v>
      </c>
      <c r="G10" s="296">
        <f>G7-G9</f>
        <v>370</v>
      </c>
      <c r="H10" s="292">
        <f>IF(ISERROR((G10/E10)^(1/($G$6-$E$6))-1),"-",(G10/E10)^(1/($G$6-$E$6))-1)</f>
        <v>9.5859843157647839E-2</v>
      </c>
      <c r="I10" s="297">
        <f>I7-I9</f>
        <v>400</v>
      </c>
      <c r="J10" s="296">
        <f>J7-J9</f>
        <v>432</v>
      </c>
      <c r="K10" s="296">
        <f t="shared" ref="K10:N10" si="3">K7-K9</f>
        <v>457.91999999999996</v>
      </c>
      <c r="L10" s="296">
        <f t="shared" si="3"/>
        <v>476.23680000000002</v>
      </c>
      <c r="M10" s="296">
        <f t="shared" si="3"/>
        <v>490.52390400000002</v>
      </c>
      <c r="N10" s="296">
        <f t="shared" si="3"/>
        <v>505.23962112000015</v>
      </c>
      <c r="O10" s="292">
        <f>IF(ISERROR((N10/I10)^(1/($N$6-$I$6))-1),"-",(N10/I10)^(1/($N$6-$I$6))-1)</f>
        <v>4.7821925850228819E-2</v>
      </c>
    </row>
    <row r="11" spans="1:18">
      <c r="B11" s="18" t="s">
        <v>25</v>
      </c>
      <c r="E11" s="292">
        <f>E10/E7</f>
        <v>0.39500000000000002</v>
      </c>
      <c r="F11" s="292">
        <f>F10/F7</f>
        <v>0.39752941176470585</v>
      </c>
      <c r="G11" s="292">
        <f>G10/G7</f>
        <v>0.4</v>
      </c>
      <c r="H11" s="27"/>
      <c r="I11" s="298">
        <f>I10/I7</f>
        <v>0.4</v>
      </c>
      <c r="J11" s="292">
        <f>J10/J7</f>
        <v>0.4</v>
      </c>
      <c r="K11" s="292">
        <f t="shared" ref="K11:N11" si="4">K10/K7</f>
        <v>0.39999999999999997</v>
      </c>
      <c r="L11" s="292">
        <f t="shared" si="4"/>
        <v>0.39999999999999997</v>
      </c>
      <c r="M11" s="292">
        <f t="shared" si="4"/>
        <v>0.39999999999999997</v>
      </c>
      <c r="N11" s="292">
        <f t="shared" si="4"/>
        <v>0.40000000000000008</v>
      </c>
      <c r="O11" s="292"/>
    </row>
    <row r="12" spans="1:18" ht="15">
      <c r="B12" s="17" t="s">
        <v>26</v>
      </c>
      <c r="E12" s="19">
        <v>198.9</v>
      </c>
      <c r="F12" s="19">
        <v>214.6</v>
      </c>
      <c r="G12" s="19">
        <v>231.3</v>
      </c>
      <c r="H12" s="30"/>
      <c r="I12" s="32">
        <v>250</v>
      </c>
      <c r="J12" s="31">
        <f>J7*J61</f>
        <v>270</v>
      </c>
      <c r="K12" s="31">
        <f t="shared" ref="K12:N12" si="5">K7*K61</f>
        <v>286.2</v>
      </c>
      <c r="L12" s="31">
        <f t="shared" si="5"/>
        <v>297.64800000000002</v>
      </c>
      <c r="M12" s="31">
        <f t="shared" si="5"/>
        <v>306.57744000000002</v>
      </c>
      <c r="N12" s="31">
        <f t="shared" si="5"/>
        <v>315.77476320000005</v>
      </c>
      <c r="O12" s="292"/>
    </row>
    <row r="13" spans="1:18">
      <c r="B13" s="20" t="s">
        <v>27</v>
      </c>
      <c r="E13" s="296">
        <f>E10-E12</f>
        <v>109.20000000000002</v>
      </c>
      <c r="F13" s="296">
        <f t="shared" ref="F13:I13" si="6">F10-F12</f>
        <v>123.29999999999998</v>
      </c>
      <c r="G13" s="296">
        <f t="shared" si="6"/>
        <v>138.69999999999999</v>
      </c>
      <c r="H13" s="292">
        <f>IF(ISERROR((G13/E13)^(1/($G$6-$E$6))-1),"-",(G13/E13)^(1/($G$6-$E$6))-1)</f>
        <v>0.12700777288646936</v>
      </c>
      <c r="I13" s="297">
        <f t="shared" si="6"/>
        <v>150</v>
      </c>
      <c r="J13" s="296">
        <f>J10-J12</f>
        <v>162</v>
      </c>
      <c r="K13" s="296">
        <f t="shared" ref="K13:N13" si="7">K10-K12</f>
        <v>171.71999999999997</v>
      </c>
      <c r="L13" s="296">
        <f t="shared" si="7"/>
        <v>178.58879999999999</v>
      </c>
      <c r="M13" s="296">
        <f t="shared" si="7"/>
        <v>183.94646399999999</v>
      </c>
      <c r="N13" s="296">
        <f t="shared" si="7"/>
        <v>189.4648579200001</v>
      </c>
      <c r="O13" s="292">
        <f>IF(ISERROR((N13/I13)^(1/($N$6-$I$6))-1),"-",(N13/I13)^(1/($N$6-$I$6))-1)</f>
        <v>4.7821925850228819E-2</v>
      </c>
    </row>
    <row r="14" spans="1:18">
      <c r="B14" s="21" t="s">
        <v>36</v>
      </c>
      <c r="E14" s="292">
        <f>E13/E7</f>
        <v>0.14000000000000001</v>
      </c>
      <c r="F14" s="292">
        <f t="shared" ref="F14:I14" si="8">F13/F7</f>
        <v>0.14505882352941174</v>
      </c>
      <c r="G14" s="292">
        <f t="shared" si="8"/>
        <v>0.14994594594594593</v>
      </c>
      <c r="H14" s="27"/>
      <c r="I14" s="298">
        <f t="shared" si="8"/>
        <v>0.15</v>
      </c>
      <c r="J14" s="292">
        <f>J13/J7</f>
        <v>0.15</v>
      </c>
      <c r="K14" s="292">
        <f t="shared" ref="K14:N14" si="9">K13/K7</f>
        <v>0.14999999999999997</v>
      </c>
      <c r="L14" s="292">
        <f t="shared" si="9"/>
        <v>0.15</v>
      </c>
      <c r="M14" s="292">
        <f t="shared" si="9"/>
        <v>0.15</v>
      </c>
      <c r="N14" s="292">
        <f t="shared" si="9"/>
        <v>0.15000000000000005</v>
      </c>
      <c r="O14" s="292"/>
    </row>
    <row r="15" spans="1:18" ht="15">
      <c r="B15" s="17" t="s">
        <v>29</v>
      </c>
      <c r="E15" s="19">
        <v>15.6</v>
      </c>
      <c r="F15" s="19">
        <v>17</v>
      </c>
      <c r="G15" s="19">
        <v>18.5</v>
      </c>
      <c r="H15" s="30"/>
      <c r="I15" s="32">
        <v>20</v>
      </c>
      <c r="J15" s="31">
        <f>J7*J62</f>
        <v>21.6</v>
      </c>
      <c r="K15" s="31">
        <f t="shared" ref="K15:N15" si="10">K7*K62</f>
        <v>22.896000000000001</v>
      </c>
      <c r="L15" s="31">
        <f t="shared" si="10"/>
        <v>23.811840000000004</v>
      </c>
      <c r="M15" s="31">
        <f t="shared" si="10"/>
        <v>24.526195200000004</v>
      </c>
      <c r="N15" s="31">
        <f t="shared" si="10"/>
        <v>25.261981056000003</v>
      </c>
      <c r="O15" s="292"/>
    </row>
    <row r="16" spans="1:18">
      <c r="B16" s="20" t="s">
        <v>30</v>
      </c>
      <c r="E16" s="296">
        <f>E13-E15</f>
        <v>93.600000000000023</v>
      </c>
      <c r="F16" s="296">
        <f t="shared" ref="F16:I16" si="11">F13-F15</f>
        <v>106.29999999999998</v>
      </c>
      <c r="G16" s="296">
        <f t="shared" si="11"/>
        <v>120.19999999999999</v>
      </c>
      <c r="H16" s="292">
        <f>IF(ISERROR((G16/E16)^(1/($G$6-$E$6))-1),"-",(G16/E16)^(1/($G$6-$E$6))-1)</f>
        <v>0.1332202055152536</v>
      </c>
      <c r="I16" s="297">
        <f t="shared" si="11"/>
        <v>130</v>
      </c>
      <c r="J16" s="296">
        <f>J13-J15</f>
        <v>140.4</v>
      </c>
      <c r="K16" s="296">
        <f t="shared" ref="K16:N16" si="12">K13-K15</f>
        <v>148.82399999999996</v>
      </c>
      <c r="L16" s="296">
        <f t="shared" si="12"/>
        <v>154.77695999999997</v>
      </c>
      <c r="M16" s="296">
        <f t="shared" si="12"/>
        <v>159.42026879999997</v>
      </c>
      <c r="N16" s="296">
        <f t="shared" si="12"/>
        <v>164.2028768640001</v>
      </c>
      <c r="O16" s="292">
        <f>IF(ISERROR((N16/I16)^(1/($N$6-$I$6))-1),"-",(N16/I16)^(1/($N$6-$I$6))-1)</f>
        <v>4.7821925850228819E-2</v>
      </c>
    </row>
    <row r="17" spans="2:15">
      <c r="B17" s="21" t="s">
        <v>28</v>
      </c>
      <c r="E17" s="292">
        <f>E16/E7</f>
        <v>0.12000000000000002</v>
      </c>
      <c r="F17" s="292">
        <f t="shared" ref="F17:I17" si="13">F16/F7</f>
        <v>0.12505882352941175</v>
      </c>
      <c r="G17" s="292">
        <f t="shared" si="13"/>
        <v>0.12994594594594594</v>
      </c>
      <c r="H17" s="27"/>
      <c r="I17" s="298">
        <f t="shared" si="13"/>
        <v>0.13</v>
      </c>
      <c r="J17" s="292">
        <f>J16/J7</f>
        <v>0.13</v>
      </c>
      <c r="K17" s="292">
        <f t="shared" ref="K17:N17" si="14">K16/K7</f>
        <v>0.12999999999999998</v>
      </c>
      <c r="L17" s="292">
        <f t="shared" si="14"/>
        <v>0.12999999999999998</v>
      </c>
      <c r="M17" s="292">
        <f t="shared" si="14"/>
        <v>0.12999999999999998</v>
      </c>
      <c r="N17" s="292">
        <f t="shared" si="14"/>
        <v>0.13000000000000006</v>
      </c>
      <c r="O17" s="292"/>
    </row>
    <row r="18" spans="2:15" ht="15">
      <c r="B18" s="17" t="s">
        <v>31</v>
      </c>
      <c r="E18" s="31">
        <f>E16*E64</f>
        <v>35.568000000000012</v>
      </c>
      <c r="F18" s="31">
        <f t="shared" ref="F18:I18" si="15">F16*F64</f>
        <v>40.393999999999991</v>
      </c>
      <c r="G18" s="31">
        <f t="shared" si="15"/>
        <v>45.675999999999995</v>
      </c>
      <c r="H18" s="26"/>
      <c r="I18" s="299">
        <f t="shared" si="15"/>
        <v>49.4</v>
      </c>
      <c r="J18" s="31">
        <f>J16*J64</f>
        <v>53.352000000000004</v>
      </c>
      <c r="K18" s="31">
        <f t="shared" ref="K18:N18" si="16">K16*K64</f>
        <v>56.553119999999986</v>
      </c>
      <c r="L18" s="31">
        <f t="shared" si="16"/>
        <v>58.815244799999988</v>
      </c>
      <c r="M18" s="31">
        <f t="shared" si="16"/>
        <v>60.579702143999988</v>
      </c>
      <c r="N18" s="31">
        <f t="shared" si="16"/>
        <v>62.397093208320037</v>
      </c>
      <c r="O18" s="292"/>
    </row>
    <row r="19" spans="2:15">
      <c r="B19" s="20" t="s">
        <v>32</v>
      </c>
      <c r="E19" s="296">
        <f>E16-E18</f>
        <v>58.032000000000011</v>
      </c>
      <c r="F19" s="296">
        <f t="shared" ref="F19:I19" si="17">F16-F18</f>
        <v>65.905999999999992</v>
      </c>
      <c r="G19" s="296">
        <f t="shared" si="17"/>
        <v>74.524000000000001</v>
      </c>
      <c r="H19" s="26"/>
      <c r="I19" s="297">
        <f t="shared" si="17"/>
        <v>80.599999999999994</v>
      </c>
      <c r="J19" s="296">
        <f>J16-J18</f>
        <v>87.048000000000002</v>
      </c>
      <c r="K19" s="296">
        <f t="shared" ref="K19:N19" si="18">K16-K18</f>
        <v>92.270879999999977</v>
      </c>
      <c r="L19" s="296">
        <f t="shared" si="18"/>
        <v>95.961715199999986</v>
      </c>
      <c r="M19" s="296">
        <f t="shared" si="18"/>
        <v>98.840566655999993</v>
      </c>
      <c r="N19" s="296">
        <f t="shared" si="18"/>
        <v>101.80578365568007</v>
      </c>
      <c r="O19" s="292">
        <f>IF(ISERROR((N19/I19)^(1/($N$6-$I$6))-1),"-",(N19/I19)^(1/($N$6-$I$6))-1)</f>
        <v>4.7821925850228819E-2</v>
      </c>
    </row>
    <row r="20" spans="2:15" ht="4.5" customHeight="1">
      <c r="E20" s="17"/>
      <c r="F20" s="17"/>
      <c r="G20" s="17"/>
      <c r="H20" s="17"/>
      <c r="I20" s="34"/>
      <c r="J20" s="17"/>
      <c r="K20" s="17"/>
      <c r="L20" s="17"/>
      <c r="M20" s="17"/>
      <c r="N20" s="17"/>
      <c r="O20" s="17"/>
    </row>
    <row r="21" spans="2:15">
      <c r="B21" s="23" t="s">
        <v>33</v>
      </c>
      <c r="E21" s="28">
        <f>E15</f>
        <v>15.6</v>
      </c>
      <c r="F21" s="28">
        <f t="shared" ref="F21:G21" si="19">F15</f>
        <v>17</v>
      </c>
      <c r="G21" s="28">
        <f t="shared" si="19"/>
        <v>18.5</v>
      </c>
      <c r="H21" s="28">
        <v>0</v>
      </c>
      <c r="I21" s="33">
        <f>I15</f>
        <v>20</v>
      </c>
      <c r="J21" s="28">
        <f t="shared" ref="J21:N21" si="20">J15</f>
        <v>21.6</v>
      </c>
      <c r="K21" s="28">
        <f t="shared" si="20"/>
        <v>22.896000000000001</v>
      </c>
      <c r="L21" s="28">
        <f t="shared" si="20"/>
        <v>23.811840000000004</v>
      </c>
      <c r="M21" s="28">
        <f t="shared" si="20"/>
        <v>24.526195200000004</v>
      </c>
      <c r="N21" s="28">
        <f t="shared" si="20"/>
        <v>25.261981056000003</v>
      </c>
      <c r="O21" s="28"/>
    </row>
    <row r="22" spans="2:15" ht="15">
      <c r="B22" s="23" t="s">
        <v>34</v>
      </c>
      <c r="E22" s="19">
        <v>-15</v>
      </c>
      <c r="F22" s="19">
        <v>-18</v>
      </c>
      <c r="G22" s="19">
        <v>-18.5</v>
      </c>
      <c r="H22" s="30"/>
      <c r="I22" s="32">
        <v>-20</v>
      </c>
      <c r="J22" s="35">
        <f>-J7*J63</f>
        <v>-21.6</v>
      </c>
      <c r="K22" s="35">
        <f t="shared" ref="K22:N22" si="21">-K7*K63</f>
        <v>-22.896000000000001</v>
      </c>
      <c r="L22" s="35">
        <f t="shared" si="21"/>
        <v>-23.811840000000004</v>
      </c>
      <c r="M22" s="35">
        <f t="shared" si="21"/>
        <v>-24.526195200000004</v>
      </c>
      <c r="N22" s="35">
        <f t="shared" si="21"/>
        <v>-25.261981056000003</v>
      </c>
      <c r="O22" s="35"/>
    </row>
    <row r="23" spans="2:15" ht="15">
      <c r="B23" s="23" t="s">
        <v>35</v>
      </c>
      <c r="E23" s="17"/>
      <c r="F23" s="17"/>
      <c r="G23" s="17"/>
      <c r="H23" s="17"/>
      <c r="I23" s="34"/>
      <c r="J23" s="36">
        <f>NWC!I26</f>
        <v>-8.0000000000000568</v>
      </c>
      <c r="K23" s="36">
        <f>NWC!J26</f>
        <v>-6.4799999999998761</v>
      </c>
      <c r="L23" s="36">
        <f>NWC!K26</f>
        <v>-4.5792000000000712</v>
      </c>
      <c r="M23" s="36">
        <f>NWC!L26</f>
        <v>-3.5717759999999998</v>
      </c>
      <c r="N23" s="36">
        <f>NWC!M26</f>
        <v>-3.6789292800000339</v>
      </c>
      <c r="O23" s="36"/>
    </row>
    <row r="24" spans="2:15" ht="3.75" customHeight="1">
      <c r="B24" s="23"/>
      <c r="E24" s="17"/>
      <c r="F24" s="17"/>
      <c r="G24" s="17"/>
      <c r="H24" s="17"/>
      <c r="I24" s="42"/>
      <c r="J24" s="36"/>
      <c r="K24" s="36"/>
      <c r="L24" s="36"/>
      <c r="M24" s="36"/>
      <c r="N24" s="36"/>
      <c r="O24" s="36"/>
    </row>
    <row r="25" spans="2:15">
      <c r="B25" s="25" t="s">
        <v>38</v>
      </c>
      <c r="E25" s="17"/>
      <c r="F25" s="17"/>
      <c r="G25" s="17"/>
      <c r="H25" s="17"/>
      <c r="I25" s="17"/>
      <c r="J25" s="296">
        <f>SUM(J19,J21:J23)</f>
        <v>79.047999999999945</v>
      </c>
      <c r="K25" s="296">
        <f t="shared" ref="K25:N25" si="22">SUM(K19,K21:K23)</f>
        <v>85.790880000000101</v>
      </c>
      <c r="L25" s="296">
        <f t="shared" si="22"/>
        <v>91.382515199999915</v>
      </c>
      <c r="M25" s="296">
        <f t="shared" si="22"/>
        <v>95.268790655999993</v>
      </c>
      <c r="N25" s="296">
        <f t="shared" si="22"/>
        <v>98.12685437568004</v>
      </c>
      <c r="O25" s="17"/>
    </row>
    <row r="26" spans="2:15">
      <c r="B26" s="24" t="s">
        <v>41</v>
      </c>
      <c r="E26" s="304">
        <f>WACC!D26</f>
        <v>0.11016772655197155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</row>
    <row r="27" spans="2:15">
      <c r="B27" s="24" t="s">
        <v>42</v>
      </c>
      <c r="E27" s="17"/>
      <c r="F27" s="17"/>
      <c r="G27" s="17"/>
      <c r="H27" s="17"/>
      <c r="I27" s="17"/>
      <c r="J27" s="40">
        <f>IF($D$5="Y",J6-$I$6-0.5,J6-$I$6)</f>
        <v>0.5</v>
      </c>
      <c r="K27" s="40">
        <f t="shared" ref="K27:N27" si="23">IF($D$5="Y",K6-$I$6-0.5,K6-$I$6)</f>
        <v>1.5</v>
      </c>
      <c r="L27" s="40">
        <f t="shared" si="23"/>
        <v>2.5</v>
      </c>
      <c r="M27" s="40">
        <f t="shared" si="23"/>
        <v>3.5</v>
      </c>
      <c r="N27" s="40">
        <f t="shared" si="23"/>
        <v>4.5</v>
      </c>
      <c r="O27" s="40"/>
    </row>
    <row r="28" spans="2:15">
      <c r="B28" s="24" t="s">
        <v>43</v>
      </c>
      <c r="E28" s="17"/>
      <c r="F28" s="17"/>
      <c r="G28" s="17"/>
      <c r="H28" s="17"/>
      <c r="I28" s="17"/>
      <c r="J28" s="302">
        <f>(1+$E$26)^(-J27)</f>
        <v>0.9490862926181064</v>
      </c>
      <c r="K28" s="302">
        <f t="shared" ref="K28:N28" si="24">(1+$E$26)^(-K27)</f>
        <v>0.8549035158550663</v>
      </c>
      <c r="L28" s="302">
        <f t="shared" si="24"/>
        <v>0.77006698664379225</v>
      </c>
      <c r="M28" s="302">
        <f t="shared" si="24"/>
        <v>0.69364922815358221</v>
      </c>
      <c r="N28" s="302">
        <f t="shared" si="24"/>
        <v>0.62481480191102423</v>
      </c>
      <c r="O28" s="40"/>
    </row>
    <row r="29" spans="2:15">
      <c r="B29" s="39" t="s">
        <v>44</v>
      </c>
      <c r="C29" s="38"/>
      <c r="D29" s="38"/>
      <c r="E29" s="38"/>
      <c r="F29" s="38"/>
      <c r="G29" s="38"/>
      <c r="H29" s="38"/>
      <c r="I29" s="38"/>
      <c r="J29" s="303">
        <f>J25*J28</f>
        <v>75.02337325887602</v>
      </c>
      <c r="K29" s="303">
        <f t="shared" ref="K29:N29" si="25">K25*K28</f>
        <v>73.342924940300179</v>
      </c>
      <c r="L29" s="303">
        <f t="shared" si="25"/>
        <v>70.370658111994473</v>
      </c>
      <c r="M29" s="303">
        <f t="shared" si="25"/>
        <v>66.083123105659595</v>
      </c>
      <c r="N29" s="303">
        <f t="shared" si="25"/>
        <v>61.311111078892445</v>
      </c>
      <c r="O29" s="41"/>
    </row>
    <row r="32" spans="2:15" ht="15">
      <c r="B32" s="331" t="s">
        <v>46</v>
      </c>
      <c r="C32" s="331"/>
      <c r="D32" s="331"/>
      <c r="E32" s="331"/>
      <c r="G32" s="331" t="s">
        <v>47</v>
      </c>
      <c r="H32" s="331"/>
      <c r="I32" s="331"/>
      <c r="J32" s="331"/>
      <c r="L32" s="331" t="s">
        <v>49</v>
      </c>
      <c r="M32" s="331"/>
      <c r="N32" s="331"/>
      <c r="O32" s="331"/>
    </row>
    <row r="33" spans="2:15">
      <c r="B33" s="20" t="s">
        <v>50</v>
      </c>
      <c r="C33" s="17"/>
      <c r="D33" s="17"/>
      <c r="E33" s="296">
        <f>SUM(J29:N29)</f>
        <v>346.13119049572271</v>
      </c>
      <c r="G33" s="23" t="s">
        <v>45</v>
      </c>
      <c r="J33" s="28">
        <f>E43</f>
        <v>1132.6040118814258</v>
      </c>
      <c r="L33" s="50" t="str">
        <f>"Terminal Year Free Cash Flow ("&amp;N6&amp;"E)"</f>
        <v>Terminal Year Free Cash Flow (2013E)</v>
      </c>
      <c r="O33" s="28">
        <f>N25</f>
        <v>98.12685437568004</v>
      </c>
    </row>
    <row r="34" spans="2:15">
      <c r="B34" s="17"/>
      <c r="C34" s="17"/>
      <c r="D34" s="17"/>
      <c r="E34" s="17"/>
      <c r="G34" s="23" t="s">
        <v>58</v>
      </c>
      <c r="J34" s="306">
        <v>-300</v>
      </c>
      <c r="K34" s="49"/>
      <c r="L34" s="50" t="s">
        <v>39</v>
      </c>
      <c r="O34" s="52">
        <f>E26</f>
        <v>0.11016772655197155</v>
      </c>
    </row>
    <row r="35" spans="2:15" ht="15">
      <c r="B35" s="332" t="s">
        <v>51</v>
      </c>
      <c r="C35" s="332"/>
      <c r="D35" s="332"/>
      <c r="E35" s="332"/>
      <c r="G35" s="23" t="s">
        <v>59</v>
      </c>
      <c r="J35" s="48">
        <v>0</v>
      </c>
      <c r="K35" s="49"/>
      <c r="L35" s="50" t="str">
        <f>+B35</f>
        <v>Terminal Value</v>
      </c>
      <c r="O35" s="28">
        <f>E38</f>
        <v>1326.2540054400006</v>
      </c>
    </row>
    <row r="36" spans="2:15">
      <c r="B36" s="17" t="str">
        <f>"Terminal Year EBITDA ("&amp;N6&amp;"E)"</f>
        <v>Terminal Year EBITDA (2013E)</v>
      </c>
      <c r="C36" s="17"/>
      <c r="D36" s="17"/>
      <c r="E36" s="296">
        <f>N13</f>
        <v>189.4648579200001</v>
      </c>
      <c r="G36" s="23" t="s">
        <v>60</v>
      </c>
      <c r="J36" s="48">
        <v>0</v>
      </c>
      <c r="K36" s="49"/>
      <c r="L36" s="51"/>
    </row>
    <row r="37" spans="2:15" ht="15">
      <c r="B37" s="17" t="s">
        <v>52</v>
      </c>
      <c r="C37" s="17"/>
      <c r="D37" s="17"/>
      <c r="E37" s="45">
        <v>7</v>
      </c>
      <c r="G37" s="23" t="s">
        <v>61</v>
      </c>
      <c r="J37" s="307">
        <v>25</v>
      </c>
      <c r="K37" s="49"/>
      <c r="L37" s="43" t="s">
        <v>48</v>
      </c>
      <c r="O37" s="312">
        <f>+IF(ISERROR(IF(D5="Y",((E38*E26)-N25*(1+E26)^0.5)/(E38+N25*(1+E26)^0.5),((O35*O34)-O33)/(O35+O33))),"- %",IF(D5="Y",((E38*E26)-N25*(1+E26)^0.5)/(E38+N25*(1+E26)^0.5),((O35*O34)-O33)/(O35+O33)))</f>
        <v>2.9881212273556765E-2</v>
      </c>
    </row>
    <row r="38" spans="2:15">
      <c r="B38" s="20" t="s">
        <v>53</v>
      </c>
      <c r="C38" s="17"/>
      <c r="D38" s="17"/>
      <c r="E38" s="296">
        <f>E36*E37</f>
        <v>1326.2540054400006</v>
      </c>
      <c r="G38" s="23"/>
    </row>
    <row r="39" spans="2:15" ht="15">
      <c r="B39" s="17" t="s">
        <v>54</v>
      </c>
      <c r="C39" s="17"/>
      <c r="D39" s="17"/>
      <c r="E39" s="46">
        <f>1/(1+$E$26)^(N6-I6)</f>
        <v>0.59300316391865027</v>
      </c>
      <c r="G39" s="43" t="s">
        <v>62</v>
      </c>
      <c r="J39" s="44">
        <f>SUM(J33:J37)</f>
        <v>857.60401188142578</v>
      </c>
      <c r="L39" s="331" t="s">
        <v>65</v>
      </c>
      <c r="M39" s="331"/>
      <c r="N39" s="331"/>
      <c r="O39" s="331"/>
    </row>
    <row r="40" spans="2:15">
      <c r="B40" s="20" t="s">
        <v>55</v>
      </c>
      <c r="C40" s="17"/>
      <c r="D40" s="17"/>
      <c r="E40" s="296">
        <f>E38*E39</f>
        <v>786.47282138570313</v>
      </c>
      <c r="G40" s="23"/>
      <c r="L40" s="53" t="str">
        <f>+G33</f>
        <v>Enterprise Value</v>
      </c>
      <c r="O40" s="40">
        <f>E43</f>
        <v>1132.6040118814258</v>
      </c>
    </row>
    <row r="41" spans="2:15">
      <c r="B41" s="22" t="s">
        <v>56</v>
      </c>
      <c r="C41" s="17"/>
      <c r="D41" s="17"/>
      <c r="E41" s="47">
        <f>E40/E43</f>
        <v>0.69439346244169964</v>
      </c>
      <c r="G41" s="23" t="s">
        <v>63</v>
      </c>
      <c r="J41" s="40">
        <f ca="1">F131</f>
        <v>49.998662735932477</v>
      </c>
      <c r="L41" s="23" t="s">
        <v>66</v>
      </c>
      <c r="O41" s="48">
        <v>146.69999999999999</v>
      </c>
    </row>
    <row r="42" spans="2:15">
      <c r="B42" s="17"/>
      <c r="C42" s="17"/>
      <c r="D42" s="17"/>
      <c r="E42" s="17"/>
      <c r="G42" s="23"/>
      <c r="L42" s="23"/>
    </row>
    <row r="43" spans="2:15">
      <c r="B43" s="20" t="s">
        <v>57</v>
      </c>
      <c r="C43" s="17"/>
      <c r="D43" s="17"/>
      <c r="E43" s="305">
        <f>E33+E40</f>
        <v>1132.6040118814258</v>
      </c>
      <c r="G43" s="43" t="s">
        <v>63</v>
      </c>
      <c r="J43" s="44">
        <f ca="1">J39/J41</f>
        <v>17.152538987109601</v>
      </c>
      <c r="L43" s="43" t="s">
        <v>64</v>
      </c>
      <c r="O43" s="313">
        <f>O40/O41</f>
        <v>7.7205454115979952</v>
      </c>
    </row>
    <row r="46" spans="2:15" ht="15">
      <c r="C46" s="333" t="s">
        <v>46</v>
      </c>
      <c r="D46" s="333"/>
      <c r="E46" s="333"/>
      <c r="F46" s="333"/>
      <c r="G46" s="333"/>
      <c r="H46" s="333"/>
      <c r="J46" s="333" t="s">
        <v>67</v>
      </c>
      <c r="K46" s="333"/>
      <c r="L46" s="333"/>
      <c r="M46" s="333"/>
      <c r="N46" s="333"/>
      <c r="O46" s="333"/>
    </row>
    <row r="47" spans="2:15" ht="15">
      <c r="D47" s="334" t="s">
        <v>52</v>
      </c>
      <c r="E47" s="334"/>
      <c r="F47" s="334"/>
      <c r="G47" s="334"/>
      <c r="H47" s="334"/>
      <c r="K47" s="334" t="s">
        <v>52</v>
      </c>
      <c r="L47" s="334"/>
      <c r="M47" s="334"/>
      <c r="N47" s="334"/>
      <c r="O47" s="334"/>
    </row>
    <row r="48" spans="2:15">
      <c r="C48" s="237">
        <f>E43</f>
        <v>1132.6040118814258</v>
      </c>
      <c r="D48" s="86">
        <v>6</v>
      </c>
      <c r="E48" s="86">
        <v>6.5</v>
      </c>
      <c r="F48" s="87">
        <v>7</v>
      </c>
      <c r="G48" s="86">
        <v>7.5</v>
      </c>
      <c r="H48" s="86">
        <v>8</v>
      </c>
      <c r="J48" s="237">
        <f>O37</f>
        <v>2.9881212273556765E-2</v>
      </c>
      <c r="K48" s="86">
        <v>6</v>
      </c>
      <c r="L48" s="86">
        <v>6.5</v>
      </c>
      <c r="M48" s="87">
        <v>7</v>
      </c>
      <c r="N48" s="86">
        <v>7.5</v>
      </c>
      <c r="O48" s="86">
        <v>8</v>
      </c>
    </row>
    <row r="49" spans="2:15">
      <c r="B49" s="335" t="s">
        <v>68</v>
      </c>
      <c r="C49" s="88">
        <v>0.1</v>
      </c>
      <c r="D49" s="55">
        <f t="dataTable" ref="D49:H53" dt2D="1" dtr="1" r1="E37" r2="E26" ca="1"/>
        <v>1059.7450006326935</v>
      </c>
      <c r="E49" s="55">
        <v>1118.5663857591442</v>
      </c>
      <c r="F49" s="55">
        <v>1177.3877708855948</v>
      </c>
      <c r="G49" s="55">
        <v>1236.2091560120452</v>
      </c>
      <c r="H49" s="55">
        <v>1295.0305411384961</v>
      </c>
      <c r="I49" s="335" t="s">
        <v>68</v>
      </c>
      <c r="J49" s="88">
        <v>0.1</v>
      </c>
      <c r="K49" s="58">
        <f t="dataTable" ref="K49:O53" dt2D="1" dtr="1" r1="E37" r2="E26" ca="1"/>
        <v>8.6815796021365976E-3</v>
      </c>
      <c r="L49" s="58">
        <v>1.5164321017492325E-2</v>
      </c>
      <c r="M49" s="58">
        <v>2.0787646542909443E-2</v>
      </c>
      <c r="N49" s="58">
        <v>2.5711831277714904E-2</v>
      </c>
      <c r="O49" s="58">
        <v>3.0059629205466624E-2</v>
      </c>
    </row>
    <row r="50" spans="2:15">
      <c r="B50" s="335"/>
      <c r="C50" s="88">
        <v>0.105</v>
      </c>
      <c r="D50" s="55">
        <v>1040.0669487741243</v>
      </c>
      <c r="E50" s="56">
        <v>1097.5695224041206</v>
      </c>
      <c r="F50" s="56">
        <v>1155.0720960341168</v>
      </c>
      <c r="G50" s="56">
        <v>1212.5746696641131</v>
      </c>
      <c r="H50" s="55">
        <v>1270.0772432941094</v>
      </c>
      <c r="I50" s="335"/>
      <c r="J50" s="88">
        <v>0.105</v>
      </c>
      <c r="K50" s="58">
        <v>1.3075571138853369E-2</v>
      </c>
      <c r="L50" s="59">
        <v>1.9600191064388341E-2</v>
      </c>
      <c r="M50" s="59">
        <v>2.5259984651886679E-2</v>
      </c>
      <c r="N50" s="59">
        <v>3.0216211288388108E-2</v>
      </c>
      <c r="O50" s="58">
        <v>3.4592384267329891E-2</v>
      </c>
    </row>
    <row r="51" spans="2:15">
      <c r="B51" s="335"/>
      <c r="C51" s="89">
        <v>0.11</v>
      </c>
      <c r="D51" s="55">
        <v>1020.8857552781844</v>
      </c>
      <c r="E51" s="56">
        <v>1077.1048410547096</v>
      </c>
      <c r="F51" s="57">
        <v>1133.3239268312345</v>
      </c>
      <c r="G51" s="56">
        <v>1189.5430126077597</v>
      </c>
      <c r="H51" s="55">
        <v>1245.7620983842849</v>
      </c>
      <c r="I51" s="335"/>
      <c r="J51" s="89">
        <v>0.11</v>
      </c>
      <c r="K51" s="58">
        <v>1.7468340289446764E-2</v>
      </c>
      <c r="L51" s="59">
        <v>2.4034913410683298E-2</v>
      </c>
      <c r="M51" s="60">
        <v>2.9731241294959077E-2</v>
      </c>
      <c r="N51" s="59">
        <v>3.4719568947042818E-2</v>
      </c>
      <c r="O51" s="58">
        <v>3.9124170041540195E-2</v>
      </c>
    </row>
    <row r="52" spans="2:15">
      <c r="B52" s="335"/>
      <c r="C52" s="88">
        <v>0.115</v>
      </c>
      <c r="D52" s="55">
        <v>1002.1864260239037</v>
      </c>
      <c r="E52" s="56">
        <v>1057.156248690959</v>
      </c>
      <c r="F52" s="56">
        <v>1112.1260713580141</v>
      </c>
      <c r="G52" s="56">
        <v>1167.0958940250696</v>
      </c>
      <c r="H52" s="55">
        <v>1222.0657166921251</v>
      </c>
      <c r="I52" s="335"/>
      <c r="J52" s="88">
        <v>0.115</v>
      </c>
      <c r="K52" s="58">
        <v>2.1859890416900458E-2</v>
      </c>
      <c r="L52" s="59">
        <v>2.8468491173760695E-2</v>
      </c>
      <c r="M52" s="59">
        <v>3.4201419376765796E-2</v>
      </c>
      <c r="N52" s="59">
        <v>3.9221906972337434E-2</v>
      </c>
      <c r="O52" s="58">
        <v>4.3654989082847775E-2</v>
      </c>
    </row>
    <row r="53" spans="2:15">
      <c r="B53" s="335"/>
      <c r="C53" s="88">
        <v>0.12</v>
      </c>
      <c r="D53" s="55">
        <v>983.95448773172643</v>
      </c>
      <c r="E53" s="55">
        <v>1037.7082120310847</v>
      </c>
      <c r="F53" s="55">
        <v>1091.4619363304432</v>
      </c>
      <c r="G53" s="55">
        <v>1145.2156606298017</v>
      </c>
      <c r="H53" s="55">
        <v>1198.96938492916</v>
      </c>
      <c r="I53" s="335"/>
      <c r="J53" s="88">
        <v>0.12</v>
      </c>
      <c r="K53" s="58">
        <v>2.6250224861128286E-2</v>
      </c>
      <c r="L53" s="58">
        <v>3.2900927449668008E-2</v>
      </c>
      <c r="M53" s="58">
        <v>3.8670521782103631E-2</v>
      </c>
      <c r="N53" s="58">
        <v>4.3723228064387859E-2</v>
      </c>
      <c r="O53" s="58">
        <v>4.8184843928601437E-2</v>
      </c>
    </row>
    <row r="55" spans="2:15"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</row>
    <row r="58" spans="2:15">
      <c r="B58" s="61" t="s">
        <v>69</v>
      </c>
      <c r="C58" s="62"/>
      <c r="D58" s="62"/>
      <c r="E58" s="63"/>
      <c r="F58" s="24"/>
      <c r="G58" s="24"/>
      <c r="H58" s="24"/>
      <c r="I58" s="64"/>
      <c r="J58" s="24"/>
      <c r="K58" s="65"/>
      <c r="L58" s="65"/>
      <c r="M58" s="65"/>
      <c r="N58" s="65"/>
    </row>
    <row r="59" spans="2:15">
      <c r="B59" s="66" t="s">
        <v>70</v>
      </c>
      <c r="C59" s="67"/>
      <c r="D59" s="67"/>
      <c r="E59" s="68" t="s">
        <v>187</v>
      </c>
      <c r="F59" s="68">
        <f>IF(ISERROR(F7/E7-1),0,F7/E7-1)</f>
        <v>8.9743589743589647E-2</v>
      </c>
      <c r="G59" s="68">
        <f>IF(ISERROR(G7/F7-1),0,G7/F7-1)</f>
        <v>8.8235294117646967E-2</v>
      </c>
      <c r="H59" s="68"/>
      <c r="I59" s="68">
        <f>IF(ISERROR(I7/G7-1),0,I7/G7-1)</f>
        <v>8.1081081081081141E-2</v>
      </c>
      <c r="J59" s="69">
        <f>'A1'!F9</f>
        <v>0.08</v>
      </c>
      <c r="K59" s="68">
        <f>'A1'!G9</f>
        <v>0.06</v>
      </c>
      <c r="L59" s="68">
        <f>'A1'!H9</f>
        <v>0.04</v>
      </c>
      <c r="M59" s="68">
        <f>'A1'!I9</f>
        <v>0.03</v>
      </c>
      <c r="N59" s="328">
        <f>'A1'!J9</f>
        <v>0.03</v>
      </c>
    </row>
    <row r="60" spans="2:15">
      <c r="B60" s="70" t="s">
        <v>71</v>
      </c>
      <c r="C60" s="71"/>
      <c r="D60" s="71"/>
      <c r="E60" s="72">
        <f>IF(ISERROR(E9/E7),"-",E9/E7)</f>
        <v>0.60499999999999998</v>
      </c>
      <c r="F60" s="72">
        <f t="shared" ref="F60:I60" si="26">IF(ISERROR(F9/F7),"-",F9/F7)</f>
        <v>0.60247058823529409</v>
      </c>
      <c r="G60" s="72">
        <f t="shared" si="26"/>
        <v>0.6</v>
      </c>
      <c r="H60" s="72"/>
      <c r="I60" s="72">
        <f t="shared" si="26"/>
        <v>0.6</v>
      </c>
      <c r="J60" s="73">
        <f>'A1'!F16</f>
        <v>0.6</v>
      </c>
      <c r="K60" s="72">
        <f>'A1'!G16</f>
        <v>0.6</v>
      </c>
      <c r="L60" s="72">
        <f>'A1'!H16</f>
        <v>0.6</v>
      </c>
      <c r="M60" s="72">
        <f>'A1'!I16</f>
        <v>0.6</v>
      </c>
      <c r="N60" s="74">
        <f>'A1'!J16</f>
        <v>0.6</v>
      </c>
    </row>
    <row r="61" spans="2:15">
      <c r="B61" s="70" t="s">
        <v>72</v>
      </c>
      <c r="C61" s="71"/>
      <c r="D61" s="71"/>
      <c r="E61" s="72">
        <f>E12/E7</f>
        <v>0.255</v>
      </c>
      <c r="F61" s="72">
        <f t="shared" ref="F61:I61" si="27">F12/F7</f>
        <v>0.25247058823529411</v>
      </c>
      <c r="G61" s="72">
        <f t="shared" si="27"/>
        <v>0.25005405405405406</v>
      </c>
      <c r="H61" s="72"/>
      <c r="I61" s="72">
        <f t="shared" si="27"/>
        <v>0.25</v>
      </c>
      <c r="J61" s="73">
        <f>'A1'!F23</f>
        <v>0.25</v>
      </c>
      <c r="K61" s="72">
        <f>'A1'!G23</f>
        <v>0.25</v>
      </c>
      <c r="L61" s="72">
        <f>'A1'!H23</f>
        <v>0.25</v>
      </c>
      <c r="M61" s="72">
        <f>'A1'!I23</f>
        <v>0.25</v>
      </c>
      <c r="N61" s="74">
        <f>'A1'!J23</f>
        <v>0.25</v>
      </c>
    </row>
    <row r="62" spans="2:15">
      <c r="B62" s="75" t="s">
        <v>73</v>
      </c>
      <c r="C62" s="71"/>
      <c r="D62" s="71"/>
      <c r="E62" s="72">
        <f>E15/E7</f>
        <v>0.02</v>
      </c>
      <c r="F62" s="72">
        <f t="shared" ref="F62:I62" si="28">F15/F7</f>
        <v>0.02</v>
      </c>
      <c r="G62" s="72">
        <f t="shared" si="28"/>
        <v>0.02</v>
      </c>
      <c r="H62" s="72"/>
      <c r="I62" s="72">
        <f t="shared" si="28"/>
        <v>0.02</v>
      </c>
      <c r="J62" s="73">
        <f>'A1'!F30</f>
        <v>0.02</v>
      </c>
      <c r="K62" s="72">
        <f>'A1'!G30</f>
        <v>0.02</v>
      </c>
      <c r="L62" s="72">
        <f>'A1'!H30</f>
        <v>0.02</v>
      </c>
      <c r="M62" s="72">
        <f>'A1'!I30</f>
        <v>0.02</v>
      </c>
      <c r="N62" s="74">
        <f>'A1'!J30</f>
        <v>0.02</v>
      </c>
    </row>
    <row r="63" spans="2:15">
      <c r="B63" s="70" t="s">
        <v>74</v>
      </c>
      <c r="C63" s="71"/>
      <c r="D63" s="71"/>
      <c r="E63" s="72">
        <f>-E22/E7</f>
        <v>1.9230769230769232E-2</v>
      </c>
      <c r="F63" s="72">
        <f t="shared" ref="F63:I63" si="29">-F22/F7</f>
        <v>2.1176470588235293E-2</v>
      </c>
      <c r="G63" s="72">
        <f t="shared" si="29"/>
        <v>0.02</v>
      </c>
      <c r="H63" s="72"/>
      <c r="I63" s="72">
        <f t="shared" si="29"/>
        <v>0.02</v>
      </c>
      <c r="J63" s="73">
        <f>'A1'!F38</f>
        <v>0.02</v>
      </c>
      <c r="K63" s="72">
        <f>'A1'!G38</f>
        <v>0.02</v>
      </c>
      <c r="L63" s="72">
        <f>'A1'!H38</f>
        <v>0.02</v>
      </c>
      <c r="M63" s="72">
        <f>'A1'!I38</f>
        <v>0.02</v>
      </c>
      <c r="N63" s="74">
        <f>'A1'!J38</f>
        <v>0.02</v>
      </c>
    </row>
    <row r="64" spans="2:15">
      <c r="B64" s="70" t="s">
        <v>75</v>
      </c>
      <c r="C64" s="71"/>
      <c r="D64" s="71"/>
      <c r="E64" s="76">
        <v>0.38</v>
      </c>
      <c r="F64" s="76">
        <v>0.38</v>
      </c>
      <c r="G64" s="76">
        <v>0.38</v>
      </c>
      <c r="H64" s="77"/>
      <c r="I64" s="76">
        <v>0.38</v>
      </c>
      <c r="J64" s="73">
        <f>I64</f>
        <v>0.38</v>
      </c>
      <c r="K64" s="72">
        <f>J64</f>
        <v>0.38</v>
      </c>
      <c r="L64" s="72">
        <f t="shared" ref="L64:N64" si="30">K64</f>
        <v>0.38</v>
      </c>
      <c r="M64" s="72">
        <f t="shared" si="30"/>
        <v>0.38</v>
      </c>
      <c r="N64" s="74">
        <f t="shared" si="30"/>
        <v>0.38</v>
      </c>
    </row>
    <row r="65" spans="1:15">
      <c r="B65" s="78" t="s">
        <v>76</v>
      </c>
      <c r="C65" s="79"/>
      <c r="D65" s="79"/>
      <c r="E65" s="80"/>
      <c r="F65" s="81"/>
      <c r="G65" s="81"/>
      <c r="H65" s="81"/>
      <c r="I65" s="82"/>
      <c r="J65" s="83"/>
      <c r="K65" s="84"/>
      <c r="L65" s="84"/>
      <c r="M65" s="84"/>
      <c r="N65" s="85"/>
    </row>
    <row r="67" spans="1:15"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</row>
    <row r="70" spans="1:15" ht="26.25">
      <c r="A70" s="3" t="s">
        <v>0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 ht="18">
      <c r="A71" s="5" t="s">
        <v>77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>
      <c r="A72" s="7" t="s">
        <v>79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9"/>
      <c r="N72" s="6"/>
      <c r="O72" s="9"/>
    </row>
    <row r="75" spans="1:15" ht="15">
      <c r="C75" s="333" t="s">
        <v>46</v>
      </c>
      <c r="D75" s="333"/>
      <c r="E75" s="333"/>
      <c r="F75" s="333"/>
      <c r="G75" s="333"/>
      <c r="H75" s="333"/>
      <c r="J75" s="333" t="s">
        <v>80</v>
      </c>
      <c r="K75" s="333"/>
      <c r="L75" s="333"/>
      <c r="M75" s="333"/>
      <c r="N75" s="333"/>
      <c r="O75" s="333"/>
    </row>
    <row r="76" spans="1:15" ht="15">
      <c r="D76" s="334" t="s">
        <v>52</v>
      </c>
      <c r="E76" s="334"/>
      <c r="F76" s="334"/>
      <c r="G76" s="334"/>
      <c r="H76" s="334"/>
      <c r="K76" s="334" t="s">
        <v>52</v>
      </c>
      <c r="L76" s="334"/>
      <c r="M76" s="334"/>
      <c r="N76" s="334"/>
      <c r="O76" s="334"/>
    </row>
    <row r="77" spans="1:15">
      <c r="C77" s="96">
        <f>E43</f>
        <v>1132.6040118814258</v>
      </c>
      <c r="D77" s="86">
        <v>6</v>
      </c>
      <c r="E77" s="86">
        <v>6.5</v>
      </c>
      <c r="F77" s="87">
        <v>7</v>
      </c>
      <c r="G77" s="86">
        <v>7.5</v>
      </c>
      <c r="H77" s="86">
        <v>8</v>
      </c>
      <c r="J77" s="96">
        <f>J39</f>
        <v>857.60401188142578</v>
      </c>
      <c r="K77" s="86">
        <v>6</v>
      </c>
      <c r="L77" s="86">
        <v>6.5</v>
      </c>
      <c r="M77" s="87">
        <v>7</v>
      </c>
      <c r="N77" s="86">
        <v>7.5</v>
      </c>
      <c r="O77" s="86">
        <v>8</v>
      </c>
    </row>
    <row r="78" spans="1:15">
      <c r="B78" s="335" t="s">
        <v>68</v>
      </c>
      <c r="C78" s="88">
        <v>0.1</v>
      </c>
      <c r="D78" s="55">
        <f t="dataTable" ref="D78:H82" dt2D="1" dtr="1" r1="E37" r2="E26" ca="1"/>
        <v>1059.7450006326935</v>
      </c>
      <c r="E78" s="55">
        <v>1118.5663857591442</v>
      </c>
      <c r="F78" s="55">
        <v>1177.3877708855948</v>
      </c>
      <c r="G78" s="55">
        <v>1236.2091560120452</v>
      </c>
      <c r="H78" s="55">
        <v>1295.0305411384961</v>
      </c>
      <c r="I78" s="335" t="s">
        <v>68</v>
      </c>
      <c r="J78" s="88">
        <v>0.1</v>
      </c>
      <c r="K78" s="315">
        <f t="dataTable" ref="K78:O82" dt2D="1" dtr="1" r1="E37" r2="E26" ca="1"/>
        <v>784.74500063269352</v>
      </c>
      <c r="L78" s="315">
        <v>843.56638575914417</v>
      </c>
      <c r="M78" s="315">
        <v>902.38777088559482</v>
      </c>
      <c r="N78" s="315">
        <v>961.20915601204524</v>
      </c>
      <c r="O78" s="315">
        <v>1020.0305411384961</v>
      </c>
    </row>
    <row r="79" spans="1:15">
      <c r="B79" s="335"/>
      <c r="C79" s="88">
        <v>0.105</v>
      </c>
      <c r="D79" s="55">
        <v>1040.0669487741243</v>
      </c>
      <c r="E79" s="56">
        <v>1097.5695224041206</v>
      </c>
      <c r="F79" s="56">
        <v>1155.0720960341168</v>
      </c>
      <c r="G79" s="56">
        <v>1212.5746696641131</v>
      </c>
      <c r="H79" s="55">
        <v>1270.0772432941094</v>
      </c>
      <c r="I79" s="335"/>
      <c r="J79" s="88">
        <v>0.105</v>
      </c>
      <c r="K79" s="315">
        <v>765.06694877412428</v>
      </c>
      <c r="L79" s="316">
        <v>822.56952240412056</v>
      </c>
      <c r="M79" s="316">
        <v>880.07209603411684</v>
      </c>
      <c r="N79" s="316">
        <v>937.57466966411312</v>
      </c>
      <c r="O79" s="315">
        <v>995.07724329410939</v>
      </c>
    </row>
    <row r="80" spans="1:15">
      <c r="B80" s="335"/>
      <c r="C80" s="89">
        <v>0.11</v>
      </c>
      <c r="D80" s="55">
        <v>1020.8857552781844</v>
      </c>
      <c r="E80" s="56">
        <v>1077.1048410547096</v>
      </c>
      <c r="F80" s="57">
        <v>1133.3239268312345</v>
      </c>
      <c r="G80" s="56">
        <v>1189.5430126077597</v>
      </c>
      <c r="H80" s="55">
        <v>1245.7620983842849</v>
      </c>
      <c r="I80" s="335"/>
      <c r="J80" s="89">
        <v>0.11</v>
      </c>
      <c r="K80" s="315">
        <v>745.88575527818443</v>
      </c>
      <c r="L80" s="316">
        <v>802.1048410547096</v>
      </c>
      <c r="M80" s="317">
        <v>858.32392683123453</v>
      </c>
      <c r="N80" s="316">
        <v>914.54301260775969</v>
      </c>
      <c r="O80" s="315">
        <v>970.76209838428485</v>
      </c>
    </row>
    <row r="81" spans="2:15">
      <c r="B81" s="335"/>
      <c r="C81" s="88">
        <v>0.115</v>
      </c>
      <c r="D81" s="55">
        <v>1002.1864260239037</v>
      </c>
      <c r="E81" s="56">
        <v>1057.156248690959</v>
      </c>
      <c r="F81" s="56">
        <v>1112.1260713580141</v>
      </c>
      <c r="G81" s="56">
        <v>1167.0958940250696</v>
      </c>
      <c r="H81" s="55">
        <v>1222.0657166921251</v>
      </c>
      <c r="I81" s="335"/>
      <c r="J81" s="88">
        <v>0.115</v>
      </c>
      <c r="K81" s="315">
        <v>727.18642602390366</v>
      </c>
      <c r="L81" s="316">
        <v>782.15624869095905</v>
      </c>
      <c r="M81" s="316">
        <v>837.12607135801409</v>
      </c>
      <c r="N81" s="316">
        <v>892.09589402506958</v>
      </c>
      <c r="O81" s="315">
        <v>947.06571669212508</v>
      </c>
    </row>
    <row r="82" spans="2:15">
      <c r="B82" s="335"/>
      <c r="C82" s="88">
        <v>0.12</v>
      </c>
      <c r="D82" s="55">
        <v>983.95448773172643</v>
      </c>
      <c r="E82" s="55">
        <v>1037.7082120310847</v>
      </c>
      <c r="F82" s="55">
        <v>1091.4619363304432</v>
      </c>
      <c r="G82" s="55">
        <v>1145.2156606298017</v>
      </c>
      <c r="H82" s="55">
        <v>1198.96938492916</v>
      </c>
      <c r="I82" s="335"/>
      <c r="J82" s="88">
        <v>0.12</v>
      </c>
      <c r="K82" s="315">
        <v>708.95448773172643</v>
      </c>
      <c r="L82" s="315">
        <v>762.70821203108471</v>
      </c>
      <c r="M82" s="315">
        <v>816.46193633044322</v>
      </c>
      <c r="N82" s="315">
        <v>870.21566062980173</v>
      </c>
      <c r="O82" s="315">
        <v>923.96938492916001</v>
      </c>
    </row>
    <row r="85" spans="2:15" ht="15">
      <c r="C85" s="333" t="s">
        <v>81</v>
      </c>
      <c r="D85" s="333"/>
      <c r="E85" s="333"/>
      <c r="F85" s="333"/>
      <c r="G85" s="333"/>
      <c r="H85" s="333"/>
      <c r="J85" s="333" t="s">
        <v>82</v>
      </c>
      <c r="K85" s="333"/>
      <c r="L85" s="333"/>
      <c r="M85" s="333"/>
      <c r="N85" s="333"/>
      <c r="O85" s="333"/>
    </row>
    <row r="86" spans="2:15" ht="15">
      <c r="D86" s="334" t="s">
        <v>52</v>
      </c>
      <c r="E86" s="334"/>
      <c r="F86" s="334"/>
      <c r="G86" s="334"/>
      <c r="H86" s="334"/>
      <c r="K86" s="334" t="s">
        <v>52</v>
      </c>
      <c r="L86" s="334"/>
      <c r="M86" s="334"/>
      <c r="N86" s="334"/>
      <c r="O86" s="334"/>
    </row>
    <row r="87" spans="2:15">
      <c r="C87" s="96">
        <f ca="1">J43</f>
        <v>17.152538987109601</v>
      </c>
      <c r="D87" s="86">
        <v>6</v>
      </c>
      <c r="E87" s="86">
        <v>6.5</v>
      </c>
      <c r="F87" s="87">
        <v>7</v>
      </c>
      <c r="G87" s="86">
        <v>7.5</v>
      </c>
      <c r="H87" s="86">
        <v>8</v>
      </c>
      <c r="J87" s="314">
        <f>E41</f>
        <v>0.69439346244169964</v>
      </c>
      <c r="K87" s="86">
        <v>6</v>
      </c>
      <c r="L87" s="86">
        <v>6.5</v>
      </c>
      <c r="M87" s="87">
        <v>7</v>
      </c>
      <c r="N87" s="86">
        <v>7.5</v>
      </c>
      <c r="O87" s="86">
        <v>8</v>
      </c>
    </row>
    <row r="88" spans="2:15">
      <c r="B88" s="335" t="s">
        <v>68</v>
      </c>
      <c r="C88" s="88">
        <v>0.1</v>
      </c>
      <c r="D88" s="318">
        <f t="dataTable" ref="D88:H92" dt2D="1" dtr="1" r1="E37" r2="E26" ca="1"/>
        <v>15.738926247488449</v>
      </c>
      <c r="E88" s="318">
        <v>16.880180587743158</v>
      </c>
      <c r="F88" s="318">
        <v>18.021434823645965</v>
      </c>
      <c r="G88" s="318">
        <v>19.162689063072229</v>
      </c>
      <c r="H88" s="318">
        <v>20.301023117317694</v>
      </c>
      <c r="I88" s="335" t="s">
        <v>68</v>
      </c>
      <c r="J88" s="88">
        <v>0.1</v>
      </c>
      <c r="K88" s="58">
        <f t="dataTable" ref="K88:O92" dt2D="1" dtr="1" r1="E37" r2="E26" ca="1"/>
        <v>0.66606270479784668</v>
      </c>
      <c r="L88" s="58">
        <v>0.68362326669139961</v>
      </c>
      <c r="M88" s="58">
        <v>0.6994292043231416</v>
      </c>
      <c r="N88" s="58">
        <v>0.71373098363313081</v>
      </c>
      <c r="O88" s="58">
        <v>0.7267335650600385</v>
      </c>
    </row>
    <row r="89" spans="2:15">
      <c r="B89" s="335"/>
      <c r="C89" s="88">
        <v>0.105</v>
      </c>
      <c r="D89" s="318">
        <v>15.357132168748258</v>
      </c>
      <c r="E89" s="319">
        <v>16.47279883057152</v>
      </c>
      <c r="F89" s="319">
        <v>17.588465445782095</v>
      </c>
      <c r="G89" s="319">
        <v>18.704132064915964</v>
      </c>
      <c r="H89" s="318">
        <v>19.819798686548548</v>
      </c>
      <c r="I89" s="335"/>
      <c r="J89" s="88">
        <v>0.105</v>
      </c>
      <c r="K89" s="58">
        <v>0.66344852547546185</v>
      </c>
      <c r="L89" s="59">
        <v>0.6810807351433662</v>
      </c>
      <c r="M89" s="59">
        <v>0.6969573878409836</v>
      </c>
      <c r="N89" s="59">
        <v>0.7113282390179485</v>
      </c>
      <c r="O89" s="58">
        <v>0.72439781354848543</v>
      </c>
    </row>
    <row r="90" spans="2:15">
      <c r="B90" s="335"/>
      <c r="C90" s="89">
        <v>0.11</v>
      </c>
      <c r="D90" s="318">
        <v>14.984793649653509</v>
      </c>
      <c r="E90" s="319">
        <v>16.075742484556763</v>
      </c>
      <c r="F90" s="320">
        <v>17.166506829535404</v>
      </c>
      <c r="G90" s="319">
        <v>18.257271178649859</v>
      </c>
      <c r="H90" s="318">
        <v>19.348035530544081</v>
      </c>
      <c r="I90" s="335"/>
      <c r="J90" s="89">
        <v>0.11</v>
      </c>
      <c r="K90" s="58">
        <v>0.66082715507620071</v>
      </c>
      <c r="L90" s="59">
        <v>0.67853015531818972</v>
      </c>
      <c r="M90" s="60">
        <v>0.69447682364916208</v>
      </c>
      <c r="N90" s="59">
        <v>0.70891617849042154</v>
      </c>
      <c r="O90" s="58">
        <v>0.72205228718310832</v>
      </c>
    </row>
    <row r="91" spans="2:15">
      <c r="B91" s="335"/>
      <c r="C91" s="88">
        <v>0.115</v>
      </c>
      <c r="D91" s="318">
        <v>14.617535236145358</v>
      </c>
      <c r="E91" s="319">
        <v>15.688699306703397</v>
      </c>
      <c r="F91" s="319">
        <v>16.755225416822373</v>
      </c>
      <c r="G91" s="319">
        <v>17.821751525309907</v>
      </c>
      <c r="H91" s="318">
        <v>18.888277636890386</v>
      </c>
      <c r="I91" s="335"/>
      <c r="J91" s="88">
        <v>0.115</v>
      </c>
      <c r="K91" s="58">
        <v>0.65819876908703101</v>
      </c>
      <c r="L91" s="59">
        <v>0.67597168872301916</v>
      </c>
      <c r="M91" s="59">
        <v>0.69198765963560749</v>
      </c>
      <c r="N91" s="59">
        <v>0.70649493690029097</v>
      </c>
      <c r="O91" s="58">
        <v>0.71969710847756496</v>
      </c>
    </row>
    <row r="92" spans="2:15">
      <c r="B92" s="335"/>
      <c r="C92" s="88">
        <v>0.12</v>
      </c>
      <c r="D92" s="318">
        <v>14.259456470554071</v>
      </c>
      <c r="E92" s="318">
        <v>15.311367924749669</v>
      </c>
      <c r="F92" s="318">
        <v>16.354299264295712</v>
      </c>
      <c r="G92" s="318">
        <v>17.397230595343093</v>
      </c>
      <c r="H92" s="318">
        <v>18.440161929832502</v>
      </c>
      <c r="I92" s="335"/>
      <c r="J92" s="88">
        <v>0.12</v>
      </c>
      <c r="K92" s="58">
        <v>0.65556354448801613</v>
      </c>
      <c r="L92" s="58">
        <v>0.67340549856873111</v>
      </c>
      <c r="M92" s="58">
        <v>0.68949004554491411</v>
      </c>
      <c r="N92" s="58">
        <v>0.70406465106053018</v>
      </c>
      <c r="O92" s="58">
        <v>0.71733240197834591</v>
      </c>
    </row>
    <row r="95" spans="2:15" ht="15">
      <c r="C95" s="333" t="s">
        <v>49</v>
      </c>
      <c r="D95" s="333"/>
      <c r="E95" s="333"/>
      <c r="F95" s="333"/>
      <c r="G95" s="333"/>
      <c r="H95" s="333"/>
      <c r="J95" s="333" t="s">
        <v>83</v>
      </c>
      <c r="K95" s="333"/>
      <c r="L95" s="333"/>
      <c r="M95" s="333"/>
      <c r="N95" s="333"/>
      <c r="O95" s="333"/>
    </row>
    <row r="96" spans="2:15" ht="15">
      <c r="D96" s="334" t="s">
        <v>52</v>
      </c>
      <c r="E96" s="334"/>
      <c r="F96" s="334"/>
      <c r="G96" s="334"/>
      <c r="H96" s="334"/>
      <c r="K96" s="334" t="s">
        <v>52</v>
      </c>
      <c r="L96" s="334"/>
      <c r="M96" s="334"/>
      <c r="N96" s="334"/>
      <c r="O96" s="334"/>
    </row>
    <row r="97" spans="2:15">
      <c r="C97" s="314">
        <f>O37</f>
        <v>2.9881212273556765E-2</v>
      </c>
      <c r="D97" s="86">
        <v>6</v>
      </c>
      <c r="E97" s="86">
        <v>6.5</v>
      </c>
      <c r="F97" s="87">
        <v>7</v>
      </c>
      <c r="G97" s="86">
        <v>7.5</v>
      </c>
      <c r="H97" s="86">
        <v>8</v>
      </c>
      <c r="J97" s="324">
        <f>O43</f>
        <v>7.7205454115979952</v>
      </c>
      <c r="K97" s="86">
        <v>6</v>
      </c>
      <c r="L97" s="86">
        <v>6.5</v>
      </c>
      <c r="M97" s="87">
        <v>7</v>
      </c>
      <c r="N97" s="86">
        <v>7.5</v>
      </c>
      <c r="O97" s="86">
        <v>8</v>
      </c>
    </row>
    <row r="98" spans="2:15">
      <c r="B98" s="335" t="s">
        <v>68</v>
      </c>
      <c r="C98" s="88">
        <v>0.1</v>
      </c>
      <c r="D98" s="321">
        <f t="dataTable" ref="D98:H102" dt2D="1" dtr="1" r1="E37" r2="E26" ca="1"/>
        <v>8.6815796021365976E-3</v>
      </c>
      <c r="E98" s="321">
        <v>1.5164321017492325E-2</v>
      </c>
      <c r="F98" s="321">
        <v>2.0787646542909443E-2</v>
      </c>
      <c r="G98" s="321">
        <v>2.5711831277714904E-2</v>
      </c>
      <c r="H98" s="321">
        <v>3.0059629205466624E-2</v>
      </c>
      <c r="I98" s="335" t="s">
        <v>68</v>
      </c>
      <c r="J98" s="88">
        <v>0.1</v>
      </c>
      <c r="K98" s="325">
        <f t="dataTable" ref="K98:O102" dt2D="1" dtr="1" r1="E37" r2="E26" ca="1"/>
        <v>7.2238923015180205</v>
      </c>
      <c r="L98" s="325">
        <v>7.6248560719778071</v>
      </c>
      <c r="M98" s="325">
        <v>8.0258198424375937</v>
      </c>
      <c r="N98" s="325">
        <v>8.4267836128973777</v>
      </c>
      <c r="O98" s="325">
        <v>8.8277473833571651</v>
      </c>
    </row>
    <row r="99" spans="2:15">
      <c r="B99" s="335"/>
      <c r="C99" s="88">
        <v>0.105</v>
      </c>
      <c r="D99" s="321">
        <v>1.3075571138853369E-2</v>
      </c>
      <c r="E99" s="322">
        <v>1.9600191064388341E-2</v>
      </c>
      <c r="F99" s="322">
        <v>2.5259984651886679E-2</v>
      </c>
      <c r="G99" s="322">
        <v>3.0216211288388108E-2</v>
      </c>
      <c r="H99" s="321">
        <v>3.4592384267329891E-2</v>
      </c>
      <c r="I99" s="335"/>
      <c r="J99" s="88">
        <v>0.105</v>
      </c>
      <c r="K99" s="325">
        <v>7.0897542520390209</v>
      </c>
      <c r="L99" s="326">
        <v>7.4817281690805766</v>
      </c>
      <c r="M99" s="326">
        <v>7.8737020861221332</v>
      </c>
      <c r="N99" s="326">
        <v>8.2656760031636889</v>
      </c>
      <c r="O99" s="325">
        <v>8.6576499202052446</v>
      </c>
    </row>
    <row r="100" spans="2:15">
      <c r="B100" s="335"/>
      <c r="C100" s="89">
        <v>0.11</v>
      </c>
      <c r="D100" s="321">
        <v>1.7468340289446764E-2</v>
      </c>
      <c r="E100" s="322">
        <v>2.4034913410683298E-2</v>
      </c>
      <c r="F100" s="323">
        <v>2.9731241294959077E-2</v>
      </c>
      <c r="G100" s="322">
        <v>3.4719568947042818E-2</v>
      </c>
      <c r="H100" s="321">
        <v>3.9124170041540195E-2</v>
      </c>
      <c r="I100" s="335"/>
      <c r="J100" s="89">
        <v>0.11</v>
      </c>
      <c r="K100" s="325">
        <v>6.9590031034641067</v>
      </c>
      <c r="L100" s="326">
        <v>7.3422279553831604</v>
      </c>
      <c r="M100" s="327">
        <v>7.7254528073022124</v>
      </c>
      <c r="N100" s="326">
        <v>8.1086776592212662</v>
      </c>
      <c r="O100" s="325">
        <v>8.4919025111403208</v>
      </c>
    </row>
    <row r="101" spans="2:15">
      <c r="B101" s="335"/>
      <c r="C101" s="88">
        <v>0.115</v>
      </c>
      <c r="D101" s="321">
        <v>2.1859890416900458E-2</v>
      </c>
      <c r="E101" s="322">
        <v>2.8468491173760695E-2</v>
      </c>
      <c r="F101" s="322">
        <v>3.4201419376765796E-2</v>
      </c>
      <c r="G101" s="322">
        <v>3.9221906972337434E-2</v>
      </c>
      <c r="H101" s="321">
        <v>4.3654989082847775E-2</v>
      </c>
      <c r="I101" s="335"/>
      <c r="J101" s="88">
        <v>0.115</v>
      </c>
      <c r="K101" s="325">
        <v>6.8315366463797123</v>
      </c>
      <c r="L101" s="326">
        <v>7.2062457306813847</v>
      </c>
      <c r="M101" s="326">
        <v>7.5809548149830555</v>
      </c>
      <c r="N101" s="326">
        <v>7.9556638992847288</v>
      </c>
      <c r="O101" s="325">
        <v>8.3303729835864022</v>
      </c>
    </row>
    <row r="102" spans="2:15">
      <c r="B102" s="335"/>
      <c r="C102" s="88">
        <v>0.12</v>
      </c>
      <c r="D102" s="321">
        <v>2.6250224861128286E-2</v>
      </c>
      <c r="E102" s="321">
        <v>3.2900927449668008E-2</v>
      </c>
      <c r="F102" s="321">
        <v>3.8670521782103631E-2</v>
      </c>
      <c r="G102" s="321">
        <v>4.3723228064387859E-2</v>
      </c>
      <c r="H102" s="321">
        <v>4.8184843928601437E-2</v>
      </c>
      <c r="I102" s="335"/>
      <c r="J102" s="88">
        <v>0.12</v>
      </c>
      <c r="K102" s="325">
        <v>6.7072562217568272</v>
      </c>
      <c r="L102" s="325">
        <v>7.0736756103005094</v>
      </c>
      <c r="M102" s="325">
        <v>7.4400949988441942</v>
      </c>
      <c r="N102" s="325">
        <v>7.8065143873878791</v>
      </c>
      <c r="O102" s="325">
        <v>8.1729337759315612</v>
      </c>
    </row>
    <row r="105" spans="2:15"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</row>
    <row r="108" spans="2:15" ht="15">
      <c r="B108" s="336" t="s">
        <v>84</v>
      </c>
      <c r="C108" s="336"/>
      <c r="D108" s="336"/>
      <c r="E108" s="336"/>
      <c r="F108" s="336"/>
    </row>
    <row r="109" spans="2:15">
      <c r="B109" s="91" t="s">
        <v>45</v>
      </c>
      <c r="C109" s="90"/>
      <c r="D109" s="90"/>
      <c r="E109" s="90"/>
      <c r="F109" s="308">
        <f>E43</f>
        <v>1132.6040118814258</v>
      </c>
    </row>
    <row r="110" spans="2:15">
      <c r="B110" s="92" t="s">
        <v>58</v>
      </c>
      <c r="C110" s="90"/>
      <c r="D110" s="90"/>
      <c r="E110" s="90"/>
      <c r="F110" s="309">
        <f>J34</f>
        <v>-300</v>
      </c>
    </row>
    <row r="111" spans="2:15">
      <c r="B111" s="92" t="s">
        <v>59</v>
      </c>
      <c r="C111" s="90"/>
      <c r="D111" s="90"/>
      <c r="E111" s="90"/>
      <c r="F111" s="94">
        <f>J35</f>
        <v>0</v>
      </c>
    </row>
    <row r="112" spans="2:15">
      <c r="B112" s="92" t="s">
        <v>60</v>
      </c>
      <c r="C112" s="90"/>
      <c r="D112" s="90"/>
      <c r="E112" s="90"/>
      <c r="F112" s="94">
        <f>J36</f>
        <v>0</v>
      </c>
    </row>
    <row r="113" spans="2:6" ht="15">
      <c r="B113" s="92" t="s">
        <v>61</v>
      </c>
      <c r="C113" s="90"/>
      <c r="D113" s="90"/>
      <c r="E113" s="90"/>
      <c r="F113" s="95">
        <f>J37</f>
        <v>25</v>
      </c>
    </row>
    <row r="114" spans="2:6">
      <c r="B114" s="93" t="s">
        <v>80</v>
      </c>
      <c r="C114" s="37"/>
      <c r="D114" s="37"/>
      <c r="E114" s="37"/>
      <c r="F114" s="310">
        <f>SUM(F109:F113)</f>
        <v>857.60401188142578</v>
      </c>
    </row>
    <row r="116" spans="2:6" ht="15">
      <c r="B116" s="337" t="s">
        <v>85</v>
      </c>
      <c r="C116" s="337"/>
      <c r="D116" s="337"/>
      <c r="E116" s="337"/>
      <c r="F116" s="337"/>
    </row>
    <row r="117" spans="2:6">
      <c r="B117" s="97"/>
      <c r="C117" s="97" t="s">
        <v>86</v>
      </c>
      <c r="D117" s="97" t="s">
        <v>87</v>
      </c>
      <c r="E117" s="97" t="s">
        <v>88</v>
      </c>
      <c r="F117" s="97"/>
    </row>
    <row r="118" spans="2:6" ht="15">
      <c r="B118" s="98" t="s">
        <v>89</v>
      </c>
      <c r="C118" s="98" t="s">
        <v>90</v>
      </c>
      <c r="D118" s="98" t="s">
        <v>91</v>
      </c>
      <c r="E118" s="98" t="s">
        <v>90</v>
      </c>
      <c r="F118" s="98" t="s">
        <v>92</v>
      </c>
    </row>
    <row r="119" spans="2:6">
      <c r="B119" s="99" t="s">
        <v>93</v>
      </c>
      <c r="C119" s="100">
        <v>0.91600000000000004</v>
      </c>
      <c r="D119" s="101">
        <v>5</v>
      </c>
      <c r="E119" s="102">
        <f ca="1">IF(ISERROR(IF(D119&lt;$F$133,C119,0)),0,IF(D119&lt;$F$133,C119,0))</f>
        <v>0.91600000000000004</v>
      </c>
      <c r="F119" s="103">
        <f ca="1">D119*E119</f>
        <v>4.58</v>
      </c>
    </row>
    <row r="120" spans="2:6">
      <c r="B120" s="99" t="s">
        <v>94</v>
      </c>
      <c r="C120" s="100">
        <v>1.25</v>
      </c>
      <c r="D120" s="104">
        <v>10</v>
      </c>
      <c r="E120" s="102">
        <f t="shared" ref="E120:E123" ca="1" si="31">IF(ISERROR(IF(D120&lt;$F$133,C120,0)),0,IF(D120&lt;$F$133,C120,0))</f>
        <v>1.25</v>
      </c>
      <c r="F120" s="103">
        <f t="shared" ref="F120:F123" ca="1" si="32">D120*E120</f>
        <v>12.5</v>
      </c>
    </row>
    <row r="121" spans="2:6">
      <c r="B121" s="99" t="s">
        <v>95</v>
      </c>
      <c r="C121" s="100">
        <v>0.625</v>
      </c>
      <c r="D121" s="104">
        <v>15</v>
      </c>
      <c r="E121" s="102">
        <f t="shared" ca="1" si="31"/>
        <v>0.625</v>
      </c>
      <c r="F121" s="103">
        <f t="shared" ca="1" si="32"/>
        <v>9.375</v>
      </c>
    </row>
    <row r="122" spans="2:6">
      <c r="B122" s="99" t="s">
        <v>96</v>
      </c>
      <c r="C122" s="100">
        <v>0.5</v>
      </c>
      <c r="D122" s="104">
        <v>20</v>
      </c>
      <c r="E122" s="102">
        <f t="shared" ca="1" si="31"/>
        <v>0</v>
      </c>
      <c r="F122" s="103">
        <f t="shared" ca="1" si="32"/>
        <v>0</v>
      </c>
    </row>
    <row r="123" spans="2:6" ht="15">
      <c r="B123" s="99" t="s">
        <v>97</v>
      </c>
      <c r="C123" s="105">
        <v>0.25</v>
      </c>
      <c r="D123" s="106">
        <v>25</v>
      </c>
      <c r="E123" s="102">
        <f t="shared" ca="1" si="31"/>
        <v>0</v>
      </c>
      <c r="F123" s="103">
        <f t="shared" ca="1" si="32"/>
        <v>0</v>
      </c>
    </row>
    <row r="124" spans="2:6">
      <c r="B124" s="107" t="s">
        <v>98</v>
      </c>
      <c r="C124" s="108">
        <f>SUM(C119:C123)</f>
        <v>3.5409999999999999</v>
      </c>
      <c r="D124" s="109"/>
      <c r="E124" s="108">
        <f ca="1">SUM(E119:E123)</f>
        <v>2.7909999999999999</v>
      </c>
      <c r="F124" s="108">
        <f ca="1">SUM(F119:F123)</f>
        <v>26.454999999999998</v>
      </c>
    </row>
    <row r="125" spans="2:6">
      <c r="B125" s="110"/>
      <c r="C125" s="110"/>
      <c r="D125" s="110"/>
      <c r="E125" s="110"/>
      <c r="F125" s="110"/>
    </row>
    <row r="126" spans="2:6">
      <c r="B126" s="111" t="s">
        <v>99</v>
      </c>
      <c r="C126" s="111"/>
      <c r="D126" s="111"/>
      <c r="E126" s="111"/>
      <c r="F126" s="112">
        <v>48.75</v>
      </c>
    </row>
    <row r="127" spans="2:6">
      <c r="B127" s="111" t="s">
        <v>100</v>
      </c>
      <c r="C127" s="111"/>
      <c r="D127" s="111"/>
      <c r="E127" s="111"/>
      <c r="F127" s="113">
        <f ca="1">E124</f>
        <v>2.7909999999999999</v>
      </c>
    </row>
    <row r="128" spans="2:6" ht="15">
      <c r="B128" s="111" t="s">
        <v>101</v>
      </c>
      <c r="C128" s="111"/>
      <c r="D128" s="111"/>
      <c r="E128" s="111"/>
      <c r="F128" s="114">
        <f ca="1">IF(ISERROR(-F124/F133),0,-F124/F133)</f>
        <v>-1.5423372609665158</v>
      </c>
    </row>
    <row r="129" spans="2:6">
      <c r="B129" s="115" t="s">
        <v>102</v>
      </c>
      <c r="C129" s="115"/>
      <c r="D129" s="115"/>
      <c r="E129" s="115"/>
      <c r="F129" s="116">
        <f ca="1">SUM(F127:F128)</f>
        <v>1.2486627390334841</v>
      </c>
    </row>
    <row r="130" spans="2:6" ht="15">
      <c r="B130" s="117" t="s">
        <v>103</v>
      </c>
      <c r="C130" s="111"/>
      <c r="D130" s="111"/>
      <c r="E130" s="111"/>
      <c r="F130" s="311">
        <v>0</v>
      </c>
    </row>
    <row r="131" spans="2:6">
      <c r="B131" s="115" t="s">
        <v>104</v>
      </c>
      <c r="C131" s="111"/>
      <c r="D131" s="111"/>
      <c r="E131" s="111"/>
      <c r="F131" s="118">
        <f ca="1">SUM(F126,F129:F130)</f>
        <v>49.998662739033485</v>
      </c>
    </row>
    <row r="132" spans="2:6" ht="15">
      <c r="B132" s="110"/>
      <c r="C132" s="110"/>
      <c r="D132" s="110"/>
      <c r="E132" s="110"/>
      <c r="F132" s="119" t="s">
        <v>105</v>
      </c>
    </row>
    <row r="133" spans="2:6" ht="15">
      <c r="B133" s="120" t="s">
        <v>63</v>
      </c>
      <c r="C133" s="120"/>
      <c r="D133" s="120"/>
      <c r="E133" s="121"/>
      <c r="F133" s="122">
        <f ca="1">IF(ISERROR(F114/F131),0,F114/F131)</f>
        <v>17.152538986045769</v>
      </c>
    </row>
  </sheetData>
  <mergeCells count="33">
    <mergeCell ref="B98:B102"/>
    <mergeCell ref="I98:I102"/>
    <mergeCell ref="B108:F108"/>
    <mergeCell ref="B116:F116"/>
    <mergeCell ref="B88:B92"/>
    <mergeCell ref="I88:I92"/>
    <mergeCell ref="C95:H95"/>
    <mergeCell ref="J95:O95"/>
    <mergeCell ref="D96:H96"/>
    <mergeCell ref="K96:O96"/>
    <mergeCell ref="B78:B82"/>
    <mergeCell ref="I78:I82"/>
    <mergeCell ref="C85:H85"/>
    <mergeCell ref="J85:O85"/>
    <mergeCell ref="D86:H86"/>
    <mergeCell ref="K86:O86"/>
    <mergeCell ref="C75:H75"/>
    <mergeCell ref="J75:O75"/>
    <mergeCell ref="D76:H76"/>
    <mergeCell ref="K76:O76"/>
    <mergeCell ref="B49:B53"/>
    <mergeCell ref="I49:I53"/>
    <mergeCell ref="B35:E35"/>
    <mergeCell ref="L39:O39"/>
    <mergeCell ref="C46:H46"/>
    <mergeCell ref="J46:O46"/>
    <mergeCell ref="D47:H47"/>
    <mergeCell ref="K47:O47"/>
    <mergeCell ref="E5:G5"/>
    <mergeCell ref="J5:N5"/>
    <mergeCell ref="B32:E32"/>
    <mergeCell ref="G32:J32"/>
    <mergeCell ref="L32:O32"/>
  </mergeCells>
  <phoneticPr fontId="1" type="noConversion"/>
  <dataValidations disablePrompts="1" count="1">
    <dataValidation type="list" allowBlank="1" showInputMessage="1" showErrorMessage="1" sqref="D4">
      <formula1>"1,2,3,4,5"</formula1>
    </dataValidation>
  </dataValidations>
  <pageMargins left="0.7" right="0.7" top="0.75" bottom="0.75" header="0.3" footer="0.3"/>
  <ignoredErrors>
    <ignoredError sqref="E6:G6 I6 J6:N6" numberStoredAsText="1"/>
    <ignoredError sqref="H10 H13 H16 E39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zoomScale="85" zoomScaleNormal="85" workbookViewId="0">
      <selection activeCell="J17" sqref="J17"/>
    </sheetView>
  </sheetViews>
  <sheetFormatPr defaultRowHeight="12.75"/>
  <cols>
    <col min="1" max="1" width="0.7109375" customWidth="1"/>
    <col min="2" max="2" width="33.85546875" customWidth="1"/>
    <col min="3" max="5" width="14.140625" customWidth="1"/>
    <col min="6" max="6" width="0.7109375" customWidth="1"/>
    <col min="7" max="7" width="14.140625" customWidth="1"/>
    <col min="8" max="8" width="0.7109375" customWidth="1"/>
    <col min="9" max="13" width="14.140625" customWidth="1"/>
  </cols>
  <sheetData>
    <row r="1" spans="1:13" ht="20.25">
      <c r="A1" s="123" t="str">
        <f>+[1]DCF!A1</f>
        <v>ValueCo Corporation</v>
      </c>
      <c r="B1" s="124"/>
      <c r="C1" s="124"/>
      <c r="D1" s="124"/>
      <c r="E1" s="124"/>
      <c r="F1" s="124"/>
      <c r="G1" s="124"/>
      <c r="H1" s="125"/>
      <c r="I1" s="126"/>
      <c r="J1" s="126"/>
      <c r="K1" s="126"/>
      <c r="L1" s="126"/>
      <c r="M1" s="125"/>
    </row>
    <row r="2" spans="1:13" ht="18">
      <c r="A2" s="124" t="s">
        <v>106</v>
      </c>
      <c r="B2" s="127"/>
      <c r="C2" s="127"/>
      <c r="D2" s="127"/>
      <c r="E2" s="127"/>
      <c r="F2" s="127"/>
      <c r="G2" s="127"/>
      <c r="H2" s="126"/>
      <c r="I2" s="126"/>
      <c r="J2" s="126"/>
      <c r="K2" s="126"/>
      <c r="L2" s="126"/>
      <c r="M2" s="125"/>
    </row>
    <row r="3" spans="1:13">
      <c r="A3" s="128" t="s">
        <v>78</v>
      </c>
      <c r="B3" s="128"/>
      <c r="C3" s="128"/>
      <c r="D3" s="128"/>
      <c r="E3" s="128"/>
      <c r="F3" s="128"/>
      <c r="G3" s="128"/>
      <c r="H3" s="125"/>
      <c r="I3" s="126"/>
      <c r="J3" s="126"/>
      <c r="K3" s="126"/>
      <c r="L3" s="126"/>
      <c r="M3" s="125"/>
    </row>
    <row r="4" spans="1:13">
      <c r="A4" s="129"/>
      <c r="B4" s="129"/>
      <c r="C4" s="129"/>
      <c r="D4" s="129"/>
      <c r="E4" s="129"/>
      <c r="F4" s="129"/>
      <c r="G4" s="129"/>
      <c r="H4" s="130"/>
      <c r="I4" s="130"/>
      <c r="J4" s="131"/>
      <c r="K4" s="131"/>
      <c r="L4" s="131"/>
      <c r="M4" s="132"/>
    </row>
    <row r="5" spans="1:13" ht="15">
      <c r="A5" s="129"/>
      <c r="B5" s="129"/>
      <c r="C5" s="133" t="s">
        <v>107</v>
      </c>
      <c r="D5" s="134"/>
      <c r="E5" s="134"/>
      <c r="F5" s="135"/>
      <c r="G5" s="136"/>
      <c r="H5" s="137"/>
      <c r="I5" s="338" t="s">
        <v>108</v>
      </c>
      <c r="J5" s="338"/>
      <c r="K5" s="338"/>
      <c r="L5" s="338"/>
      <c r="M5" s="339"/>
    </row>
    <row r="6" spans="1:13" ht="15">
      <c r="A6" s="138"/>
      <c r="B6" s="138"/>
      <c r="C6" s="139" t="str">
        <f>+[1]DCF!E6</f>
        <v>2005</v>
      </c>
      <c r="D6" s="139" t="str">
        <f>+[1]DCF!F6</f>
        <v>2006</v>
      </c>
      <c r="E6" s="139" t="str">
        <f>+[1]DCF!G6</f>
        <v>2007</v>
      </c>
      <c r="F6" s="135"/>
      <c r="G6" s="139" t="str">
        <f>+[1]DCF!I6</f>
        <v>2008</v>
      </c>
      <c r="H6" s="140"/>
      <c r="I6" s="141" t="str">
        <f>+[1]DCF!J6</f>
        <v>2009</v>
      </c>
      <c r="J6" s="139" t="str">
        <f>+[1]DCF!K6</f>
        <v>2010</v>
      </c>
      <c r="K6" s="139" t="str">
        <f>+[1]DCF!L6</f>
        <v>2011</v>
      </c>
      <c r="L6" s="139" t="str">
        <f>+[1]DCF!M6</f>
        <v>2012</v>
      </c>
      <c r="M6" s="139" t="str">
        <f>+[1]DCF!N6</f>
        <v>2013</v>
      </c>
    </row>
    <row r="7" spans="1:13">
      <c r="A7" s="136"/>
      <c r="B7" s="142"/>
      <c r="C7" s="143"/>
      <c r="D7" s="143"/>
      <c r="E7" s="143"/>
      <c r="F7" s="135"/>
      <c r="G7" s="143"/>
      <c r="H7" s="142"/>
      <c r="I7" s="144"/>
      <c r="J7" s="145"/>
      <c r="K7" s="145"/>
      <c r="L7" s="145"/>
      <c r="M7" s="145"/>
    </row>
    <row r="8" spans="1:13">
      <c r="A8" s="136"/>
      <c r="B8" s="129" t="s">
        <v>20</v>
      </c>
      <c r="C8" s="146">
        <f>DCF!E7</f>
        <v>780</v>
      </c>
      <c r="D8" s="146">
        <f>DCF!F7</f>
        <v>850</v>
      </c>
      <c r="E8" s="146">
        <f>DCF!G7</f>
        <v>925</v>
      </c>
      <c r="F8" s="146"/>
      <c r="G8" s="146">
        <f>DCF!I7</f>
        <v>1000</v>
      </c>
      <c r="H8" s="146"/>
      <c r="I8" s="147">
        <f>DCF!J7</f>
        <v>1080</v>
      </c>
      <c r="J8" s="300">
        <f>DCF!K7</f>
        <v>1144.8</v>
      </c>
      <c r="K8" s="300">
        <f>DCF!L7</f>
        <v>1190.5920000000001</v>
      </c>
      <c r="L8" s="300">
        <f>DCF!M7</f>
        <v>1226.3097600000001</v>
      </c>
      <c r="M8" s="300">
        <f>DCF!N7</f>
        <v>1263.0990528000002</v>
      </c>
    </row>
    <row r="9" spans="1:13">
      <c r="A9" s="136"/>
      <c r="B9" s="129" t="s">
        <v>109</v>
      </c>
      <c r="C9" s="148">
        <f>DCF!E9</f>
        <v>471.9</v>
      </c>
      <c r="D9" s="148">
        <f>DCF!F9</f>
        <v>512.1</v>
      </c>
      <c r="E9" s="148">
        <f>DCF!G9</f>
        <v>555</v>
      </c>
      <c r="F9" s="148"/>
      <c r="G9" s="148">
        <f>DCF!I9</f>
        <v>600</v>
      </c>
      <c r="H9" s="148"/>
      <c r="I9" s="149">
        <f>DCF!J9</f>
        <v>648</v>
      </c>
      <c r="J9" s="148">
        <f>DCF!K9</f>
        <v>686.88</v>
      </c>
      <c r="K9" s="148">
        <f>DCF!L9</f>
        <v>714.35520000000008</v>
      </c>
      <c r="L9" s="148">
        <f>DCF!M9</f>
        <v>735.78585600000008</v>
      </c>
      <c r="M9" s="148">
        <f>DCF!N9</f>
        <v>757.85943168000006</v>
      </c>
    </row>
    <row r="10" spans="1:13">
      <c r="A10" s="136"/>
      <c r="B10" s="129"/>
      <c r="C10" s="150"/>
      <c r="D10" s="150"/>
      <c r="E10" s="150"/>
      <c r="F10" s="135"/>
      <c r="G10" s="151"/>
      <c r="H10" s="152"/>
      <c r="I10" s="153"/>
      <c r="J10" s="152"/>
      <c r="K10" s="152"/>
      <c r="L10" s="152"/>
      <c r="M10" s="152"/>
    </row>
    <row r="11" spans="1:13" ht="15">
      <c r="A11" s="136"/>
      <c r="B11" s="154" t="s">
        <v>110</v>
      </c>
      <c r="C11" s="155"/>
      <c r="D11" s="155"/>
      <c r="E11" s="155"/>
      <c r="F11" s="135"/>
      <c r="G11" s="156"/>
      <c r="H11" s="157"/>
      <c r="I11" s="153"/>
      <c r="J11" s="157"/>
      <c r="K11" s="157"/>
      <c r="L11" s="157"/>
      <c r="M11" s="157"/>
    </row>
    <row r="12" spans="1:13">
      <c r="A12" s="136"/>
      <c r="B12" s="158" t="s">
        <v>111</v>
      </c>
      <c r="C12" s="159">
        <v>123.2</v>
      </c>
      <c r="D12" s="159">
        <v>141.1</v>
      </c>
      <c r="E12" s="159">
        <v>152.625</v>
      </c>
      <c r="F12" s="160"/>
      <c r="G12" s="148">
        <f>G29/365*G8</f>
        <v>165</v>
      </c>
      <c r="H12" s="148"/>
      <c r="I12" s="149">
        <f>I29/365*I8</f>
        <v>178.20000000000002</v>
      </c>
      <c r="J12" s="148">
        <f t="shared" ref="J12:M12" si="0">J29/365*J8</f>
        <v>188.892</v>
      </c>
      <c r="K12" s="148">
        <f t="shared" si="0"/>
        <v>196.44768000000002</v>
      </c>
      <c r="L12" s="148">
        <f t="shared" si="0"/>
        <v>202.34111040000002</v>
      </c>
      <c r="M12" s="148">
        <f t="shared" si="0"/>
        <v>208.41134371200005</v>
      </c>
    </row>
    <row r="13" spans="1:13">
      <c r="A13" s="136"/>
      <c r="B13" s="158" t="s">
        <v>112</v>
      </c>
      <c r="C13" s="159">
        <v>94.6</v>
      </c>
      <c r="D13" s="159">
        <v>104</v>
      </c>
      <c r="E13" s="159">
        <v>115.625</v>
      </c>
      <c r="F13" s="160"/>
      <c r="G13" s="148">
        <f>G30/365*G9</f>
        <v>125</v>
      </c>
      <c r="H13" s="148"/>
      <c r="I13" s="149">
        <f>I30/365*I9</f>
        <v>135</v>
      </c>
      <c r="J13" s="148">
        <f t="shared" ref="J13:M13" si="1">J30/365*J9</f>
        <v>143.1</v>
      </c>
      <c r="K13" s="148">
        <f t="shared" si="1"/>
        <v>148.82400000000001</v>
      </c>
      <c r="L13" s="148">
        <f t="shared" si="1"/>
        <v>153.28872000000001</v>
      </c>
      <c r="M13" s="148">
        <f t="shared" si="1"/>
        <v>157.88738160000003</v>
      </c>
    </row>
    <row r="14" spans="1:13" ht="15">
      <c r="A14" s="136"/>
      <c r="B14" s="158" t="s">
        <v>113</v>
      </c>
      <c r="C14" s="301">
        <v>7.1</v>
      </c>
      <c r="D14" s="301">
        <v>8.5</v>
      </c>
      <c r="E14" s="301">
        <v>9.25</v>
      </c>
      <c r="F14" s="161"/>
      <c r="G14" s="162">
        <f>G8*G31</f>
        <v>10</v>
      </c>
      <c r="H14" s="162"/>
      <c r="I14" s="163">
        <f>I8*I31</f>
        <v>10.8</v>
      </c>
      <c r="J14" s="163">
        <f t="shared" ref="J14:M14" si="2">J8*J31</f>
        <v>11.448</v>
      </c>
      <c r="K14" s="163">
        <f t="shared" si="2"/>
        <v>11.905920000000002</v>
      </c>
      <c r="L14" s="163">
        <f t="shared" si="2"/>
        <v>12.263097600000002</v>
      </c>
      <c r="M14" s="163">
        <f t="shared" si="2"/>
        <v>12.630990528000002</v>
      </c>
    </row>
    <row r="15" spans="1:13">
      <c r="A15" s="142"/>
      <c r="B15" s="138" t="s">
        <v>114</v>
      </c>
      <c r="C15" s="164">
        <f>SUM(C12:C14)</f>
        <v>224.9</v>
      </c>
      <c r="D15" s="164">
        <f>SUM(D12:D14)</f>
        <v>253.6</v>
      </c>
      <c r="E15" s="164">
        <f>SUM(E12:E14)</f>
        <v>277.5</v>
      </c>
      <c r="F15" s="164"/>
      <c r="G15" s="164">
        <f>SUM(G12:G14)</f>
        <v>300</v>
      </c>
      <c r="H15" s="164"/>
      <c r="I15" s="165">
        <f>SUM(I12:I14)</f>
        <v>324.00000000000006</v>
      </c>
      <c r="J15" s="164">
        <f>SUM(J12:J14)</f>
        <v>343.43999999999994</v>
      </c>
      <c r="K15" s="164">
        <f>SUM(K12:K14)</f>
        <v>357.17760000000004</v>
      </c>
      <c r="L15" s="164">
        <f>SUM(L12:L14)</f>
        <v>367.89292800000004</v>
      </c>
      <c r="M15" s="164">
        <f>SUM(M12:M14)</f>
        <v>378.92971584000009</v>
      </c>
    </row>
    <row r="16" spans="1:13">
      <c r="A16" s="136"/>
      <c r="B16" s="138"/>
      <c r="C16" s="166"/>
      <c r="D16" s="166"/>
      <c r="E16" s="166"/>
      <c r="F16" s="135"/>
      <c r="G16" s="167"/>
      <c r="H16" s="166"/>
      <c r="I16" s="168"/>
      <c r="J16" s="166"/>
      <c r="K16" s="166"/>
      <c r="L16" s="166"/>
      <c r="M16" s="166"/>
    </row>
    <row r="17" spans="1:13" ht="15">
      <c r="A17" s="136"/>
      <c r="B17" s="154" t="s">
        <v>115</v>
      </c>
      <c r="C17" s="157"/>
      <c r="D17" s="157"/>
      <c r="E17" s="157"/>
      <c r="F17" s="135"/>
      <c r="G17" s="156"/>
      <c r="H17" s="157"/>
      <c r="I17" s="153"/>
      <c r="J17" s="157"/>
      <c r="K17" s="157"/>
      <c r="L17" s="157"/>
      <c r="M17" s="157"/>
    </row>
    <row r="18" spans="1:13">
      <c r="A18" s="136"/>
      <c r="B18" s="158" t="s">
        <v>116</v>
      </c>
      <c r="C18" s="159">
        <v>65.2</v>
      </c>
      <c r="D18" s="159">
        <v>66</v>
      </c>
      <c r="E18" s="159">
        <v>69.375</v>
      </c>
      <c r="F18" s="160"/>
      <c r="G18" s="148">
        <f>G33/365*G9</f>
        <v>75</v>
      </c>
      <c r="H18" s="148"/>
      <c r="I18" s="149">
        <f>I33/365*I9</f>
        <v>81</v>
      </c>
      <c r="J18" s="148">
        <f>J33/365*J9</f>
        <v>85.86</v>
      </c>
      <c r="K18" s="148">
        <f t="shared" ref="K18:M18" si="3">K33/365*K9</f>
        <v>89.29440000000001</v>
      </c>
      <c r="L18" s="148">
        <f t="shared" si="3"/>
        <v>91.97323200000001</v>
      </c>
      <c r="M18" s="148">
        <f t="shared" si="3"/>
        <v>94.732428960000007</v>
      </c>
    </row>
    <row r="19" spans="1:13">
      <c r="A19" s="136"/>
      <c r="B19" s="158" t="s">
        <v>117</v>
      </c>
      <c r="C19" s="159">
        <v>69.900000000000006</v>
      </c>
      <c r="D19" s="159">
        <v>83.2</v>
      </c>
      <c r="E19" s="159">
        <v>92.5</v>
      </c>
      <c r="F19" s="160"/>
      <c r="G19" s="148">
        <f>G34*G8</f>
        <v>100</v>
      </c>
      <c r="H19" s="148"/>
      <c r="I19" s="149">
        <f>I34*I8</f>
        <v>108</v>
      </c>
      <c r="J19" s="148">
        <f t="shared" ref="J19:M19" si="4">J34*J8</f>
        <v>114.48</v>
      </c>
      <c r="K19" s="148">
        <f t="shared" si="4"/>
        <v>119.05920000000002</v>
      </c>
      <c r="L19" s="148">
        <f t="shared" si="4"/>
        <v>122.63097600000002</v>
      </c>
      <c r="M19" s="148">
        <f t="shared" si="4"/>
        <v>126.30990528000002</v>
      </c>
    </row>
    <row r="20" spans="1:13" ht="15">
      <c r="A20" s="136"/>
      <c r="B20" s="158" t="s">
        <v>118</v>
      </c>
      <c r="C20" s="301">
        <f>C8*0.02</f>
        <v>15.6</v>
      </c>
      <c r="D20" s="301">
        <f>D8*0.024</f>
        <v>20.400000000000002</v>
      </c>
      <c r="E20" s="301">
        <v>23.125</v>
      </c>
      <c r="F20" s="161"/>
      <c r="G20" s="162">
        <f>G35*G8</f>
        <v>25</v>
      </c>
      <c r="H20" s="162"/>
      <c r="I20" s="163">
        <f>I35*I8</f>
        <v>27</v>
      </c>
      <c r="J20" s="162">
        <f t="shared" ref="J20:M20" si="5">J35*J8</f>
        <v>28.62</v>
      </c>
      <c r="K20" s="162">
        <f t="shared" si="5"/>
        <v>29.764800000000005</v>
      </c>
      <c r="L20" s="162">
        <f t="shared" si="5"/>
        <v>30.657744000000005</v>
      </c>
      <c r="M20" s="162">
        <f t="shared" si="5"/>
        <v>31.577476320000006</v>
      </c>
    </row>
    <row r="21" spans="1:13">
      <c r="A21" s="142"/>
      <c r="B21" s="138" t="s">
        <v>119</v>
      </c>
      <c r="C21" s="164">
        <f>SUM(C18:C20)</f>
        <v>150.70000000000002</v>
      </c>
      <c r="D21" s="164">
        <f t="shared" ref="D21:M21" si="6">SUM(D18:D20)</f>
        <v>169.6</v>
      </c>
      <c r="E21" s="164">
        <f t="shared" si="6"/>
        <v>185</v>
      </c>
      <c r="F21" s="164"/>
      <c r="G21" s="164">
        <f t="shared" si="6"/>
        <v>200</v>
      </c>
      <c r="H21" s="164"/>
      <c r="I21" s="165">
        <f t="shared" si="6"/>
        <v>216</v>
      </c>
      <c r="J21" s="164">
        <f t="shared" si="6"/>
        <v>228.96</v>
      </c>
      <c r="K21" s="164">
        <f t="shared" si="6"/>
        <v>238.11840000000004</v>
      </c>
      <c r="L21" s="164">
        <f t="shared" si="6"/>
        <v>245.26195200000004</v>
      </c>
      <c r="M21" s="164">
        <f t="shared" si="6"/>
        <v>252.61981056000005</v>
      </c>
    </row>
    <row r="22" spans="1:13">
      <c r="A22" s="136"/>
      <c r="B22" s="129"/>
      <c r="C22" s="164"/>
      <c r="D22" s="164"/>
      <c r="E22" s="164"/>
      <c r="F22" s="164"/>
      <c r="G22" s="164"/>
      <c r="H22" s="164"/>
      <c r="I22" s="165"/>
      <c r="J22" s="164"/>
      <c r="K22" s="164"/>
      <c r="L22" s="164"/>
      <c r="M22" s="164"/>
    </row>
    <row r="23" spans="1:13">
      <c r="A23" s="142"/>
      <c r="B23" s="138" t="s">
        <v>120</v>
      </c>
      <c r="C23" s="164">
        <f>C15-C21</f>
        <v>74.199999999999989</v>
      </c>
      <c r="D23" s="164">
        <f t="shared" ref="D23:M23" si="7">D15-D21</f>
        <v>84</v>
      </c>
      <c r="E23" s="164">
        <f t="shared" si="7"/>
        <v>92.5</v>
      </c>
      <c r="F23" s="164"/>
      <c r="G23" s="164">
        <f t="shared" si="7"/>
        <v>100</v>
      </c>
      <c r="H23" s="164"/>
      <c r="I23" s="165">
        <f t="shared" si="7"/>
        <v>108.00000000000006</v>
      </c>
      <c r="J23" s="164">
        <f t="shared" si="7"/>
        <v>114.47999999999993</v>
      </c>
      <c r="K23" s="164">
        <f t="shared" si="7"/>
        <v>119.0592</v>
      </c>
      <c r="L23" s="164">
        <f t="shared" si="7"/>
        <v>122.630976</v>
      </c>
      <c r="M23" s="164">
        <f t="shared" si="7"/>
        <v>126.30990528000004</v>
      </c>
    </row>
    <row r="24" spans="1:13">
      <c r="A24" s="136"/>
      <c r="B24" s="169" t="s">
        <v>121</v>
      </c>
      <c r="C24" s="170">
        <f>C23/C8</f>
        <v>9.5128205128205121E-2</v>
      </c>
      <c r="D24" s="170">
        <f t="shared" ref="D24:M24" si="8">D23/D8</f>
        <v>9.8823529411764699E-2</v>
      </c>
      <c r="E24" s="170">
        <f t="shared" si="8"/>
        <v>0.1</v>
      </c>
      <c r="F24" s="170"/>
      <c r="G24" s="170">
        <f t="shared" si="8"/>
        <v>0.1</v>
      </c>
      <c r="H24" s="170"/>
      <c r="I24" s="171">
        <f t="shared" si="8"/>
        <v>0.10000000000000005</v>
      </c>
      <c r="J24" s="170">
        <f t="shared" si="8"/>
        <v>9.999999999999995E-2</v>
      </c>
      <c r="K24" s="170">
        <f t="shared" si="8"/>
        <v>9.9999999999999992E-2</v>
      </c>
      <c r="L24" s="170">
        <f t="shared" si="8"/>
        <v>9.9999999999999992E-2</v>
      </c>
      <c r="M24" s="170">
        <f t="shared" si="8"/>
        <v>0.10000000000000002</v>
      </c>
    </row>
    <row r="25" spans="1:13">
      <c r="A25" s="136"/>
      <c r="B25" s="129"/>
      <c r="C25" s="152"/>
      <c r="D25" s="152"/>
      <c r="E25" s="152"/>
      <c r="F25" s="136"/>
      <c r="G25" s="152"/>
      <c r="H25" s="152"/>
      <c r="I25" s="172"/>
      <c r="J25" s="173"/>
      <c r="K25" s="173"/>
      <c r="L25" s="173"/>
      <c r="M25" s="173"/>
    </row>
    <row r="26" spans="1:13">
      <c r="A26" s="174"/>
      <c r="B26" s="175" t="s">
        <v>122</v>
      </c>
      <c r="C26" s="176"/>
      <c r="D26" s="176">
        <f>C23-D23</f>
        <v>-9.8000000000000114</v>
      </c>
      <c r="E26" s="176">
        <f>D23-E23</f>
        <v>-8.5</v>
      </c>
      <c r="F26" s="176"/>
      <c r="G26" s="176">
        <f>E23-G23</f>
        <v>-7.5</v>
      </c>
      <c r="H26" s="176"/>
      <c r="I26" s="177">
        <f>G23-I23</f>
        <v>-8.0000000000000568</v>
      </c>
      <c r="J26" s="176">
        <f>I23-J23</f>
        <v>-6.4799999999998761</v>
      </c>
      <c r="K26" s="176">
        <f t="shared" ref="K26:M26" si="9">J23-K23</f>
        <v>-4.5792000000000712</v>
      </c>
      <c r="L26" s="176">
        <f t="shared" si="9"/>
        <v>-3.5717759999999998</v>
      </c>
      <c r="M26" s="176">
        <f t="shared" si="9"/>
        <v>-3.6789292800000339</v>
      </c>
    </row>
    <row r="27" spans="1:13">
      <c r="A27" s="174"/>
      <c r="B27" s="178"/>
      <c r="C27" s="179"/>
      <c r="D27" s="179"/>
      <c r="E27" s="179"/>
      <c r="F27" s="174"/>
      <c r="G27" s="179"/>
      <c r="H27" s="179"/>
      <c r="I27" s="180"/>
      <c r="J27" s="181"/>
      <c r="K27" s="181"/>
      <c r="L27" s="181"/>
      <c r="M27" s="181"/>
    </row>
    <row r="28" spans="1:13">
      <c r="A28" s="136"/>
      <c r="B28" s="182" t="s">
        <v>69</v>
      </c>
      <c r="C28" s="136"/>
      <c r="D28" s="136"/>
      <c r="E28" s="136"/>
      <c r="F28" s="136"/>
      <c r="G28" s="136"/>
      <c r="H28" s="136"/>
      <c r="I28" s="183"/>
      <c r="J28" s="135"/>
      <c r="K28" s="135"/>
      <c r="L28" s="135"/>
      <c r="M28" s="135"/>
    </row>
    <row r="29" spans="1:13">
      <c r="A29" s="136"/>
      <c r="B29" s="184" t="s">
        <v>123</v>
      </c>
      <c r="C29" s="185">
        <f>365/(C8/C12)</f>
        <v>57.651282051282045</v>
      </c>
      <c r="D29" s="185">
        <f t="shared" ref="D29:E29" si="10">365/(D8/D12)</f>
        <v>60.589999999999996</v>
      </c>
      <c r="E29" s="185">
        <f t="shared" si="10"/>
        <v>60.225000000000001</v>
      </c>
      <c r="F29" s="185"/>
      <c r="G29" s="185">
        <f>E29</f>
        <v>60.225000000000001</v>
      </c>
      <c r="H29" s="185"/>
      <c r="I29" s="186">
        <f>'A2'!F9</f>
        <v>60.225000000000001</v>
      </c>
      <c r="J29" s="185">
        <f>'A2'!G9</f>
        <v>60.225000000000001</v>
      </c>
      <c r="K29" s="185">
        <f>'A2'!H9</f>
        <v>60.225000000000001</v>
      </c>
      <c r="L29" s="185">
        <f>'A2'!I9</f>
        <v>60.225000000000001</v>
      </c>
      <c r="M29" s="187">
        <f>'A2'!J9</f>
        <v>60.225000000000001</v>
      </c>
    </row>
    <row r="30" spans="1:13">
      <c r="A30" s="136"/>
      <c r="B30" s="188" t="s">
        <v>124</v>
      </c>
      <c r="C30" s="189">
        <f>365/(C9/C13)</f>
        <v>73.170163170163164</v>
      </c>
      <c r="D30" s="189">
        <f t="shared" ref="D30:E30" si="11">365/(D9/D13)</f>
        <v>74.126147236867794</v>
      </c>
      <c r="E30" s="189">
        <f t="shared" si="11"/>
        <v>76.041666666666671</v>
      </c>
      <c r="F30" s="189"/>
      <c r="G30" s="189">
        <f>E30</f>
        <v>76.041666666666671</v>
      </c>
      <c r="H30" s="189"/>
      <c r="I30" s="190">
        <f>'A2'!F16</f>
        <v>76.041666666666671</v>
      </c>
      <c r="J30" s="189">
        <f>'A2'!G16</f>
        <v>76.041666666666671</v>
      </c>
      <c r="K30" s="189">
        <f>'A2'!H16</f>
        <v>76.041666666666671</v>
      </c>
      <c r="L30" s="189">
        <f>'A2'!I16</f>
        <v>76.041666666666671</v>
      </c>
      <c r="M30" s="191">
        <f>'A2'!J16</f>
        <v>76.041666666666671</v>
      </c>
    </row>
    <row r="31" spans="1:13">
      <c r="A31" s="136"/>
      <c r="B31" s="188" t="s">
        <v>125</v>
      </c>
      <c r="C31" s="72">
        <f>C14/C8</f>
        <v>9.1025641025641018E-3</v>
      </c>
      <c r="D31" s="72">
        <f t="shared" ref="D31:E31" si="12">D14/D8</f>
        <v>0.01</v>
      </c>
      <c r="E31" s="72">
        <f t="shared" si="12"/>
        <v>0.01</v>
      </c>
      <c r="F31" s="192"/>
      <c r="G31" s="72">
        <f>E31</f>
        <v>0.01</v>
      </c>
      <c r="H31" s="72"/>
      <c r="I31" s="73">
        <f>'A2'!F23</f>
        <v>0.01</v>
      </c>
      <c r="J31" s="72">
        <f>'A2'!G23</f>
        <v>0.01</v>
      </c>
      <c r="K31" s="72">
        <f>'A2'!H23</f>
        <v>0.01</v>
      </c>
      <c r="L31" s="72">
        <f>'A2'!I23</f>
        <v>0.01</v>
      </c>
      <c r="M31" s="74">
        <f>'A2'!J23</f>
        <v>0.01</v>
      </c>
    </row>
    <row r="32" spans="1:13">
      <c r="A32" s="136"/>
      <c r="B32" s="193"/>
      <c r="C32" s="194"/>
      <c r="D32" s="194"/>
      <c r="E32" s="194"/>
      <c r="F32" s="195"/>
      <c r="G32" s="194"/>
      <c r="H32" s="195"/>
      <c r="I32" s="196"/>
      <c r="J32" s="195"/>
      <c r="K32" s="195"/>
      <c r="L32" s="195"/>
      <c r="M32" s="197"/>
    </row>
    <row r="33" spans="1:13">
      <c r="A33" s="136"/>
      <c r="B33" s="188" t="s">
        <v>126</v>
      </c>
      <c r="C33" s="189">
        <f>365/(C9/C18)</f>
        <v>50.430175884721343</v>
      </c>
      <c r="D33" s="189">
        <f t="shared" ref="D33:E33" si="13">365/(D9/D18)</f>
        <v>47.041593438781483</v>
      </c>
      <c r="E33" s="189">
        <f t="shared" si="13"/>
        <v>45.625</v>
      </c>
      <c r="F33" s="189"/>
      <c r="G33" s="189">
        <f>E33</f>
        <v>45.625</v>
      </c>
      <c r="H33" s="189"/>
      <c r="I33" s="190">
        <f>'A2'!F31</f>
        <v>45.625</v>
      </c>
      <c r="J33" s="189">
        <f>'A2'!G31</f>
        <v>45.625</v>
      </c>
      <c r="K33" s="189">
        <f>'A2'!H31</f>
        <v>45.625</v>
      </c>
      <c r="L33" s="189">
        <f>'A2'!I31</f>
        <v>45.625</v>
      </c>
      <c r="M33" s="191">
        <f>'A2'!J31</f>
        <v>45.625</v>
      </c>
    </row>
    <row r="34" spans="1:13">
      <c r="A34" s="136"/>
      <c r="B34" s="188" t="s">
        <v>127</v>
      </c>
      <c r="C34" s="72">
        <f>C19/C8</f>
        <v>8.9615384615384625E-2</v>
      </c>
      <c r="D34" s="72">
        <f t="shared" ref="D34:E34" si="14">D19/D8</f>
        <v>9.7882352941176476E-2</v>
      </c>
      <c r="E34" s="72">
        <f t="shared" si="14"/>
        <v>0.1</v>
      </c>
      <c r="F34" s="192"/>
      <c r="G34" s="72">
        <f>E34</f>
        <v>0.1</v>
      </c>
      <c r="H34" s="72"/>
      <c r="I34" s="73">
        <f>'A2'!F38</f>
        <v>0.1</v>
      </c>
      <c r="J34" s="72">
        <f>'A2'!G38</f>
        <v>0.1</v>
      </c>
      <c r="K34" s="72">
        <f>'A2'!H38</f>
        <v>0.1</v>
      </c>
      <c r="L34" s="72">
        <f>'A2'!I38</f>
        <v>0.1</v>
      </c>
      <c r="M34" s="74">
        <f>'A2'!J38</f>
        <v>0.1</v>
      </c>
    </row>
    <row r="35" spans="1:13">
      <c r="A35" s="136"/>
      <c r="B35" s="198" t="s">
        <v>128</v>
      </c>
      <c r="C35" s="84">
        <f>C20/C8</f>
        <v>0.02</v>
      </c>
      <c r="D35" s="84">
        <f t="shared" ref="D35:E35" si="15">D20/D8</f>
        <v>2.4000000000000004E-2</v>
      </c>
      <c r="E35" s="84">
        <f t="shared" si="15"/>
        <v>2.5000000000000001E-2</v>
      </c>
      <c r="F35" s="199"/>
      <c r="G35" s="84">
        <f>E35</f>
        <v>2.5000000000000001E-2</v>
      </c>
      <c r="H35" s="84"/>
      <c r="I35" s="83">
        <f>'A2'!F45</f>
        <v>2.5000000000000001E-2</v>
      </c>
      <c r="J35" s="84">
        <f>'A2'!G45</f>
        <v>2.5000000000000001E-2</v>
      </c>
      <c r="K35" s="84">
        <f>'A2'!H45</f>
        <v>2.5000000000000001E-2</v>
      </c>
      <c r="L35" s="84">
        <f>'A2'!I45</f>
        <v>2.5000000000000001E-2</v>
      </c>
      <c r="M35" s="85">
        <f>'A2'!J45</f>
        <v>2.5000000000000001E-2</v>
      </c>
    </row>
  </sheetData>
  <mergeCells count="1">
    <mergeCell ref="I5:M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opLeftCell="A10" zoomScale="85" zoomScaleNormal="85" workbookViewId="0">
      <selection activeCell="G26" sqref="G26"/>
    </sheetView>
  </sheetViews>
  <sheetFormatPr defaultRowHeight="12.75"/>
  <cols>
    <col min="1" max="1" width="0.85546875" customWidth="1"/>
    <col min="2" max="5" width="14.42578125" customWidth="1"/>
    <col min="6" max="6" width="20.85546875" customWidth="1"/>
    <col min="7" max="12" width="14.42578125" customWidth="1"/>
  </cols>
  <sheetData>
    <row r="1" spans="1:12" ht="20.25">
      <c r="A1" s="200" t="str">
        <f>+[1]DCF!A1</f>
        <v>ValueCo Corporation</v>
      </c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01"/>
    </row>
    <row r="2" spans="1:12" ht="18">
      <c r="A2" s="202" t="s">
        <v>129</v>
      </c>
      <c r="B2" s="201"/>
      <c r="C2" s="201"/>
      <c r="D2" s="201"/>
      <c r="E2" s="201"/>
      <c r="F2" s="201"/>
      <c r="G2" s="201"/>
      <c r="H2" s="201"/>
      <c r="I2" s="201"/>
      <c r="J2" s="201"/>
      <c r="K2" s="201"/>
      <c r="L2" s="201"/>
    </row>
    <row r="3" spans="1:12">
      <c r="A3" s="203" t="s">
        <v>78</v>
      </c>
      <c r="B3" s="204"/>
      <c r="C3" s="204"/>
      <c r="D3" s="204"/>
      <c r="E3" s="204"/>
      <c r="F3" s="204"/>
      <c r="G3" s="204"/>
      <c r="H3" s="204"/>
      <c r="I3" s="204"/>
      <c r="J3" s="204"/>
      <c r="K3" s="204"/>
      <c r="L3" s="204"/>
    </row>
    <row r="4" spans="1:12">
      <c r="A4" s="132"/>
      <c r="B4" s="132"/>
      <c r="C4" s="132"/>
      <c r="D4" s="132"/>
      <c r="E4" s="132"/>
      <c r="F4" s="132"/>
      <c r="G4" s="132"/>
      <c r="H4" s="132"/>
      <c r="I4" s="132"/>
      <c r="J4" s="132"/>
      <c r="K4" s="132"/>
      <c r="L4" s="132"/>
    </row>
    <row r="5" spans="1:12">
      <c r="A5" s="132"/>
      <c r="B5" s="132"/>
      <c r="C5" s="132"/>
      <c r="D5" s="132"/>
      <c r="E5" s="132"/>
      <c r="F5" s="132"/>
      <c r="G5" s="132"/>
      <c r="H5" s="132"/>
      <c r="I5" s="132"/>
      <c r="J5" s="132"/>
      <c r="K5" s="132"/>
      <c r="L5" s="132"/>
    </row>
    <row r="6" spans="1:12" ht="15">
      <c r="A6" s="132"/>
      <c r="B6" s="341" t="s">
        <v>130</v>
      </c>
      <c r="C6" s="341"/>
      <c r="D6" s="341"/>
      <c r="E6" s="132"/>
      <c r="F6" s="342" t="s">
        <v>131</v>
      </c>
      <c r="G6" s="342"/>
      <c r="H6" s="342"/>
      <c r="I6" s="342"/>
      <c r="J6" s="342"/>
      <c r="K6" s="342"/>
      <c r="L6" s="342"/>
    </row>
    <row r="7" spans="1:12">
      <c r="A7" s="132"/>
      <c r="B7" s="205" t="s">
        <v>132</v>
      </c>
      <c r="C7" s="132"/>
      <c r="D7" s="132"/>
      <c r="E7" s="132"/>
      <c r="F7" s="206"/>
      <c r="G7" s="145" t="s">
        <v>133</v>
      </c>
      <c r="H7" s="145" t="s">
        <v>134</v>
      </c>
      <c r="I7" s="145" t="s">
        <v>134</v>
      </c>
      <c r="J7" s="145" t="s">
        <v>135</v>
      </c>
      <c r="K7" s="145" t="s">
        <v>136</v>
      </c>
      <c r="L7" s="145" t="s">
        <v>137</v>
      </c>
    </row>
    <row r="8" spans="1:12" ht="16.5">
      <c r="A8" s="132"/>
      <c r="B8" s="206" t="s">
        <v>138</v>
      </c>
      <c r="C8" s="206"/>
      <c r="D8" s="76">
        <v>0.3</v>
      </c>
      <c r="E8" s="132"/>
      <c r="F8" s="207" t="s">
        <v>139</v>
      </c>
      <c r="G8" s="208" t="s">
        <v>140</v>
      </c>
      <c r="H8" s="208" t="s">
        <v>141</v>
      </c>
      <c r="I8" s="208" t="s">
        <v>142</v>
      </c>
      <c r="J8" s="208" t="s">
        <v>143</v>
      </c>
      <c r="K8" s="208" t="s">
        <v>75</v>
      </c>
      <c r="L8" s="208" t="s">
        <v>144</v>
      </c>
    </row>
    <row r="9" spans="1:12">
      <c r="A9" s="132"/>
      <c r="B9" s="209" t="s">
        <v>145</v>
      </c>
      <c r="C9" s="132"/>
      <c r="D9" s="210">
        <f>1-D8</f>
        <v>0.7</v>
      </c>
      <c r="E9" s="132"/>
      <c r="F9" s="211" t="s">
        <v>188</v>
      </c>
      <c r="G9" s="212">
        <v>1.1100000000000001</v>
      </c>
      <c r="H9" s="213">
        <v>575</v>
      </c>
      <c r="I9" s="213">
        <v>2600</v>
      </c>
      <c r="J9" s="210">
        <f>H9/I9</f>
        <v>0.22115384615384615</v>
      </c>
      <c r="K9" s="76">
        <v>0.38</v>
      </c>
      <c r="L9" s="214">
        <f>G9/(1+J9*(1-K9))</f>
        <v>0.9761542364282092</v>
      </c>
    </row>
    <row r="10" spans="1:12">
      <c r="A10" s="132"/>
      <c r="B10" s="209"/>
      <c r="C10" s="132"/>
      <c r="D10" s="215"/>
      <c r="E10" s="132"/>
      <c r="F10" s="211" t="s">
        <v>189</v>
      </c>
      <c r="G10" s="212">
        <v>1.08</v>
      </c>
      <c r="H10" s="159">
        <v>515</v>
      </c>
      <c r="I10" s="159">
        <v>1750</v>
      </c>
      <c r="J10" s="210">
        <f t="shared" ref="J10:J13" si="0">H10/I10</f>
        <v>0.29428571428571426</v>
      </c>
      <c r="K10" s="76">
        <v>0.38</v>
      </c>
      <c r="L10" s="214">
        <f t="shared" ref="L10:L13" si="1">G10/(1+J10*(1-K10))</f>
        <v>0.91335234137147836</v>
      </c>
    </row>
    <row r="11" spans="1:12">
      <c r="A11" s="132"/>
      <c r="B11" s="132"/>
      <c r="C11" s="132"/>
      <c r="D11" s="132"/>
      <c r="E11" s="132"/>
      <c r="F11" s="211" t="s">
        <v>190</v>
      </c>
      <c r="G11" s="212">
        <v>1.35</v>
      </c>
      <c r="H11" s="159">
        <v>715</v>
      </c>
      <c r="I11" s="159">
        <v>1050</v>
      </c>
      <c r="J11" s="210">
        <f t="shared" si="0"/>
        <v>0.68095238095238098</v>
      </c>
      <c r="K11" s="76">
        <v>0.38</v>
      </c>
      <c r="L11" s="214">
        <f t="shared" si="1"/>
        <v>0.94923993839148202</v>
      </c>
    </row>
    <row r="12" spans="1:12">
      <c r="A12" s="132"/>
      <c r="B12" s="205" t="s">
        <v>146</v>
      </c>
      <c r="C12" s="206"/>
      <c r="D12" s="206"/>
      <c r="E12" s="132"/>
      <c r="F12" s="211" t="s">
        <v>191</v>
      </c>
      <c r="G12" s="212">
        <v>1.25</v>
      </c>
      <c r="H12" s="159">
        <v>550</v>
      </c>
      <c r="I12" s="159">
        <v>1000</v>
      </c>
      <c r="J12" s="210">
        <f t="shared" si="0"/>
        <v>0.55000000000000004</v>
      </c>
      <c r="K12" s="76">
        <v>0.38</v>
      </c>
      <c r="L12" s="214">
        <f t="shared" si="1"/>
        <v>0.93214019388516034</v>
      </c>
    </row>
    <row r="13" spans="1:12">
      <c r="A13" s="132"/>
      <c r="B13" s="206" t="s">
        <v>146</v>
      </c>
      <c r="C13" s="206"/>
      <c r="D13" s="76">
        <v>0.06</v>
      </c>
      <c r="E13" s="132"/>
      <c r="F13" s="211" t="s">
        <v>192</v>
      </c>
      <c r="G13" s="212">
        <v>1.19</v>
      </c>
      <c r="H13" s="159">
        <v>250</v>
      </c>
      <c r="I13" s="159">
        <v>630</v>
      </c>
      <c r="J13" s="210">
        <f t="shared" si="0"/>
        <v>0.3968253968253968</v>
      </c>
      <c r="K13" s="76">
        <v>0.38</v>
      </c>
      <c r="L13" s="214">
        <f t="shared" si="1"/>
        <v>0.95503184713375788</v>
      </c>
    </row>
    <row r="14" spans="1:12">
      <c r="A14" s="132"/>
      <c r="B14" s="206" t="s">
        <v>75</v>
      </c>
      <c r="C14" s="206"/>
      <c r="D14" s="76">
        <v>0.38</v>
      </c>
      <c r="E14" s="132"/>
      <c r="F14" s="216"/>
      <c r="G14" s="217"/>
      <c r="H14" s="218"/>
      <c r="I14" s="218"/>
      <c r="J14" s="210"/>
      <c r="K14" s="219"/>
      <c r="L14" s="220"/>
    </row>
    <row r="15" spans="1:12">
      <c r="A15" s="132"/>
      <c r="B15" s="221" t="s">
        <v>147</v>
      </c>
      <c r="C15" s="221"/>
      <c r="D15" s="222">
        <f>D13*(1-D14)</f>
        <v>3.7199999999999997E-2</v>
      </c>
      <c r="E15" s="132"/>
      <c r="F15" s="223" t="s">
        <v>148</v>
      </c>
      <c r="G15" s="224">
        <f>AVERAGE(G9:G13)</f>
        <v>1.1960000000000002</v>
      </c>
      <c r="H15" s="225"/>
      <c r="I15" s="225"/>
      <c r="J15" s="226">
        <f>AVERAGE(J9:J13)</f>
        <v>0.42864346764346772</v>
      </c>
      <c r="K15" s="225"/>
      <c r="L15" s="224">
        <f>AVERAGE(L9:L13)</f>
        <v>0.94518371144201763</v>
      </c>
    </row>
    <row r="16" spans="1:12">
      <c r="A16" s="132"/>
      <c r="B16" s="221"/>
      <c r="C16" s="221"/>
      <c r="D16" s="132"/>
      <c r="E16" s="227"/>
      <c r="F16" s="223" t="s">
        <v>149</v>
      </c>
      <c r="G16" s="224">
        <f>MEDIAN(G9:G13)</f>
        <v>1.19</v>
      </c>
      <c r="H16" s="225"/>
      <c r="I16" s="225"/>
      <c r="J16" s="226">
        <f>MEDIAN(J9:J13)</f>
        <v>0.3968253968253968</v>
      </c>
      <c r="K16" s="225"/>
      <c r="L16" s="224">
        <f>MEDIAN(L9:L13)</f>
        <v>0.94923993839148202</v>
      </c>
    </row>
    <row r="17" spans="1:12">
      <c r="A17" s="132"/>
      <c r="B17" s="132"/>
      <c r="C17" s="132"/>
      <c r="D17" s="132"/>
      <c r="E17" s="227"/>
      <c r="F17" s="132"/>
      <c r="G17" s="132"/>
      <c r="H17" s="132"/>
      <c r="I17" s="132"/>
      <c r="J17" s="132"/>
      <c r="K17" s="132"/>
      <c r="L17" s="132"/>
    </row>
    <row r="18" spans="1:12" ht="15">
      <c r="A18" s="132"/>
      <c r="B18" s="205" t="s">
        <v>150</v>
      </c>
      <c r="C18" s="206"/>
      <c r="D18" s="206"/>
      <c r="E18" s="228"/>
      <c r="F18" s="342" t="s">
        <v>151</v>
      </c>
      <c r="G18" s="342"/>
      <c r="H18" s="342"/>
      <c r="I18" s="342"/>
      <c r="J18" s="342"/>
      <c r="K18" s="342"/>
      <c r="L18" s="342"/>
    </row>
    <row r="19" spans="1:12" ht="14.25">
      <c r="A19" s="132"/>
      <c r="B19" s="206" t="s">
        <v>152</v>
      </c>
      <c r="C19" s="206"/>
      <c r="D19" s="76">
        <v>0.04</v>
      </c>
      <c r="E19" s="227"/>
      <c r="F19" s="136"/>
      <c r="G19" s="136"/>
      <c r="H19" s="136"/>
      <c r="I19" s="229" t="s">
        <v>153</v>
      </c>
      <c r="J19" s="145" t="s">
        <v>154</v>
      </c>
      <c r="K19" s="145" t="s">
        <v>154</v>
      </c>
      <c r="L19" s="136"/>
    </row>
    <row r="20" spans="1:12" ht="14.25">
      <c r="A20" s="132"/>
      <c r="B20" s="206" t="s">
        <v>155</v>
      </c>
      <c r="C20" s="206"/>
      <c r="D20" s="76">
        <v>7.0999999999999994E-2</v>
      </c>
      <c r="E20" s="227"/>
      <c r="F20" s="136"/>
      <c r="G20" s="136"/>
      <c r="H20" s="136"/>
      <c r="I20" s="145" t="s">
        <v>137</v>
      </c>
      <c r="J20" s="145" t="s">
        <v>135</v>
      </c>
      <c r="K20" s="145" t="s">
        <v>136</v>
      </c>
      <c r="L20" s="145" t="s">
        <v>156</v>
      </c>
    </row>
    <row r="21" spans="1:12" ht="15">
      <c r="A21" s="132"/>
      <c r="B21" s="206" t="s">
        <v>157</v>
      </c>
      <c r="C21" s="206"/>
      <c r="D21" s="214">
        <f>L22</f>
        <v>1.1963325261966109</v>
      </c>
      <c r="E21" s="227"/>
      <c r="F21" s="206"/>
      <c r="G21" s="206"/>
      <c r="H21" s="206"/>
      <c r="I21" s="208" t="s">
        <v>144</v>
      </c>
      <c r="J21" s="208" t="s">
        <v>143</v>
      </c>
      <c r="K21" s="208" t="s">
        <v>75</v>
      </c>
      <c r="L21" s="208" t="s">
        <v>144</v>
      </c>
    </row>
    <row r="22" spans="1:12" ht="14.25">
      <c r="A22" s="132"/>
      <c r="B22" s="132" t="s">
        <v>158</v>
      </c>
      <c r="C22" s="132"/>
      <c r="D22" s="230">
        <v>1.6500000000000001E-2</v>
      </c>
      <c r="E22" s="227"/>
      <c r="F22" s="231" t="s">
        <v>159</v>
      </c>
      <c r="G22" s="228"/>
      <c r="H22" s="228"/>
      <c r="I22" s="214">
        <f>L15</f>
        <v>0.94518371144201763</v>
      </c>
      <c r="J22" s="210">
        <f>D8/D9</f>
        <v>0.4285714285714286</v>
      </c>
      <c r="K22" s="210">
        <f>D14</f>
        <v>0.38</v>
      </c>
      <c r="L22" s="232">
        <f>I22*(1+J22*(1-K22))</f>
        <v>1.1963325261966109</v>
      </c>
    </row>
    <row r="23" spans="1:12">
      <c r="A23" s="132"/>
      <c r="B23" s="221" t="s">
        <v>160</v>
      </c>
      <c r="C23" s="206"/>
      <c r="D23" s="222">
        <f>+D19+(D21*D20)+D22</f>
        <v>0.14143960935995936</v>
      </c>
      <c r="E23" s="227"/>
      <c r="F23" s="231"/>
      <c r="G23" s="228"/>
      <c r="H23" s="228"/>
      <c r="I23" s="233"/>
      <c r="J23" s="234"/>
      <c r="K23" s="234"/>
      <c r="L23" s="235"/>
    </row>
    <row r="24" spans="1:12" ht="15">
      <c r="A24" s="132"/>
      <c r="B24" s="221"/>
      <c r="C24" s="206"/>
      <c r="D24" s="132"/>
      <c r="E24" s="227"/>
      <c r="F24" s="342" t="s">
        <v>161</v>
      </c>
      <c r="G24" s="342"/>
      <c r="H24" s="342"/>
      <c r="I24" s="342"/>
      <c r="J24" s="342"/>
      <c r="K24" s="342"/>
      <c r="L24" s="342"/>
    </row>
    <row r="25" spans="1:12" ht="15">
      <c r="A25" s="132"/>
      <c r="B25" s="205"/>
      <c r="C25" s="228"/>
      <c r="D25" s="228"/>
      <c r="E25" s="227"/>
      <c r="F25" s="236"/>
      <c r="G25" s="132"/>
      <c r="H25" s="343" t="s">
        <v>162</v>
      </c>
      <c r="I25" s="343"/>
      <c r="J25" s="343"/>
      <c r="K25" s="343"/>
      <c r="L25" s="343"/>
    </row>
    <row r="26" spans="1:12">
      <c r="A26" s="132"/>
      <c r="B26" s="221" t="s">
        <v>40</v>
      </c>
      <c r="C26" s="206"/>
      <c r="D26" s="222">
        <f>(D8*D15)+(D9*D23)</f>
        <v>0.11016772655197155</v>
      </c>
      <c r="E26" s="227"/>
      <c r="F26" s="340" t="s">
        <v>138</v>
      </c>
      <c r="G26" s="237">
        <f>D26</f>
        <v>0.11016772655197155</v>
      </c>
      <c r="H26" s="238">
        <f>I26-0.005</f>
        <v>0.05</v>
      </c>
      <c r="I26" s="238">
        <f>J26-0.005</f>
        <v>5.5E-2</v>
      </c>
      <c r="J26" s="239">
        <v>0.06</v>
      </c>
      <c r="K26" s="238">
        <f>J26+0.005</f>
        <v>6.5000000000000002E-2</v>
      </c>
      <c r="L26" s="238">
        <f>K26+0.005</f>
        <v>7.0000000000000007E-2</v>
      </c>
    </row>
    <row r="27" spans="1:12">
      <c r="A27" s="132"/>
      <c r="B27" s="240"/>
      <c r="C27" s="240"/>
      <c r="D27" s="240"/>
      <c r="E27" s="227"/>
      <c r="F27" s="340"/>
      <c r="G27" s="241">
        <f>G28-0.1</f>
        <v>9.9999999999999978E-2</v>
      </c>
      <c r="H27" s="242">
        <f t="dataTable" ref="H27:L31" dt2D="1" dtr="1" r1="D13" r2="D8"/>
        <v>0.1185079378589127</v>
      </c>
      <c r="I27" s="243">
        <v>0.11881793785891269</v>
      </c>
      <c r="J27" s="243">
        <v>0.11912793785891269</v>
      </c>
      <c r="K27" s="243">
        <v>0.1194379378589127</v>
      </c>
      <c r="L27" s="243">
        <v>0.11974793785891269</v>
      </c>
    </row>
    <row r="28" spans="1:12">
      <c r="A28" s="132"/>
      <c r="B28" s="132"/>
      <c r="C28" s="132"/>
      <c r="D28" s="132"/>
      <c r="E28" s="227"/>
      <c r="F28" s="340"/>
      <c r="G28" s="241">
        <f>G29-0.1</f>
        <v>0.19999999999999998</v>
      </c>
      <c r="H28" s="244">
        <v>0.11340783220544212</v>
      </c>
      <c r="I28" s="245">
        <v>0.11402783220544212</v>
      </c>
      <c r="J28" s="245">
        <v>0.11464783220544213</v>
      </c>
      <c r="K28" s="245">
        <v>0.11526783220544212</v>
      </c>
      <c r="L28" s="243">
        <v>0.11588783220544213</v>
      </c>
    </row>
    <row r="29" spans="1:12">
      <c r="A29" s="132"/>
      <c r="B29" s="132"/>
      <c r="C29" s="132"/>
      <c r="D29" s="132"/>
      <c r="E29" s="227"/>
      <c r="F29" s="340"/>
      <c r="G29" s="246">
        <v>0.3</v>
      </c>
      <c r="H29" s="244">
        <v>0.10830772655197154</v>
      </c>
      <c r="I29" s="245">
        <v>0.10923772655197155</v>
      </c>
      <c r="J29" s="247">
        <v>0.11016772655197155</v>
      </c>
      <c r="K29" s="245">
        <v>0.11109772655197155</v>
      </c>
      <c r="L29" s="243">
        <v>0.11202772655197155</v>
      </c>
    </row>
    <row r="30" spans="1:12">
      <c r="A30" s="132"/>
      <c r="B30" s="132"/>
      <c r="C30" s="132"/>
      <c r="D30" s="132"/>
      <c r="E30" s="227"/>
      <c r="F30" s="340"/>
      <c r="G30" s="241">
        <f>G29+0.1</f>
        <v>0.4</v>
      </c>
      <c r="H30" s="244">
        <v>0.103207620898501</v>
      </c>
      <c r="I30" s="245">
        <v>0.10444762089850099</v>
      </c>
      <c r="J30" s="245">
        <v>0.10568762089850099</v>
      </c>
      <c r="K30" s="245">
        <v>0.106927620898501</v>
      </c>
      <c r="L30" s="243">
        <v>0.10816762089850099</v>
      </c>
    </row>
    <row r="31" spans="1:12">
      <c r="A31" s="132"/>
      <c r="B31" s="132"/>
      <c r="C31" s="132"/>
      <c r="D31" s="132"/>
      <c r="E31" s="227"/>
      <c r="F31" s="340"/>
      <c r="G31" s="241">
        <f>G30+0.1</f>
        <v>0.5</v>
      </c>
      <c r="H31" s="244">
        <v>9.8107515245030433E-2</v>
      </c>
      <c r="I31" s="243">
        <v>9.9657515245030429E-2</v>
      </c>
      <c r="J31" s="243">
        <v>0.10120751524503044</v>
      </c>
      <c r="K31" s="243">
        <v>0.10275751524503043</v>
      </c>
      <c r="L31" s="243">
        <v>0.10430751524503043</v>
      </c>
    </row>
    <row r="32" spans="1:12">
      <c r="A32" s="132"/>
      <c r="B32" s="240"/>
      <c r="C32" s="240"/>
      <c r="D32" s="240"/>
      <c r="E32" s="227"/>
      <c r="F32" s="132"/>
      <c r="G32" s="132"/>
      <c r="H32" s="132"/>
      <c r="I32" s="132"/>
      <c r="J32" s="132"/>
      <c r="K32" s="132"/>
      <c r="L32" s="132"/>
    </row>
    <row r="33" spans="1:12">
      <c r="A33" s="132"/>
      <c r="B33" s="132" t="s">
        <v>163</v>
      </c>
      <c r="C33" s="248"/>
      <c r="D33" s="248"/>
      <c r="E33" s="132"/>
      <c r="F33" s="132"/>
      <c r="G33" s="132"/>
      <c r="H33" s="132"/>
      <c r="I33" s="132"/>
      <c r="J33" s="132"/>
      <c r="K33" s="132"/>
      <c r="L33" s="132"/>
    </row>
    <row r="34" spans="1:12">
      <c r="A34" s="132"/>
      <c r="B34" s="248" t="s">
        <v>164</v>
      </c>
      <c r="C34" s="132"/>
      <c r="D34" s="132"/>
      <c r="E34" s="132"/>
      <c r="F34" s="132"/>
      <c r="G34" s="132"/>
      <c r="H34" s="132"/>
      <c r="I34" s="132"/>
      <c r="J34" s="132"/>
      <c r="K34" s="132"/>
      <c r="L34" s="132"/>
    </row>
    <row r="35" spans="1:12">
      <c r="A35" s="132"/>
      <c r="B35" s="132" t="s">
        <v>165</v>
      </c>
      <c r="C35" s="132"/>
      <c r="D35" s="132"/>
      <c r="E35" s="132"/>
      <c r="F35" s="132"/>
      <c r="G35" s="132"/>
      <c r="H35" s="132"/>
      <c r="I35" s="132"/>
      <c r="J35" s="132"/>
      <c r="K35" s="132"/>
      <c r="L35" s="132"/>
    </row>
    <row r="36" spans="1:12">
      <c r="A36" s="132"/>
      <c r="B36" s="132" t="s">
        <v>166</v>
      </c>
      <c r="C36" s="132"/>
      <c r="D36" s="132"/>
      <c r="E36" s="132"/>
      <c r="F36" s="132"/>
      <c r="G36" s="132"/>
      <c r="H36" s="132"/>
      <c r="I36" s="132"/>
      <c r="J36" s="132"/>
      <c r="K36" s="132"/>
      <c r="L36" s="132"/>
    </row>
  </sheetData>
  <mergeCells count="6">
    <mergeCell ref="F26:F31"/>
    <mergeCell ref="B6:D6"/>
    <mergeCell ref="F6:L6"/>
    <mergeCell ref="F18:L18"/>
    <mergeCell ref="F24:L24"/>
    <mergeCell ref="H25:L25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zoomScale="85" zoomScaleNormal="85" workbookViewId="0">
      <selection activeCell="F11" sqref="F11"/>
    </sheetView>
  </sheetViews>
  <sheetFormatPr defaultRowHeight="12.75"/>
  <cols>
    <col min="1" max="1" width="0.7109375" customWidth="1"/>
    <col min="2" max="15" width="11.85546875" customWidth="1"/>
  </cols>
  <sheetData>
    <row r="1" spans="2:15" ht="3" customHeight="1"/>
    <row r="2" spans="2:15" ht="20.25">
      <c r="B2" s="344" t="s">
        <v>167</v>
      </c>
      <c r="C2" s="344"/>
      <c r="D2" s="344"/>
      <c r="E2" s="344"/>
      <c r="F2" s="344"/>
      <c r="G2" s="344"/>
      <c r="H2" s="344"/>
      <c r="I2" s="344"/>
      <c r="J2" s="344"/>
      <c r="K2" s="344"/>
      <c r="L2" s="344"/>
      <c r="M2" s="344"/>
      <c r="N2" s="344"/>
      <c r="O2" s="344"/>
    </row>
    <row r="3" spans="2:15">
      <c r="B3" s="227"/>
      <c r="C3" s="227"/>
      <c r="D3" s="227"/>
      <c r="E3" s="227"/>
      <c r="F3" s="249"/>
      <c r="G3" s="249"/>
      <c r="H3" s="249"/>
      <c r="I3" s="249"/>
      <c r="J3" s="249"/>
      <c r="K3" s="249"/>
      <c r="L3" s="249"/>
      <c r="M3" s="249"/>
      <c r="N3" s="249"/>
      <c r="O3" s="249"/>
    </row>
    <row r="4" spans="2:15" ht="15">
      <c r="B4" s="227"/>
      <c r="C4" s="227"/>
      <c r="D4" s="227"/>
      <c r="E4" s="227"/>
      <c r="F4" s="250" t="s">
        <v>108</v>
      </c>
      <c r="G4" s="251"/>
      <c r="H4" s="251"/>
      <c r="I4" s="251"/>
      <c r="J4" s="251"/>
      <c r="K4" s="251"/>
      <c r="L4" s="251"/>
      <c r="M4" s="251"/>
      <c r="N4" s="251"/>
      <c r="O4" s="250"/>
    </row>
    <row r="5" spans="2:15">
      <c r="B5" s="252"/>
      <c r="C5" s="227"/>
      <c r="D5" s="227"/>
      <c r="E5" s="227"/>
      <c r="F5" s="253">
        <v>1</v>
      </c>
      <c r="G5" s="253">
        <v>2</v>
      </c>
      <c r="H5" s="253">
        <v>3</v>
      </c>
      <c r="I5" s="253">
        <v>4</v>
      </c>
      <c r="J5" s="253">
        <v>5</v>
      </c>
      <c r="K5" s="253">
        <v>6</v>
      </c>
      <c r="L5" s="253">
        <v>7</v>
      </c>
      <c r="M5" s="253">
        <v>8</v>
      </c>
      <c r="N5" s="253">
        <v>9</v>
      </c>
      <c r="O5" s="253">
        <v>10</v>
      </c>
    </row>
    <row r="6" spans="2:15" ht="15">
      <c r="B6" s="252"/>
      <c r="C6" s="227"/>
      <c r="D6" s="227"/>
      <c r="E6" s="227"/>
      <c r="F6" s="11" t="s">
        <v>15</v>
      </c>
      <c r="G6" s="11" t="s">
        <v>16</v>
      </c>
      <c r="H6" s="11" t="s">
        <v>17</v>
      </c>
      <c r="I6" s="11" t="s">
        <v>18</v>
      </c>
      <c r="J6" s="11" t="s">
        <v>19</v>
      </c>
      <c r="K6" s="11" t="s">
        <v>168</v>
      </c>
      <c r="L6" s="11" t="s">
        <v>169</v>
      </c>
      <c r="M6" s="11" t="s">
        <v>170</v>
      </c>
      <c r="N6" s="11" t="s">
        <v>171</v>
      </c>
      <c r="O6" s="11" t="s">
        <v>172</v>
      </c>
    </row>
    <row r="7" spans="2:15">
      <c r="B7" s="252"/>
      <c r="C7" s="227"/>
      <c r="D7" s="227"/>
      <c r="E7" s="227"/>
      <c r="F7" s="254"/>
      <c r="G7" s="254"/>
      <c r="H7" s="254"/>
      <c r="I7" s="254"/>
      <c r="J7" s="254"/>
      <c r="K7" s="254"/>
      <c r="L7" s="254"/>
      <c r="M7" s="254"/>
      <c r="N7" s="254"/>
      <c r="O7" s="254"/>
    </row>
    <row r="8" spans="2:15">
      <c r="B8" s="255" t="s">
        <v>173</v>
      </c>
      <c r="C8" s="227"/>
      <c r="D8" s="227"/>
      <c r="E8" s="227"/>
      <c r="F8" s="227"/>
      <c r="G8" s="254"/>
      <c r="H8" s="254"/>
      <c r="I8" s="254"/>
      <c r="J8" s="254"/>
      <c r="K8" s="227"/>
      <c r="L8" s="227"/>
      <c r="M8" s="227"/>
      <c r="N8" s="227"/>
      <c r="O8" s="227"/>
    </row>
    <row r="9" spans="2:15">
      <c r="B9" s="252" t="s">
        <v>70</v>
      </c>
      <c r="C9" s="227"/>
      <c r="D9" s="227"/>
      <c r="E9" s="227"/>
      <c r="F9" s="256">
        <f>CHOOSE(DCF!$D$4,F10,F11,F12,F13,F14)</f>
        <v>0.08</v>
      </c>
      <c r="G9" s="256">
        <f>CHOOSE(DCF!$D$4,G10,G11,G12,G13,G14)</f>
        <v>0.06</v>
      </c>
      <c r="H9" s="256">
        <f>CHOOSE(DCF!$D$4,H10,H11,H12,H13,H14)</f>
        <v>0.04</v>
      </c>
      <c r="I9" s="256">
        <f>CHOOSE(DCF!$D$4,I10,I11,I12,I13,I14)</f>
        <v>0.03</v>
      </c>
      <c r="J9" s="256">
        <f>CHOOSE(DCF!$D$4,J10,J11,J12,J13,J14)</f>
        <v>0.03</v>
      </c>
      <c r="K9" s="256">
        <f>CHOOSE(DCF!$D$4,K10,K11,K12,K13,K14)</f>
        <v>0.03</v>
      </c>
      <c r="L9" s="256">
        <f>CHOOSE(DCF!$D$4,L10,L11,L12,L13,L14)</f>
        <v>0.03</v>
      </c>
      <c r="M9" s="256">
        <f>CHOOSE(DCF!$D$4,M10,M11,M12,M13,M14)</f>
        <v>0.03</v>
      </c>
      <c r="N9" s="256">
        <f>CHOOSE(DCF!$D$4,N10,N11,N12,N13,N14)</f>
        <v>0.03</v>
      </c>
      <c r="O9" s="256">
        <f>CHOOSE(DCF!$D$4,O10,O11,O12,O13,O14)</f>
        <v>0.03</v>
      </c>
    </row>
    <row r="10" spans="2:15">
      <c r="B10" s="252" t="s">
        <v>174</v>
      </c>
      <c r="C10" s="227"/>
      <c r="D10" s="227"/>
      <c r="E10" s="227">
        <v>1</v>
      </c>
      <c r="F10" s="257">
        <v>0.08</v>
      </c>
      <c r="G10" s="77">
        <v>0.06</v>
      </c>
      <c r="H10" s="77">
        <v>0.04</v>
      </c>
      <c r="I10" s="77">
        <v>0.03</v>
      </c>
      <c r="J10" s="77">
        <v>0.03</v>
      </c>
      <c r="K10" s="258">
        <f>J10</f>
        <v>0.03</v>
      </c>
      <c r="L10" s="258">
        <f t="shared" ref="L10:O10" si="0">K10</f>
        <v>0.03</v>
      </c>
      <c r="M10" s="258">
        <f t="shared" si="0"/>
        <v>0.03</v>
      </c>
      <c r="N10" s="258">
        <f t="shared" si="0"/>
        <v>0.03</v>
      </c>
      <c r="O10" s="286">
        <f t="shared" si="0"/>
        <v>0.03</v>
      </c>
    </row>
    <row r="11" spans="2:15">
      <c r="B11" s="252" t="s">
        <v>175</v>
      </c>
      <c r="C11" s="227"/>
      <c r="D11" s="227"/>
      <c r="E11" s="227">
        <v>2</v>
      </c>
      <c r="F11" s="257">
        <v>0.1</v>
      </c>
      <c r="G11" s="77">
        <v>0.08</v>
      </c>
      <c r="H11" s="77">
        <v>0.06</v>
      </c>
      <c r="I11" s="77">
        <v>0.04</v>
      </c>
      <c r="J11" s="77">
        <v>0.03</v>
      </c>
      <c r="K11" s="258">
        <f t="shared" ref="K11:O14" si="1">J11</f>
        <v>0.03</v>
      </c>
      <c r="L11" s="258">
        <f t="shared" si="1"/>
        <v>0.03</v>
      </c>
      <c r="M11" s="258">
        <f t="shared" si="1"/>
        <v>0.03</v>
      </c>
      <c r="N11" s="258">
        <f t="shared" si="1"/>
        <v>0.03</v>
      </c>
      <c r="O11" s="259">
        <f t="shared" si="1"/>
        <v>0.03</v>
      </c>
    </row>
    <row r="12" spans="2:15">
      <c r="B12" s="252" t="s">
        <v>176</v>
      </c>
      <c r="C12" s="227"/>
      <c r="D12" s="227"/>
      <c r="E12" s="227">
        <v>3</v>
      </c>
      <c r="F12" s="257">
        <v>0.12</v>
      </c>
      <c r="G12" s="77">
        <v>0.1</v>
      </c>
      <c r="H12" s="77">
        <v>0.08</v>
      </c>
      <c r="I12" s="77">
        <v>0.06</v>
      </c>
      <c r="J12" s="77">
        <v>0.04</v>
      </c>
      <c r="K12" s="258">
        <f t="shared" si="1"/>
        <v>0.04</v>
      </c>
      <c r="L12" s="258">
        <f t="shared" si="1"/>
        <v>0.04</v>
      </c>
      <c r="M12" s="258">
        <f t="shared" si="1"/>
        <v>0.04</v>
      </c>
      <c r="N12" s="258">
        <f t="shared" si="1"/>
        <v>0.04</v>
      </c>
      <c r="O12" s="259">
        <f t="shared" si="1"/>
        <v>0.04</v>
      </c>
    </row>
    <row r="13" spans="2:15">
      <c r="B13" s="252" t="s">
        <v>177</v>
      </c>
      <c r="C13" s="227"/>
      <c r="D13" s="227"/>
      <c r="E13" s="227">
        <v>4</v>
      </c>
      <c r="F13" s="257">
        <v>0.05</v>
      </c>
      <c r="G13" s="77">
        <v>0.04</v>
      </c>
      <c r="H13" s="77">
        <v>0.03</v>
      </c>
      <c r="I13" s="77">
        <v>0.03</v>
      </c>
      <c r="J13" s="77">
        <v>0.03</v>
      </c>
      <c r="K13" s="258">
        <f t="shared" si="1"/>
        <v>0.03</v>
      </c>
      <c r="L13" s="258">
        <f t="shared" si="1"/>
        <v>0.03</v>
      </c>
      <c r="M13" s="258">
        <f t="shared" si="1"/>
        <v>0.03</v>
      </c>
      <c r="N13" s="258">
        <f t="shared" si="1"/>
        <v>0.03</v>
      </c>
      <c r="O13" s="259">
        <f t="shared" si="1"/>
        <v>0.03</v>
      </c>
    </row>
    <row r="14" spans="2:15">
      <c r="B14" s="252" t="s">
        <v>178</v>
      </c>
      <c r="C14" s="227"/>
      <c r="D14" s="227"/>
      <c r="E14" s="227">
        <v>5</v>
      </c>
      <c r="F14" s="260">
        <v>0.02</v>
      </c>
      <c r="G14" s="77">
        <v>0.02</v>
      </c>
      <c r="H14" s="77">
        <v>0.02</v>
      </c>
      <c r="I14" s="77">
        <v>0.02</v>
      </c>
      <c r="J14" s="77">
        <v>0.02</v>
      </c>
      <c r="K14" s="258">
        <f t="shared" si="1"/>
        <v>0.02</v>
      </c>
      <c r="L14" s="258">
        <f t="shared" si="1"/>
        <v>0.02</v>
      </c>
      <c r="M14" s="258">
        <f t="shared" si="1"/>
        <v>0.02</v>
      </c>
      <c r="N14" s="258">
        <f t="shared" si="1"/>
        <v>0.02</v>
      </c>
      <c r="O14" s="262">
        <f t="shared" si="1"/>
        <v>0.02</v>
      </c>
    </row>
    <row r="15" spans="2:15">
      <c r="B15" s="252"/>
      <c r="C15" s="227"/>
      <c r="D15" s="227"/>
      <c r="E15" s="227"/>
      <c r="F15" s="263"/>
      <c r="G15" s="263"/>
      <c r="H15" s="263"/>
      <c r="I15" s="263"/>
      <c r="J15" s="263"/>
      <c r="K15" s="263"/>
      <c r="L15" s="263"/>
      <c r="M15" s="263"/>
      <c r="N15" s="263"/>
      <c r="O15" s="263"/>
    </row>
    <row r="16" spans="2:15">
      <c r="B16" s="252" t="s">
        <v>179</v>
      </c>
      <c r="C16" s="227"/>
      <c r="D16" s="227"/>
      <c r="E16" s="227"/>
      <c r="F16" s="256">
        <f>CHOOSE(DCF!$D$4,F17,F18,F19,F20,F21)</f>
        <v>0.6</v>
      </c>
      <c r="G16" s="256">
        <f>CHOOSE(DCF!$D$4,G17,G18,G19,G20,G21)</f>
        <v>0.6</v>
      </c>
      <c r="H16" s="256">
        <f>CHOOSE(DCF!$D$4,H17,H18,H19,H20,H21)</f>
        <v>0.6</v>
      </c>
      <c r="I16" s="256">
        <f>CHOOSE(DCF!$D$4,I17,I18,I19,I20,I21)</f>
        <v>0.6</v>
      </c>
      <c r="J16" s="256">
        <f>CHOOSE(DCF!$D$4,J17,J18,J19,J20,J21)</f>
        <v>0.6</v>
      </c>
      <c r="K16" s="256">
        <f>CHOOSE(DCF!$D$4,K17,K18,K19,K20,K21)</f>
        <v>0.6</v>
      </c>
      <c r="L16" s="256">
        <f>CHOOSE(DCF!$D$4,L17,L18,L19,L20,L21)</f>
        <v>0.6</v>
      </c>
      <c r="M16" s="256">
        <f>CHOOSE(DCF!$D$4,M17,M18,M19,M20,M21)</f>
        <v>0.6</v>
      </c>
      <c r="N16" s="256">
        <f>CHOOSE(DCF!$D$4,N17,N18,N19,N20,N21)</f>
        <v>0.6</v>
      </c>
      <c r="O16" s="256">
        <f>CHOOSE(DCF!$D$4,O17,O18,O19,O20,O21)</f>
        <v>0.6</v>
      </c>
    </row>
    <row r="17" spans="2:15">
      <c r="B17" s="252" t="s">
        <v>174</v>
      </c>
      <c r="C17" s="227"/>
      <c r="D17" s="227"/>
      <c r="E17" s="227">
        <v>1</v>
      </c>
      <c r="F17" s="257">
        <v>0.6</v>
      </c>
      <c r="G17" s="77">
        <v>0.6</v>
      </c>
      <c r="H17" s="77">
        <v>0.6</v>
      </c>
      <c r="I17" s="77">
        <v>0.6</v>
      </c>
      <c r="J17" s="77">
        <v>0.6</v>
      </c>
      <c r="K17" s="258">
        <f>J17</f>
        <v>0.6</v>
      </c>
      <c r="L17" s="258">
        <f t="shared" ref="L17:O17" si="2">K17</f>
        <v>0.6</v>
      </c>
      <c r="M17" s="258">
        <f t="shared" si="2"/>
        <v>0.6</v>
      </c>
      <c r="N17" s="258">
        <f t="shared" si="2"/>
        <v>0.6</v>
      </c>
      <c r="O17" s="286">
        <f t="shared" si="2"/>
        <v>0.6</v>
      </c>
    </row>
    <row r="18" spans="2:15">
      <c r="B18" s="252" t="s">
        <v>175</v>
      </c>
      <c r="C18" s="227"/>
      <c r="D18" s="227"/>
      <c r="E18" s="227">
        <v>2</v>
      </c>
      <c r="F18" s="257">
        <v>0.6</v>
      </c>
      <c r="G18" s="77">
        <v>0.6</v>
      </c>
      <c r="H18" s="77">
        <v>0.6</v>
      </c>
      <c r="I18" s="77">
        <v>0.6</v>
      </c>
      <c r="J18" s="77">
        <v>0.6</v>
      </c>
      <c r="K18" s="258">
        <f t="shared" ref="K18:O21" si="3">J18</f>
        <v>0.6</v>
      </c>
      <c r="L18" s="258">
        <f t="shared" si="3"/>
        <v>0.6</v>
      </c>
      <c r="M18" s="258">
        <f t="shared" si="3"/>
        <v>0.6</v>
      </c>
      <c r="N18" s="258">
        <f t="shared" si="3"/>
        <v>0.6</v>
      </c>
      <c r="O18" s="259">
        <f t="shared" si="3"/>
        <v>0.6</v>
      </c>
    </row>
    <row r="19" spans="2:15">
      <c r="B19" s="252" t="s">
        <v>176</v>
      </c>
      <c r="C19" s="227"/>
      <c r="D19" s="227"/>
      <c r="E19" s="227">
        <v>3</v>
      </c>
      <c r="F19" s="257">
        <v>0.59</v>
      </c>
      <c r="G19" s="77">
        <v>0.59</v>
      </c>
      <c r="H19" s="77">
        <v>0.59</v>
      </c>
      <c r="I19" s="77">
        <v>0.59</v>
      </c>
      <c r="J19" s="77">
        <v>0.59</v>
      </c>
      <c r="K19" s="258">
        <f t="shared" si="3"/>
        <v>0.59</v>
      </c>
      <c r="L19" s="258">
        <f t="shared" si="3"/>
        <v>0.59</v>
      </c>
      <c r="M19" s="258">
        <f t="shared" si="3"/>
        <v>0.59</v>
      </c>
      <c r="N19" s="258">
        <f t="shared" si="3"/>
        <v>0.59</v>
      </c>
      <c r="O19" s="259">
        <f t="shared" si="3"/>
        <v>0.59</v>
      </c>
    </row>
    <row r="20" spans="2:15">
      <c r="B20" s="252" t="s">
        <v>177</v>
      </c>
      <c r="C20" s="227"/>
      <c r="D20" s="227"/>
      <c r="E20" s="227">
        <v>4</v>
      </c>
      <c r="F20" s="257">
        <v>0.61</v>
      </c>
      <c r="G20" s="77">
        <v>0.61</v>
      </c>
      <c r="H20" s="77">
        <v>0.61</v>
      </c>
      <c r="I20" s="77">
        <v>0.61</v>
      </c>
      <c r="J20" s="77">
        <v>0.61</v>
      </c>
      <c r="K20" s="258">
        <f t="shared" si="3"/>
        <v>0.61</v>
      </c>
      <c r="L20" s="258">
        <f t="shared" si="3"/>
        <v>0.61</v>
      </c>
      <c r="M20" s="258">
        <f t="shared" si="3"/>
        <v>0.61</v>
      </c>
      <c r="N20" s="258">
        <f t="shared" si="3"/>
        <v>0.61</v>
      </c>
      <c r="O20" s="259">
        <f t="shared" si="3"/>
        <v>0.61</v>
      </c>
    </row>
    <row r="21" spans="2:15">
      <c r="B21" s="252" t="s">
        <v>178</v>
      </c>
      <c r="C21" s="227"/>
      <c r="D21" s="227"/>
      <c r="E21" s="227">
        <v>5</v>
      </c>
      <c r="F21" s="260">
        <v>0.62</v>
      </c>
      <c r="G21" s="77">
        <v>0.62</v>
      </c>
      <c r="H21" s="77">
        <v>0.62</v>
      </c>
      <c r="I21" s="77">
        <v>0.62</v>
      </c>
      <c r="J21" s="77">
        <v>0.62</v>
      </c>
      <c r="K21" s="258">
        <f t="shared" si="3"/>
        <v>0.62</v>
      </c>
      <c r="L21" s="258">
        <f t="shared" si="3"/>
        <v>0.62</v>
      </c>
      <c r="M21" s="258">
        <f t="shared" si="3"/>
        <v>0.62</v>
      </c>
      <c r="N21" s="258">
        <f t="shared" si="3"/>
        <v>0.62</v>
      </c>
      <c r="O21" s="262">
        <f t="shared" si="3"/>
        <v>0.62</v>
      </c>
    </row>
    <row r="22" spans="2:15">
      <c r="B22" s="252"/>
      <c r="C22" s="227"/>
      <c r="D22" s="227"/>
      <c r="E22" s="227"/>
      <c r="F22" s="263"/>
      <c r="G22" s="263"/>
      <c r="H22" s="263"/>
      <c r="I22" s="263"/>
      <c r="J22" s="263"/>
      <c r="K22" s="263"/>
      <c r="L22" s="263"/>
      <c r="M22" s="263"/>
      <c r="N22" s="263"/>
      <c r="O22" s="263"/>
    </row>
    <row r="23" spans="2:15">
      <c r="B23" s="252" t="s">
        <v>72</v>
      </c>
      <c r="C23" s="227"/>
      <c r="D23" s="227"/>
      <c r="E23" s="227"/>
      <c r="F23" s="256">
        <f>CHOOSE(DCF!$D$4,F24,F25,F26,F27,F28)</f>
        <v>0.25</v>
      </c>
      <c r="G23" s="256">
        <f>CHOOSE(DCF!$D$4,G24,G25,G26,G27,G28)</f>
        <v>0.25</v>
      </c>
      <c r="H23" s="256">
        <f>CHOOSE(DCF!$D$4,H24,H25,H26,H27,H28)</f>
        <v>0.25</v>
      </c>
      <c r="I23" s="256">
        <f>CHOOSE(DCF!$D$4,I24,I25,I26,I27,I28)</f>
        <v>0.25</v>
      </c>
      <c r="J23" s="256">
        <f>CHOOSE(DCF!$D$4,J24,J25,J26,J27,J28)</f>
        <v>0.25</v>
      </c>
      <c r="K23" s="256">
        <f>CHOOSE(DCF!$D$4,K24,K25,K26,K27,K28)</f>
        <v>0.25</v>
      </c>
      <c r="L23" s="256">
        <f>CHOOSE(DCF!$D$4,L24,L25,L26,L27,L28)</f>
        <v>0.25</v>
      </c>
      <c r="M23" s="256">
        <f>CHOOSE(DCF!$D$4,M24,M25,M26,M27,M28)</f>
        <v>0.25</v>
      </c>
      <c r="N23" s="256">
        <f>CHOOSE(DCF!$D$4,N24,N25,N26,N27,N28)</f>
        <v>0.25</v>
      </c>
      <c r="O23" s="256">
        <f>CHOOSE(DCF!$D$4,O24,O25,O26,O27,O28)</f>
        <v>0.25</v>
      </c>
    </row>
    <row r="24" spans="2:15">
      <c r="B24" s="252" t="s">
        <v>174</v>
      </c>
      <c r="C24" s="227"/>
      <c r="D24" s="227"/>
      <c r="E24" s="227">
        <v>1</v>
      </c>
      <c r="F24" s="257">
        <v>0.25</v>
      </c>
      <c r="G24" s="77">
        <v>0.25</v>
      </c>
      <c r="H24" s="77">
        <v>0.25</v>
      </c>
      <c r="I24" s="77">
        <v>0.25</v>
      </c>
      <c r="J24" s="77">
        <v>0.25</v>
      </c>
      <c r="K24" s="258">
        <f>J24</f>
        <v>0.25</v>
      </c>
      <c r="L24" s="258">
        <f t="shared" ref="L24:O24" si="4">K24</f>
        <v>0.25</v>
      </c>
      <c r="M24" s="258">
        <f t="shared" si="4"/>
        <v>0.25</v>
      </c>
      <c r="N24" s="258">
        <f t="shared" si="4"/>
        <v>0.25</v>
      </c>
      <c r="O24" s="286">
        <f t="shared" si="4"/>
        <v>0.25</v>
      </c>
    </row>
    <row r="25" spans="2:15">
      <c r="B25" s="252" t="s">
        <v>175</v>
      </c>
      <c r="C25" s="227"/>
      <c r="D25" s="227"/>
      <c r="E25" s="227">
        <v>2</v>
      </c>
      <c r="F25" s="257">
        <v>0.25</v>
      </c>
      <c r="G25" s="77">
        <v>0.25</v>
      </c>
      <c r="H25" s="77">
        <v>0.25</v>
      </c>
      <c r="I25" s="77">
        <v>0.25</v>
      </c>
      <c r="J25" s="77">
        <v>0.25</v>
      </c>
      <c r="K25" s="258">
        <f t="shared" ref="K25:O28" si="5">J25</f>
        <v>0.25</v>
      </c>
      <c r="L25" s="258">
        <f t="shared" si="5"/>
        <v>0.25</v>
      </c>
      <c r="M25" s="258">
        <f t="shared" si="5"/>
        <v>0.25</v>
      </c>
      <c r="N25" s="258">
        <f t="shared" si="5"/>
        <v>0.25</v>
      </c>
      <c r="O25" s="259">
        <f t="shared" si="5"/>
        <v>0.25</v>
      </c>
    </row>
    <row r="26" spans="2:15">
      <c r="B26" s="252" t="s">
        <v>176</v>
      </c>
      <c r="C26" s="227"/>
      <c r="D26" s="227"/>
      <c r="E26" s="227">
        <v>3</v>
      </c>
      <c r="F26" s="257">
        <v>0.24</v>
      </c>
      <c r="G26" s="77">
        <v>0.24</v>
      </c>
      <c r="H26" s="77">
        <v>0.24</v>
      </c>
      <c r="I26" s="77">
        <v>0.24</v>
      </c>
      <c r="J26" s="77">
        <v>0.24</v>
      </c>
      <c r="K26" s="258">
        <f t="shared" si="5"/>
        <v>0.24</v>
      </c>
      <c r="L26" s="258">
        <f t="shared" si="5"/>
        <v>0.24</v>
      </c>
      <c r="M26" s="258">
        <f t="shared" si="5"/>
        <v>0.24</v>
      </c>
      <c r="N26" s="258">
        <f t="shared" si="5"/>
        <v>0.24</v>
      </c>
      <c r="O26" s="259">
        <f t="shared" si="5"/>
        <v>0.24</v>
      </c>
    </row>
    <row r="27" spans="2:15">
      <c r="B27" s="252" t="s">
        <v>177</v>
      </c>
      <c r="C27" s="227"/>
      <c r="D27" s="227"/>
      <c r="E27" s="227">
        <v>4</v>
      </c>
      <c r="F27" s="257">
        <v>0.26</v>
      </c>
      <c r="G27" s="77">
        <v>0.25</v>
      </c>
      <c r="H27" s="77">
        <v>0.25</v>
      </c>
      <c r="I27" s="77">
        <v>0.25</v>
      </c>
      <c r="J27" s="77">
        <v>0.25</v>
      </c>
      <c r="K27" s="258">
        <f t="shared" si="5"/>
        <v>0.25</v>
      </c>
      <c r="L27" s="258">
        <f t="shared" si="5"/>
        <v>0.25</v>
      </c>
      <c r="M27" s="258">
        <f t="shared" si="5"/>
        <v>0.25</v>
      </c>
      <c r="N27" s="258">
        <f t="shared" si="5"/>
        <v>0.25</v>
      </c>
      <c r="O27" s="259">
        <f t="shared" si="5"/>
        <v>0.25</v>
      </c>
    </row>
    <row r="28" spans="2:15">
      <c r="B28" s="252" t="s">
        <v>178</v>
      </c>
      <c r="C28" s="227"/>
      <c r="D28" s="227"/>
      <c r="E28" s="227">
        <v>5</v>
      </c>
      <c r="F28" s="260">
        <v>0.27</v>
      </c>
      <c r="G28" s="77">
        <v>0.26</v>
      </c>
      <c r="H28" s="77">
        <v>0.26</v>
      </c>
      <c r="I28" s="77">
        <v>0.26</v>
      </c>
      <c r="J28" s="77">
        <v>0.26</v>
      </c>
      <c r="K28" s="258">
        <f t="shared" si="5"/>
        <v>0.26</v>
      </c>
      <c r="L28" s="258">
        <f t="shared" si="5"/>
        <v>0.26</v>
      </c>
      <c r="M28" s="258">
        <f t="shared" si="5"/>
        <v>0.26</v>
      </c>
      <c r="N28" s="258">
        <f t="shared" si="5"/>
        <v>0.26</v>
      </c>
      <c r="O28" s="262">
        <f t="shared" si="5"/>
        <v>0.26</v>
      </c>
    </row>
    <row r="29" spans="2:15">
      <c r="B29" s="252"/>
      <c r="C29" s="227"/>
      <c r="D29" s="227"/>
      <c r="E29" s="227"/>
      <c r="F29" s="263"/>
      <c r="G29" s="263"/>
      <c r="H29" s="263"/>
      <c r="I29" s="263"/>
      <c r="J29" s="263"/>
      <c r="K29" s="263"/>
      <c r="L29" s="263"/>
      <c r="M29" s="263"/>
      <c r="N29" s="263"/>
      <c r="O29" s="263"/>
    </row>
    <row r="30" spans="2:15">
      <c r="B30" s="252" t="s">
        <v>73</v>
      </c>
      <c r="C30" s="227"/>
      <c r="D30" s="227"/>
      <c r="E30" s="227"/>
      <c r="F30" s="256">
        <f>CHOOSE(DCF!$D$4,F31,F32,F33,F34,F35)</f>
        <v>0.02</v>
      </c>
      <c r="G30" s="256">
        <f>CHOOSE(DCF!$D$4,G31,G32,G33,G34,G35)</f>
        <v>0.02</v>
      </c>
      <c r="H30" s="256">
        <f>CHOOSE(DCF!$D$4,H31,H32,H33,H34,H35)</f>
        <v>0.02</v>
      </c>
      <c r="I30" s="256">
        <f>CHOOSE(DCF!$D$4,I31,I32,I33,I34,I35)</f>
        <v>0.02</v>
      </c>
      <c r="J30" s="256">
        <f>CHOOSE(DCF!$D$4,J31,J32,J33,J34,J35)</f>
        <v>0.02</v>
      </c>
      <c r="K30" s="256">
        <f>CHOOSE(DCF!$D$4,K31,K32,K33,K34,K35)</f>
        <v>0.02</v>
      </c>
      <c r="L30" s="256">
        <f>CHOOSE(DCF!$D$4,L31,L32,L33,L34,L35)</f>
        <v>0.02</v>
      </c>
      <c r="M30" s="256">
        <f>CHOOSE(DCF!$D$4,M31,M32,M33,M34,M35)</f>
        <v>0.02</v>
      </c>
      <c r="N30" s="256">
        <f>CHOOSE(DCF!$D$4,N31,N32,N33,N34,N35)</f>
        <v>0.02</v>
      </c>
      <c r="O30" s="256">
        <f>CHOOSE(DCF!$D$4,O31,O32,O33,O34,O35)</f>
        <v>0.02</v>
      </c>
    </row>
    <row r="31" spans="2:15">
      <c r="B31" s="252" t="s">
        <v>174</v>
      </c>
      <c r="C31" s="227"/>
      <c r="D31" s="227"/>
      <c r="E31" s="227">
        <v>1</v>
      </c>
      <c r="F31" s="257">
        <v>0.02</v>
      </c>
      <c r="G31" s="77">
        <v>0.02</v>
      </c>
      <c r="H31" s="77">
        <v>0.02</v>
      </c>
      <c r="I31" s="77">
        <v>0.02</v>
      </c>
      <c r="J31" s="77">
        <v>0.02</v>
      </c>
      <c r="K31" s="287">
        <f>J31</f>
        <v>0.02</v>
      </c>
      <c r="L31" s="287">
        <f t="shared" ref="L31:O31" si="6">K31</f>
        <v>0.02</v>
      </c>
      <c r="M31" s="287">
        <f t="shared" si="6"/>
        <v>0.02</v>
      </c>
      <c r="N31" s="287">
        <f t="shared" si="6"/>
        <v>0.02</v>
      </c>
      <c r="O31" s="286">
        <f t="shared" si="6"/>
        <v>0.02</v>
      </c>
    </row>
    <row r="32" spans="2:15">
      <c r="B32" s="252" t="s">
        <v>175</v>
      </c>
      <c r="C32" s="227"/>
      <c r="D32" s="227"/>
      <c r="E32" s="227">
        <v>2</v>
      </c>
      <c r="F32" s="257">
        <v>0.02</v>
      </c>
      <c r="G32" s="77">
        <v>0.02</v>
      </c>
      <c r="H32" s="77">
        <v>0.02</v>
      </c>
      <c r="I32" s="77">
        <v>0.02</v>
      </c>
      <c r="J32" s="77">
        <v>0.02</v>
      </c>
      <c r="K32" s="258">
        <f t="shared" ref="K32:O35" si="7">J32</f>
        <v>0.02</v>
      </c>
      <c r="L32" s="258">
        <f t="shared" si="7"/>
        <v>0.02</v>
      </c>
      <c r="M32" s="258">
        <f t="shared" si="7"/>
        <v>0.02</v>
      </c>
      <c r="N32" s="258">
        <f t="shared" si="7"/>
        <v>0.02</v>
      </c>
      <c r="O32" s="259">
        <f t="shared" si="7"/>
        <v>0.02</v>
      </c>
    </row>
    <row r="33" spans="2:15">
      <c r="B33" s="252" t="s">
        <v>176</v>
      </c>
      <c r="C33" s="227"/>
      <c r="D33" s="227"/>
      <c r="E33" s="227">
        <v>3</v>
      </c>
      <c r="F33" s="257">
        <v>0.02</v>
      </c>
      <c r="G33" s="77">
        <v>0.02</v>
      </c>
      <c r="H33" s="77">
        <v>0.02</v>
      </c>
      <c r="I33" s="77">
        <v>0.02</v>
      </c>
      <c r="J33" s="77">
        <v>0.02</v>
      </c>
      <c r="K33" s="258">
        <f t="shared" si="7"/>
        <v>0.02</v>
      </c>
      <c r="L33" s="258">
        <f t="shared" si="7"/>
        <v>0.02</v>
      </c>
      <c r="M33" s="258">
        <f t="shared" si="7"/>
        <v>0.02</v>
      </c>
      <c r="N33" s="258">
        <f t="shared" si="7"/>
        <v>0.02</v>
      </c>
      <c r="O33" s="259">
        <f t="shared" si="7"/>
        <v>0.02</v>
      </c>
    </row>
    <row r="34" spans="2:15">
      <c r="B34" s="252" t="s">
        <v>177</v>
      </c>
      <c r="C34" s="227"/>
      <c r="D34" s="227"/>
      <c r="E34" s="227">
        <v>4</v>
      </c>
      <c r="F34" s="257">
        <v>0.02</v>
      </c>
      <c r="G34" s="77">
        <v>0.02</v>
      </c>
      <c r="H34" s="77">
        <v>0.02</v>
      </c>
      <c r="I34" s="77">
        <v>0.02</v>
      </c>
      <c r="J34" s="77">
        <v>0.02</v>
      </c>
      <c r="K34" s="258">
        <f t="shared" si="7"/>
        <v>0.02</v>
      </c>
      <c r="L34" s="258">
        <f t="shared" si="7"/>
        <v>0.02</v>
      </c>
      <c r="M34" s="258">
        <f t="shared" si="7"/>
        <v>0.02</v>
      </c>
      <c r="N34" s="258">
        <f t="shared" si="7"/>
        <v>0.02</v>
      </c>
      <c r="O34" s="259">
        <f t="shared" si="7"/>
        <v>0.02</v>
      </c>
    </row>
    <row r="35" spans="2:15">
      <c r="B35" s="252" t="s">
        <v>178</v>
      </c>
      <c r="C35" s="227"/>
      <c r="D35" s="227"/>
      <c r="E35" s="227">
        <v>5</v>
      </c>
      <c r="F35" s="260">
        <v>0.02</v>
      </c>
      <c r="G35" s="264">
        <v>0.02</v>
      </c>
      <c r="H35" s="264">
        <v>0.02</v>
      </c>
      <c r="I35" s="264">
        <v>0.02</v>
      </c>
      <c r="J35" s="264">
        <v>0.02</v>
      </c>
      <c r="K35" s="261">
        <f t="shared" si="7"/>
        <v>0.02</v>
      </c>
      <c r="L35" s="261">
        <f t="shared" si="7"/>
        <v>0.02</v>
      </c>
      <c r="M35" s="261">
        <f t="shared" si="7"/>
        <v>0.02</v>
      </c>
      <c r="N35" s="261">
        <f t="shared" si="7"/>
        <v>0.02</v>
      </c>
      <c r="O35" s="262">
        <f t="shared" si="7"/>
        <v>0.02</v>
      </c>
    </row>
    <row r="36" spans="2:15">
      <c r="B36" s="252"/>
      <c r="C36" s="227"/>
      <c r="D36" s="227"/>
      <c r="E36" s="227"/>
      <c r="F36" s="265"/>
      <c r="G36" s="265"/>
      <c r="H36" s="265"/>
      <c r="I36" s="265"/>
      <c r="J36" s="265"/>
      <c r="K36" s="265"/>
      <c r="L36" s="265"/>
      <c r="M36" s="265"/>
      <c r="N36" s="265"/>
      <c r="O36" s="265"/>
    </row>
    <row r="37" spans="2:15">
      <c r="B37" s="255" t="s">
        <v>180</v>
      </c>
      <c r="C37" s="227"/>
      <c r="D37" s="227"/>
      <c r="E37" s="227"/>
      <c r="F37" s="254"/>
      <c r="G37" s="254"/>
      <c r="H37" s="254"/>
      <c r="I37" s="254"/>
      <c r="J37" s="254"/>
      <c r="K37" s="254"/>
      <c r="L37" s="254"/>
      <c r="M37" s="254"/>
      <c r="N37" s="254"/>
      <c r="O37" s="254"/>
    </row>
    <row r="38" spans="2:15">
      <c r="B38" s="266" t="s">
        <v>181</v>
      </c>
      <c r="C38" s="227"/>
      <c r="D38" s="227"/>
      <c r="E38" s="227"/>
      <c r="F38" s="256">
        <f>CHOOSE(DCF!$D$4,F39,F40,F41,F42,F43)</f>
        <v>0.02</v>
      </c>
      <c r="G38" s="256">
        <f>CHOOSE(DCF!$D$4,G39,G40,G41,G42,G43)</f>
        <v>0.02</v>
      </c>
      <c r="H38" s="256">
        <f>CHOOSE(DCF!$D$4,H39,H40,H41,H42,H43)</f>
        <v>0.02</v>
      </c>
      <c r="I38" s="256">
        <f>CHOOSE(DCF!$D$4,I39,I40,I41,I42,I43)</f>
        <v>0.02</v>
      </c>
      <c r="J38" s="256">
        <f>CHOOSE(DCF!$D$4,J39,J40,J41,J42,J43)</f>
        <v>0.02</v>
      </c>
      <c r="K38" s="256">
        <f>CHOOSE(DCF!$D$4,K39,K40,K41,K42,K43)</f>
        <v>0.02</v>
      </c>
      <c r="L38" s="256">
        <f>CHOOSE(DCF!$D$4,L39,L40,L41,L42,L43)</f>
        <v>0.02</v>
      </c>
      <c r="M38" s="256">
        <f>CHOOSE(DCF!$D$4,M39,M40,M41,M42,M43)</f>
        <v>0.02</v>
      </c>
      <c r="N38" s="256">
        <f>CHOOSE(DCF!$D$4,N39,N40,N41,N42,N43)</f>
        <v>0.02</v>
      </c>
      <c r="O38" s="256">
        <f>CHOOSE(DCF!$D$4,O39,O40,O41,O42,O43)</f>
        <v>0.02</v>
      </c>
    </row>
    <row r="39" spans="2:15">
      <c r="B39" s="252" t="s">
        <v>174</v>
      </c>
      <c r="C39" s="227"/>
      <c r="D39" s="227"/>
      <c r="E39" s="227">
        <v>1</v>
      </c>
      <c r="F39" s="257">
        <v>0.02</v>
      </c>
      <c r="G39" s="77">
        <v>0.02</v>
      </c>
      <c r="H39" s="77">
        <v>0.02</v>
      </c>
      <c r="I39" s="77">
        <v>0.02</v>
      </c>
      <c r="J39" s="77">
        <v>0.02</v>
      </c>
      <c r="K39" s="287">
        <f>J39</f>
        <v>0.02</v>
      </c>
      <c r="L39" s="287">
        <f t="shared" ref="L39:O39" si="8">K39</f>
        <v>0.02</v>
      </c>
      <c r="M39" s="287">
        <f t="shared" si="8"/>
        <v>0.02</v>
      </c>
      <c r="N39" s="287">
        <f t="shared" si="8"/>
        <v>0.02</v>
      </c>
      <c r="O39" s="286">
        <f t="shared" si="8"/>
        <v>0.02</v>
      </c>
    </row>
    <row r="40" spans="2:15">
      <c r="B40" s="252" t="s">
        <v>175</v>
      </c>
      <c r="C40" s="227"/>
      <c r="D40" s="227"/>
      <c r="E40" s="227">
        <v>2</v>
      </c>
      <c r="F40" s="257">
        <v>0.02</v>
      </c>
      <c r="G40" s="77">
        <v>0.02</v>
      </c>
      <c r="H40" s="77">
        <v>0.02</v>
      </c>
      <c r="I40" s="77">
        <v>0.02</v>
      </c>
      <c r="J40" s="77">
        <v>0.02</v>
      </c>
      <c r="K40" s="258">
        <f t="shared" ref="K40:O43" si="9">J40</f>
        <v>0.02</v>
      </c>
      <c r="L40" s="258">
        <f t="shared" si="9"/>
        <v>0.02</v>
      </c>
      <c r="M40" s="258">
        <f t="shared" si="9"/>
        <v>0.02</v>
      </c>
      <c r="N40" s="258">
        <f t="shared" si="9"/>
        <v>0.02</v>
      </c>
      <c r="O40" s="259">
        <f t="shared" si="9"/>
        <v>0.02</v>
      </c>
    </row>
    <row r="41" spans="2:15">
      <c r="B41" s="252" t="s">
        <v>176</v>
      </c>
      <c r="C41" s="227"/>
      <c r="D41" s="227"/>
      <c r="E41" s="227">
        <v>3</v>
      </c>
      <c r="F41" s="257">
        <v>0.02</v>
      </c>
      <c r="G41" s="77">
        <v>0.02</v>
      </c>
      <c r="H41" s="77">
        <v>0.02</v>
      </c>
      <c r="I41" s="77">
        <v>0.02</v>
      </c>
      <c r="J41" s="77">
        <v>0.02</v>
      </c>
      <c r="K41" s="258">
        <f t="shared" si="9"/>
        <v>0.02</v>
      </c>
      <c r="L41" s="258">
        <f t="shared" si="9"/>
        <v>0.02</v>
      </c>
      <c r="M41" s="258">
        <f t="shared" si="9"/>
        <v>0.02</v>
      </c>
      <c r="N41" s="258">
        <f t="shared" si="9"/>
        <v>0.02</v>
      </c>
      <c r="O41" s="259">
        <f t="shared" si="9"/>
        <v>0.02</v>
      </c>
    </row>
    <row r="42" spans="2:15">
      <c r="B42" s="252" t="s">
        <v>177</v>
      </c>
      <c r="C42" s="227"/>
      <c r="D42" s="227"/>
      <c r="E42" s="227">
        <v>4</v>
      </c>
      <c r="F42" s="257">
        <v>2.5000000000000001E-2</v>
      </c>
      <c r="G42" s="77">
        <v>2.5000000000000001E-2</v>
      </c>
      <c r="H42" s="77">
        <v>2.5000000000000001E-2</v>
      </c>
      <c r="I42" s="77">
        <v>2.5000000000000001E-2</v>
      </c>
      <c r="J42" s="77">
        <v>2.5000000000000001E-2</v>
      </c>
      <c r="K42" s="258">
        <f t="shared" si="9"/>
        <v>2.5000000000000001E-2</v>
      </c>
      <c r="L42" s="258">
        <f t="shared" si="9"/>
        <v>2.5000000000000001E-2</v>
      </c>
      <c r="M42" s="258">
        <f t="shared" si="9"/>
        <v>2.5000000000000001E-2</v>
      </c>
      <c r="N42" s="258">
        <f t="shared" si="9"/>
        <v>2.5000000000000001E-2</v>
      </c>
      <c r="O42" s="259">
        <f t="shared" si="9"/>
        <v>2.5000000000000001E-2</v>
      </c>
    </row>
    <row r="43" spans="2:15">
      <c r="B43" s="252" t="s">
        <v>178</v>
      </c>
      <c r="C43" s="227"/>
      <c r="D43" s="227"/>
      <c r="E43" s="267">
        <v>5</v>
      </c>
      <c r="F43" s="260">
        <v>2.5000000000000001E-2</v>
      </c>
      <c r="G43" s="264">
        <v>2.5000000000000001E-2</v>
      </c>
      <c r="H43" s="264">
        <v>2.5000000000000001E-2</v>
      </c>
      <c r="I43" s="264">
        <v>2.5000000000000001E-2</v>
      </c>
      <c r="J43" s="264">
        <v>2.5000000000000001E-2</v>
      </c>
      <c r="K43" s="261">
        <f t="shared" si="9"/>
        <v>2.5000000000000001E-2</v>
      </c>
      <c r="L43" s="261">
        <f t="shared" si="9"/>
        <v>2.5000000000000001E-2</v>
      </c>
      <c r="M43" s="261">
        <f t="shared" si="9"/>
        <v>2.5000000000000001E-2</v>
      </c>
      <c r="N43" s="261">
        <f t="shared" si="9"/>
        <v>2.5000000000000001E-2</v>
      </c>
      <c r="O43" s="262">
        <f t="shared" si="9"/>
        <v>2.5000000000000001E-2</v>
      </c>
    </row>
  </sheetData>
  <mergeCells count="1">
    <mergeCell ref="B2:O2"/>
  </mergeCells>
  <phoneticPr fontId="1" type="noConversion"/>
  <pageMargins left="0.7" right="0.7" top="0.75" bottom="0.75" header="0.3" footer="0.3"/>
  <ignoredErrors>
    <ignoredError sqref="F6:O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0"/>
  <sheetViews>
    <sheetView topLeftCell="A31" zoomScale="85" zoomScaleNormal="85" workbookViewId="0">
      <selection activeCell="Q16" sqref="Q16"/>
    </sheetView>
  </sheetViews>
  <sheetFormatPr defaultRowHeight="12.75"/>
  <cols>
    <col min="1" max="1" width="1" customWidth="1"/>
    <col min="2" max="15" width="12.140625" customWidth="1"/>
  </cols>
  <sheetData>
    <row r="1" spans="2:15" ht="4.5" customHeight="1"/>
    <row r="2" spans="2:15" ht="20.25">
      <c r="B2" s="345" t="s">
        <v>182</v>
      </c>
      <c r="C2" s="345"/>
      <c r="D2" s="345"/>
      <c r="E2" s="345"/>
      <c r="F2" s="345"/>
      <c r="G2" s="345"/>
      <c r="H2" s="345"/>
      <c r="I2" s="345"/>
      <c r="J2" s="345"/>
      <c r="K2" s="345"/>
      <c r="L2" s="345"/>
      <c r="M2" s="345"/>
      <c r="N2" s="345"/>
      <c r="O2" s="345"/>
    </row>
    <row r="3" spans="2:15">
      <c r="B3" s="252"/>
      <c r="C3" s="268"/>
      <c r="D3" s="268"/>
      <c r="E3" s="268"/>
      <c r="F3" s="269"/>
      <c r="G3" s="269"/>
      <c r="H3" s="269"/>
      <c r="I3" s="269"/>
      <c r="J3" s="269"/>
      <c r="K3" s="269"/>
      <c r="L3" s="269"/>
      <c r="M3" s="269"/>
      <c r="N3" s="269"/>
      <c r="O3" s="269"/>
    </row>
    <row r="4" spans="2:15" ht="15">
      <c r="B4" s="268"/>
      <c r="C4" s="268"/>
      <c r="D4" s="268"/>
      <c r="E4" s="268"/>
      <c r="F4" s="270" t="s">
        <v>108</v>
      </c>
      <c r="G4" s="271"/>
      <c r="H4" s="271"/>
      <c r="I4" s="271"/>
      <c r="J4" s="271"/>
      <c r="K4" s="271"/>
      <c r="L4" s="271"/>
      <c r="M4" s="271"/>
      <c r="N4" s="271"/>
      <c r="O4" s="270"/>
    </row>
    <row r="5" spans="2:15">
      <c r="B5" s="252"/>
      <c r="C5" s="268"/>
      <c r="D5" s="268"/>
      <c r="E5" s="268"/>
      <c r="F5" s="272">
        <v>1</v>
      </c>
      <c r="G5" s="272">
        <v>2</v>
      </c>
      <c r="H5" s="272">
        <v>3</v>
      </c>
      <c r="I5" s="272">
        <v>4</v>
      </c>
      <c r="J5" s="272">
        <v>5</v>
      </c>
      <c r="K5" s="272">
        <v>6</v>
      </c>
      <c r="L5" s="272">
        <v>7</v>
      </c>
      <c r="M5" s="272">
        <v>8</v>
      </c>
      <c r="N5" s="272">
        <v>9</v>
      </c>
      <c r="O5" s="272">
        <v>10</v>
      </c>
    </row>
    <row r="6" spans="2:15" ht="15">
      <c r="B6" s="252"/>
      <c r="C6" s="268"/>
      <c r="D6" s="268"/>
      <c r="E6" s="268"/>
      <c r="F6" s="290" t="str">
        <f>[1]A1!F6</f>
        <v>2009</v>
      </c>
      <c r="G6" s="290" t="str">
        <f>[1]A1!G6</f>
        <v>2010</v>
      </c>
      <c r="H6" s="290" t="str">
        <f>[1]A1!H6</f>
        <v>2011</v>
      </c>
      <c r="I6" s="290" t="str">
        <f>[1]A1!I6</f>
        <v>2012</v>
      </c>
      <c r="J6" s="290" t="str">
        <f>[1]A1!J6</f>
        <v>2013</v>
      </c>
      <c r="K6" s="290" t="str">
        <f>[1]A1!K6</f>
        <v>2014</v>
      </c>
      <c r="L6" s="290" t="str">
        <f>[1]A1!L6</f>
        <v>2015</v>
      </c>
      <c r="M6" s="290" t="str">
        <f>[1]A1!M6</f>
        <v>2016</v>
      </c>
      <c r="N6" s="290" t="str">
        <f>[1]A1!N6</f>
        <v>2017</v>
      </c>
      <c r="O6" s="290" t="str">
        <f>[1]A1!O6</f>
        <v>2018</v>
      </c>
    </row>
    <row r="7" spans="2:15">
      <c r="B7" s="252"/>
      <c r="C7" s="268"/>
      <c r="D7" s="268"/>
      <c r="E7" s="268"/>
      <c r="F7" s="269"/>
      <c r="G7" s="269"/>
      <c r="H7" s="269"/>
      <c r="I7" s="269"/>
      <c r="J7" s="269"/>
      <c r="K7" s="269"/>
      <c r="L7" s="269"/>
      <c r="M7" s="269"/>
      <c r="N7" s="269"/>
      <c r="O7" s="269"/>
    </row>
    <row r="8" spans="2:15">
      <c r="B8" s="273" t="s">
        <v>110</v>
      </c>
      <c r="C8" s="268"/>
      <c r="D8" s="268"/>
      <c r="E8" s="268"/>
      <c r="F8" s="274"/>
      <c r="G8" s="274"/>
      <c r="H8" s="274"/>
      <c r="I8" s="274"/>
      <c r="J8" s="274"/>
      <c r="K8" s="274"/>
      <c r="L8" s="274"/>
      <c r="M8" s="274"/>
      <c r="N8" s="274"/>
      <c r="O8" s="274"/>
    </row>
    <row r="9" spans="2:15">
      <c r="B9" s="275" t="s">
        <v>183</v>
      </c>
      <c r="C9" s="268"/>
      <c r="D9" s="268"/>
      <c r="E9" s="268"/>
      <c r="F9" s="148">
        <f>CHOOSE(DCF!$D$4,F10,F11,F12,F13,F14)</f>
        <v>60.225000000000001</v>
      </c>
      <c r="G9" s="148">
        <f>CHOOSE(DCF!$D$4,G10,G11,G12,G13,G14)</f>
        <v>60.225000000000001</v>
      </c>
      <c r="H9" s="148">
        <f>CHOOSE(DCF!$D$4,H10,H11,H12,H13,H14)</f>
        <v>60.225000000000001</v>
      </c>
      <c r="I9" s="148">
        <f>CHOOSE(DCF!$D$4,I10,I11,I12,I13,I14)</f>
        <v>60.225000000000001</v>
      </c>
      <c r="J9" s="148">
        <f>CHOOSE(DCF!$D$4,J10,J11,J12,J13,J14)</f>
        <v>60.225000000000001</v>
      </c>
      <c r="K9" s="148">
        <f>CHOOSE(DCF!$D$4,K10,K11,K12,K13,K14)</f>
        <v>60.225000000000001</v>
      </c>
      <c r="L9" s="148">
        <f>CHOOSE(DCF!$D$4,L10,L11,L12,L13,L14)</f>
        <v>60.225000000000001</v>
      </c>
      <c r="M9" s="148">
        <f>CHOOSE(DCF!$D$4,M10,M11,M12,M13,M14)</f>
        <v>60.225000000000001</v>
      </c>
      <c r="N9" s="148">
        <f>CHOOSE(DCF!$D$4,N10,N11,N12,N13,N14)</f>
        <v>60.225000000000001</v>
      </c>
      <c r="O9" s="148">
        <f>CHOOSE(DCF!$D$4,O10,O11,O12,O13,O14)</f>
        <v>60.225000000000001</v>
      </c>
    </row>
    <row r="10" spans="2:15">
      <c r="B10" s="252" t="s">
        <v>174</v>
      </c>
      <c r="C10" s="268"/>
      <c r="D10" s="268"/>
      <c r="E10" s="275">
        <v>1</v>
      </c>
      <c r="F10" s="276">
        <v>60.225000000000001</v>
      </c>
      <c r="G10" s="277">
        <v>60.225000000000001</v>
      </c>
      <c r="H10" s="277">
        <v>60.225000000000001</v>
      </c>
      <c r="I10" s="277">
        <v>60.225000000000001</v>
      </c>
      <c r="J10" s="277">
        <v>60.225000000000001</v>
      </c>
      <c r="K10" s="185">
        <f>J10</f>
        <v>60.225000000000001</v>
      </c>
      <c r="L10" s="185">
        <f t="shared" ref="L10:O10" si="0">K10</f>
        <v>60.225000000000001</v>
      </c>
      <c r="M10" s="185">
        <f t="shared" si="0"/>
        <v>60.225000000000001</v>
      </c>
      <c r="N10" s="185">
        <f t="shared" si="0"/>
        <v>60.225000000000001</v>
      </c>
      <c r="O10" s="187">
        <f t="shared" si="0"/>
        <v>60.225000000000001</v>
      </c>
    </row>
    <row r="11" spans="2:15">
      <c r="B11" s="252" t="s">
        <v>175</v>
      </c>
      <c r="C11" s="268"/>
      <c r="D11" s="268"/>
      <c r="E11" s="275">
        <v>2</v>
      </c>
      <c r="F11" s="278">
        <v>60.225000000000001</v>
      </c>
      <c r="G11" s="279">
        <v>60.225000000000001</v>
      </c>
      <c r="H11" s="279">
        <v>60.225000000000001</v>
      </c>
      <c r="I11" s="279">
        <v>60.225000000000001</v>
      </c>
      <c r="J11" s="279">
        <v>60.225000000000001</v>
      </c>
      <c r="K11" s="189">
        <f t="shared" ref="K11:O14" si="1">J11</f>
        <v>60.225000000000001</v>
      </c>
      <c r="L11" s="189">
        <f t="shared" si="1"/>
        <v>60.225000000000001</v>
      </c>
      <c r="M11" s="189">
        <f t="shared" si="1"/>
        <v>60.225000000000001</v>
      </c>
      <c r="N11" s="189">
        <f t="shared" si="1"/>
        <v>60.225000000000001</v>
      </c>
      <c r="O11" s="191">
        <f t="shared" si="1"/>
        <v>60.225000000000001</v>
      </c>
    </row>
    <row r="12" spans="2:15">
      <c r="B12" s="252" t="s">
        <v>176</v>
      </c>
      <c r="C12" s="268"/>
      <c r="D12" s="268"/>
      <c r="E12" s="275">
        <v>3</v>
      </c>
      <c r="F12" s="278">
        <v>65</v>
      </c>
      <c r="G12" s="279">
        <v>65</v>
      </c>
      <c r="H12" s="279">
        <v>65</v>
      </c>
      <c r="I12" s="279">
        <v>65</v>
      </c>
      <c r="J12" s="279">
        <v>65</v>
      </c>
      <c r="K12" s="189">
        <f t="shared" si="1"/>
        <v>65</v>
      </c>
      <c r="L12" s="189">
        <f t="shared" si="1"/>
        <v>65</v>
      </c>
      <c r="M12" s="189">
        <f t="shared" si="1"/>
        <v>65</v>
      </c>
      <c r="N12" s="189">
        <f t="shared" si="1"/>
        <v>65</v>
      </c>
      <c r="O12" s="191">
        <f t="shared" si="1"/>
        <v>65</v>
      </c>
    </row>
    <row r="13" spans="2:15">
      <c r="B13" s="252" t="s">
        <v>177</v>
      </c>
      <c r="C13" s="268"/>
      <c r="D13" s="268"/>
      <c r="E13" s="275">
        <v>4</v>
      </c>
      <c r="F13" s="278">
        <v>59</v>
      </c>
      <c r="G13" s="279">
        <v>59</v>
      </c>
      <c r="H13" s="279">
        <v>59</v>
      </c>
      <c r="I13" s="279">
        <v>59</v>
      </c>
      <c r="J13" s="279">
        <v>59</v>
      </c>
      <c r="K13" s="189">
        <f t="shared" si="1"/>
        <v>59</v>
      </c>
      <c r="L13" s="189">
        <f t="shared" si="1"/>
        <v>59</v>
      </c>
      <c r="M13" s="189">
        <f t="shared" si="1"/>
        <v>59</v>
      </c>
      <c r="N13" s="189">
        <f t="shared" si="1"/>
        <v>59</v>
      </c>
      <c r="O13" s="191">
        <f t="shared" si="1"/>
        <v>59</v>
      </c>
    </row>
    <row r="14" spans="2:15">
      <c r="B14" s="252" t="s">
        <v>178</v>
      </c>
      <c r="C14" s="268"/>
      <c r="D14" s="268"/>
      <c r="E14" s="275">
        <v>5</v>
      </c>
      <c r="F14" s="280">
        <v>57.651282051282053</v>
      </c>
      <c r="G14" s="281">
        <v>57.651282051282053</v>
      </c>
      <c r="H14" s="281">
        <v>57.651282051282053</v>
      </c>
      <c r="I14" s="281">
        <v>57.651282051282053</v>
      </c>
      <c r="J14" s="281">
        <v>57.651282051282053</v>
      </c>
      <c r="K14" s="282">
        <f t="shared" si="1"/>
        <v>57.651282051282053</v>
      </c>
      <c r="L14" s="282">
        <f t="shared" si="1"/>
        <v>57.651282051282053</v>
      </c>
      <c r="M14" s="282">
        <f t="shared" si="1"/>
        <v>57.651282051282053</v>
      </c>
      <c r="N14" s="282">
        <f t="shared" si="1"/>
        <v>57.651282051282053</v>
      </c>
      <c r="O14" s="283">
        <f t="shared" si="1"/>
        <v>57.651282051282053</v>
      </c>
    </row>
    <row r="15" spans="2:15">
      <c r="B15" s="252"/>
      <c r="C15" s="268"/>
      <c r="D15" s="268"/>
      <c r="E15" s="275"/>
      <c r="F15" s="284"/>
      <c r="G15" s="284"/>
      <c r="H15" s="284"/>
      <c r="I15" s="284"/>
      <c r="J15" s="284"/>
      <c r="K15" s="284"/>
      <c r="L15" s="284"/>
      <c r="M15" s="284"/>
      <c r="N15" s="284"/>
      <c r="O15" s="284"/>
    </row>
    <row r="16" spans="2:15">
      <c r="B16" s="275" t="s">
        <v>184</v>
      </c>
      <c r="C16" s="268"/>
      <c r="D16" s="268"/>
      <c r="E16" s="275"/>
      <c r="F16" s="288">
        <f>CHOOSE(DCF!$D$4,F17,F18,F19,F20,F21)</f>
        <v>76.041666666666671</v>
      </c>
      <c r="G16" s="288">
        <f>CHOOSE(DCF!$D$4,G17,G18,G19,G20,G21)</f>
        <v>76.041666666666671</v>
      </c>
      <c r="H16" s="288">
        <f>CHOOSE(DCF!$D$4,H17,H18,H19,H20,H21)</f>
        <v>76.041666666666671</v>
      </c>
      <c r="I16" s="288">
        <f>CHOOSE(DCF!$D$4,I17,I18,I19,I20,I21)</f>
        <v>76.041666666666671</v>
      </c>
      <c r="J16" s="288">
        <f>CHOOSE(DCF!$D$4,J17,J18,J19,J20,J21)</f>
        <v>76.041666666666671</v>
      </c>
      <c r="K16" s="288">
        <f>CHOOSE(DCF!$D$4,K17,K18,K19,K20,K21)</f>
        <v>76.041666666666671</v>
      </c>
      <c r="L16" s="288">
        <f>CHOOSE(DCF!$D$4,L17,L18,L19,L20,L21)</f>
        <v>76.041666666666671</v>
      </c>
      <c r="M16" s="288">
        <f>CHOOSE(DCF!$D$4,M17,M18,M19,M20,M21)</f>
        <v>76.041666666666671</v>
      </c>
      <c r="N16" s="288">
        <f>CHOOSE(DCF!$D$4,N17,N18,N19,N20,N21)</f>
        <v>76.041666666666671</v>
      </c>
      <c r="O16" s="288">
        <f>CHOOSE(DCF!$D$4,O17,O18,O19,O20,O21)</f>
        <v>76.041666666666671</v>
      </c>
    </row>
    <row r="17" spans="2:15">
      <c r="B17" s="252" t="s">
        <v>174</v>
      </c>
      <c r="C17" s="268"/>
      <c r="D17" s="268"/>
      <c r="E17" s="275">
        <v>1</v>
      </c>
      <c r="F17" s="276">
        <v>76.041666666666671</v>
      </c>
      <c r="G17" s="277">
        <v>76.041666666666671</v>
      </c>
      <c r="H17" s="277">
        <v>76.041666666666671</v>
      </c>
      <c r="I17" s="277">
        <v>76.041666666666671</v>
      </c>
      <c r="J17" s="277">
        <v>76.041666666666671</v>
      </c>
      <c r="K17" s="185">
        <f>J17</f>
        <v>76.041666666666671</v>
      </c>
      <c r="L17" s="185">
        <f t="shared" ref="L17:O17" si="2">K17</f>
        <v>76.041666666666671</v>
      </c>
      <c r="M17" s="185">
        <f t="shared" si="2"/>
        <v>76.041666666666671</v>
      </c>
      <c r="N17" s="185">
        <f t="shared" si="2"/>
        <v>76.041666666666671</v>
      </c>
      <c r="O17" s="187">
        <f t="shared" si="2"/>
        <v>76.041666666666671</v>
      </c>
    </row>
    <row r="18" spans="2:15">
      <c r="B18" s="252" t="s">
        <v>175</v>
      </c>
      <c r="C18" s="268"/>
      <c r="D18" s="268"/>
      <c r="E18" s="275">
        <v>2</v>
      </c>
      <c r="F18" s="278">
        <v>76.041666666666671</v>
      </c>
      <c r="G18" s="279">
        <v>76.041666666666671</v>
      </c>
      <c r="H18" s="279">
        <v>76.041666666666671</v>
      </c>
      <c r="I18" s="279">
        <v>76.041666666666671</v>
      </c>
      <c r="J18" s="279">
        <v>76.041666666666671</v>
      </c>
      <c r="K18" s="189">
        <f t="shared" ref="K18:O21" si="3">J18</f>
        <v>76.041666666666671</v>
      </c>
      <c r="L18" s="189">
        <f t="shared" si="3"/>
        <v>76.041666666666671</v>
      </c>
      <c r="M18" s="189">
        <f t="shared" si="3"/>
        <v>76.041666666666671</v>
      </c>
      <c r="N18" s="189">
        <f t="shared" si="3"/>
        <v>76.041666666666671</v>
      </c>
      <c r="O18" s="191">
        <f t="shared" si="3"/>
        <v>76.041666666666671</v>
      </c>
    </row>
    <row r="19" spans="2:15">
      <c r="B19" s="252" t="s">
        <v>176</v>
      </c>
      <c r="C19" s="268"/>
      <c r="D19" s="268"/>
      <c r="E19" s="275">
        <v>3</v>
      </c>
      <c r="F19" s="278">
        <v>76.041666666666671</v>
      </c>
      <c r="G19" s="279">
        <v>76.041666666666671</v>
      </c>
      <c r="H19" s="279">
        <v>76.041666666666671</v>
      </c>
      <c r="I19" s="279">
        <v>76.041666666666671</v>
      </c>
      <c r="J19" s="279">
        <v>76.041666666666671</v>
      </c>
      <c r="K19" s="189">
        <f t="shared" si="3"/>
        <v>76.041666666666671</v>
      </c>
      <c r="L19" s="189">
        <f t="shared" si="3"/>
        <v>76.041666666666671</v>
      </c>
      <c r="M19" s="189">
        <f t="shared" si="3"/>
        <v>76.041666666666671</v>
      </c>
      <c r="N19" s="189">
        <f t="shared" si="3"/>
        <v>76.041666666666671</v>
      </c>
      <c r="O19" s="191">
        <f t="shared" si="3"/>
        <v>76.041666666666671</v>
      </c>
    </row>
    <row r="20" spans="2:15">
      <c r="B20" s="252" t="s">
        <v>177</v>
      </c>
      <c r="C20" s="268"/>
      <c r="D20" s="268"/>
      <c r="E20" s="275">
        <v>4</v>
      </c>
      <c r="F20" s="278">
        <v>80</v>
      </c>
      <c r="G20" s="279">
        <v>80</v>
      </c>
      <c r="H20" s="279">
        <v>80</v>
      </c>
      <c r="I20" s="279">
        <v>80</v>
      </c>
      <c r="J20" s="279">
        <v>80</v>
      </c>
      <c r="K20" s="189">
        <f t="shared" si="3"/>
        <v>80</v>
      </c>
      <c r="L20" s="189">
        <f t="shared" si="3"/>
        <v>80</v>
      </c>
      <c r="M20" s="189">
        <f t="shared" si="3"/>
        <v>80</v>
      </c>
      <c r="N20" s="189">
        <f t="shared" si="3"/>
        <v>80</v>
      </c>
      <c r="O20" s="191">
        <f t="shared" si="3"/>
        <v>80</v>
      </c>
    </row>
    <row r="21" spans="2:15">
      <c r="B21" s="252" t="s">
        <v>178</v>
      </c>
      <c r="C21" s="268"/>
      <c r="D21" s="268"/>
      <c r="E21" s="275">
        <v>5</v>
      </c>
      <c r="F21" s="280">
        <v>82</v>
      </c>
      <c r="G21" s="281">
        <v>82</v>
      </c>
      <c r="H21" s="281">
        <v>82</v>
      </c>
      <c r="I21" s="281">
        <v>82</v>
      </c>
      <c r="J21" s="281">
        <v>82</v>
      </c>
      <c r="K21" s="282">
        <f t="shared" si="3"/>
        <v>82</v>
      </c>
      <c r="L21" s="282">
        <f t="shared" si="3"/>
        <v>82</v>
      </c>
      <c r="M21" s="282">
        <f t="shared" si="3"/>
        <v>82</v>
      </c>
      <c r="N21" s="282">
        <f t="shared" si="3"/>
        <v>82</v>
      </c>
      <c r="O21" s="283">
        <f t="shared" si="3"/>
        <v>82</v>
      </c>
    </row>
    <row r="22" spans="2:15">
      <c r="B22" s="252"/>
      <c r="C22" s="268"/>
      <c r="D22" s="268"/>
      <c r="E22" s="275"/>
      <c r="F22" s="269"/>
      <c r="G22" s="269"/>
      <c r="H22" s="269"/>
      <c r="I22" s="269"/>
      <c r="J22" s="269"/>
      <c r="K22" s="269"/>
      <c r="L22" s="269"/>
      <c r="M22" s="269"/>
      <c r="N22" s="269"/>
      <c r="O22" s="269"/>
    </row>
    <row r="23" spans="2:15">
      <c r="B23" s="275" t="s">
        <v>185</v>
      </c>
      <c r="C23" s="268"/>
      <c r="D23" s="268"/>
      <c r="E23" s="275"/>
      <c r="F23" s="289">
        <f>CHOOSE(DCF!$D$4,F24,F25,F26,F27,F28)</f>
        <v>0.01</v>
      </c>
      <c r="G23" s="289">
        <f>CHOOSE(DCF!$D$4,G24,G25,G26,G27,G28)</f>
        <v>0.01</v>
      </c>
      <c r="H23" s="289">
        <f>CHOOSE(DCF!$D$4,H24,H25,H26,H27,H28)</f>
        <v>0.01</v>
      </c>
      <c r="I23" s="289">
        <f>CHOOSE(DCF!$D$4,I24,I25,I26,I27,I28)</f>
        <v>0.01</v>
      </c>
      <c r="J23" s="289">
        <f>CHOOSE(DCF!$D$4,J24,J25,J26,J27,J28)</f>
        <v>0.01</v>
      </c>
      <c r="K23" s="289">
        <f>CHOOSE(DCF!$D$4,K24,K25,K26,K27,K28)</f>
        <v>0.01</v>
      </c>
      <c r="L23" s="289">
        <f>CHOOSE(DCF!$D$4,L24,L25,L26,L27,L28)</f>
        <v>0.01</v>
      </c>
      <c r="M23" s="289">
        <f>CHOOSE(DCF!$D$4,M24,M25,M26,M27,M28)</f>
        <v>0.01</v>
      </c>
      <c r="N23" s="289">
        <f>CHOOSE(DCF!$D$4,N24,N25,N26,N27,N28)</f>
        <v>0.01</v>
      </c>
      <c r="O23" s="289">
        <f>CHOOSE(DCF!$D$4,O24,O25,O26,O27,O28)</f>
        <v>0.01</v>
      </c>
    </row>
    <row r="24" spans="2:15">
      <c r="B24" s="252" t="s">
        <v>174</v>
      </c>
      <c r="C24" s="268"/>
      <c r="D24" s="268"/>
      <c r="E24" s="275">
        <v>1</v>
      </c>
      <c r="F24" s="257">
        <v>0.01</v>
      </c>
      <c r="G24" s="77">
        <v>0.01</v>
      </c>
      <c r="H24" s="77">
        <v>0.01</v>
      </c>
      <c r="I24" s="77">
        <v>0.01</v>
      </c>
      <c r="J24" s="77">
        <v>0.01</v>
      </c>
      <c r="K24" s="287">
        <f>J24</f>
        <v>0.01</v>
      </c>
      <c r="L24" s="287">
        <f t="shared" ref="L24:O24" si="4">K24</f>
        <v>0.01</v>
      </c>
      <c r="M24" s="287">
        <f t="shared" si="4"/>
        <v>0.01</v>
      </c>
      <c r="N24" s="287">
        <f t="shared" si="4"/>
        <v>0.01</v>
      </c>
      <c r="O24" s="286">
        <f t="shared" si="4"/>
        <v>0.01</v>
      </c>
    </row>
    <row r="25" spans="2:15">
      <c r="B25" s="252" t="s">
        <v>175</v>
      </c>
      <c r="C25" s="268"/>
      <c r="D25" s="268"/>
      <c r="E25" s="275">
        <v>2</v>
      </c>
      <c r="F25" s="257">
        <v>0.01</v>
      </c>
      <c r="G25" s="77">
        <v>0.01</v>
      </c>
      <c r="H25" s="77">
        <v>0.01</v>
      </c>
      <c r="I25" s="77">
        <v>0.01</v>
      </c>
      <c r="J25" s="77">
        <v>0.01</v>
      </c>
      <c r="K25" s="258">
        <f t="shared" ref="K25:O28" si="5">J25</f>
        <v>0.01</v>
      </c>
      <c r="L25" s="258">
        <f t="shared" si="5"/>
        <v>0.01</v>
      </c>
      <c r="M25" s="258">
        <f t="shared" si="5"/>
        <v>0.01</v>
      </c>
      <c r="N25" s="258">
        <f t="shared" si="5"/>
        <v>0.01</v>
      </c>
      <c r="O25" s="259">
        <f t="shared" si="5"/>
        <v>0.01</v>
      </c>
    </row>
    <row r="26" spans="2:15">
      <c r="B26" s="252" t="s">
        <v>176</v>
      </c>
      <c r="C26" s="268"/>
      <c r="D26" s="268"/>
      <c r="E26" s="275">
        <v>3</v>
      </c>
      <c r="F26" s="257">
        <v>0.01</v>
      </c>
      <c r="G26" s="77">
        <v>0.01</v>
      </c>
      <c r="H26" s="77">
        <v>0.01</v>
      </c>
      <c r="I26" s="77">
        <v>0.01</v>
      </c>
      <c r="J26" s="77">
        <v>0.01</v>
      </c>
      <c r="K26" s="258">
        <f t="shared" si="5"/>
        <v>0.01</v>
      </c>
      <c r="L26" s="258">
        <f t="shared" si="5"/>
        <v>0.01</v>
      </c>
      <c r="M26" s="258">
        <f t="shared" si="5"/>
        <v>0.01</v>
      </c>
      <c r="N26" s="258">
        <f t="shared" si="5"/>
        <v>0.01</v>
      </c>
      <c r="O26" s="259">
        <f t="shared" si="5"/>
        <v>0.01</v>
      </c>
    </row>
    <row r="27" spans="2:15">
      <c r="B27" s="252" t="s">
        <v>177</v>
      </c>
      <c r="C27" s="268"/>
      <c r="D27" s="268"/>
      <c r="E27" s="275">
        <v>4</v>
      </c>
      <c r="F27" s="257">
        <v>0.01</v>
      </c>
      <c r="G27" s="77">
        <v>0.01</v>
      </c>
      <c r="H27" s="77">
        <v>0.01</v>
      </c>
      <c r="I27" s="77">
        <v>0.01</v>
      </c>
      <c r="J27" s="77">
        <v>0.01</v>
      </c>
      <c r="K27" s="258">
        <f t="shared" si="5"/>
        <v>0.01</v>
      </c>
      <c r="L27" s="258">
        <f t="shared" si="5"/>
        <v>0.01</v>
      </c>
      <c r="M27" s="258">
        <f t="shared" si="5"/>
        <v>0.01</v>
      </c>
      <c r="N27" s="258">
        <f t="shared" si="5"/>
        <v>0.01</v>
      </c>
      <c r="O27" s="259">
        <f t="shared" si="5"/>
        <v>0.01</v>
      </c>
    </row>
    <row r="28" spans="2:15">
      <c r="B28" s="252" t="s">
        <v>178</v>
      </c>
      <c r="C28" s="268"/>
      <c r="D28" s="268"/>
      <c r="E28" s="275">
        <v>5</v>
      </c>
      <c r="F28" s="260">
        <v>0.01</v>
      </c>
      <c r="G28" s="264">
        <v>0.01</v>
      </c>
      <c r="H28" s="264">
        <v>0.01</v>
      </c>
      <c r="I28" s="264">
        <v>0.01</v>
      </c>
      <c r="J28" s="264">
        <v>0.01</v>
      </c>
      <c r="K28" s="261">
        <f t="shared" si="5"/>
        <v>0.01</v>
      </c>
      <c r="L28" s="261">
        <f t="shared" si="5"/>
        <v>0.01</v>
      </c>
      <c r="M28" s="261">
        <f t="shared" si="5"/>
        <v>0.01</v>
      </c>
      <c r="N28" s="261">
        <f t="shared" si="5"/>
        <v>0.01</v>
      </c>
      <c r="O28" s="262">
        <f t="shared" si="5"/>
        <v>0.01</v>
      </c>
    </row>
    <row r="29" spans="2:15">
      <c r="B29" s="252"/>
      <c r="C29" s="268"/>
      <c r="D29" s="268"/>
      <c r="E29" s="275"/>
      <c r="F29" s="269"/>
      <c r="G29" s="269"/>
      <c r="H29" s="269"/>
      <c r="I29" s="269"/>
      <c r="J29" s="269"/>
      <c r="K29" s="269"/>
      <c r="L29" s="269"/>
      <c r="M29" s="269"/>
      <c r="N29" s="269"/>
      <c r="O29" s="269"/>
    </row>
    <row r="30" spans="2:15">
      <c r="B30" s="273" t="s">
        <v>115</v>
      </c>
      <c r="C30" s="268"/>
      <c r="D30" s="268"/>
      <c r="E30" s="275"/>
      <c r="F30" s="268"/>
      <c r="G30" s="268"/>
      <c r="H30" s="268"/>
      <c r="I30" s="268"/>
      <c r="J30" s="268"/>
      <c r="K30" s="268"/>
      <c r="L30" s="268"/>
      <c r="M30" s="268"/>
      <c r="N30" s="268"/>
      <c r="O30" s="268"/>
    </row>
    <row r="31" spans="2:15">
      <c r="B31" s="275" t="s">
        <v>186</v>
      </c>
      <c r="C31" s="268"/>
      <c r="D31" s="268"/>
      <c r="E31" s="275"/>
      <c r="F31" s="288">
        <f>CHOOSE(DCF!$D$4,F32,F33,F34,F35,F36)</f>
        <v>45.625</v>
      </c>
      <c r="G31" s="288">
        <f>CHOOSE(DCF!$D$4,G32,G33,G34,G35,G36)</f>
        <v>45.625</v>
      </c>
      <c r="H31" s="288">
        <f>CHOOSE(DCF!$D$4,H32,H33,H34,H35,H36)</f>
        <v>45.625</v>
      </c>
      <c r="I31" s="288">
        <f>CHOOSE(DCF!$D$4,I32,I33,I34,I35,I36)</f>
        <v>45.625</v>
      </c>
      <c r="J31" s="288">
        <f>CHOOSE(DCF!$D$4,J32,J33,J34,J35,J36)</f>
        <v>45.625</v>
      </c>
      <c r="K31" s="288">
        <f>CHOOSE(DCF!$D$4,K32,K33,K34,K35,K36)</f>
        <v>45.625</v>
      </c>
      <c r="L31" s="288">
        <f>CHOOSE(DCF!$D$4,L32,L33,L34,L35,L36)</f>
        <v>45.625</v>
      </c>
      <c r="M31" s="288">
        <f>CHOOSE(DCF!$D$4,M32,M33,M34,M35,M36)</f>
        <v>45.625</v>
      </c>
      <c r="N31" s="288">
        <f>CHOOSE(DCF!$D$4,N32,N33,N34,N35,N36)</f>
        <v>45.625</v>
      </c>
      <c r="O31" s="288">
        <f>CHOOSE(DCF!$D$4,O32,O33,O34,O35,O36)</f>
        <v>45.625</v>
      </c>
    </row>
    <row r="32" spans="2:15">
      <c r="B32" s="252" t="s">
        <v>174</v>
      </c>
      <c r="C32" s="268"/>
      <c r="D32" s="268"/>
      <c r="E32" s="275">
        <v>1</v>
      </c>
      <c r="F32" s="276">
        <v>45.625</v>
      </c>
      <c r="G32" s="277">
        <v>45.625</v>
      </c>
      <c r="H32" s="277">
        <v>45.625</v>
      </c>
      <c r="I32" s="277">
        <v>45.625</v>
      </c>
      <c r="J32" s="277">
        <v>45.625</v>
      </c>
      <c r="K32" s="185">
        <f>J32</f>
        <v>45.625</v>
      </c>
      <c r="L32" s="185">
        <f t="shared" ref="L32:O32" si="6">K32</f>
        <v>45.625</v>
      </c>
      <c r="M32" s="185">
        <f t="shared" si="6"/>
        <v>45.625</v>
      </c>
      <c r="N32" s="185">
        <f t="shared" si="6"/>
        <v>45.625</v>
      </c>
      <c r="O32" s="187">
        <f t="shared" si="6"/>
        <v>45.625</v>
      </c>
    </row>
    <row r="33" spans="2:15">
      <c r="B33" s="252" t="s">
        <v>175</v>
      </c>
      <c r="C33" s="268"/>
      <c r="D33" s="268"/>
      <c r="E33" s="275">
        <v>2</v>
      </c>
      <c r="F33" s="278">
        <v>45.625</v>
      </c>
      <c r="G33" s="279">
        <v>45.625</v>
      </c>
      <c r="H33" s="279">
        <v>45.625</v>
      </c>
      <c r="I33" s="279">
        <v>45.625</v>
      </c>
      <c r="J33" s="279">
        <v>45.625</v>
      </c>
      <c r="K33" s="189">
        <f t="shared" ref="K33:O36" si="7">J33</f>
        <v>45.625</v>
      </c>
      <c r="L33" s="189">
        <f t="shared" si="7"/>
        <v>45.625</v>
      </c>
      <c r="M33" s="189">
        <f t="shared" si="7"/>
        <v>45.625</v>
      </c>
      <c r="N33" s="189">
        <f t="shared" si="7"/>
        <v>45.625</v>
      </c>
      <c r="O33" s="191">
        <f t="shared" si="7"/>
        <v>45.625</v>
      </c>
    </row>
    <row r="34" spans="2:15">
      <c r="B34" s="252" t="s">
        <v>176</v>
      </c>
      <c r="C34" s="268"/>
      <c r="D34" s="268"/>
      <c r="E34" s="275">
        <v>3</v>
      </c>
      <c r="F34" s="278">
        <v>47</v>
      </c>
      <c r="G34" s="279">
        <v>47</v>
      </c>
      <c r="H34" s="279">
        <v>47</v>
      </c>
      <c r="I34" s="279">
        <v>47</v>
      </c>
      <c r="J34" s="279">
        <v>47</v>
      </c>
      <c r="K34" s="189">
        <f t="shared" si="7"/>
        <v>47</v>
      </c>
      <c r="L34" s="189">
        <f t="shared" si="7"/>
        <v>47</v>
      </c>
      <c r="M34" s="189">
        <f t="shared" si="7"/>
        <v>47</v>
      </c>
      <c r="N34" s="189">
        <f t="shared" si="7"/>
        <v>47</v>
      </c>
      <c r="O34" s="191">
        <f t="shared" si="7"/>
        <v>47</v>
      </c>
    </row>
    <row r="35" spans="2:15">
      <c r="B35" s="252" t="s">
        <v>177</v>
      </c>
      <c r="C35" s="268"/>
      <c r="D35" s="268"/>
      <c r="E35" s="275">
        <v>4</v>
      </c>
      <c r="F35" s="278">
        <v>42.5</v>
      </c>
      <c r="G35" s="279">
        <v>42.5</v>
      </c>
      <c r="H35" s="279">
        <v>42.5</v>
      </c>
      <c r="I35" s="279">
        <v>42.5</v>
      </c>
      <c r="J35" s="279">
        <v>42.5</v>
      </c>
      <c r="K35" s="189">
        <f t="shared" si="7"/>
        <v>42.5</v>
      </c>
      <c r="L35" s="189">
        <f t="shared" si="7"/>
        <v>42.5</v>
      </c>
      <c r="M35" s="189">
        <f t="shared" si="7"/>
        <v>42.5</v>
      </c>
      <c r="N35" s="189">
        <f t="shared" si="7"/>
        <v>42.5</v>
      </c>
      <c r="O35" s="191">
        <f t="shared" si="7"/>
        <v>42.5</v>
      </c>
    </row>
    <row r="36" spans="2:15">
      <c r="B36" s="252" t="s">
        <v>178</v>
      </c>
      <c r="C36" s="268"/>
      <c r="D36" s="268"/>
      <c r="E36" s="275">
        <v>5</v>
      </c>
      <c r="F36" s="280">
        <v>40</v>
      </c>
      <c r="G36" s="281">
        <v>40</v>
      </c>
      <c r="H36" s="281">
        <v>40</v>
      </c>
      <c r="I36" s="281">
        <v>40</v>
      </c>
      <c r="J36" s="281">
        <v>40</v>
      </c>
      <c r="K36" s="282">
        <f t="shared" si="7"/>
        <v>40</v>
      </c>
      <c r="L36" s="282">
        <f t="shared" si="7"/>
        <v>40</v>
      </c>
      <c r="M36" s="282">
        <f t="shared" si="7"/>
        <v>40</v>
      </c>
      <c r="N36" s="282">
        <f t="shared" si="7"/>
        <v>40</v>
      </c>
      <c r="O36" s="283">
        <f t="shared" si="7"/>
        <v>40</v>
      </c>
    </row>
    <row r="37" spans="2:15">
      <c r="B37" s="252"/>
      <c r="C37" s="268"/>
      <c r="D37" s="268"/>
      <c r="E37" s="275"/>
      <c r="F37" s="269"/>
      <c r="G37" s="269"/>
      <c r="H37" s="269"/>
      <c r="I37" s="269"/>
      <c r="J37" s="269"/>
      <c r="K37" s="269"/>
      <c r="L37" s="269"/>
      <c r="M37" s="269"/>
      <c r="N37" s="269"/>
      <c r="O37" s="269"/>
    </row>
    <row r="38" spans="2:15">
      <c r="B38" s="275" t="s">
        <v>127</v>
      </c>
      <c r="C38" s="268"/>
      <c r="D38" s="268"/>
      <c r="E38" s="275"/>
      <c r="F38" s="289">
        <f>CHOOSE(DCF!$D$4,F39,F40,F41,F42,F43)</f>
        <v>0.1</v>
      </c>
      <c r="G38" s="289">
        <f>CHOOSE(DCF!$D$4,G39,G40,G41,G42,G43)</f>
        <v>0.1</v>
      </c>
      <c r="H38" s="289">
        <f>CHOOSE(DCF!$D$4,H39,H40,H41,H42,H43)</f>
        <v>0.1</v>
      </c>
      <c r="I38" s="289">
        <f>CHOOSE(DCF!$D$4,I39,I40,I41,I42,I43)</f>
        <v>0.1</v>
      </c>
      <c r="J38" s="289">
        <f>CHOOSE(DCF!$D$4,J39,J40,J41,J42,J43)</f>
        <v>0.1</v>
      </c>
      <c r="K38" s="289">
        <f>CHOOSE(DCF!$D$4,K39,K40,K41,K42,K43)</f>
        <v>0.1</v>
      </c>
      <c r="L38" s="289">
        <f>CHOOSE(DCF!$D$4,L39,L40,L41,L42,L43)</f>
        <v>0.1</v>
      </c>
      <c r="M38" s="289">
        <f>CHOOSE(DCF!$D$4,M39,M40,M41,M42,M43)</f>
        <v>0.1</v>
      </c>
      <c r="N38" s="289">
        <f>CHOOSE(DCF!$D$4,N39,N40,N41,N42,N43)</f>
        <v>0.1</v>
      </c>
      <c r="O38" s="289">
        <f>CHOOSE(DCF!$D$4,O39,O40,O41,O42,O43)</f>
        <v>0.1</v>
      </c>
    </row>
    <row r="39" spans="2:15">
      <c r="B39" s="252" t="s">
        <v>174</v>
      </c>
      <c r="C39" s="268"/>
      <c r="D39" s="268"/>
      <c r="E39" s="275">
        <v>1</v>
      </c>
      <c r="F39" s="257">
        <v>0.1</v>
      </c>
      <c r="G39" s="77">
        <v>0.1</v>
      </c>
      <c r="H39" s="77">
        <v>0.1</v>
      </c>
      <c r="I39" s="77">
        <v>0.1</v>
      </c>
      <c r="J39" s="77">
        <v>0.1</v>
      </c>
      <c r="K39" s="287">
        <f>J39</f>
        <v>0.1</v>
      </c>
      <c r="L39" s="287">
        <f t="shared" ref="L39:O39" si="8">K39</f>
        <v>0.1</v>
      </c>
      <c r="M39" s="287">
        <f t="shared" si="8"/>
        <v>0.1</v>
      </c>
      <c r="N39" s="287">
        <f t="shared" si="8"/>
        <v>0.1</v>
      </c>
      <c r="O39" s="286">
        <f t="shared" si="8"/>
        <v>0.1</v>
      </c>
    </row>
    <row r="40" spans="2:15">
      <c r="B40" s="252" t="s">
        <v>175</v>
      </c>
      <c r="C40" s="268"/>
      <c r="D40" s="268"/>
      <c r="E40" s="275">
        <v>2</v>
      </c>
      <c r="F40" s="257">
        <v>0.1</v>
      </c>
      <c r="G40" s="77">
        <v>0.1</v>
      </c>
      <c r="H40" s="77">
        <v>0.1</v>
      </c>
      <c r="I40" s="77">
        <v>0.1</v>
      </c>
      <c r="J40" s="77">
        <v>0.1</v>
      </c>
      <c r="K40" s="258">
        <f t="shared" ref="K40:O43" si="9">J40</f>
        <v>0.1</v>
      </c>
      <c r="L40" s="258">
        <f t="shared" si="9"/>
        <v>0.1</v>
      </c>
      <c r="M40" s="258">
        <f t="shared" si="9"/>
        <v>0.1</v>
      </c>
      <c r="N40" s="258">
        <f t="shared" si="9"/>
        <v>0.1</v>
      </c>
      <c r="O40" s="259">
        <f t="shared" si="9"/>
        <v>0.1</v>
      </c>
    </row>
    <row r="41" spans="2:15">
      <c r="B41" s="252" t="s">
        <v>176</v>
      </c>
      <c r="C41" s="268"/>
      <c r="D41" s="268"/>
      <c r="E41" s="275">
        <v>3</v>
      </c>
      <c r="F41" s="257">
        <v>0.1</v>
      </c>
      <c r="G41" s="77">
        <v>0.1</v>
      </c>
      <c r="H41" s="77">
        <v>0.1</v>
      </c>
      <c r="I41" s="77">
        <v>0.1</v>
      </c>
      <c r="J41" s="77">
        <v>0.1</v>
      </c>
      <c r="K41" s="258">
        <f t="shared" si="9"/>
        <v>0.1</v>
      </c>
      <c r="L41" s="258">
        <f t="shared" si="9"/>
        <v>0.1</v>
      </c>
      <c r="M41" s="258">
        <f t="shared" si="9"/>
        <v>0.1</v>
      </c>
      <c r="N41" s="258">
        <f t="shared" si="9"/>
        <v>0.1</v>
      </c>
      <c r="O41" s="259">
        <f t="shared" si="9"/>
        <v>0.1</v>
      </c>
    </row>
    <row r="42" spans="2:15">
      <c r="B42" s="252" t="s">
        <v>177</v>
      </c>
      <c r="C42" s="268"/>
      <c r="D42" s="268"/>
      <c r="E42" s="275">
        <v>4</v>
      </c>
      <c r="F42" s="257">
        <v>0.1</v>
      </c>
      <c r="G42" s="77">
        <v>0.1</v>
      </c>
      <c r="H42" s="77">
        <v>0.1</v>
      </c>
      <c r="I42" s="77">
        <v>0.1</v>
      </c>
      <c r="J42" s="77">
        <v>0.1</v>
      </c>
      <c r="K42" s="258">
        <f t="shared" si="9"/>
        <v>0.1</v>
      </c>
      <c r="L42" s="258">
        <f t="shared" si="9"/>
        <v>0.1</v>
      </c>
      <c r="M42" s="258">
        <f t="shared" si="9"/>
        <v>0.1</v>
      </c>
      <c r="N42" s="258">
        <f t="shared" si="9"/>
        <v>0.1</v>
      </c>
      <c r="O42" s="259">
        <f t="shared" si="9"/>
        <v>0.1</v>
      </c>
    </row>
    <row r="43" spans="2:15">
      <c r="B43" s="252" t="s">
        <v>178</v>
      </c>
      <c r="C43" s="268"/>
      <c r="D43" s="268"/>
      <c r="E43" s="275">
        <v>5</v>
      </c>
      <c r="F43" s="260">
        <v>0.1</v>
      </c>
      <c r="G43" s="264">
        <v>0.1</v>
      </c>
      <c r="H43" s="264">
        <v>0.1</v>
      </c>
      <c r="I43" s="264">
        <v>0.1</v>
      </c>
      <c r="J43" s="264">
        <v>0.1</v>
      </c>
      <c r="K43" s="261">
        <f t="shared" si="9"/>
        <v>0.1</v>
      </c>
      <c r="L43" s="261">
        <f t="shared" si="9"/>
        <v>0.1</v>
      </c>
      <c r="M43" s="261">
        <f t="shared" si="9"/>
        <v>0.1</v>
      </c>
      <c r="N43" s="261">
        <f t="shared" si="9"/>
        <v>0.1</v>
      </c>
      <c r="O43" s="262">
        <f t="shared" si="9"/>
        <v>0.1</v>
      </c>
    </row>
    <row r="44" spans="2:15">
      <c r="B44" s="252"/>
      <c r="C44" s="268"/>
      <c r="D44" s="268"/>
      <c r="E44" s="275"/>
      <c r="F44" s="285"/>
      <c r="G44" s="285"/>
      <c r="H44" s="285"/>
      <c r="I44" s="285"/>
      <c r="J44" s="285"/>
      <c r="K44" s="285"/>
      <c r="L44" s="285"/>
      <c r="M44" s="285"/>
      <c r="N44" s="285"/>
      <c r="O44" s="285"/>
    </row>
    <row r="45" spans="2:15">
      <c r="B45" s="275" t="s">
        <v>128</v>
      </c>
      <c r="C45" s="268"/>
      <c r="D45" s="268"/>
      <c r="E45" s="275"/>
      <c r="F45" s="289">
        <f>CHOOSE(DCF!$D$4,F46,F47,F48,F49,F50)</f>
        <v>2.5000000000000001E-2</v>
      </c>
      <c r="G45" s="289">
        <f>CHOOSE(DCF!$D$4,G46,G47,G48,G49,G50)</f>
        <v>2.5000000000000001E-2</v>
      </c>
      <c r="H45" s="289">
        <f>CHOOSE(DCF!$D$4,H46,H47,H48,H49,H50)</f>
        <v>2.5000000000000001E-2</v>
      </c>
      <c r="I45" s="289">
        <f>CHOOSE(DCF!$D$4,I46,I47,I48,I49,I50)</f>
        <v>2.5000000000000001E-2</v>
      </c>
      <c r="J45" s="289">
        <f>CHOOSE(DCF!$D$4,J46,J47,J48,J49,J50)</f>
        <v>2.5000000000000001E-2</v>
      </c>
      <c r="K45" s="289">
        <f>CHOOSE(DCF!$D$4,K46,K47,K48,K49,K50)</f>
        <v>2.5000000000000001E-2</v>
      </c>
      <c r="L45" s="289">
        <f>CHOOSE(DCF!$D$4,L46,L47,L48,L49,L50)</f>
        <v>2.5000000000000001E-2</v>
      </c>
      <c r="M45" s="289">
        <f>CHOOSE(DCF!$D$4,M46,M47,M48,M49,M50)</f>
        <v>2.5000000000000001E-2</v>
      </c>
      <c r="N45" s="289">
        <f>CHOOSE(DCF!$D$4,N46,N47,N48,N49,N50)</f>
        <v>2.5000000000000001E-2</v>
      </c>
      <c r="O45" s="289">
        <f>CHOOSE(DCF!$D$4,O46,O47,O48,O49,O50)</f>
        <v>2.5000000000000001E-2</v>
      </c>
    </row>
    <row r="46" spans="2:15">
      <c r="B46" s="252" t="s">
        <v>174</v>
      </c>
      <c r="C46" s="268"/>
      <c r="D46" s="268"/>
      <c r="E46" s="275">
        <v>1</v>
      </c>
      <c r="F46" s="257">
        <v>2.5000000000000001E-2</v>
      </c>
      <c r="G46" s="77">
        <v>2.5000000000000001E-2</v>
      </c>
      <c r="H46" s="77">
        <v>2.5000000000000001E-2</v>
      </c>
      <c r="I46" s="77">
        <v>2.5000000000000001E-2</v>
      </c>
      <c r="J46" s="77">
        <v>2.5000000000000001E-2</v>
      </c>
      <c r="K46" s="287">
        <f>J46</f>
        <v>2.5000000000000001E-2</v>
      </c>
      <c r="L46" s="287">
        <f t="shared" ref="L46:O46" si="10">K46</f>
        <v>2.5000000000000001E-2</v>
      </c>
      <c r="M46" s="287">
        <f t="shared" si="10"/>
        <v>2.5000000000000001E-2</v>
      </c>
      <c r="N46" s="287">
        <f t="shared" si="10"/>
        <v>2.5000000000000001E-2</v>
      </c>
      <c r="O46" s="286">
        <f t="shared" si="10"/>
        <v>2.5000000000000001E-2</v>
      </c>
    </row>
    <row r="47" spans="2:15">
      <c r="B47" s="252" t="s">
        <v>175</v>
      </c>
      <c r="C47" s="268"/>
      <c r="D47" s="268"/>
      <c r="E47" s="275">
        <v>2</v>
      </c>
      <c r="F47" s="257">
        <v>2.5000000000000001E-2</v>
      </c>
      <c r="G47" s="77">
        <v>2.5000000000000001E-2</v>
      </c>
      <c r="H47" s="77">
        <v>2.5000000000000001E-2</v>
      </c>
      <c r="I47" s="77">
        <v>2.5000000000000001E-2</v>
      </c>
      <c r="J47" s="77">
        <v>2.5000000000000001E-2</v>
      </c>
      <c r="K47" s="258">
        <f t="shared" ref="K47:O50" si="11">J47</f>
        <v>2.5000000000000001E-2</v>
      </c>
      <c r="L47" s="258">
        <f t="shared" si="11"/>
        <v>2.5000000000000001E-2</v>
      </c>
      <c r="M47" s="258">
        <f t="shared" si="11"/>
        <v>2.5000000000000001E-2</v>
      </c>
      <c r="N47" s="258">
        <f t="shared" si="11"/>
        <v>2.5000000000000001E-2</v>
      </c>
      <c r="O47" s="259">
        <f t="shared" si="11"/>
        <v>2.5000000000000001E-2</v>
      </c>
    </row>
    <row r="48" spans="2:15">
      <c r="B48" s="252" t="s">
        <v>176</v>
      </c>
      <c r="C48" s="268"/>
      <c r="D48" s="268"/>
      <c r="E48" s="275">
        <v>3</v>
      </c>
      <c r="F48" s="257">
        <v>2.5000000000000001E-2</v>
      </c>
      <c r="G48" s="77">
        <v>2.5000000000000001E-2</v>
      </c>
      <c r="H48" s="77">
        <v>2.5000000000000001E-2</v>
      </c>
      <c r="I48" s="77">
        <v>2.5000000000000001E-2</v>
      </c>
      <c r="J48" s="77">
        <v>2.5000000000000001E-2</v>
      </c>
      <c r="K48" s="258">
        <f t="shared" si="11"/>
        <v>2.5000000000000001E-2</v>
      </c>
      <c r="L48" s="258">
        <f t="shared" si="11"/>
        <v>2.5000000000000001E-2</v>
      </c>
      <c r="M48" s="258">
        <f t="shared" si="11"/>
        <v>2.5000000000000001E-2</v>
      </c>
      <c r="N48" s="258">
        <f t="shared" si="11"/>
        <v>2.5000000000000001E-2</v>
      </c>
      <c r="O48" s="259">
        <f t="shared" si="11"/>
        <v>2.5000000000000001E-2</v>
      </c>
    </row>
    <row r="49" spans="2:15">
      <c r="B49" s="252" t="s">
        <v>177</v>
      </c>
      <c r="C49" s="268"/>
      <c r="D49" s="268"/>
      <c r="E49" s="275">
        <v>4</v>
      </c>
      <c r="F49" s="257">
        <v>2.5000000000000001E-2</v>
      </c>
      <c r="G49" s="77">
        <v>2.5000000000000001E-2</v>
      </c>
      <c r="H49" s="77">
        <v>2.5000000000000001E-2</v>
      </c>
      <c r="I49" s="77">
        <v>2.5000000000000001E-2</v>
      </c>
      <c r="J49" s="77">
        <v>2.5000000000000001E-2</v>
      </c>
      <c r="K49" s="258">
        <f t="shared" si="11"/>
        <v>2.5000000000000001E-2</v>
      </c>
      <c r="L49" s="258">
        <f t="shared" si="11"/>
        <v>2.5000000000000001E-2</v>
      </c>
      <c r="M49" s="258">
        <f t="shared" si="11"/>
        <v>2.5000000000000001E-2</v>
      </c>
      <c r="N49" s="258">
        <f t="shared" si="11"/>
        <v>2.5000000000000001E-2</v>
      </c>
      <c r="O49" s="259">
        <f t="shared" si="11"/>
        <v>2.5000000000000001E-2</v>
      </c>
    </row>
    <row r="50" spans="2:15">
      <c r="B50" s="252" t="s">
        <v>178</v>
      </c>
      <c r="C50" s="268"/>
      <c r="D50" s="268"/>
      <c r="E50" s="275">
        <v>5</v>
      </c>
      <c r="F50" s="260">
        <v>2.5000000000000001E-2</v>
      </c>
      <c r="G50" s="264">
        <v>2.5000000000000001E-2</v>
      </c>
      <c r="H50" s="264">
        <v>2.5000000000000001E-2</v>
      </c>
      <c r="I50" s="264">
        <v>2.5000000000000001E-2</v>
      </c>
      <c r="J50" s="264">
        <v>2.5000000000000001E-2</v>
      </c>
      <c r="K50" s="261">
        <f t="shared" si="11"/>
        <v>2.5000000000000001E-2</v>
      </c>
      <c r="L50" s="261">
        <f t="shared" si="11"/>
        <v>2.5000000000000001E-2</v>
      </c>
      <c r="M50" s="261">
        <f t="shared" si="11"/>
        <v>2.5000000000000001E-2</v>
      </c>
      <c r="N50" s="261">
        <f t="shared" si="11"/>
        <v>2.5000000000000001E-2</v>
      </c>
      <c r="O50" s="262">
        <f t="shared" si="11"/>
        <v>2.5000000000000001E-2</v>
      </c>
    </row>
  </sheetData>
  <mergeCells count="1">
    <mergeCell ref="B2:O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DCF</vt:lpstr>
      <vt:lpstr>NWC</vt:lpstr>
      <vt:lpstr>WACC</vt:lpstr>
      <vt:lpstr>A1</vt:lpstr>
      <vt:lpstr>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zjnan</dc:creator>
  <cp:lastModifiedBy>zjnan</cp:lastModifiedBy>
  <dcterms:created xsi:type="dcterms:W3CDTF">2011-12-11T11:42:51Z</dcterms:created>
  <dcterms:modified xsi:type="dcterms:W3CDTF">2011-12-14T16:01:39Z</dcterms:modified>
</cp:coreProperties>
</file>