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codeName="ThisWorkbook"/>
  <mc:AlternateContent xmlns:mc="http://schemas.openxmlformats.org/markup-compatibility/2006">
    <mc:Choice Requires="x15">
      <x15ac:absPath xmlns:x15ac="http://schemas.microsoft.com/office/spreadsheetml/2010/11/ac" url="C:\Users\training.CHAINSHINE\Desktop\教师用\物流公司\假设单列版本\"/>
    </mc:Choice>
  </mc:AlternateContent>
  <bookViews>
    <workbookView xWindow="0" yWindow="0" windowWidth="20490" windowHeight="7785" xr2:uid="{00000000-000D-0000-FFFF-FFFF00000000}"/>
  </bookViews>
  <sheets>
    <sheet name="Cover" sheetId="9" r:id="rId1"/>
    <sheet name="Assumption" sheetId="13" r:id="rId2"/>
    <sheet name="IS" sheetId="4" r:id="rId3"/>
    <sheet name="Capex" sheetId="7" r:id="rId4"/>
    <sheet name="Cals" sheetId="8" r:id="rId5"/>
    <sheet name="BS" sheetId="1" r:id="rId6"/>
    <sheet name="CFS" sheetId="10" r:id="rId7"/>
    <sheet name="Raitos" sheetId="11" r:id="rId8"/>
    <sheet name="DCF" sheetId="12" r:id="rId9"/>
  </sheets>
  <calcPr calcId="171027"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9" i="13" l="1"/>
  <c r="E9" i="13"/>
  <c r="C9" i="13"/>
  <c r="D10" i="13" l="1"/>
  <c r="F6" i="4"/>
  <c r="G6" i="4"/>
  <c r="H6" i="4"/>
  <c r="I6" i="4"/>
  <c r="J6" i="4"/>
  <c r="K6" i="4"/>
  <c r="L6" i="4"/>
  <c r="M6" i="4"/>
  <c r="N6" i="4"/>
  <c r="O6" i="4"/>
  <c r="C7" i="4"/>
  <c r="D7" i="4"/>
  <c r="E7" i="4"/>
  <c r="F7" i="4"/>
  <c r="G7" i="4" s="1"/>
  <c r="H7" i="4" s="1"/>
  <c r="C11" i="4"/>
  <c r="D11" i="4"/>
  <c r="E11" i="4"/>
  <c r="F12" i="4"/>
  <c r="G12" i="4"/>
  <c r="H12" i="4"/>
  <c r="I12" i="4"/>
  <c r="J12" i="4"/>
  <c r="K12" i="4"/>
  <c r="L12" i="4"/>
  <c r="M12" i="4"/>
  <c r="N12" i="4"/>
  <c r="O12" i="4"/>
  <c r="C14" i="4"/>
  <c r="C10" i="13" s="1"/>
  <c r="D14" i="4"/>
  <c r="E14" i="4"/>
  <c r="E10" i="13" s="1"/>
  <c r="F8" i="4" l="1"/>
  <c r="F11" i="4" s="1"/>
  <c r="I7" i="4"/>
  <c r="J7" i="4" s="1"/>
  <c r="H8" i="4"/>
  <c r="G8" i="4"/>
  <c r="F13" i="4"/>
  <c r="F14" i="4" s="1"/>
  <c r="C47" i="13"/>
  <c r="D47" i="13"/>
  <c r="E47" i="13"/>
  <c r="C48" i="13"/>
  <c r="D48" i="13"/>
  <c r="E48" i="13"/>
  <c r="C49" i="13"/>
  <c r="D49" i="13"/>
  <c r="E49" i="13"/>
  <c r="C50" i="13"/>
  <c r="D50" i="13"/>
  <c r="E50" i="13"/>
  <c r="C51" i="13"/>
  <c r="D51" i="13"/>
  <c r="E51" i="13"/>
  <c r="C29" i="13"/>
  <c r="D29" i="13"/>
  <c r="E29" i="13"/>
  <c r="C30" i="13"/>
  <c r="D30" i="13"/>
  <c r="E30" i="13"/>
  <c r="C31" i="13"/>
  <c r="D31" i="13"/>
  <c r="E31" i="13"/>
  <c r="C32" i="13"/>
  <c r="D32" i="13"/>
  <c r="E32" i="13"/>
  <c r="C33" i="13"/>
  <c r="D33" i="13"/>
  <c r="E33" i="13"/>
  <c r="C34" i="13"/>
  <c r="D34" i="13"/>
  <c r="E34" i="13"/>
  <c r="C35" i="13"/>
  <c r="D35" i="13"/>
  <c r="E35" i="13"/>
  <c r="C11" i="13"/>
  <c r="D11" i="13"/>
  <c r="E11" i="13"/>
  <c r="C12" i="13"/>
  <c r="D12" i="13"/>
  <c r="E12" i="13"/>
  <c r="C13" i="13"/>
  <c r="D13" i="13"/>
  <c r="E13" i="13"/>
  <c r="C14" i="13"/>
  <c r="D14" i="13"/>
  <c r="E14" i="13"/>
  <c r="C15" i="13"/>
  <c r="D15" i="13"/>
  <c r="E15" i="13"/>
  <c r="C16" i="13"/>
  <c r="D16" i="13"/>
  <c r="E16" i="13"/>
  <c r="C18" i="13"/>
  <c r="D18" i="13"/>
  <c r="E18" i="13"/>
  <c r="C19" i="13"/>
  <c r="D19" i="13"/>
  <c r="E19" i="13"/>
  <c r="C6" i="13"/>
  <c r="D6" i="13"/>
  <c r="E6" i="13"/>
  <c r="I8" i="4" l="1"/>
  <c r="I13" i="4" s="1"/>
  <c r="I14" i="4" s="1"/>
  <c r="H11" i="4"/>
  <c r="H13" i="4"/>
  <c r="H14" i="4" s="1"/>
  <c r="G11" i="4"/>
  <c r="G13" i="4"/>
  <c r="G14" i="4" s="1"/>
  <c r="K7" i="4"/>
  <c r="J8" i="4"/>
  <c r="O35" i="12"/>
  <c r="G28" i="12"/>
  <c r="H28" i="12"/>
  <c r="I28" i="12"/>
  <c r="J28" i="12"/>
  <c r="K28" i="12"/>
  <c r="L28" i="12"/>
  <c r="M28" i="12"/>
  <c r="N28" i="12"/>
  <c r="O28" i="12"/>
  <c r="F28" i="12"/>
  <c r="I11" i="4" l="1"/>
  <c r="J11" i="4"/>
  <c r="J13" i="4"/>
  <c r="J14" i="4" s="1"/>
  <c r="L7" i="4"/>
  <c r="K8" i="4"/>
  <c r="G12" i="1"/>
  <c r="H12" i="1"/>
  <c r="H30" i="4" s="1"/>
  <c r="H10" i="10" s="1"/>
  <c r="H17" i="10" s="1"/>
  <c r="I12" i="1"/>
  <c r="I30" i="4" s="1"/>
  <c r="I10" i="10" s="1"/>
  <c r="I17" i="10" s="1"/>
  <c r="J12" i="1"/>
  <c r="J30" i="4" s="1"/>
  <c r="J10" i="10" s="1"/>
  <c r="J17" i="10" s="1"/>
  <c r="K12" i="1"/>
  <c r="L12" i="1"/>
  <c r="L30" i="4" s="1"/>
  <c r="L10" i="10" s="1"/>
  <c r="L17" i="10" s="1"/>
  <c r="M12" i="1"/>
  <c r="M30" i="4" s="1"/>
  <c r="M10" i="10" s="1"/>
  <c r="M17" i="10" s="1"/>
  <c r="N12" i="1"/>
  <c r="N30" i="4" s="1"/>
  <c r="N10" i="10" s="1"/>
  <c r="N17" i="10" s="1"/>
  <c r="O12" i="1"/>
  <c r="G15" i="1"/>
  <c r="H15" i="1"/>
  <c r="I15" i="1"/>
  <c r="J15" i="1"/>
  <c r="K15" i="1"/>
  <c r="L15" i="1"/>
  <c r="M15" i="1"/>
  <c r="N15" i="1"/>
  <c r="O15" i="1"/>
  <c r="G37" i="1"/>
  <c r="H37" i="1"/>
  <c r="I37" i="1"/>
  <c r="J37" i="1"/>
  <c r="K37" i="1"/>
  <c r="L37" i="1"/>
  <c r="M37" i="1"/>
  <c r="N37" i="1"/>
  <c r="O37" i="1"/>
  <c r="G19" i="8"/>
  <c r="H19" i="8"/>
  <c r="I19" i="8"/>
  <c r="J19" i="8"/>
  <c r="K19" i="8"/>
  <c r="L19" i="8"/>
  <c r="M19" i="8"/>
  <c r="N19" i="8"/>
  <c r="O19" i="8"/>
  <c r="G26" i="8"/>
  <c r="H26" i="8"/>
  <c r="I26" i="8"/>
  <c r="J26" i="8"/>
  <c r="K26" i="8"/>
  <c r="L26" i="8"/>
  <c r="M26" i="8"/>
  <c r="N26" i="8"/>
  <c r="O26" i="8"/>
  <c r="G33" i="8"/>
  <c r="H33" i="8"/>
  <c r="I33" i="8"/>
  <c r="J33" i="8"/>
  <c r="K33" i="8"/>
  <c r="L33" i="8"/>
  <c r="M33" i="8"/>
  <c r="N33" i="8"/>
  <c r="O33" i="8"/>
  <c r="G40" i="8"/>
  <c r="H40" i="8"/>
  <c r="I40" i="8"/>
  <c r="J40" i="8"/>
  <c r="K40" i="8"/>
  <c r="L40" i="8"/>
  <c r="M40" i="8"/>
  <c r="N40" i="8"/>
  <c r="O40" i="8"/>
  <c r="G54" i="8"/>
  <c r="G32" i="10" s="1"/>
  <c r="H54" i="8"/>
  <c r="H32" i="10" s="1"/>
  <c r="I54" i="8"/>
  <c r="I32" i="10" s="1"/>
  <c r="J54" i="8"/>
  <c r="J32" i="10" s="1"/>
  <c r="K54" i="8"/>
  <c r="K32" i="10" s="1"/>
  <c r="L54" i="8"/>
  <c r="L32" i="10" s="1"/>
  <c r="M54" i="8"/>
  <c r="M32" i="10" s="1"/>
  <c r="N54" i="8"/>
  <c r="N32" i="10" s="1"/>
  <c r="O54" i="8"/>
  <c r="O32" i="10" s="1"/>
  <c r="G30" i="4"/>
  <c r="G10" i="10" s="1"/>
  <c r="G17" i="10" s="1"/>
  <c r="G31" i="4"/>
  <c r="G11" i="10" s="1"/>
  <c r="G18" i="10" s="1"/>
  <c r="H31" i="4"/>
  <c r="H11" i="10" s="1"/>
  <c r="H18" i="10" s="1"/>
  <c r="I31" i="4"/>
  <c r="I11" i="10" s="1"/>
  <c r="I18" i="10" s="1"/>
  <c r="J31" i="4"/>
  <c r="J11" i="10" s="1"/>
  <c r="J18" i="10" s="1"/>
  <c r="K31" i="4"/>
  <c r="K11" i="10" s="1"/>
  <c r="K18" i="10" s="1"/>
  <c r="L31" i="4"/>
  <c r="L11" i="10" s="1"/>
  <c r="L18" i="10" s="1"/>
  <c r="M31" i="4"/>
  <c r="M11" i="10" s="1"/>
  <c r="M18" i="10" s="1"/>
  <c r="N31" i="4"/>
  <c r="N11" i="10" s="1"/>
  <c r="N18" i="10" s="1"/>
  <c r="O31" i="4"/>
  <c r="O11" i="10" s="1"/>
  <c r="O18" i="10" s="1"/>
  <c r="G37" i="4"/>
  <c r="G53" i="8" s="1"/>
  <c r="H37" i="4"/>
  <c r="H53" i="8" s="1"/>
  <c r="I37" i="4"/>
  <c r="I53" i="8" s="1"/>
  <c r="J37" i="4"/>
  <c r="J53" i="8" s="1"/>
  <c r="K37" i="4"/>
  <c r="K53" i="8" s="1"/>
  <c r="L37" i="4"/>
  <c r="L53" i="8" s="1"/>
  <c r="M37" i="4"/>
  <c r="M53" i="8" s="1"/>
  <c r="N37" i="4"/>
  <c r="N53" i="8" s="1"/>
  <c r="O37" i="4"/>
  <c r="O53" i="8" s="1"/>
  <c r="G40" i="4"/>
  <c r="H40" i="4"/>
  <c r="I40" i="4"/>
  <c r="J40" i="4"/>
  <c r="K40" i="4"/>
  <c r="L40" i="4"/>
  <c r="M40" i="4"/>
  <c r="N40" i="4"/>
  <c r="O40" i="4"/>
  <c r="L33" i="10" l="1"/>
  <c r="H33" i="10"/>
  <c r="M7" i="4"/>
  <c r="L8" i="4"/>
  <c r="K11" i="4"/>
  <c r="K13" i="4"/>
  <c r="K14" i="4" s="1"/>
  <c r="M19" i="10"/>
  <c r="N33" i="10"/>
  <c r="J33" i="10"/>
  <c r="O19" i="10"/>
  <c r="K19" i="10"/>
  <c r="H19" i="10"/>
  <c r="I19" i="10"/>
  <c r="O33" i="10"/>
  <c r="K33" i="10"/>
  <c r="K30" i="4"/>
  <c r="K10" i="10" s="1"/>
  <c r="K17" i="10" s="1"/>
  <c r="M33" i="10"/>
  <c r="I33" i="10"/>
  <c r="N19" i="10"/>
  <c r="J19" i="10"/>
  <c r="O30" i="4"/>
  <c r="O10" i="10" s="1"/>
  <c r="O17" i="10" s="1"/>
  <c r="L19" i="10"/>
  <c r="P7" i="7"/>
  <c r="F37" i="4"/>
  <c r="L11" i="4" l="1"/>
  <c r="L13" i="4"/>
  <c r="L14" i="4" s="1"/>
  <c r="N7" i="4"/>
  <c r="M8" i="4"/>
  <c r="E24" i="7"/>
  <c r="D24" i="7"/>
  <c r="C24" i="7"/>
  <c r="O7" i="4" l="1"/>
  <c r="O8" i="4" s="1"/>
  <c r="N8" i="4"/>
  <c r="M11" i="4"/>
  <c r="M13" i="4"/>
  <c r="M14" i="4" s="1"/>
  <c r="F53" i="8"/>
  <c r="N11" i="4" l="1"/>
  <c r="N13" i="4"/>
  <c r="N14" i="4" s="1"/>
  <c r="O11" i="4"/>
  <c r="O13" i="4"/>
  <c r="O14" i="4" s="1"/>
  <c r="E53" i="12"/>
  <c r="B53" i="12"/>
  <c r="E50" i="12"/>
  <c r="E47" i="12"/>
  <c r="E44" i="12"/>
  <c r="E45" i="12" s="1"/>
  <c r="B22" i="12"/>
  <c r="B21" i="12"/>
  <c r="B20" i="12"/>
  <c r="B19" i="12"/>
  <c r="B18" i="12"/>
  <c r="B17" i="12"/>
  <c r="B16" i="12"/>
  <c r="B15" i="12"/>
  <c r="E26" i="11" l="1"/>
  <c r="D26" i="11"/>
  <c r="D6" i="11"/>
  <c r="D52" i="11" s="1"/>
  <c r="E6" i="11"/>
  <c r="D7" i="11"/>
  <c r="E7" i="11"/>
  <c r="E50" i="11" s="1"/>
  <c r="D14" i="11"/>
  <c r="E14" i="11"/>
  <c r="D17" i="11"/>
  <c r="E17" i="11"/>
  <c r="C17" i="11"/>
  <c r="C14" i="11"/>
  <c r="C7" i="11"/>
  <c r="C6" i="11"/>
  <c r="D8" i="11" l="1"/>
  <c r="D30" i="11" s="1"/>
  <c r="E8" i="11"/>
  <c r="E51" i="11" s="1"/>
  <c r="C8" i="11"/>
  <c r="C30" i="11" s="1"/>
  <c r="E22" i="11"/>
  <c r="D50" i="11"/>
  <c r="E49" i="11"/>
  <c r="D22" i="11"/>
  <c r="E52" i="11"/>
  <c r="D49" i="11"/>
  <c r="D51" i="11" l="1"/>
  <c r="E30" i="11"/>
  <c r="F37" i="10"/>
  <c r="F27" i="10"/>
  <c r="D23" i="4"/>
  <c r="D9" i="11" s="1"/>
  <c r="E23" i="4"/>
  <c r="E9" i="11" s="1"/>
  <c r="C23" i="4"/>
  <c r="C9" i="11" s="1"/>
  <c r="F40" i="8"/>
  <c r="E39" i="8"/>
  <c r="D15" i="7"/>
  <c r="E12" i="7" s="1"/>
  <c r="E25" i="13" s="1"/>
  <c r="C15" i="7"/>
  <c r="D21" i="7"/>
  <c r="C21" i="7"/>
  <c r="D9" i="7"/>
  <c r="C9" i="7"/>
  <c r="E21" i="7"/>
  <c r="E15" i="7"/>
  <c r="F12" i="7" s="1"/>
  <c r="E9" i="7"/>
  <c r="F14" i="7" l="1"/>
  <c r="E6" i="7"/>
  <c r="E23" i="13" s="1"/>
  <c r="D6" i="7"/>
  <c r="D23" i="13" s="1"/>
  <c r="F6" i="7"/>
  <c r="F8" i="7" s="1"/>
  <c r="F18" i="7"/>
  <c r="D18" i="7"/>
  <c r="D27" i="13" s="1"/>
  <c r="E18" i="7"/>
  <c r="E27" i="13" s="1"/>
  <c r="D12" i="7"/>
  <c r="D25" i="13" s="1"/>
  <c r="E13" i="7"/>
  <c r="E24" i="13" s="1"/>
  <c r="E43" i="11"/>
  <c r="E31" i="11"/>
  <c r="E23" i="11"/>
  <c r="D23" i="11"/>
  <c r="D31" i="11"/>
  <c r="D43" i="11"/>
  <c r="C43" i="11"/>
  <c r="C31" i="11"/>
  <c r="F20" i="7" l="1"/>
  <c r="F24" i="7" s="1"/>
  <c r="D7" i="7"/>
  <c r="D22" i="13" s="1"/>
  <c r="E7" i="7"/>
  <c r="E22" i="13" s="1"/>
  <c r="E19" i="7"/>
  <c r="E26" i="13" s="1"/>
  <c r="D19" i="7"/>
  <c r="D26" i="13" s="1"/>
  <c r="D13" i="7"/>
  <c r="D24" i="13" s="1"/>
  <c r="D7" i="13"/>
  <c r="E7" i="13" l="1"/>
  <c r="D26" i="7"/>
  <c r="D27" i="7"/>
  <c r="C26" i="7"/>
  <c r="C27" i="7"/>
  <c r="E26" i="7"/>
  <c r="E27" i="7"/>
  <c r="E23" i="7"/>
  <c r="D23" i="7"/>
  <c r="F26" i="7" l="1"/>
  <c r="F17" i="4" l="1"/>
  <c r="F18" i="4" s="1"/>
  <c r="F26" i="4"/>
  <c r="F8" i="10" s="1"/>
  <c r="F16" i="12" s="1"/>
  <c r="F25" i="4"/>
  <c r="F7" i="10" s="1"/>
  <c r="F15" i="12" s="1"/>
  <c r="G17" i="4" l="1"/>
  <c r="F13" i="7"/>
  <c r="F19" i="7"/>
  <c r="F7" i="7"/>
  <c r="F22" i="4"/>
  <c r="F41" i="10"/>
  <c r="F6" i="11"/>
  <c r="G22" i="4" l="1"/>
  <c r="G18" i="4"/>
  <c r="H17" i="4"/>
  <c r="G19" i="4"/>
  <c r="G6" i="11"/>
  <c r="G20" i="4"/>
  <c r="G21" i="4"/>
  <c r="G19" i="1"/>
  <c r="G33" i="1"/>
  <c r="G13" i="8"/>
  <c r="G29" i="1" s="1"/>
  <c r="G7" i="7"/>
  <c r="G20" i="10" s="1"/>
  <c r="G19" i="12" s="1"/>
  <c r="G6" i="8"/>
  <c r="G41" i="10"/>
  <c r="G9" i="8"/>
  <c r="G11" i="1" s="1"/>
  <c r="G13" i="7"/>
  <c r="G21" i="10" s="1"/>
  <c r="G20" i="12" s="1"/>
  <c r="G19" i="7"/>
  <c r="G22" i="10" s="1"/>
  <c r="G21" i="12" s="1"/>
  <c r="G12" i="8"/>
  <c r="G28" i="1" s="1"/>
  <c r="F9" i="7"/>
  <c r="G6" i="7" s="1"/>
  <c r="F23" i="7"/>
  <c r="F15" i="7"/>
  <c r="G12" i="7" s="1"/>
  <c r="F21" i="10"/>
  <c r="F20" i="12" s="1"/>
  <c r="F20" i="10"/>
  <c r="F21" i="7"/>
  <c r="G18" i="7" s="1"/>
  <c r="F22" i="10"/>
  <c r="F21" i="12" s="1"/>
  <c r="F22" i="11"/>
  <c r="I17" i="4"/>
  <c r="I18" i="4" s="1"/>
  <c r="G11" i="8" l="1"/>
  <c r="G27" i="1" s="1"/>
  <c r="G7" i="11"/>
  <c r="G8" i="11" s="1"/>
  <c r="G30" i="11" s="1"/>
  <c r="G7" i="8"/>
  <c r="G9" i="1" s="1"/>
  <c r="G8" i="8"/>
  <c r="G10" i="1" s="1"/>
  <c r="H19" i="4"/>
  <c r="H18" i="4"/>
  <c r="F16" i="1"/>
  <c r="F26" i="11" s="1"/>
  <c r="H12" i="8"/>
  <c r="H28" i="1" s="1"/>
  <c r="H6" i="8"/>
  <c r="H8" i="1" s="1"/>
  <c r="H13" i="7"/>
  <c r="H21" i="10" s="1"/>
  <c r="H20" i="12" s="1"/>
  <c r="H6" i="11"/>
  <c r="H22" i="11" s="1"/>
  <c r="H13" i="8"/>
  <c r="H29" i="1" s="1"/>
  <c r="H33" i="1"/>
  <c r="H13" i="10" s="1"/>
  <c r="H18" i="12" s="1"/>
  <c r="H9" i="8"/>
  <c r="H11" i="1" s="1"/>
  <c r="H19" i="1"/>
  <c r="H23" i="10" s="1"/>
  <c r="H19" i="7"/>
  <c r="H22" i="10" s="1"/>
  <c r="H21" i="12" s="1"/>
  <c r="H7" i="7"/>
  <c r="H20" i="10" s="1"/>
  <c r="H19" i="12" s="1"/>
  <c r="H41" i="10"/>
  <c r="H22" i="4"/>
  <c r="H20" i="4"/>
  <c r="H21" i="4"/>
  <c r="G22" i="11"/>
  <c r="G23" i="7"/>
  <c r="G30" i="8" s="1"/>
  <c r="G23" i="4"/>
  <c r="G9" i="11" s="1"/>
  <c r="G31" i="11" s="1"/>
  <c r="I11" i="8"/>
  <c r="I27" i="1" s="1"/>
  <c r="I7" i="8"/>
  <c r="I9" i="1" s="1"/>
  <c r="I8" i="8"/>
  <c r="I10" i="1" s="1"/>
  <c r="I6" i="8"/>
  <c r="I19" i="7"/>
  <c r="I22" i="10" s="1"/>
  <c r="I21" i="12" s="1"/>
  <c r="I33" i="1"/>
  <c r="I12" i="8"/>
  <c r="I28" i="1" s="1"/>
  <c r="I19" i="1"/>
  <c r="I7" i="7"/>
  <c r="I20" i="10" s="1"/>
  <c r="I41" i="10"/>
  <c r="I13" i="8"/>
  <c r="I29" i="1" s="1"/>
  <c r="I13" i="7"/>
  <c r="I21" i="10" s="1"/>
  <c r="I20" i="12" s="1"/>
  <c r="I9" i="8"/>
  <c r="I11" i="1" s="1"/>
  <c r="G8" i="1"/>
  <c r="G23" i="8"/>
  <c r="F19" i="12"/>
  <c r="G14" i="7"/>
  <c r="G15" i="7" s="1"/>
  <c r="G20" i="7"/>
  <c r="G21" i="7" s="1"/>
  <c r="G8" i="7"/>
  <c r="G25" i="4" s="1"/>
  <c r="G7" i="10" s="1"/>
  <c r="F30" i="8"/>
  <c r="F19" i="11"/>
  <c r="F18" i="1"/>
  <c r="F17" i="1"/>
  <c r="I19" i="4"/>
  <c r="F27" i="7"/>
  <c r="I20" i="4"/>
  <c r="I21" i="4"/>
  <c r="I22" i="4"/>
  <c r="I6" i="11"/>
  <c r="J17" i="4"/>
  <c r="J18" i="4" s="1"/>
  <c r="I7" i="11"/>
  <c r="F52" i="11" l="1"/>
  <c r="G15" i="8"/>
  <c r="H7" i="8"/>
  <c r="H9" i="1" s="1"/>
  <c r="H7" i="11"/>
  <c r="H8" i="8"/>
  <c r="H10" i="1" s="1"/>
  <c r="I50" i="11" s="1"/>
  <c r="H11" i="8"/>
  <c r="H27" i="1" s="1"/>
  <c r="G19" i="11"/>
  <c r="H8" i="11"/>
  <c r="H23" i="7"/>
  <c r="H30" i="8" s="1"/>
  <c r="I13" i="10"/>
  <c r="I18" i="12" s="1"/>
  <c r="I22" i="11"/>
  <c r="H24" i="10"/>
  <c r="H22" i="12"/>
  <c r="H23" i="4"/>
  <c r="H9" i="11" s="1"/>
  <c r="H49" i="11"/>
  <c r="K17" i="4"/>
  <c r="J11" i="8"/>
  <c r="J27" i="1" s="1"/>
  <c r="J7" i="8"/>
  <c r="J9" i="1" s="1"/>
  <c r="J8" i="8"/>
  <c r="J10" i="1" s="1"/>
  <c r="I8" i="1"/>
  <c r="I49" i="11" s="1"/>
  <c r="I15" i="8"/>
  <c r="I23" i="8"/>
  <c r="J41" i="10"/>
  <c r="J9" i="8"/>
  <c r="J11" i="1" s="1"/>
  <c r="J13" i="7"/>
  <c r="J21" i="10" s="1"/>
  <c r="J20" i="12" s="1"/>
  <c r="J12" i="8"/>
  <c r="J28" i="1" s="1"/>
  <c r="J6" i="8"/>
  <c r="J19" i="7"/>
  <c r="J22" i="10" s="1"/>
  <c r="J21" i="12" s="1"/>
  <c r="J33" i="1"/>
  <c r="J13" i="10" s="1"/>
  <c r="J18" i="12" s="1"/>
  <c r="J19" i="1"/>
  <c r="J23" i="10" s="1"/>
  <c r="J22" i="12" s="1"/>
  <c r="J7" i="7"/>
  <c r="J20" i="10" s="1"/>
  <c r="J13" i="8"/>
  <c r="J29" i="1" s="1"/>
  <c r="I23" i="10"/>
  <c r="I24" i="10" s="1"/>
  <c r="H12" i="7"/>
  <c r="H14" i="7" s="1"/>
  <c r="H15" i="7" s="1"/>
  <c r="G17" i="1"/>
  <c r="H18" i="7"/>
  <c r="H20" i="7" s="1"/>
  <c r="H21" i="7" s="1"/>
  <c r="G18" i="1"/>
  <c r="G9" i="7"/>
  <c r="G26" i="4"/>
  <c r="G24" i="7"/>
  <c r="G26" i="7" s="1"/>
  <c r="G15" i="12"/>
  <c r="I23" i="4"/>
  <c r="I9" i="11" s="1"/>
  <c r="I8" i="11"/>
  <c r="J19" i="4"/>
  <c r="J6" i="11"/>
  <c r="J22" i="11" s="1"/>
  <c r="J21" i="4"/>
  <c r="J20" i="4"/>
  <c r="J22" i="4"/>
  <c r="I23" i="7"/>
  <c r="I30" i="8" s="1"/>
  <c r="I19" i="12"/>
  <c r="J7" i="11"/>
  <c r="H15" i="8" l="1"/>
  <c r="H12" i="10" s="1"/>
  <c r="H23" i="8"/>
  <c r="K33" i="1"/>
  <c r="K13" i="10" s="1"/>
  <c r="K18" i="12" s="1"/>
  <c r="K18" i="4"/>
  <c r="H51" i="11"/>
  <c r="H50" i="11"/>
  <c r="I51" i="11"/>
  <c r="H30" i="11"/>
  <c r="H19" i="11"/>
  <c r="L17" i="4"/>
  <c r="K19" i="7"/>
  <c r="K22" i="10" s="1"/>
  <c r="K21" i="12" s="1"/>
  <c r="K41" i="10"/>
  <c r="K19" i="1"/>
  <c r="K23" i="10" s="1"/>
  <c r="K22" i="12" s="1"/>
  <c r="K21" i="4"/>
  <c r="K19" i="4"/>
  <c r="K22" i="4"/>
  <c r="K6" i="8"/>
  <c r="K8" i="1" s="1"/>
  <c r="K7" i="7"/>
  <c r="K20" i="10" s="1"/>
  <c r="K19" i="12" s="1"/>
  <c r="K20" i="4"/>
  <c r="K13" i="7"/>
  <c r="K21" i="10" s="1"/>
  <c r="K20" i="12" s="1"/>
  <c r="K13" i="8"/>
  <c r="K29" i="1" s="1"/>
  <c r="K6" i="11"/>
  <c r="K12" i="8"/>
  <c r="K28" i="1" s="1"/>
  <c r="K9" i="8"/>
  <c r="K11" i="1" s="1"/>
  <c r="J24" i="10"/>
  <c r="J8" i="1"/>
  <c r="J49" i="11" s="1"/>
  <c r="J15" i="8"/>
  <c r="J12" i="10" s="1"/>
  <c r="J23" i="8"/>
  <c r="I22" i="12"/>
  <c r="I18" i="7"/>
  <c r="I20" i="7" s="1"/>
  <c r="I21" i="7" s="1"/>
  <c r="H18" i="1"/>
  <c r="H6" i="7"/>
  <c r="H8" i="7" s="1"/>
  <c r="H9" i="7" s="1"/>
  <c r="G16" i="1"/>
  <c r="G20" i="1" s="1"/>
  <c r="I12" i="7"/>
  <c r="I14" i="7" s="1"/>
  <c r="I15" i="7" s="1"/>
  <c r="H17" i="1"/>
  <c r="G27" i="4"/>
  <c r="G8" i="10"/>
  <c r="G16" i="12" s="1"/>
  <c r="H26" i="4"/>
  <c r="H8" i="10" s="1"/>
  <c r="G27" i="7"/>
  <c r="I30" i="11"/>
  <c r="J23" i="4"/>
  <c r="J9" i="11" s="1"/>
  <c r="J23" i="11" s="1"/>
  <c r="H31" i="11"/>
  <c r="H23" i="11"/>
  <c r="J23" i="7"/>
  <c r="J30" i="8" s="1"/>
  <c r="I19" i="11"/>
  <c r="I23" i="11"/>
  <c r="I31" i="11"/>
  <c r="J19" i="12"/>
  <c r="J50" i="11"/>
  <c r="J8" i="11"/>
  <c r="I12" i="10" l="1"/>
  <c r="K8" i="8"/>
  <c r="K10" i="1" s="1"/>
  <c r="K11" i="8"/>
  <c r="K27" i="1" s="1"/>
  <c r="K7" i="11"/>
  <c r="K8" i="11" s="1"/>
  <c r="K30" i="11" s="1"/>
  <c r="K7" i="8"/>
  <c r="K9" i="1" s="1"/>
  <c r="L19" i="1"/>
  <c r="L23" i="10" s="1"/>
  <c r="L22" i="12" s="1"/>
  <c r="L18" i="4"/>
  <c r="L7" i="7"/>
  <c r="L20" i="10" s="1"/>
  <c r="L19" i="12" s="1"/>
  <c r="L22" i="4"/>
  <c r="L9" i="8"/>
  <c r="L11" i="1" s="1"/>
  <c r="L20" i="4"/>
  <c r="L13" i="7"/>
  <c r="L21" i="10" s="1"/>
  <c r="L20" i="12" s="1"/>
  <c r="L19" i="4"/>
  <c r="L19" i="7"/>
  <c r="L22" i="10" s="1"/>
  <c r="L21" i="12" s="1"/>
  <c r="L13" i="8"/>
  <c r="L29" i="1" s="1"/>
  <c r="L12" i="8"/>
  <c r="L28" i="1" s="1"/>
  <c r="L6" i="8"/>
  <c r="L8" i="1" s="1"/>
  <c r="L33" i="1"/>
  <c r="L13" i="10" s="1"/>
  <c r="L18" i="12" s="1"/>
  <c r="L6" i="11"/>
  <c r="L22" i="11" s="1"/>
  <c r="L21" i="4"/>
  <c r="L41" i="10"/>
  <c r="K23" i="4"/>
  <c r="K9" i="11" s="1"/>
  <c r="K31" i="11" s="1"/>
  <c r="K49" i="11"/>
  <c r="K22" i="11"/>
  <c r="K23" i="7"/>
  <c r="K30" i="8" s="1"/>
  <c r="G52" i="11"/>
  <c r="G26" i="11"/>
  <c r="K24" i="10"/>
  <c r="I6" i="7"/>
  <c r="I8" i="7" s="1"/>
  <c r="I9" i="7" s="1"/>
  <c r="H16" i="1"/>
  <c r="H20" i="1" s="1"/>
  <c r="H25" i="4"/>
  <c r="H7" i="10" s="1"/>
  <c r="H15" i="12" s="1"/>
  <c r="J12" i="7"/>
  <c r="J14" i="7" s="1"/>
  <c r="J15" i="7" s="1"/>
  <c r="I17" i="1"/>
  <c r="J18" i="7"/>
  <c r="J20" i="7" s="1"/>
  <c r="J21" i="7" s="1"/>
  <c r="I18" i="1"/>
  <c r="J19" i="11"/>
  <c r="H27" i="7"/>
  <c r="H16" i="12"/>
  <c r="H24" i="7"/>
  <c r="G10" i="11"/>
  <c r="G11" i="12"/>
  <c r="G12" i="12" s="1"/>
  <c r="G14" i="12" s="1"/>
  <c r="J31" i="11"/>
  <c r="M17" i="4"/>
  <c r="M18" i="4" s="1"/>
  <c r="J51" i="11"/>
  <c r="J30" i="11"/>
  <c r="K23" i="8" l="1"/>
  <c r="K15" i="8"/>
  <c r="K12" i="10" s="1"/>
  <c r="K51" i="11"/>
  <c r="L7" i="11"/>
  <c r="L8" i="11" s="1"/>
  <c r="L30" i="11" s="1"/>
  <c r="L7" i="8"/>
  <c r="L9" i="1" s="1"/>
  <c r="L8" i="8"/>
  <c r="L10" i="1" s="1"/>
  <c r="L11" i="8"/>
  <c r="L27" i="1" s="1"/>
  <c r="K50" i="11"/>
  <c r="L49" i="11"/>
  <c r="L23" i="4"/>
  <c r="L9" i="11" s="1"/>
  <c r="L23" i="11" s="1"/>
  <c r="L23" i="7"/>
  <c r="L30" i="8" s="1"/>
  <c r="I25" i="4"/>
  <c r="I7" i="10" s="1"/>
  <c r="K23" i="11"/>
  <c r="K19" i="11"/>
  <c r="M11" i="8"/>
  <c r="M27" i="1" s="1"/>
  <c r="M8" i="8"/>
  <c r="M10" i="1" s="1"/>
  <c r="M7" i="8"/>
  <c r="M9" i="1" s="1"/>
  <c r="N17" i="4"/>
  <c r="N18" i="4" s="1"/>
  <c r="N11" i="8" s="1"/>
  <c r="N27" i="1" s="1"/>
  <c r="L24" i="10"/>
  <c r="M6" i="8"/>
  <c r="M19" i="7"/>
  <c r="M22" i="10" s="1"/>
  <c r="M21" i="12" s="1"/>
  <c r="M19" i="1"/>
  <c r="M12" i="8"/>
  <c r="M28" i="1" s="1"/>
  <c r="M33" i="1"/>
  <c r="M13" i="10" s="1"/>
  <c r="M18" i="12" s="1"/>
  <c r="M7" i="7"/>
  <c r="M20" i="10" s="1"/>
  <c r="M41" i="10"/>
  <c r="M9" i="8"/>
  <c r="M11" i="1" s="1"/>
  <c r="M13" i="8"/>
  <c r="M29" i="1" s="1"/>
  <c r="M13" i="7"/>
  <c r="M21" i="10" s="1"/>
  <c r="M20" i="12" s="1"/>
  <c r="K18" i="7"/>
  <c r="K20" i="7" s="1"/>
  <c r="K21" i="7" s="1"/>
  <c r="J18" i="1"/>
  <c r="J6" i="7"/>
  <c r="J8" i="7" s="1"/>
  <c r="J9" i="7" s="1"/>
  <c r="I16" i="1"/>
  <c r="I20" i="1" s="1"/>
  <c r="H27" i="4"/>
  <c r="H11" i="12" s="1"/>
  <c r="H12" i="12" s="1"/>
  <c r="H14" i="12" s="1"/>
  <c r="K12" i="7"/>
  <c r="K14" i="7" s="1"/>
  <c r="K15" i="7" s="1"/>
  <c r="J17" i="1"/>
  <c r="H26" i="7"/>
  <c r="H26" i="11"/>
  <c r="H52" i="11"/>
  <c r="G32" i="11"/>
  <c r="G15" i="11"/>
  <c r="I26" i="4"/>
  <c r="M6" i="11"/>
  <c r="M22" i="11" s="1"/>
  <c r="M21" i="4"/>
  <c r="M22" i="4"/>
  <c r="M20" i="4"/>
  <c r="M19" i="4"/>
  <c r="M7" i="11"/>
  <c r="L23" i="8" l="1"/>
  <c r="N8" i="8"/>
  <c r="N10" i="1" s="1"/>
  <c r="N7" i="8"/>
  <c r="N9" i="1" s="1"/>
  <c r="L51" i="11"/>
  <c r="N7" i="11"/>
  <c r="L15" i="8"/>
  <c r="L12" i="10" s="1"/>
  <c r="L50" i="11"/>
  <c r="L19" i="11"/>
  <c r="O17" i="4"/>
  <c r="N41" i="10"/>
  <c r="N9" i="8"/>
  <c r="N11" i="1" s="1"/>
  <c r="N13" i="7"/>
  <c r="N21" i="10" s="1"/>
  <c r="N20" i="12" s="1"/>
  <c r="N6" i="8"/>
  <c r="N19" i="7"/>
  <c r="N22" i="10" s="1"/>
  <c r="N21" i="12" s="1"/>
  <c r="N12" i="8"/>
  <c r="N28" i="1" s="1"/>
  <c r="N19" i="1"/>
  <c r="N23" i="10" s="1"/>
  <c r="N22" i="12" s="1"/>
  <c r="N13" i="8"/>
  <c r="N29" i="1" s="1"/>
  <c r="N7" i="7"/>
  <c r="N20" i="10" s="1"/>
  <c r="N19" i="12" s="1"/>
  <c r="N33" i="1"/>
  <c r="N13" i="10" s="1"/>
  <c r="N18" i="12" s="1"/>
  <c r="N6" i="11"/>
  <c r="M23" i="10"/>
  <c r="M22" i="12" s="1"/>
  <c r="N20" i="4"/>
  <c r="N21" i="4"/>
  <c r="N22" i="4"/>
  <c r="N19" i="4"/>
  <c r="M8" i="1"/>
  <c r="M49" i="11" s="1"/>
  <c r="M23" i="8"/>
  <c r="M15" i="8"/>
  <c r="I27" i="4"/>
  <c r="I8" i="10"/>
  <c r="I16" i="12" s="1"/>
  <c r="K6" i="7"/>
  <c r="K8" i="7" s="1"/>
  <c r="K9" i="7" s="1"/>
  <c r="J16" i="1"/>
  <c r="J20" i="1" s="1"/>
  <c r="L12" i="7"/>
  <c r="L14" i="7" s="1"/>
  <c r="L15" i="7" s="1"/>
  <c r="K17" i="1"/>
  <c r="L18" i="7"/>
  <c r="L20" i="7" s="1"/>
  <c r="L21" i="7" s="1"/>
  <c r="K18" i="1"/>
  <c r="H10" i="11"/>
  <c r="H24" i="11" s="1"/>
  <c r="J25" i="4"/>
  <c r="J7" i="10" s="1"/>
  <c r="I15" i="12"/>
  <c r="M8" i="11"/>
  <c r="M51" i="11" s="1"/>
  <c r="I24" i="7"/>
  <c r="L31" i="11"/>
  <c r="M23" i="4"/>
  <c r="M9" i="11" s="1"/>
  <c r="M23" i="11" s="1"/>
  <c r="M23" i="7"/>
  <c r="M30" i="8" s="1"/>
  <c r="M50" i="11"/>
  <c r="M19" i="12"/>
  <c r="N50" i="11" l="1"/>
  <c r="O7" i="7"/>
  <c r="O20" i="10" s="1"/>
  <c r="O19" i="12" s="1"/>
  <c r="O18" i="4"/>
  <c r="N8" i="11"/>
  <c r="N30" i="11" s="1"/>
  <c r="O20" i="4"/>
  <c r="O9" i="8"/>
  <c r="O11" i="1" s="1"/>
  <c r="O6" i="11"/>
  <c r="O41" i="10"/>
  <c r="O13" i="8"/>
  <c r="O29" i="1" s="1"/>
  <c r="O19" i="7"/>
  <c r="O22" i="10" s="1"/>
  <c r="O21" i="12" s="1"/>
  <c r="O33" i="1"/>
  <c r="O13" i="10" s="1"/>
  <c r="O18" i="12" s="1"/>
  <c r="O21" i="4"/>
  <c r="O12" i="8"/>
  <c r="O28" i="1" s="1"/>
  <c r="O6" i="8"/>
  <c r="O8" i="1" s="1"/>
  <c r="O19" i="1"/>
  <c r="O23" i="10" s="1"/>
  <c r="O22" i="12" s="1"/>
  <c r="N23" i="7"/>
  <c r="N30" i="8" s="1"/>
  <c r="O22" i="4"/>
  <c r="O19" i="4"/>
  <c r="O13" i="7"/>
  <c r="O21" i="10" s="1"/>
  <c r="O20" i="12" s="1"/>
  <c r="N22" i="11"/>
  <c r="M24" i="10"/>
  <c r="N23" i="4"/>
  <c r="N9" i="11" s="1"/>
  <c r="N31" i="11" s="1"/>
  <c r="M12" i="10"/>
  <c r="N8" i="1"/>
  <c r="N49" i="11" s="1"/>
  <c r="N15" i="8"/>
  <c r="N23" i="8"/>
  <c r="O22" i="11"/>
  <c r="N24" i="10"/>
  <c r="M18" i="7"/>
  <c r="M20" i="7" s="1"/>
  <c r="M21" i="7" s="1"/>
  <c r="L18" i="1"/>
  <c r="L6" i="7"/>
  <c r="L8" i="7" s="1"/>
  <c r="L9" i="7" s="1"/>
  <c r="K16" i="1"/>
  <c r="K20" i="1" s="1"/>
  <c r="M12" i="7"/>
  <c r="M14" i="7" s="1"/>
  <c r="M15" i="7" s="1"/>
  <c r="L17" i="1"/>
  <c r="H15" i="11"/>
  <c r="M30" i="11"/>
  <c r="H32" i="11"/>
  <c r="I11" i="12"/>
  <c r="I12" i="12" s="1"/>
  <c r="I14" i="12" s="1"/>
  <c r="I26" i="7"/>
  <c r="I26" i="11"/>
  <c r="I52" i="11"/>
  <c r="I27" i="7"/>
  <c r="M31" i="11"/>
  <c r="M19" i="11"/>
  <c r="N51" i="11" l="1"/>
  <c r="O8" i="8"/>
  <c r="O10" i="1" s="1"/>
  <c r="O7" i="11"/>
  <c r="O8" i="11" s="1"/>
  <c r="O30" i="11" s="1"/>
  <c r="O11" i="8"/>
  <c r="O27" i="1" s="1"/>
  <c r="O7" i="8"/>
  <c r="O9" i="1" s="1"/>
  <c r="O49" i="11"/>
  <c r="O23" i="4"/>
  <c r="O32" i="12" s="1"/>
  <c r="O23" i="7"/>
  <c r="O30" i="8" s="1"/>
  <c r="N19" i="11"/>
  <c r="N23" i="11"/>
  <c r="O24" i="10"/>
  <c r="N12" i="10"/>
  <c r="M6" i="7"/>
  <c r="M8" i="7" s="1"/>
  <c r="M9" i="7" s="1"/>
  <c r="L16" i="1"/>
  <c r="L20" i="1" s="1"/>
  <c r="N12" i="7"/>
  <c r="N14" i="7" s="1"/>
  <c r="N15" i="7" s="1"/>
  <c r="M17" i="1"/>
  <c r="N18" i="7"/>
  <c r="N20" i="7" s="1"/>
  <c r="N21" i="7" s="1"/>
  <c r="M18" i="1"/>
  <c r="J24" i="7"/>
  <c r="J26" i="7" s="1"/>
  <c r="J26" i="4"/>
  <c r="I10" i="11"/>
  <c r="I24" i="11" s="1"/>
  <c r="J15" i="12"/>
  <c r="J27" i="7"/>
  <c r="K25" i="4"/>
  <c r="K7" i="10" s="1"/>
  <c r="O15" i="8" l="1"/>
  <c r="O12" i="10" s="1"/>
  <c r="O51" i="11"/>
  <c r="O23" i="8"/>
  <c r="O50" i="11"/>
  <c r="O19" i="11"/>
  <c r="O9" i="11"/>
  <c r="O23" i="11" s="1"/>
  <c r="O12" i="7"/>
  <c r="O14" i="7" s="1"/>
  <c r="O15" i="7" s="1"/>
  <c r="O17" i="1" s="1"/>
  <c r="N17" i="1"/>
  <c r="O18" i="7"/>
  <c r="O20" i="7" s="1"/>
  <c r="O21" i="7" s="1"/>
  <c r="O18" i="1" s="1"/>
  <c r="N18" i="1"/>
  <c r="N6" i="7"/>
  <c r="N8" i="7" s="1"/>
  <c r="N9" i="7" s="1"/>
  <c r="M16" i="1"/>
  <c r="M20" i="1" s="1"/>
  <c r="J27" i="4"/>
  <c r="J8" i="10"/>
  <c r="J16" i="12" s="1"/>
  <c r="I32" i="11"/>
  <c r="I15" i="11"/>
  <c r="J26" i="11"/>
  <c r="J52" i="11"/>
  <c r="K26" i="4"/>
  <c r="C39" i="1"/>
  <c r="C42" i="1" s="1"/>
  <c r="C12" i="11" s="1"/>
  <c r="C30" i="1"/>
  <c r="C20" i="1"/>
  <c r="C13" i="1"/>
  <c r="C27" i="4"/>
  <c r="C32" i="4" s="1"/>
  <c r="C17" i="13" s="1"/>
  <c r="O31" i="11" l="1"/>
  <c r="K27" i="4"/>
  <c r="K8" i="10"/>
  <c r="O6" i="7"/>
  <c r="O8" i="7" s="1"/>
  <c r="O9" i="7" s="1"/>
  <c r="O16" i="1" s="1"/>
  <c r="O20" i="1" s="1"/>
  <c r="N16" i="1"/>
  <c r="N20" i="1" s="1"/>
  <c r="L25" i="4"/>
  <c r="L7" i="10" s="1"/>
  <c r="J10" i="11"/>
  <c r="J11" i="12"/>
  <c r="J12" i="12" s="1"/>
  <c r="J14" i="12" s="1"/>
  <c r="K15" i="12"/>
  <c r="K27" i="7"/>
  <c r="K16" i="12"/>
  <c r="K24" i="7"/>
  <c r="C40" i="11"/>
  <c r="C41" i="11"/>
  <c r="C34" i="1"/>
  <c r="C44" i="1" s="1"/>
  <c r="C42" i="11"/>
  <c r="C45" i="11"/>
  <c r="C16" i="11"/>
  <c r="C35" i="4"/>
  <c r="C10" i="11"/>
  <c r="C22" i="1"/>
  <c r="F54" i="8"/>
  <c r="F32" i="10" s="1"/>
  <c r="E55" i="8"/>
  <c r="F52" i="8" s="1"/>
  <c r="E49" i="8"/>
  <c r="F46" i="8" s="1"/>
  <c r="F33" i="8"/>
  <c r="E32" i="8"/>
  <c r="F26" i="8"/>
  <c r="E25" i="8"/>
  <c r="F22" i="8" s="1"/>
  <c r="F24" i="8" s="1"/>
  <c r="F19" i="8"/>
  <c r="E18" i="8"/>
  <c r="F13" i="8"/>
  <c r="F29" i="1" s="1"/>
  <c r="F12" i="8"/>
  <c r="F28" i="1" s="1"/>
  <c r="F9" i="8"/>
  <c r="F11" i="1" s="1"/>
  <c r="F6" i="8"/>
  <c r="E12" i="8"/>
  <c r="E13" i="8"/>
  <c r="E11" i="8"/>
  <c r="E7" i="8"/>
  <c r="E8" i="8"/>
  <c r="E9" i="8"/>
  <c r="E6" i="8"/>
  <c r="K26" i="7" l="1"/>
  <c r="J15" i="11"/>
  <c r="J24" i="11"/>
  <c r="J32" i="11"/>
  <c r="K26" i="11"/>
  <c r="K52" i="11"/>
  <c r="F29" i="8"/>
  <c r="F31" i="8" s="1"/>
  <c r="F32" i="8" s="1"/>
  <c r="E36" i="8"/>
  <c r="E48" i="12" s="1"/>
  <c r="C15" i="11"/>
  <c r="C46" i="11"/>
  <c r="C13" i="11"/>
  <c r="C38" i="4"/>
  <c r="C41" i="4" s="1"/>
  <c r="C11" i="11"/>
  <c r="C33" i="11" s="1"/>
  <c r="C32" i="11"/>
  <c r="C46" i="1"/>
  <c r="F8" i="1"/>
  <c r="F55" i="8"/>
  <c r="G52" i="8" s="1"/>
  <c r="G55" i="8" s="1"/>
  <c r="E15" i="8"/>
  <c r="H52" i="8" l="1"/>
  <c r="H55" i="8" s="1"/>
  <c r="G41" i="1"/>
  <c r="G29" i="8"/>
  <c r="G31" i="8" s="1"/>
  <c r="G32" i="8" s="1"/>
  <c r="G32" i="1" s="1"/>
  <c r="L24" i="7"/>
  <c r="L26" i="7" s="1"/>
  <c r="L26" i="4"/>
  <c r="K10" i="11"/>
  <c r="K11" i="12"/>
  <c r="K12" i="12" s="1"/>
  <c r="K14" i="12" s="1"/>
  <c r="M25" i="4"/>
  <c r="M7" i="10" s="1"/>
  <c r="L27" i="7"/>
  <c r="L15" i="12"/>
  <c r="G49" i="11"/>
  <c r="F49" i="11"/>
  <c r="F41" i="1"/>
  <c r="F32" i="1"/>
  <c r="F30" i="10" s="1"/>
  <c r="F34" i="8"/>
  <c r="G30" i="10" l="1"/>
  <c r="L27" i="4"/>
  <c r="L8" i="10"/>
  <c r="L16" i="12" s="1"/>
  <c r="G34" i="8"/>
  <c r="I52" i="8"/>
  <c r="I55" i="8" s="1"/>
  <c r="H41" i="1"/>
  <c r="H29" i="8"/>
  <c r="H31" i="8" s="1"/>
  <c r="H32" i="8" s="1"/>
  <c r="L26" i="11"/>
  <c r="L52" i="11"/>
  <c r="M26" i="4"/>
  <c r="K32" i="11"/>
  <c r="K15" i="11"/>
  <c r="K24" i="11"/>
  <c r="F37" i="1"/>
  <c r="G33" i="10" s="1"/>
  <c r="F33" i="1"/>
  <c r="G13" i="10" s="1"/>
  <c r="F19" i="1"/>
  <c r="G23" i="10" s="1"/>
  <c r="F15" i="1"/>
  <c r="F12" i="1"/>
  <c r="F40" i="4"/>
  <c r="F31" i="4"/>
  <c r="F11" i="10" s="1"/>
  <c r="F18" i="10" s="1"/>
  <c r="F20" i="4"/>
  <c r="F30" i="4" l="1"/>
  <c r="F10" i="10" s="1"/>
  <c r="F17" i="10" s="1"/>
  <c r="G19" i="10"/>
  <c r="G24" i="10" s="1"/>
  <c r="H34" i="8"/>
  <c r="H32" i="1"/>
  <c r="H30" i="10" s="1"/>
  <c r="M27" i="4"/>
  <c r="M8" i="10"/>
  <c r="M16" i="12" s="1"/>
  <c r="J52" i="8"/>
  <c r="J55" i="8" s="1"/>
  <c r="I41" i="1"/>
  <c r="I29" i="8"/>
  <c r="I31" i="8" s="1"/>
  <c r="I32" i="8" s="1"/>
  <c r="M24" i="7"/>
  <c r="M26" i="7" s="1"/>
  <c r="N25" i="4"/>
  <c r="N7" i="10" s="1"/>
  <c r="L10" i="11"/>
  <c r="L11" i="12"/>
  <c r="L12" i="12" s="1"/>
  <c r="L14" i="12" s="1"/>
  <c r="M15" i="12"/>
  <c r="F19" i="10"/>
  <c r="F33" i="10"/>
  <c r="G18" i="12"/>
  <c r="F13" i="10"/>
  <c r="F18" i="12" s="1"/>
  <c r="F23" i="10"/>
  <c r="F19" i="4"/>
  <c r="F21" i="4"/>
  <c r="F24" i="10" l="1"/>
  <c r="I34" i="8"/>
  <c r="I32" i="1"/>
  <c r="I30" i="10" s="1"/>
  <c r="K52" i="8"/>
  <c r="K55" i="8" s="1"/>
  <c r="J41" i="1"/>
  <c r="J29" i="8"/>
  <c r="M11" i="12"/>
  <c r="M12" i="12" s="1"/>
  <c r="M14" i="12" s="1"/>
  <c r="L15" i="11"/>
  <c r="L32" i="11"/>
  <c r="L24" i="11"/>
  <c r="M26" i="11"/>
  <c r="M52" i="11"/>
  <c r="M27" i="7"/>
  <c r="G22" i="12"/>
  <c r="F22" i="12"/>
  <c r="F7" i="11"/>
  <c r="F23" i="4"/>
  <c r="F9" i="11" s="1"/>
  <c r="F11" i="8"/>
  <c r="F27" i="1" s="1"/>
  <c r="G51" i="11" s="1"/>
  <c r="F8" i="8"/>
  <c r="F10" i="1" s="1"/>
  <c r="G50" i="11" s="1"/>
  <c r="F7" i="8"/>
  <c r="F23" i="8" s="1"/>
  <c r="F25" i="8" s="1"/>
  <c r="E39" i="1"/>
  <c r="E42" i="1" s="1"/>
  <c r="E12" i="11" s="1"/>
  <c r="E30" i="1"/>
  <c r="E20" i="1"/>
  <c r="F20" i="1"/>
  <c r="E13" i="1"/>
  <c r="D13" i="1"/>
  <c r="L52" i="8" l="1"/>
  <c r="L55" i="8" s="1"/>
  <c r="K41" i="1"/>
  <c r="G22" i="8"/>
  <c r="J31" i="8"/>
  <c r="J32" i="8" s="1"/>
  <c r="J32" i="1" s="1"/>
  <c r="J30" i="10" s="1"/>
  <c r="N24" i="7"/>
  <c r="N26" i="7" s="1"/>
  <c r="N26" i="4"/>
  <c r="M10" i="11"/>
  <c r="M24" i="11" s="1"/>
  <c r="O25" i="4"/>
  <c r="O7" i="10" s="1"/>
  <c r="N15" i="12"/>
  <c r="E34" i="1"/>
  <c r="E42" i="11"/>
  <c r="E45" i="11"/>
  <c r="E16" i="11"/>
  <c r="E22" i="1"/>
  <c r="E13" i="11" s="1"/>
  <c r="E40" i="11"/>
  <c r="E41" i="11"/>
  <c r="F31" i="11"/>
  <c r="F23" i="11"/>
  <c r="G23" i="11"/>
  <c r="F50" i="11"/>
  <c r="F8" i="11"/>
  <c r="F27" i="4"/>
  <c r="F27" i="8"/>
  <c r="F26" i="1"/>
  <c r="F29" i="10" s="1"/>
  <c r="F9" i="1"/>
  <c r="E27" i="4"/>
  <c r="E32" i="4" s="1"/>
  <c r="E17" i="13" s="1"/>
  <c r="D27" i="4"/>
  <c r="D32" i="4" s="1"/>
  <c r="D17" i="13" s="1"/>
  <c r="N27" i="4" l="1"/>
  <c r="N10" i="11" s="1"/>
  <c r="N8" i="10"/>
  <c r="N16" i="12" s="1"/>
  <c r="M52" i="8"/>
  <c r="M55" i="8" s="1"/>
  <c r="L41" i="1"/>
  <c r="G24" i="8"/>
  <c r="G25" i="8" s="1"/>
  <c r="G26" i="1" s="1"/>
  <c r="G29" i="10" s="1"/>
  <c r="K29" i="8"/>
  <c r="J34" i="8"/>
  <c r="M32" i="11"/>
  <c r="M15" i="11"/>
  <c r="N26" i="11"/>
  <c r="N52" i="11"/>
  <c r="N27" i="7"/>
  <c r="E46" i="11"/>
  <c r="D35" i="4"/>
  <c r="D10" i="11"/>
  <c r="E35" i="4"/>
  <c r="E10" i="11"/>
  <c r="F10" i="11"/>
  <c r="F32" i="11" s="1"/>
  <c r="F11" i="12"/>
  <c r="F12" i="12" s="1"/>
  <c r="F14" i="12" s="1"/>
  <c r="F30" i="11"/>
  <c r="F51" i="11"/>
  <c r="N52" i="8" l="1"/>
  <c r="N55" i="8" s="1"/>
  <c r="M41" i="1"/>
  <c r="H22" i="8"/>
  <c r="H24" i="8" s="1"/>
  <c r="H25" i="8" s="1"/>
  <c r="G27" i="8"/>
  <c r="K31" i="8"/>
  <c r="K32" i="8" s="1"/>
  <c r="K32" i="1" s="1"/>
  <c r="K30" i="10" s="1"/>
  <c r="O24" i="7"/>
  <c r="O26" i="7" s="1"/>
  <c r="O26" i="4"/>
  <c r="N11" i="12"/>
  <c r="N12" i="12" s="1"/>
  <c r="N14" i="12" s="1"/>
  <c r="N32" i="11"/>
  <c r="N15" i="11"/>
  <c r="N24" i="11"/>
  <c r="O15" i="12"/>
  <c r="P8" i="7"/>
  <c r="P9" i="7" s="1"/>
  <c r="E15" i="11"/>
  <c r="F15" i="11"/>
  <c r="G24" i="11"/>
  <c r="E38" i="4"/>
  <c r="E41" i="4" s="1"/>
  <c r="E11" i="11"/>
  <c r="D38" i="4"/>
  <c r="D41" i="4" s="1"/>
  <c r="D11" i="11"/>
  <c r="E32" i="11"/>
  <c r="E24" i="11"/>
  <c r="D32" i="11"/>
  <c r="D15" i="11"/>
  <c r="D24" i="11"/>
  <c r="F24" i="11"/>
  <c r="O27" i="4" l="1"/>
  <c r="O8" i="10"/>
  <c r="O16" i="12" s="1"/>
  <c r="H27" i="8"/>
  <c r="H26" i="1"/>
  <c r="H29" i="10" s="1"/>
  <c r="O52" i="8"/>
  <c r="O55" i="8" s="1"/>
  <c r="O41" i="1" s="1"/>
  <c r="N41" i="1"/>
  <c r="L29" i="8"/>
  <c r="L31" i="8" s="1"/>
  <c r="L32" i="8" s="1"/>
  <c r="K34" i="8"/>
  <c r="I22" i="8"/>
  <c r="I24" i="8" s="1"/>
  <c r="I25" i="8" s="1"/>
  <c r="I26" i="1" s="1"/>
  <c r="O26" i="11"/>
  <c r="O52" i="11"/>
  <c r="O27" i="7"/>
  <c r="F48" i="8"/>
  <c r="F31" i="10" s="1"/>
  <c r="D25" i="11"/>
  <c r="D33" i="11"/>
  <c r="D56" i="11" s="1"/>
  <c r="E33" i="11"/>
  <c r="E56" i="11" s="1"/>
  <c r="E25" i="11"/>
  <c r="L34" i="8" l="1"/>
  <c r="L32" i="1"/>
  <c r="L30" i="10" s="1"/>
  <c r="I29" i="10"/>
  <c r="J22" i="8"/>
  <c r="I27" i="8"/>
  <c r="M29" i="8"/>
  <c r="O11" i="12"/>
  <c r="O12" i="12" s="1"/>
  <c r="O14" i="12" s="1"/>
  <c r="O10" i="11"/>
  <c r="M31" i="8" l="1"/>
  <c r="M32" i="8" s="1"/>
  <c r="M32" i="1" s="1"/>
  <c r="M30" i="10" s="1"/>
  <c r="J24" i="8"/>
  <c r="J25" i="8" s="1"/>
  <c r="J26" i="1" s="1"/>
  <c r="J29" i="10" s="1"/>
  <c r="O15" i="11"/>
  <c r="O32" i="11"/>
  <c r="O24" i="11"/>
  <c r="K22" i="8" l="1"/>
  <c r="K24" i="8" s="1"/>
  <c r="K25" i="8" s="1"/>
  <c r="J27" i="8"/>
  <c r="N29" i="8"/>
  <c r="N31" i="8" s="1"/>
  <c r="N32" i="8" s="1"/>
  <c r="N32" i="1" s="1"/>
  <c r="N30" i="10" s="1"/>
  <c r="M34" i="8"/>
  <c r="D39" i="1"/>
  <c r="D42" i="1" s="1"/>
  <c r="D12" i="11" s="1"/>
  <c r="D30" i="1"/>
  <c r="D20" i="1"/>
  <c r="D22" i="1" s="1"/>
  <c r="K27" i="8" l="1"/>
  <c r="K26" i="1"/>
  <c r="K29" i="10" s="1"/>
  <c r="O29" i="8"/>
  <c r="O31" i="8" s="1"/>
  <c r="O32" i="8" s="1"/>
  <c r="N34" i="8"/>
  <c r="L22" i="8"/>
  <c r="L24" i="8" s="1"/>
  <c r="L25" i="8" s="1"/>
  <c r="D34" i="1"/>
  <c r="D44" i="1" s="1"/>
  <c r="D46" i="1" s="1"/>
  <c r="D42" i="11"/>
  <c r="D41" i="11"/>
  <c r="D40" i="11"/>
  <c r="D16" i="11"/>
  <c r="D45" i="11"/>
  <c r="E35" i="11"/>
  <c r="D35" i="11"/>
  <c r="D13" i="11"/>
  <c r="E44" i="1"/>
  <c r="E46" i="1" s="1"/>
  <c r="O34" i="8" l="1"/>
  <c r="O32" i="1"/>
  <c r="O30" i="10" s="1"/>
  <c r="L27" i="8"/>
  <c r="L26" i="1"/>
  <c r="L29" i="10" s="1"/>
  <c r="M22" i="8"/>
  <c r="M24" i="8" s="1"/>
  <c r="M25" i="8" s="1"/>
  <c r="D46" i="11"/>
  <c r="E37" i="11"/>
  <c r="D37" i="11"/>
  <c r="D27" i="11"/>
  <c r="E59" i="11"/>
  <c r="E53" i="11"/>
  <c r="E57" i="11" s="1"/>
  <c r="E58" i="11" s="1"/>
  <c r="D53" i="11"/>
  <c r="D57" i="11" s="1"/>
  <c r="D58" i="11" s="1"/>
  <c r="D59" i="11"/>
  <c r="E27" i="11"/>
  <c r="D36" i="11"/>
  <c r="E36" i="11"/>
  <c r="M27" i="8" l="1"/>
  <c r="M26" i="1"/>
  <c r="M29" i="10" s="1"/>
  <c r="N22" i="8"/>
  <c r="N24" i="8" s="1"/>
  <c r="N25" i="8" s="1"/>
  <c r="E60" i="11"/>
  <c r="D60" i="11"/>
  <c r="O22" i="8" l="1"/>
  <c r="O24" i="8" s="1"/>
  <c r="O25" i="8" s="1"/>
  <c r="N26" i="1"/>
  <c r="N29" i="10" s="1"/>
  <c r="N27" i="8"/>
  <c r="F15" i="8"/>
  <c r="F12" i="10" l="1"/>
  <c r="F17" i="12" s="1"/>
  <c r="F23" i="12" s="1"/>
  <c r="F29" i="12" s="1"/>
  <c r="G12" i="10"/>
  <c r="G17" i="12" s="1"/>
  <c r="G23" i="12" s="1"/>
  <c r="O27" i="8"/>
  <c r="O26" i="1"/>
  <c r="O29" i="10" s="1"/>
  <c r="K17" i="12"/>
  <c r="K23" i="12" s="1"/>
  <c r="K29" i="12" s="1"/>
  <c r="I17" i="12"/>
  <c r="I23" i="12" s="1"/>
  <c r="I29" i="12" s="1"/>
  <c r="M17" i="12"/>
  <c r="M23" i="12" s="1"/>
  <c r="M29" i="12" s="1"/>
  <c r="O17" i="12"/>
  <c r="O23" i="12" s="1"/>
  <c r="L17" i="12"/>
  <c r="L23" i="12" s="1"/>
  <c r="H17" i="12"/>
  <c r="H23" i="12" s="1"/>
  <c r="H29" i="12" s="1"/>
  <c r="N17" i="12"/>
  <c r="N23" i="12" s="1"/>
  <c r="J17" i="12"/>
  <c r="J23" i="12" s="1"/>
  <c r="K24" i="12" l="1"/>
  <c r="H24" i="12"/>
  <c r="M24" i="12"/>
  <c r="I24" i="12"/>
  <c r="L24" i="12"/>
  <c r="L29" i="12"/>
  <c r="G29" i="12"/>
  <c r="G24" i="12"/>
  <c r="E36" i="12"/>
  <c r="E40" i="12" s="1"/>
  <c r="O24" i="12"/>
  <c r="O29" i="12"/>
  <c r="J24" i="12"/>
  <c r="J29" i="12"/>
  <c r="N24" i="12"/>
  <c r="N29" i="12"/>
  <c r="E39" i="12" l="1"/>
  <c r="E41" i="12" s="1"/>
  <c r="E51" i="12" s="1"/>
  <c r="E54" i="12" l="1"/>
  <c r="C58" i="12" s="1"/>
  <c r="F7" i="1"/>
  <c r="G7" i="1"/>
  <c r="H7" i="1"/>
  <c r="I7" i="1"/>
  <c r="J7" i="1"/>
  <c r="K7" i="1"/>
  <c r="L7" i="1"/>
  <c r="M7" i="1"/>
  <c r="N7" i="1"/>
  <c r="O7" i="1"/>
  <c r="F13" i="1"/>
  <c r="G13" i="1"/>
  <c r="H13" i="1"/>
  <c r="I13" i="1"/>
  <c r="J13" i="1"/>
  <c r="K13" i="1"/>
  <c r="L13" i="1"/>
  <c r="M13" i="1"/>
  <c r="N13" i="1"/>
  <c r="O13" i="1"/>
  <c r="F22" i="1"/>
  <c r="G22" i="1"/>
  <c r="H22" i="1"/>
  <c r="I22" i="1"/>
  <c r="J22" i="1"/>
  <c r="K22" i="1"/>
  <c r="L22" i="1"/>
  <c r="M22" i="1"/>
  <c r="N22" i="1"/>
  <c r="O22" i="1"/>
  <c r="F25" i="1"/>
  <c r="G25" i="1"/>
  <c r="H25" i="1"/>
  <c r="I25" i="1"/>
  <c r="J25" i="1"/>
  <c r="K25" i="1"/>
  <c r="L25" i="1"/>
  <c r="M25" i="1"/>
  <c r="N25" i="1"/>
  <c r="O25" i="1"/>
  <c r="F30" i="1"/>
  <c r="G30" i="1"/>
  <c r="H30" i="1"/>
  <c r="I30" i="1"/>
  <c r="J30" i="1"/>
  <c r="K30" i="1"/>
  <c r="L30" i="1"/>
  <c r="M30" i="1"/>
  <c r="N30" i="1"/>
  <c r="O30" i="1"/>
  <c r="F34" i="1"/>
  <c r="G34" i="1"/>
  <c r="H34" i="1"/>
  <c r="I34" i="1"/>
  <c r="J34" i="1"/>
  <c r="K34" i="1"/>
  <c r="L34" i="1"/>
  <c r="M34" i="1"/>
  <c r="N34" i="1"/>
  <c r="O34" i="1"/>
  <c r="F38" i="1"/>
  <c r="G38" i="1"/>
  <c r="H38" i="1"/>
  <c r="I38" i="1"/>
  <c r="J38" i="1"/>
  <c r="K38" i="1"/>
  <c r="L38" i="1"/>
  <c r="M38" i="1"/>
  <c r="N38" i="1"/>
  <c r="O38" i="1"/>
  <c r="F39" i="1"/>
  <c r="G39" i="1"/>
  <c r="H39" i="1"/>
  <c r="I39" i="1"/>
  <c r="J39" i="1"/>
  <c r="K39" i="1"/>
  <c r="L39" i="1"/>
  <c r="M39" i="1"/>
  <c r="N39" i="1"/>
  <c r="O39" i="1"/>
  <c r="F42" i="1"/>
  <c r="G42" i="1"/>
  <c r="H42" i="1"/>
  <c r="I42" i="1"/>
  <c r="J42" i="1"/>
  <c r="K42" i="1"/>
  <c r="L42" i="1"/>
  <c r="M42" i="1"/>
  <c r="N42" i="1"/>
  <c r="O42" i="1"/>
  <c r="F44" i="1"/>
  <c r="G44" i="1"/>
  <c r="H44" i="1"/>
  <c r="I44" i="1"/>
  <c r="J44" i="1"/>
  <c r="K44" i="1"/>
  <c r="L44" i="1"/>
  <c r="M44" i="1"/>
  <c r="N44" i="1"/>
  <c r="O44" i="1"/>
  <c r="F46" i="1"/>
  <c r="G46" i="1"/>
  <c r="H46" i="1"/>
  <c r="I46" i="1"/>
  <c r="J46" i="1"/>
  <c r="K46" i="1"/>
  <c r="L46" i="1"/>
  <c r="M46" i="1"/>
  <c r="N46" i="1"/>
  <c r="O46" i="1"/>
  <c r="F18" i="8"/>
  <c r="G18" i="8"/>
  <c r="H18" i="8"/>
  <c r="I18" i="8"/>
  <c r="J18" i="8"/>
  <c r="K18" i="8"/>
  <c r="L18" i="8"/>
  <c r="M18" i="8"/>
  <c r="N18" i="8"/>
  <c r="O18" i="8"/>
  <c r="F20" i="8"/>
  <c r="G20" i="8"/>
  <c r="H20" i="8"/>
  <c r="I20" i="8"/>
  <c r="J20" i="8"/>
  <c r="K20" i="8"/>
  <c r="L20" i="8"/>
  <c r="M20" i="8"/>
  <c r="N20" i="8"/>
  <c r="O20" i="8"/>
  <c r="F36" i="8"/>
  <c r="G36" i="8"/>
  <c r="H36" i="8"/>
  <c r="I36" i="8"/>
  <c r="J36" i="8"/>
  <c r="K36" i="8"/>
  <c r="L36" i="8"/>
  <c r="M36" i="8"/>
  <c r="N36" i="8"/>
  <c r="O36" i="8"/>
  <c r="F37" i="8"/>
  <c r="G37" i="8"/>
  <c r="H37" i="8"/>
  <c r="I37" i="8"/>
  <c r="J37" i="8"/>
  <c r="K37" i="8"/>
  <c r="L37" i="8"/>
  <c r="M37" i="8"/>
  <c r="N37" i="8"/>
  <c r="O37" i="8"/>
  <c r="F39" i="8"/>
  <c r="G39" i="8"/>
  <c r="H39" i="8"/>
  <c r="I39" i="8"/>
  <c r="J39" i="8"/>
  <c r="K39" i="8"/>
  <c r="L39" i="8"/>
  <c r="M39" i="8"/>
  <c r="N39" i="8"/>
  <c r="O39" i="8"/>
  <c r="F41" i="8"/>
  <c r="G41" i="8"/>
  <c r="H41" i="8"/>
  <c r="I41" i="8"/>
  <c r="J41" i="8"/>
  <c r="K41" i="8"/>
  <c r="L41" i="8"/>
  <c r="M41" i="8"/>
  <c r="N41" i="8"/>
  <c r="O41" i="8"/>
  <c r="F43" i="8"/>
  <c r="G43" i="8"/>
  <c r="H43" i="8"/>
  <c r="I43" i="8"/>
  <c r="J43" i="8"/>
  <c r="K43" i="8"/>
  <c r="L43" i="8"/>
  <c r="M43" i="8"/>
  <c r="N43" i="8"/>
  <c r="O43" i="8"/>
  <c r="G46" i="8"/>
  <c r="H46" i="8"/>
  <c r="I46" i="8"/>
  <c r="J46" i="8"/>
  <c r="K46" i="8"/>
  <c r="L46" i="8"/>
  <c r="M46" i="8"/>
  <c r="N46" i="8"/>
  <c r="O46" i="8"/>
  <c r="F47" i="8"/>
  <c r="G47" i="8"/>
  <c r="H47" i="8"/>
  <c r="I47" i="8"/>
  <c r="J47" i="8"/>
  <c r="K47" i="8"/>
  <c r="L47" i="8"/>
  <c r="M47" i="8"/>
  <c r="N47" i="8"/>
  <c r="O47" i="8"/>
  <c r="G48" i="8"/>
  <c r="H48" i="8"/>
  <c r="I48" i="8"/>
  <c r="J48" i="8"/>
  <c r="K48" i="8"/>
  <c r="L48" i="8"/>
  <c r="M48" i="8"/>
  <c r="N48" i="8"/>
  <c r="O48" i="8"/>
  <c r="F49" i="8"/>
  <c r="G49" i="8"/>
  <c r="H49" i="8"/>
  <c r="I49" i="8"/>
  <c r="J49" i="8"/>
  <c r="K49" i="8"/>
  <c r="L49" i="8"/>
  <c r="M49" i="8"/>
  <c r="N49" i="8"/>
  <c r="O49" i="8"/>
  <c r="F6" i="10"/>
  <c r="G6" i="10"/>
  <c r="H6" i="10"/>
  <c r="I6" i="10"/>
  <c r="J6" i="10"/>
  <c r="K6" i="10"/>
  <c r="L6" i="10"/>
  <c r="M6" i="10"/>
  <c r="N6" i="10"/>
  <c r="O6" i="10"/>
  <c r="F9" i="10"/>
  <c r="G9" i="10"/>
  <c r="H9" i="10"/>
  <c r="I9" i="10"/>
  <c r="J9" i="10"/>
  <c r="K9" i="10"/>
  <c r="L9" i="10"/>
  <c r="M9" i="10"/>
  <c r="N9" i="10"/>
  <c r="O9" i="10"/>
  <c r="F14" i="10"/>
  <c r="G14" i="10"/>
  <c r="H14" i="10"/>
  <c r="I14" i="10"/>
  <c r="J14" i="10"/>
  <c r="K14" i="10"/>
  <c r="L14" i="10"/>
  <c r="M14" i="10"/>
  <c r="N14" i="10"/>
  <c r="O14" i="10"/>
  <c r="G27" i="10"/>
  <c r="H27" i="10"/>
  <c r="I27" i="10"/>
  <c r="J27" i="10"/>
  <c r="K27" i="10"/>
  <c r="L27" i="10"/>
  <c r="M27" i="10"/>
  <c r="N27" i="10"/>
  <c r="O27" i="10"/>
  <c r="F28" i="10"/>
  <c r="G28" i="10"/>
  <c r="H28" i="10"/>
  <c r="I28" i="10"/>
  <c r="J28" i="10"/>
  <c r="K28" i="10"/>
  <c r="L28" i="10"/>
  <c r="M28" i="10"/>
  <c r="N28" i="10"/>
  <c r="O28" i="10"/>
  <c r="G31" i="10"/>
  <c r="H31" i="10"/>
  <c r="I31" i="10"/>
  <c r="J31" i="10"/>
  <c r="K31" i="10"/>
  <c r="L31" i="10"/>
  <c r="M31" i="10"/>
  <c r="N31" i="10"/>
  <c r="O31" i="10"/>
  <c r="F34" i="10"/>
  <c r="G34" i="10"/>
  <c r="H34" i="10"/>
  <c r="I34" i="10"/>
  <c r="J34" i="10"/>
  <c r="K34" i="10"/>
  <c r="L34" i="10"/>
  <c r="M34" i="10"/>
  <c r="N34" i="10"/>
  <c r="O34" i="10"/>
  <c r="F36" i="10"/>
  <c r="G36" i="10"/>
  <c r="H36" i="10"/>
  <c r="I36" i="10"/>
  <c r="J36" i="10"/>
  <c r="K36" i="10"/>
  <c r="L36" i="10"/>
  <c r="M36" i="10"/>
  <c r="N36" i="10"/>
  <c r="O36" i="10"/>
  <c r="G37" i="10"/>
  <c r="H37" i="10"/>
  <c r="I37" i="10"/>
  <c r="J37" i="10"/>
  <c r="K37" i="10"/>
  <c r="L37" i="10"/>
  <c r="M37" i="10"/>
  <c r="N37" i="10"/>
  <c r="O37" i="10"/>
  <c r="F38" i="10"/>
  <c r="G38" i="10"/>
  <c r="H38" i="10"/>
  <c r="I38" i="10"/>
  <c r="J38" i="10"/>
  <c r="K38" i="10"/>
  <c r="L38" i="10"/>
  <c r="M38" i="10"/>
  <c r="N38" i="10"/>
  <c r="O38" i="10"/>
  <c r="F42" i="10"/>
  <c r="G42" i="10"/>
  <c r="H42" i="10"/>
  <c r="I42" i="10"/>
  <c r="J42" i="10"/>
  <c r="K42" i="10"/>
  <c r="L42" i="10"/>
  <c r="M42" i="10"/>
  <c r="N42" i="10"/>
  <c r="O42" i="10"/>
  <c r="F43" i="10"/>
  <c r="G43" i="10"/>
  <c r="H43" i="10"/>
  <c r="I43" i="10"/>
  <c r="J43" i="10"/>
  <c r="K43" i="10"/>
  <c r="L43" i="10"/>
  <c r="M43" i="10"/>
  <c r="N43" i="10"/>
  <c r="O43" i="10"/>
  <c r="F29" i="4"/>
  <c r="G29" i="4"/>
  <c r="H29" i="4"/>
  <c r="I29" i="4"/>
  <c r="J29" i="4"/>
  <c r="K29" i="4"/>
  <c r="L29" i="4"/>
  <c r="M29" i="4"/>
  <c r="N29" i="4"/>
  <c r="O29" i="4"/>
  <c r="F32" i="4"/>
  <c r="G32" i="4"/>
  <c r="H32" i="4"/>
  <c r="I32" i="4"/>
  <c r="J32" i="4"/>
  <c r="K32" i="4"/>
  <c r="L32" i="4"/>
  <c r="M32" i="4"/>
  <c r="N32" i="4"/>
  <c r="O32" i="4"/>
  <c r="F34" i="4"/>
  <c r="G34" i="4"/>
  <c r="H34" i="4"/>
  <c r="I34" i="4"/>
  <c r="J34" i="4"/>
  <c r="K34" i="4"/>
  <c r="L34" i="4"/>
  <c r="M34" i="4"/>
  <c r="N34" i="4"/>
  <c r="O34" i="4"/>
  <c r="F35" i="4"/>
  <c r="G35" i="4"/>
  <c r="H35" i="4"/>
  <c r="I35" i="4"/>
  <c r="J35" i="4"/>
  <c r="K35" i="4"/>
  <c r="L35" i="4"/>
  <c r="M35" i="4"/>
  <c r="N35" i="4"/>
  <c r="O35" i="4"/>
  <c r="F38" i="4"/>
  <c r="G38" i="4"/>
  <c r="H38" i="4"/>
  <c r="I38" i="4"/>
  <c r="J38" i="4"/>
  <c r="K38" i="4"/>
  <c r="L38" i="4"/>
  <c r="M38" i="4"/>
  <c r="N38" i="4"/>
  <c r="O38" i="4"/>
  <c r="F41" i="4"/>
  <c r="G41" i="4"/>
  <c r="H41" i="4"/>
  <c r="I41" i="4"/>
  <c r="J41" i="4"/>
  <c r="K41" i="4"/>
  <c r="L41" i="4"/>
  <c r="M41" i="4"/>
  <c r="N41" i="4"/>
  <c r="O41" i="4"/>
  <c r="F11" i="11"/>
  <c r="G11" i="11"/>
  <c r="H11" i="11"/>
  <c r="I11" i="11"/>
  <c r="J11" i="11"/>
  <c r="K11" i="11"/>
  <c r="L11" i="11"/>
  <c r="M11" i="11"/>
  <c r="N11" i="11"/>
  <c r="O11" i="11"/>
  <c r="F12" i="11"/>
  <c r="G12" i="11"/>
  <c r="H12" i="11"/>
  <c r="I12" i="11"/>
  <c r="J12" i="11"/>
  <c r="K12" i="11"/>
  <c r="L12" i="11"/>
  <c r="M12" i="11"/>
  <c r="N12" i="11"/>
  <c r="O12" i="11"/>
  <c r="F13" i="11"/>
  <c r="G13" i="11"/>
  <c r="H13" i="11"/>
  <c r="I13" i="11"/>
  <c r="J13" i="11"/>
  <c r="K13" i="11"/>
  <c r="L13" i="11"/>
  <c r="M13" i="11"/>
  <c r="N13" i="11"/>
  <c r="O13" i="11"/>
  <c r="F14" i="11"/>
  <c r="G14" i="11"/>
  <c r="H14" i="11"/>
  <c r="I14" i="11"/>
  <c r="J14" i="11"/>
  <c r="K14" i="11"/>
  <c r="L14" i="11"/>
  <c r="M14" i="11"/>
  <c r="N14" i="11"/>
  <c r="O14" i="11"/>
  <c r="F16" i="11"/>
  <c r="G16" i="11"/>
  <c r="H16" i="11"/>
  <c r="I16" i="11"/>
  <c r="J16" i="11"/>
  <c r="K16" i="11"/>
  <c r="L16" i="11"/>
  <c r="M16" i="11"/>
  <c r="N16" i="11"/>
  <c r="O16" i="11"/>
  <c r="F17" i="11"/>
  <c r="G17" i="11"/>
  <c r="H17" i="11"/>
  <c r="I17" i="11"/>
  <c r="J17" i="11"/>
  <c r="K17" i="11"/>
  <c r="L17" i="11"/>
  <c r="M17" i="11"/>
  <c r="N17" i="11"/>
  <c r="O17" i="11"/>
  <c r="F18" i="11"/>
  <c r="G18" i="11"/>
  <c r="H18" i="11"/>
  <c r="I18" i="11"/>
  <c r="J18" i="11"/>
  <c r="K18" i="11"/>
  <c r="L18" i="11"/>
  <c r="M18" i="11"/>
  <c r="N18" i="11"/>
  <c r="O18" i="11"/>
  <c r="F25" i="11"/>
  <c r="G25" i="11"/>
  <c r="H25" i="11"/>
  <c r="I25" i="11"/>
  <c r="J25" i="11"/>
  <c r="K25" i="11"/>
  <c r="L25" i="11"/>
  <c r="M25" i="11"/>
  <c r="N25" i="11"/>
  <c r="O25" i="11"/>
  <c r="F27" i="11"/>
  <c r="G27" i="11"/>
  <c r="H27" i="11"/>
  <c r="I27" i="11"/>
  <c r="J27" i="11"/>
  <c r="K27" i="11"/>
  <c r="L27" i="11"/>
  <c r="M27" i="11"/>
  <c r="N27" i="11"/>
  <c r="O27" i="11"/>
  <c r="F33" i="11"/>
  <c r="G33" i="11"/>
  <c r="H33" i="11"/>
  <c r="I33" i="11"/>
  <c r="J33" i="11"/>
  <c r="K33" i="11"/>
  <c r="L33" i="11"/>
  <c r="M33" i="11"/>
  <c r="N33" i="11"/>
  <c r="O33" i="11"/>
  <c r="F35" i="11"/>
  <c r="G35" i="11"/>
  <c r="H35" i="11"/>
  <c r="I35" i="11"/>
  <c r="J35" i="11"/>
  <c r="K35" i="11"/>
  <c r="L35" i="11"/>
  <c r="M35" i="11"/>
  <c r="N35" i="11"/>
  <c r="O35" i="11"/>
  <c r="F36" i="11"/>
  <c r="G36" i="11"/>
  <c r="H36" i="11"/>
  <c r="I36" i="11"/>
  <c r="J36" i="11"/>
  <c r="K36" i="11"/>
  <c r="L36" i="11"/>
  <c r="M36" i="11"/>
  <c r="N36" i="11"/>
  <c r="O36" i="11"/>
  <c r="F37" i="11"/>
  <c r="G37" i="11"/>
  <c r="H37" i="11"/>
  <c r="I37" i="11"/>
  <c r="J37" i="11"/>
  <c r="K37" i="11"/>
  <c r="L37" i="11"/>
  <c r="M37" i="11"/>
  <c r="N37" i="11"/>
  <c r="O37" i="11"/>
  <c r="F40" i="11"/>
  <c r="G40" i="11"/>
  <c r="H40" i="11"/>
  <c r="I40" i="11"/>
  <c r="J40" i="11"/>
  <c r="K40" i="11"/>
  <c r="L40" i="11"/>
  <c r="M40" i="11"/>
  <c r="N40" i="11"/>
  <c r="O40" i="11"/>
  <c r="F41" i="11"/>
  <c r="G41" i="11"/>
  <c r="H41" i="11"/>
  <c r="I41" i="11"/>
  <c r="J41" i="11"/>
  <c r="K41" i="11"/>
  <c r="L41" i="11"/>
  <c r="M41" i="11"/>
  <c r="N41" i="11"/>
  <c r="O41" i="11"/>
  <c r="F42" i="11"/>
  <c r="G42" i="11"/>
  <c r="H42" i="11"/>
  <c r="I42" i="11"/>
  <c r="J42" i="11"/>
  <c r="K42" i="11"/>
  <c r="L42" i="11"/>
  <c r="M42" i="11"/>
  <c r="N42" i="11"/>
  <c r="O42" i="11"/>
  <c r="F43" i="11"/>
  <c r="G43" i="11"/>
  <c r="H43" i="11"/>
  <c r="I43" i="11"/>
  <c r="J43" i="11"/>
  <c r="K43" i="11"/>
  <c r="L43" i="11"/>
  <c r="M43" i="11"/>
  <c r="N43" i="11"/>
  <c r="O43" i="11"/>
  <c r="F44" i="11"/>
  <c r="G44" i="11"/>
  <c r="H44" i="11"/>
  <c r="I44" i="11"/>
  <c r="J44" i="11"/>
  <c r="K44" i="11"/>
  <c r="L44" i="11"/>
  <c r="M44" i="11"/>
  <c r="N44" i="11"/>
  <c r="O44" i="11"/>
  <c r="F45" i="11"/>
  <c r="G45" i="11"/>
  <c r="H45" i="11"/>
  <c r="I45" i="11"/>
  <c r="J45" i="11"/>
  <c r="K45" i="11"/>
  <c r="L45" i="11"/>
  <c r="M45" i="11"/>
  <c r="N45" i="11"/>
  <c r="O45" i="11"/>
  <c r="F46" i="11"/>
  <c r="G46" i="11"/>
  <c r="H46" i="11"/>
  <c r="I46" i="11"/>
  <c r="J46" i="11"/>
  <c r="K46" i="11"/>
  <c r="L46" i="11"/>
  <c r="M46" i="11"/>
  <c r="N46" i="11"/>
  <c r="O46" i="11"/>
  <c r="F53" i="11"/>
  <c r="G53" i="11"/>
  <c r="H53" i="11"/>
  <c r="I53" i="11"/>
  <c r="J53" i="11"/>
  <c r="K53" i="11"/>
  <c r="L53" i="11"/>
  <c r="M53" i="11"/>
  <c r="N53" i="11"/>
  <c r="O53" i="11"/>
  <c r="F56" i="11"/>
  <c r="G56" i="11"/>
  <c r="H56" i="11"/>
  <c r="I56" i="11"/>
  <c r="J56" i="11"/>
  <c r="K56" i="11"/>
  <c r="L56" i="11"/>
  <c r="M56" i="11"/>
  <c r="N56" i="11"/>
  <c r="O56" i="11"/>
  <c r="F57" i="11"/>
  <c r="G57" i="11"/>
  <c r="H57" i="11"/>
  <c r="I57" i="11"/>
  <c r="J57" i="11"/>
  <c r="K57" i="11"/>
  <c r="L57" i="11"/>
  <c r="M57" i="11"/>
  <c r="N57" i="11"/>
  <c r="O57" i="11"/>
  <c r="F58" i="11"/>
  <c r="G58" i="11"/>
  <c r="H58" i="11"/>
  <c r="I58" i="11"/>
  <c r="J58" i="11"/>
  <c r="K58" i="11"/>
  <c r="L58" i="11"/>
  <c r="M58" i="11"/>
  <c r="N58" i="11"/>
  <c r="O58" i="11"/>
  <c r="F59" i="11"/>
  <c r="G59" i="11"/>
  <c r="H59" i="11"/>
  <c r="I59" i="11"/>
  <c r="J59" i="11"/>
  <c r="K59" i="11"/>
  <c r="L59" i="11"/>
  <c r="M59" i="11"/>
  <c r="N59" i="11"/>
  <c r="O59" i="11"/>
  <c r="F60" i="11"/>
  <c r="G60" i="11"/>
  <c r="H60" i="11"/>
  <c r="I60" i="11"/>
  <c r="J60" i="11"/>
  <c r="K60" i="11"/>
  <c r="L60" i="11"/>
  <c r="M60" i="11"/>
  <c r="N60" i="11"/>
  <c r="O60"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Chainshine</author>
  </authors>
  <commentList>
    <comment ref="I21" authorId="0" shapeId="0" xr:uid="{00000000-0006-0000-0000-000001000000}">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cardiff</author>
    <author>Chainshine</author>
  </authors>
  <commentList>
    <comment ref="D8" authorId="0" shapeId="0" xr:uid="{00000000-0006-0000-0100-000001000000}">
      <text>
        <r>
          <rPr>
            <sz val="9"/>
            <color indexed="81"/>
            <rFont val="Arial"/>
            <family val="2"/>
          </rPr>
          <t>2015</t>
        </r>
        <r>
          <rPr>
            <sz val="9"/>
            <color indexed="81"/>
            <rFont val="宋体"/>
            <family val="3"/>
            <charset val="134"/>
          </rPr>
          <t>年</t>
        </r>
        <r>
          <rPr>
            <sz val="9"/>
            <color indexed="81"/>
            <rFont val="Arial"/>
            <family val="2"/>
          </rPr>
          <t>9</t>
        </r>
        <r>
          <rPr>
            <sz val="9"/>
            <color indexed="81"/>
            <rFont val="宋体"/>
            <family val="3"/>
            <charset val="134"/>
          </rPr>
          <t>月，泰森控股以股权转让的方式将主要从事商品销售及代理业务的商业板块相关资产和业务剥离</t>
        </r>
      </text>
    </comment>
    <comment ref="E12" authorId="1" shapeId="0" xr:uid="{00000000-0006-0000-0100-000002000000}">
      <text>
        <r>
          <rPr>
            <b/>
            <sz val="9"/>
            <color indexed="81"/>
            <rFont val="宋体"/>
            <family val="3"/>
            <charset val="134"/>
          </rPr>
          <t>Chainshine:</t>
        </r>
        <r>
          <rPr>
            <sz val="9"/>
            <color indexed="81"/>
            <rFont val="宋体"/>
            <family val="3"/>
            <charset val="134"/>
          </rPr>
          <t xml:space="preserve">
商业板块业务剥离所致</t>
        </r>
      </text>
    </comment>
    <comment ref="E16" authorId="1" shapeId="0" xr:uid="{00000000-0006-0000-0100-000003000000}">
      <text>
        <r>
          <rPr>
            <b/>
            <sz val="9"/>
            <color indexed="81"/>
            <rFont val="宋体"/>
            <family val="3"/>
            <charset val="134"/>
          </rPr>
          <t>Chainshine:</t>
        </r>
        <r>
          <rPr>
            <sz val="9"/>
            <color indexed="81"/>
            <rFont val="宋体"/>
            <family val="3"/>
            <charset val="134"/>
          </rPr>
          <t xml:space="preserve">
主要是非同一控制下企业合并产生的营业外收入</t>
        </r>
      </text>
    </comment>
    <comment ref="D17" authorId="1" shapeId="0" xr:uid="{00000000-0006-0000-0100-000004000000}">
      <text>
        <r>
          <rPr>
            <b/>
            <sz val="9"/>
            <color indexed="81"/>
            <rFont val="宋体"/>
            <family val="3"/>
            <charset val="134"/>
          </rPr>
          <t>Chainshine:</t>
        </r>
        <r>
          <rPr>
            <sz val="9"/>
            <color indexed="81"/>
            <rFont val="宋体"/>
            <family val="3"/>
            <charset val="134"/>
          </rPr>
          <t xml:space="preserve">
剥离业务亏损，导致税率上升4.2%；预计部分境内公司部分亏损将超过法定可税前弥补期限，冲销其相关递延所得税资产，导致税率上升约 3.0%；因境外公司适用不同的所得税税率及部分亏损未确认递延所得税资产，导致税率上升约 1.6%；因部分境内亏损公司适用税率低于法定税率(25%)，导致税率上升约 1.7%</t>
        </r>
      </text>
    </comment>
    <comment ref="E17" authorId="1" shapeId="0" xr:uid="{00000000-0006-0000-0100-000005000000}">
      <text>
        <r>
          <rPr>
            <b/>
            <sz val="9"/>
            <color indexed="81"/>
            <rFont val="宋体"/>
            <family val="3"/>
            <charset val="134"/>
          </rPr>
          <t>Chainshine:</t>
        </r>
        <r>
          <rPr>
            <sz val="9"/>
            <color indexed="81"/>
            <rFont val="宋体"/>
            <family val="3"/>
            <charset val="134"/>
          </rPr>
          <t xml:space="preserve">
主要是由当年大额负商誉计入营业外收入且无需纳税所致</t>
        </r>
      </text>
    </comment>
    <comment ref="B39" authorId="0" shapeId="0" xr:uid="{00000000-0006-0000-0100-000006000000}">
      <text>
        <r>
          <rPr>
            <sz val="9"/>
            <color indexed="81"/>
            <rFont val="宋体"/>
            <family val="3"/>
            <charset val="134"/>
          </rPr>
          <t>于</t>
        </r>
        <r>
          <rPr>
            <sz val="9"/>
            <color indexed="81"/>
            <rFont val="Arial"/>
            <family val="2"/>
          </rPr>
          <t>2016</t>
        </r>
        <r>
          <rPr>
            <sz val="9"/>
            <color indexed="81"/>
            <rFont val="宋体"/>
            <family val="3"/>
            <charset val="134"/>
          </rPr>
          <t>年</t>
        </r>
        <r>
          <rPr>
            <sz val="9"/>
            <color indexed="81"/>
            <rFont val="Arial"/>
            <family val="2"/>
          </rPr>
          <t>12</t>
        </r>
        <r>
          <rPr>
            <sz val="9"/>
            <color indexed="81"/>
            <rFont val="宋体"/>
            <family val="3"/>
            <charset val="134"/>
          </rPr>
          <t>月</t>
        </r>
        <r>
          <rPr>
            <sz val="9"/>
            <color indexed="81"/>
            <rFont val="Arial"/>
            <family val="2"/>
          </rPr>
          <t>31</t>
        </r>
        <r>
          <rPr>
            <sz val="9"/>
            <color indexed="81"/>
            <rFont val="宋体"/>
            <family val="3"/>
            <charset val="134"/>
          </rPr>
          <t>日，短期借款的年利率区间为</t>
        </r>
        <r>
          <rPr>
            <sz val="9"/>
            <color indexed="81"/>
            <rFont val="Arial"/>
            <family val="2"/>
          </rPr>
          <t>1.26%</t>
        </r>
        <r>
          <rPr>
            <sz val="9"/>
            <color indexed="81"/>
            <rFont val="宋体"/>
            <family val="3"/>
            <charset val="134"/>
          </rPr>
          <t>至</t>
        </r>
        <r>
          <rPr>
            <sz val="9"/>
            <color indexed="81"/>
            <rFont val="Arial"/>
            <family val="2"/>
          </rPr>
          <t>4.35%(2015</t>
        </r>
        <r>
          <rPr>
            <sz val="9"/>
            <color indexed="81"/>
            <rFont val="宋体"/>
            <family val="3"/>
            <charset val="134"/>
          </rPr>
          <t>年</t>
        </r>
        <r>
          <rPr>
            <sz val="9"/>
            <color indexed="81"/>
            <rFont val="Arial"/>
            <family val="2"/>
          </rPr>
          <t>12</t>
        </r>
        <r>
          <rPr>
            <sz val="9"/>
            <color indexed="81"/>
            <rFont val="宋体"/>
            <family val="3"/>
            <charset val="134"/>
          </rPr>
          <t>月</t>
        </r>
        <r>
          <rPr>
            <sz val="9"/>
            <color indexed="81"/>
            <rFont val="Arial"/>
            <family val="2"/>
          </rPr>
          <t>31</t>
        </r>
        <r>
          <rPr>
            <sz val="9"/>
            <color indexed="81"/>
            <rFont val="宋体"/>
            <family val="3"/>
            <charset val="134"/>
          </rPr>
          <t>日：</t>
        </r>
        <r>
          <rPr>
            <sz val="9"/>
            <color indexed="81"/>
            <rFont val="Arial"/>
            <family val="2"/>
          </rPr>
          <t>1.22%</t>
        </r>
        <r>
          <rPr>
            <sz val="9"/>
            <color indexed="81"/>
            <rFont val="宋体"/>
            <family val="3"/>
            <charset val="134"/>
          </rPr>
          <t>至</t>
        </r>
        <r>
          <rPr>
            <sz val="9"/>
            <color indexed="81"/>
            <rFont val="Arial"/>
            <family val="2"/>
          </rPr>
          <t>4.45%)</t>
        </r>
      </text>
    </comment>
    <comment ref="B42" authorId="0" shapeId="0" xr:uid="{00000000-0006-0000-0100-000007000000}">
      <text>
        <r>
          <rPr>
            <sz val="9"/>
            <color indexed="81"/>
            <rFont val="宋体"/>
            <family val="3"/>
            <charset val="134"/>
          </rPr>
          <t>于</t>
        </r>
        <r>
          <rPr>
            <sz val="9"/>
            <color indexed="81"/>
            <rFont val="Arial"/>
            <family val="2"/>
          </rPr>
          <t>2016</t>
        </r>
        <r>
          <rPr>
            <sz val="9"/>
            <color indexed="81"/>
            <rFont val="宋体"/>
            <family val="3"/>
            <charset val="134"/>
          </rPr>
          <t>年</t>
        </r>
        <r>
          <rPr>
            <sz val="9"/>
            <color indexed="81"/>
            <rFont val="Arial"/>
            <family val="2"/>
          </rPr>
          <t>12</t>
        </r>
        <r>
          <rPr>
            <sz val="9"/>
            <color indexed="81"/>
            <rFont val="宋体"/>
            <family val="3"/>
            <charset val="134"/>
          </rPr>
          <t>月</t>
        </r>
        <r>
          <rPr>
            <sz val="9"/>
            <color indexed="81"/>
            <rFont val="Arial"/>
            <family val="2"/>
          </rPr>
          <t>31</t>
        </r>
        <r>
          <rPr>
            <sz val="9"/>
            <color indexed="81"/>
            <rFont val="宋体"/>
            <family val="3"/>
            <charset val="134"/>
          </rPr>
          <t>日，长期借款的利率区间为</t>
        </r>
        <r>
          <rPr>
            <sz val="9"/>
            <color indexed="81"/>
            <rFont val="Arial"/>
            <family val="2"/>
          </rPr>
          <t>4.275%</t>
        </r>
        <r>
          <rPr>
            <sz val="9"/>
            <color indexed="81"/>
            <rFont val="宋体"/>
            <family val="3"/>
            <charset val="134"/>
          </rPr>
          <t>至</t>
        </r>
        <r>
          <rPr>
            <sz val="9"/>
            <color indexed="81"/>
            <rFont val="Arial"/>
            <family val="2"/>
          </rPr>
          <t>4.75%(2015</t>
        </r>
        <r>
          <rPr>
            <sz val="9"/>
            <color indexed="81"/>
            <rFont val="宋体"/>
            <family val="3"/>
            <charset val="134"/>
          </rPr>
          <t>年</t>
        </r>
        <r>
          <rPr>
            <sz val="9"/>
            <color indexed="81"/>
            <rFont val="Arial"/>
            <family val="2"/>
          </rPr>
          <t>12</t>
        </r>
        <r>
          <rPr>
            <sz val="9"/>
            <color indexed="81"/>
            <rFont val="宋体"/>
            <family val="3"/>
            <charset val="134"/>
          </rPr>
          <t>月</t>
        </r>
        <r>
          <rPr>
            <sz val="9"/>
            <color indexed="81"/>
            <rFont val="Arial"/>
            <family val="2"/>
          </rPr>
          <t>31</t>
        </r>
        <r>
          <rPr>
            <sz val="9"/>
            <color indexed="81"/>
            <rFont val="宋体"/>
            <family val="3"/>
            <charset val="134"/>
          </rPr>
          <t>日：</t>
        </r>
        <r>
          <rPr>
            <sz val="9"/>
            <color indexed="81"/>
            <rFont val="Arial"/>
            <family val="2"/>
          </rPr>
          <t>4.28%</t>
        </r>
        <r>
          <rPr>
            <sz val="9"/>
            <color indexed="81"/>
            <rFont val="宋体"/>
            <family val="3"/>
            <charset val="134"/>
          </rPr>
          <t>至</t>
        </r>
        <r>
          <rPr>
            <sz val="9"/>
            <color indexed="81"/>
            <rFont val="Arial"/>
            <family val="2"/>
          </rPr>
          <t>5.90%)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cardiff</author>
    <author>Chainshine</author>
  </authors>
  <commentList>
    <comment ref="B8" authorId="0" shapeId="0" xr:uid="{00000000-0006-0000-0200-000001000000}">
      <text>
        <r>
          <rPr>
            <sz val="9"/>
            <color indexed="81"/>
            <rFont val="宋体"/>
            <family val="3"/>
            <charset val="134"/>
          </rPr>
          <t>速运业务收入包括国内时效、仓储运输、重货运输、冷链运输、国际快递和增值服务。大部分业务可以按“票均收入</t>
        </r>
        <r>
          <rPr>
            <sz val="9"/>
            <color indexed="81"/>
            <rFont val="Arial"/>
            <family val="2"/>
          </rPr>
          <t>*</t>
        </r>
        <r>
          <rPr>
            <sz val="9"/>
            <color indexed="81"/>
            <rFont val="宋体"/>
            <family val="3"/>
            <charset val="134"/>
          </rPr>
          <t>业务量”来拆分，业务量可以采取自下而上或自上而下方式预测</t>
        </r>
      </text>
    </comment>
    <comment ref="B17" authorId="0" shapeId="0" xr:uid="{00000000-0006-0000-0200-000002000000}">
      <text>
        <r>
          <rPr>
            <sz val="9"/>
            <color indexed="81"/>
            <rFont val="Arial"/>
            <family val="2"/>
          </rPr>
          <t>2016</t>
        </r>
        <r>
          <rPr>
            <sz val="9"/>
            <color indexed="81"/>
            <rFont val="宋体"/>
            <family val="3"/>
            <charset val="134"/>
          </rPr>
          <t>年收购后，投资性房地产金额很大，需单独估值。但历史年份租金收入未披露，无法剔除。</t>
        </r>
        <r>
          <rPr>
            <sz val="9"/>
            <color indexed="81"/>
            <rFont val="Arial"/>
            <family val="2"/>
          </rPr>
          <t>15</t>
        </r>
        <r>
          <rPr>
            <sz val="9"/>
            <color indexed="81"/>
            <rFont val="宋体"/>
            <family val="3"/>
            <charset val="134"/>
          </rPr>
          <t>和</t>
        </r>
        <r>
          <rPr>
            <sz val="9"/>
            <color indexed="81"/>
            <rFont val="Arial"/>
            <family val="2"/>
          </rPr>
          <t>16</t>
        </r>
        <r>
          <rPr>
            <sz val="9"/>
            <color indexed="81"/>
            <rFont val="宋体"/>
            <family val="3"/>
            <charset val="134"/>
          </rPr>
          <t>年投资性房地产的折旧和租金收入金额较小，</t>
        </r>
        <r>
          <rPr>
            <sz val="9"/>
            <color indexed="81"/>
            <rFont val="Arial"/>
            <family val="2"/>
          </rPr>
          <t>IS</t>
        </r>
        <r>
          <rPr>
            <sz val="9"/>
            <color indexed="81"/>
            <rFont val="宋体"/>
            <family val="3"/>
            <charset val="134"/>
          </rPr>
          <t>不剔除影响不大</t>
        </r>
      </text>
    </comment>
    <comment ref="B22" authorId="0" shapeId="0" xr:uid="{00000000-0006-0000-0200-000003000000}">
      <text>
        <r>
          <rPr>
            <sz val="9"/>
            <color indexed="81"/>
            <rFont val="宋体"/>
            <family val="3"/>
            <charset val="134"/>
          </rPr>
          <t>政府补助收入</t>
        </r>
      </text>
    </comment>
    <comment ref="B30" authorId="1" shapeId="0" xr:uid="{00000000-0006-0000-0200-000004000000}">
      <text>
        <r>
          <rPr>
            <sz val="9"/>
            <color indexed="81"/>
            <rFont val="宋体"/>
            <family val="3"/>
            <charset val="134"/>
          </rPr>
          <t>此处仅包含银行理财产品的投资收益</t>
        </r>
      </text>
    </comment>
    <comment ref="B31" authorId="0" shapeId="0" xr:uid="{00000000-0006-0000-0200-000005000000}">
      <text>
        <r>
          <rPr>
            <sz val="9"/>
            <color indexed="81"/>
            <rFont val="宋体"/>
            <family val="3"/>
            <charset val="134"/>
          </rPr>
          <t>主要为资产减值损失、公允价值变动收益、投资收益、营业外收支项目（扣除政府补贴）</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Chainshine</author>
  </authors>
  <commentList>
    <comment ref="D7" authorId="0" shapeId="0" xr:uid="{00000000-0006-0000-0300-000001000000}">
      <text>
        <r>
          <rPr>
            <b/>
            <sz val="9"/>
            <color indexed="81"/>
            <rFont val="宋体"/>
            <family val="3"/>
            <charset val="134"/>
          </rPr>
          <t>Chainshine:</t>
        </r>
        <r>
          <rPr>
            <sz val="9"/>
            <color indexed="81"/>
            <rFont val="宋体"/>
            <family val="3"/>
            <charset val="134"/>
          </rPr>
          <t xml:space="preserve">
倒估的结果</t>
        </r>
      </text>
    </comment>
    <comment ref="E7" authorId="0" shapeId="0" xr:uid="{00000000-0006-0000-0300-000002000000}">
      <text>
        <r>
          <rPr>
            <b/>
            <sz val="9"/>
            <color indexed="81"/>
            <rFont val="宋体"/>
            <family val="3"/>
            <charset val="134"/>
          </rPr>
          <t>Chainshine:</t>
        </r>
        <r>
          <rPr>
            <sz val="9"/>
            <color indexed="81"/>
            <rFont val="宋体"/>
            <family val="3"/>
            <charset val="134"/>
          </rPr>
          <t xml:space="preserve">
倒估的结果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cardiff</author>
  </authors>
  <commentList>
    <comment ref="B11" authorId="0" shapeId="0" xr:uid="{00000000-0006-0000-0500-000001000000}">
      <text>
        <r>
          <rPr>
            <sz val="9"/>
            <color indexed="81"/>
            <rFont val="宋体"/>
            <family val="3"/>
            <charset val="134"/>
          </rPr>
          <t>包括保证金及押金、代收货款、待抵扣增值税进项税、预交企业所得税等</t>
        </r>
      </text>
    </comment>
    <comment ref="B12" authorId="0" shapeId="0" xr:uid="{00000000-0006-0000-0500-000002000000}">
      <text>
        <r>
          <rPr>
            <sz val="9"/>
            <color indexed="81"/>
            <rFont val="宋体"/>
            <family val="3"/>
            <charset val="134"/>
          </rPr>
          <t>主要为银行理财产品。还包含以公允价值计量且其变动计入当期损益的金融资产/负债、应收保理款、发放贷款及垫款、应收利息等</t>
        </r>
      </text>
    </comment>
    <comment ref="B15" authorId="0" shapeId="0" xr:uid="{00000000-0006-0000-0500-000003000000}">
      <text>
        <r>
          <rPr>
            <sz val="9"/>
            <color indexed="81"/>
            <rFont val="宋体"/>
            <family val="3"/>
            <charset val="134"/>
          </rPr>
          <t>包括可供出售金融资产、长期应收款、长期股权投资、投资性房地产</t>
        </r>
      </text>
    </comment>
    <comment ref="B16" authorId="0" shapeId="0" xr:uid="{00000000-0006-0000-0500-000004000000}">
      <text>
        <r>
          <rPr>
            <sz val="9"/>
            <color indexed="81"/>
            <rFont val="宋体"/>
            <family val="3"/>
            <charset val="134"/>
          </rPr>
          <t>主要是运输工具、计算机及电子设备、飞机及发动机、办公设备、房屋及建筑物。包含在建工程</t>
        </r>
      </text>
    </comment>
    <comment ref="B17" authorId="0" shapeId="0" xr:uid="{00000000-0006-0000-0500-000005000000}">
      <text>
        <r>
          <rPr>
            <sz val="9"/>
            <color indexed="81"/>
            <rFont val="宋体"/>
            <family val="3"/>
            <charset val="134"/>
          </rPr>
          <t>主要是土地使用权，包括开发支出</t>
        </r>
      </text>
    </comment>
    <comment ref="B18" authorId="0" shapeId="0" xr:uid="{00000000-0006-0000-0500-000006000000}">
      <text>
        <r>
          <rPr>
            <sz val="9"/>
            <color indexed="81"/>
            <rFont val="宋体"/>
            <family val="3"/>
            <charset val="134"/>
          </rPr>
          <t>主要为经营租入固定资产改良和飞行员安家费及引进费</t>
        </r>
      </text>
    </comment>
    <comment ref="B19" authorId="0" shapeId="0" xr:uid="{00000000-0006-0000-0500-000007000000}">
      <text>
        <r>
          <rPr>
            <sz val="9"/>
            <color indexed="81"/>
            <rFont val="宋体"/>
            <family val="3"/>
            <charset val="134"/>
          </rPr>
          <t>包括商誉、递延所得税资产和其他非流动资产</t>
        </r>
      </text>
    </comment>
    <comment ref="B26" authorId="0" shapeId="0" xr:uid="{00000000-0006-0000-0500-000008000000}">
      <text>
        <r>
          <rPr>
            <sz val="9"/>
            <color indexed="81"/>
            <rFont val="宋体"/>
            <family val="3"/>
            <charset val="134"/>
          </rPr>
          <t>短期借款+应付利息</t>
        </r>
      </text>
    </comment>
    <comment ref="B29" authorId="0" shapeId="0" xr:uid="{00000000-0006-0000-0500-000009000000}">
      <text>
        <r>
          <rPr>
            <sz val="9"/>
            <color indexed="81"/>
            <rFont val="宋体"/>
            <family val="3"/>
            <charset val="134"/>
          </rPr>
          <t>其他应付款+其他流动负债+应交税费+应付职工薪酬</t>
        </r>
      </text>
    </comment>
    <comment ref="B32" authorId="0" shapeId="0" xr:uid="{00000000-0006-0000-0500-00000A000000}">
      <text>
        <r>
          <rPr>
            <sz val="9"/>
            <color indexed="81"/>
            <rFont val="宋体"/>
            <family val="3"/>
            <charset val="134"/>
          </rPr>
          <t>长期借款+一年内到期的流动负债+长期应付款</t>
        </r>
      </text>
    </comment>
    <comment ref="B33" authorId="0" shapeId="0" xr:uid="{00000000-0006-0000-0500-00000B000000}">
      <text>
        <r>
          <rPr>
            <sz val="9"/>
            <color indexed="81"/>
            <rFont val="宋体"/>
            <family val="3"/>
            <charset val="134"/>
          </rPr>
          <t>包括递延收益、递延所得税负债和预计负债</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cardiff</author>
  </authors>
  <commentList>
    <comment ref="B16" authorId="0" shapeId="0" xr:uid="{00000000-0006-0000-0700-000001000000}">
      <text>
        <r>
          <rPr>
            <b/>
            <sz val="9"/>
            <color indexed="81"/>
            <rFont val="华文细黑"/>
            <family val="3"/>
            <charset val="134"/>
          </rPr>
          <t>cardiff:</t>
        </r>
        <r>
          <rPr>
            <sz val="9"/>
            <color indexed="81"/>
            <rFont val="华文细黑"/>
            <family val="3"/>
            <charset val="134"/>
          </rPr>
          <t xml:space="preserve">
不含现金及非核心资产</t>
        </r>
      </text>
    </comment>
  </commentList>
</comments>
</file>

<file path=xl/sharedStrings.xml><?xml version="1.0" encoding="utf-8"?>
<sst xmlns="http://schemas.openxmlformats.org/spreadsheetml/2006/main" count="433" uniqueCount="299">
  <si>
    <t>2015 A</t>
    <phoneticPr fontId="3" type="noConversion"/>
  </si>
  <si>
    <t>2016 A</t>
    <phoneticPr fontId="3" type="noConversion"/>
  </si>
  <si>
    <t>2017 E</t>
    <phoneticPr fontId="3" type="noConversion"/>
  </si>
  <si>
    <t>2018 E</t>
  </si>
  <si>
    <t>2019 E</t>
  </si>
  <si>
    <t>2020 E</t>
  </si>
  <si>
    <t>2021 E</t>
  </si>
  <si>
    <t>2022 E</t>
  </si>
  <si>
    <t>2023 E</t>
  </si>
  <si>
    <t>2024 E</t>
  </si>
  <si>
    <t>2025 E</t>
  </si>
  <si>
    <t>2026 E</t>
  </si>
  <si>
    <t>货币资金</t>
    <phoneticPr fontId="4" type="noConversion"/>
  </si>
  <si>
    <t>预付款项</t>
    <phoneticPr fontId="4" type="noConversion"/>
  </si>
  <si>
    <t>固定资产</t>
    <phoneticPr fontId="4" type="noConversion"/>
  </si>
  <si>
    <t>财务费用</t>
  </si>
  <si>
    <t>EBITDA</t>
  </si>
  <si>
    <t>EBIT</t>
  </si>
  <si>
    <t>2014 A</t>
    <phoneticPr fontId="3" type="noConversion"/>
  </si>
  <si>
    <t>应收款项</t>
    <phoneticPr fontId="1" type="noConversion"/>
  </si>
  <si>
    <t>其他经营性流动资产</t>
    <phoneticPr fontId="1" type="noConversion"/>
  </si>
  <si>
    <t>非核心资产（流动）</t>
    <phoneticPr fontId="1" type="noConversion"/>
  </si>
  <si>
    <t>非核心资产（非流动）</t>
    <phoneticPr fontId="1" type="noConversion"/>
  </si>
  <si>
    <t>其他长期经营性资产</t>
    <phoneticPr fontId="1" type="noConversion"/>
  </si>
  <si>
    <t>=</t>
  </si>
  <si>
    <t>=</t>
    <phoneticPr fontId="3" type="noConversion"/>
  </si>
  <si>
    <t>其他</t>
  </si>
  <si>
    <t>商品销售业务</t>
  </si>
  <si>
    <t>营业收入</t>
    <phoneticPr fontId="1" type="noConversion"/>
  </si>
  <si>
    <t>长期待摊费用</t>
    <phoneticPr fontId="1" type="noConversion"/>
  </si>
  <si>
    <t>无形资产</t>
    <phoneticPr fontId="1" type="noConversion"/>
  </si>
  <si>
    <t>现金分配</t>
    <phoneticPr fontId="1" type="noConversion"/>
  </si>
  <si>
    <t>EBITDA</t>
    <phoneticPr fontId="3" type="noConversion"/>
  </si>
  <si>
    <t>EBIT</t>
    <phoneticPr fontId="3" type="noConversion"/>
  </si>
  <si>
    <t>EBIAT</t>
    <phoneticPr fontId="3" type="noConversion"/>
  </si>
  <si>
    <t>CFO</t>
    <phoneticPr fontId="3" type="noConversion"/>
  </si>
  <si>
    <t>营业成本（不含折旧摊销）</t>
    <phoneticPr fontId="3" type="noConversion"/>
  </si>
  <si>
    <t>股东权益合计</t>
    <phoneticPr fontId="3" type="noConversion"/>
  </si>
  <si>
    <t>成长性指标</t>
    <phoneticPr fontId="3" type="noConversion"/>
  </si>
  <si>
    <t>盈利性指标</t>
    <phoneticPr fontId="3" type="noConversion"/>
  </si>
  <si>
    <t>偿债能力指标</t>
    <phoneticPr fontId="3" type="noConversion"/>
  </si>
  <si>
    <t>运营能力指标</t>
    <phoneticPr fontId="3" type="noConversion"/>
  </si>
  <si>
    <t>利润表</t>
    <phoneticPr fontId="3" type="noConversion"/>
  </si>
  <si>
    <t>债务</t>
    <phoneticPr fontId="1" type="noConversion"/>
  </si>
  <si>
    <t>资本性支出</t>
    <phoneticPr fontId="1" type="noConversion"/>
  </si>
  <si>
    <t>加权平均资本成本（WACC）</t>
    <phoneticPr fontId="3" type="noConversion"/>
  </si>
  <si>
    <t>预测期现金流折现</t>
    <phoneticPr fontId="3" type="noConversion"/>
  </si>
  <si>
    <t>折现年份</t>
    <phoneticPr fontId="3" type="noConversion"/>
  </si>
  <si>
    <t>折现因子</t>
    <phoneticPr fontId="3" type="noConversion"/>
  </si>
  <si>
    <t>预测期现金流的现值</t>
    <phoneticPr fontId="3" type="noConversion"/>
  </si>
  <si>
    <t>终值计算</t>
    <phoneticPr fontId="3" type="noConversion"/>
  </si>
  <si>
    <t>终值</t>
    <phoneticPr fontId="3" type="noConversion"/>
  </si>
  <si>
    <t>终值折现年份</t>
    <phoneticPr fontId="3" type="noConversion"/>
  </si>
  <si>
    <t>折现因子</t>
    <phoneticPr fontId="3" type="noConversion"/>
  </si>
  <si>
    <t>终值的现值</t>
    <phoneticPr fontId="3" type="noConversion"/>
  </si>
  <si>
    <t>企业价值（EV）</t>
    <phoneticPr fontId="3" type="noConversion"/>
  </si>
  <si>
    <t>预测期现金流总和</t>
    <phoneticPr fontId="3" type="noConversion"/>
  </si>
  <si>
    <t>股权价值与内含股价</t>
    <phoneticPr fontId="3" type="noConversion"/>
  </si>
  <si>
    <t>非核心资产的账面价值</t>
    <phoneticPr fontId="3" type="noConversion"/>
  </si>
  <si>
    <t>非核心资产的市场价值</t>
    <phoneticPr fontId="3" type="noConversion"/>
  </si>
  <si>
    <t>货币资金</t>
    <phoneticPr fontId="3" type="noConversion"/>
  </si>
  <si>
    <t>付息债务合计</t>
    <phoneticPr fontId="3" type="noConversion"/>
  </si>
  <si>
    <t>少数股东权益的账面价值</t>
    <phoneticPr fontId="3" type="noConversion"/>
  </si>
  <si>
    <t>内含股权价值</t>
    <phoneticPr fontId="3" type="noConversion"/>
  </si>
  <si>
    <t>内含股价（元/股）</t>
    <phoneticPr fontId="3" type="noConversion"/>
  </si>
  <si>
    <t>敏感性分析</t>
    <phoneticPr fontId="3" type="noConversion"/>
  </si>
  <si>
    <t>折现现金流模型 Discount Cash Flow</t>
    <phoneticPr fontId="2" type="noConversion"/>
  </si>
  <si>
    <t>（单位为百万元人民币，特殊说明除外）</t>
    <phoneticPr fontId="3" type="noConversion"/>
  </si>
  <si>
    <t>无杠杆自由现金流（UFCF）</t>
    <phoneticPr fontId="1" type="noConversion"/>
  </si>
  <si>
    <t>EBIT</t>
    <phoneticPr fontId="1" type="noConversion"/>
  </si>
  <si>
    <t>（调整的所得税）</t>
    <phoneticPr fontId="1" type="noConversion"/>
  </si>
  <si>
    <t>EBIAT（NOPLAT）</t>
    <phoneticPr fontId="1" type="noConversion"/>
  </si>
  <si>
    <t>UFCF</t>
    <phoneticPr fontId="1" type="noConversion"/>
  </si>
  <si>
    <t>模型说明</t>
    <phoneticPr fontId="3" type="noConversion"/>
  </si>
  <si>
    <t>颜色区分</t>
    <phoneticPr fontId="13" type="noConversion"/>
  </si>
  <si>
    <t>会计年度末</t>
    <phoneticPr fontId="13" type="noConversion"/>
  </si>
  <si>
    <t>12月31日</t>
    <phoneticPr fontId="3" type="noConversion"/>
  </si>
  <si>
    <t>输入数字假设，可以变动</t>
    <phoneticPr fontId="13" type="noConversion"/>
  </si>
  <si>
    <t>货币单位</t>
    <phoneticPr fontId="13" type="noConversion"/>
  </si>
  <si>
    <t>历史或给定数字，不能变动</t>
    <phoneticPr fontId="13" type="noConversion"/>
  </si>
  <si>
    <t>制作者</t>
    <phoneticPr fontId="13" type="noConversion"/>
  </si>
  <si>
    <t>公式，不能变动</t>
    <phoneticPr fontId="13" type="noConversion"/>
  </si>
  <si>
    <t>最后修改日期</t>
    <phoneticPr fontId="13" type="noConversion"/>
  </si>
  <si>
    <t>模型的批注</t>
    <phoneticPr fontId="3" type="noConversion"/>
  </si>
  <si>
    <t>财务比率表 Ratios</t>
    <phoneticPr fontId="2" type="noConversion"/>
  </si>
  <si>
    <t>关键数字</t>
    <phoneticPr fontId="3" type="noConversion"/>
  </si>
  <si>
    <t>营业收入</t>
    <phoneticPr fontId="3" type="noConversion"/>
  </si>
  <si>
    <t>毛利</t>
    <phoneticPr fontId="3" type="noConversion"/>
  </si>
  <si>
    <t>净利润</t>
    <phoneticPr fontId="3" type="noConversion"/>
  </si>
  <si>
    <t>资产总计</t>
    <phoneticPr fontId="3" type="noConversion"/>
  </si>
  <si>
    <t>投入资本（IC）</t>
    <phoneticPr fontId="3" type="noConversion"/>
  </si>
  <si>
    <t>财务费用</t>
    <phoneticPr fontId="3" type="noConversion"/>
  </si>
  <si>
    <t>资本性支出</t>
    <phoneticPr fontId="3" type="noConversion"/>
  </si>
  <si>
    <t>营业收入增长率</t>
    <phoneticPr fontId="3" type="noConversion"/>
  </si>
  <si>
    <t>EBITDA增长率</t>
    <phoneticPr fontId="3" type="noConversion"/>
  </si>
  <si>
    <t>EBIT增长率</t>
    <phoneticPr fontId="3" type="noConversion"/>
  </si>
  <si>
    <t>净利润增长率</t>
    <phoneticPr fontId="3" type="noConversion"/>
  </si>
  <si>
    <t>固定资产增长率</t>
    <phoneticPr fontId="3" type="noConversion"/>
  </si>
  <si>
    <t>总资产增长率</t>
    <phoneticPr fontId="3" type="noConversion"/>
  </si>
  <si>
    <t>毛利率</t>
    <phoneticPr fontId="3" type="noConversion"/>
  </si>
  <si>
    <t>EBITDA利润率</t>
    <phoneticPr fontId="3" type="noConversion"/>
  </si>
  <si>
    <t>EBIT利润率</t>
    <phoneticPr fontId="3" type="noConversion"/>
  </si>
  <si>
    <t>净利润率</t>
    <phoneticPr fontId="3" type="noConversion"/>
  </si>
  <si>
    <t>净资产收益率（ROE）</t>
    <phoneticPr fontId="3" type="noConversion"/>
  </si>
  <si>
    <t>资产回报率（ROA）</t>
    <phoneticPr fontId="3" type="noConversion"/>
  </si>
  <si>
    <t>投入资本回报率（ROIC）</t>
    <phoneticPr fontId="3" type="noConversion"/>
  </si>
  <si>
    <t>流动比率</t>
    <phoneticPr fontId="3" type="noConversion"/>
  </si>
  <si>
    <t>速动比率</t>
    <phoneticPr fontId="3" type="noConversion"/>
  </si>
  <si>
    <t>现金比率</t>
    <phoneticPr fontId="3" type="noConversion"/>
  </si>
  <si>
    <t>EBITDA/财务费用</t>
    <phoneticPr fontId="3" type="noConversion"/>
  </si>
  <si>
    <t>CFO/付息债务合计</t>
    <phoneticPr fontId="3" type="noConversion"/>
  </si>
  <si>
    <t>债务权益比率</t>
    <phoneticPr fontId="3" type="noConversion"/>
  </si>
  <si>
    <t>资产负债率</t>
    <phoneticPr fontId="3" type="noConversion"/>
  </si>
  <si>
    <t>应收款项周转率</t>
    <phoneticPr fontId="3" type="noConversion"/>
  </si>
  <si>
    <t>存货周转率</t>
    <phoneticPr fontId="3" type="noConversion"/>
  </si>
  <si>
    <t>应付款项周转率</t>
    <phoneticPr fontId="3" type="noConversion"/>
  </si>
  <si>
    <t>固定资产周转率</t>
    <phoneticPr fontId="3" type="noConversion"/>
  </si>
  <si>
    <t>总资产周转率</t>
    <phoneticPr fontId="3" type="noConversion"/>
  </si>
  <si>
    <t>杜邦分析</t>
    <phoneticPr fontId="3" type="noConversion"/>
  </si>
  <si>
    <t>总资产收益率（ROA）</t>
    <phoneticPr fontId="3" type="noConversion"/>
  </si>
  <si>
    <t>平均总资产/平均股东权益</t>
    <phoneticPr fontId="3" type="noConversion"/>
  </si>
  <si>
    <t>现金流量表 Cash Flow Statement</t>
    <phoneticPr fontId="2" type="noConversion"/>
  </si>
  <si>
    <t>所需现金/营业收入</t>
    <phoneticPr fontId="3" type="noConversion"/>
  </si>
  <si>
    <t>经营活动现金流</t>
    <phoneticPr fontId="3" type="noConversion"/>
  </si>
  <si>
    <t>净利润</t>
    <phoneticPr fontId="4" type="noConversion"/>
  </si>
  <si>
    <t>折旧</t>
    <phoneticPr fontId="1" type="noConversion"/>
  </si>
  <si>
    <t>摊销</t>
    <phoneticPr fontId="1" type="noConversion"/>
  </si>
  <si>
    <t>财务费用</t>
    <phoneticPr fontId="1" type="noConversion"/>
  </si>
  <si>
    <t>（非经常性或非经营性损益）</t>
    <phoneticPr fontId="3" type="noConversion"/>
  </si>
  <si>
    <t>经营性营运资金减少</t>
    <phoneticPr fontId="1" type="noConversion"/>
  </si>
  <si>
    <t>长期经营性负债增加</t>
    <phoneticPr fontId="1" type="noConversion"/>
  </si>
  <si>
    <t>经营活动现金流</t>
    <phoneticPr fontId="1" type="noConversion"/>
  </si>
  <si>
    <t>投资活动现金流</t>
    <phoneticPr fontId="1" type="noConversion"/>
  </si>
  <si>
    <t>非经常性或非经营性损益</t>
    <phoneticPr fontId="3" type="noConversion"/>
  </si>
  <si>
    <t>非核心资产减少</t>
    <phoneticPr fontId="1" type="noConversion"/>
  </si>
  <si>
    <t>（固定资产购建）</t>
    <phoneticPr fontId="1" type="noConversion"/>
  </si>
  <si>
    <t>（无形资产购置）</t>
    <phoneticPr fontId="1" type="noConversion"/>
  </si>
  <si>
    <t>（新增长期待摊费用）</t>
    <phoneticPr fontId="1" type="noConversion"/>
  </si>
  <si>
    <t>其他长期经营性资产减少</t>
    <phoneticPr fontId="1" type="noConversion"/>
  </si>
  <si>
    <t>融资活动现金流</t>
    <phoneticPr fontId="1" type="noConversion"/>
  </si>
  <si>
    <t>（偿还期初融资缺口）</t>
    <phoneticPr fontId="1" type="noConversion"/>
  </si>
  <si>
    <t>（财务费用）</t>
    <phoneticPr fontId="1" type="noConversion"/>
  </si>
  <si>
    <t>短期借款增加</t>
    <phoneticPr fontId="1" type="noConversion"/>
  </si>
  <si>
    <t>长期借款增加</t>
    <phoneticPr fontId="1" type="noConversion"/>
  </si>
  <si>
    <t>（归属于母公司股东的分红）</t>
    <phoneticPr fontId="1" type="noConversion"/>
  </si>
  <si>
    <t>（归属于少数股东的分红）</t>
    <phoneticPr fontId="1" type="noConversion"/>
  </si>
  <si>
    <t>股本与资本公积增加</t>
    <phoneticPr fontId="1" type="noConversion"/>
  </si>
  <si>
    <t>净现金流</t>
    <phoneticPr fontId="1" type="noConversion"/>
  </si>
  <si>
    <t>期初货币资金</t>
    <phoneticPr fontId="1" type="noConversion"/>
  </si>
  <si>
    <t>新增融资缺口前的期末货币资金</t>
    <phoneticPr fontId="1" type="noConversion"/>
  </si>
  <si>
    <t>所需资金</t>
    <phoneticPr fontId="1" type="noConversion"/>
  </si>
  <si>
    <t>融资缺口</t>
    <phoneticPr fontId="1" type="noConversion"/>
  </si>
  <si>
    <t>期末货币资金</t>
    <phoneticPr fontId="1" type="noConversion"/>
  </si>
  <si>
    <t>资产负债表 Balance Sheet</t>
    <phoneticPr fontId="2" type="noConversion"/>
  </si>
  <si>
    <t>其他长期经营性资产/营业收入</t>
    <phoneticPr fontId="1" type="noConversion"/>
  </si>
  <si>
    <t>长期经营性负债/营业收入</t>
    <phoneticPr fontId="1" type="noConversion"/>
  </si>
  <si>
    <t>股本及资本公积</t>
    <phoneticPr fontId="3" type="noConversion"/>
  </si>
  <si>
    <t>资产负债表</t>
    <phoneticPr fontId="3" type="noConversion"/>
  </si>
  <si>
    <t>资产</t>
  </si>
  <si>
    <t>存货</t>
    <phoneticPr fontId="4" type="noConversion"/>
  </si>
  <si>
    <t xml:space="preserve">流动资产合计 </t>
  </si>
  <si>
    <t>无形资产</t>
    <phoneticPr fontId="4" type="noConversion"/>
  </si>
  <si>
    <t>长期待摊费用</t>
    <phoneticPr fontId="4" type="noConversion"/>
  </si>
  <si>
    <t xml:space="preserve">非流动资产合计 </t>
    <phoneticPr fontId="3" type="noConversion"/>
  </si>
  <si>
    <t>资产总计</t>
  </si>
  <si>
    <t>负债</t>
    <phoneticPr fontId="3" type="noConversion"/>
  </si>
  <si>
    <t>融资缺口</t>
  </si>
  <si>
    <t>短期借款</t>
    <phoneticPr fontId="4" type="noConversion"/>
  </si>
  <si>
    <t>应付款项</t>
    <phoneticPr fontId="1" type="noConversion"/>
  </si>
  <si>
    <t>预收款项</t>
    <phoneticPr fontId="4" type="noConversion"/>
  </si>
  <si>
    <t>其他经营性流动负债</t>
    <phoneticPr fontId="4" type="noConversion"/>
  </si>
  <si>
    <t xml:space="preserve">流动负债合计 </t>
  </si>
  <si>
    <t>长期借款</t>
    <phoneticPr fontId="4" type="noConversion"/>
  </si>
  <si>
    <t>长期经营性负债</t>
    <phoneticPr fontId="1" type="noConversion"/>
  </si>
  <si>
    <t>负债合计</t>
  </si>
  <si>
    <t>股东权益</t>
    <phoneticPr fontId="3" type="noConversion"/>
  </si>
  <si>
    <t>股本及资本公积</t>
    <phoneticPr fontId="3" type="noConversion"/>
  </si>
  <si>
    <t>留存收益</t>
  </si>
  <si>
    <t xml:space="preserve">归属于母公司股东权益合计 </t>
  </si>
  <si>
    <t xml:space="preserve">少数股东权益 </t>
  </si>
  <si>
    <t xml:space="preserve">股东权益合计  </t>
  </si>
  <si>
    <t>负债和股东权益总计</t>
  </si>
  <si>
    <t>平衡测试</t>
  </si>
  <si>
    <t>（单位为百万元人民币，特殊说明除外）</t>
    <phoneticPr fontId="3" type="noConversion"/>
  </si>
  <si>
    <t>应收款项/营业收入</t>
    <phoneticPr fontId="1" type="noConversion"/>
  </si>
  <si>
    <t>预付款项/营业成本（不含折旧摊销）</t>
    <phoneticPr fontId="4" type="noConversion"/>
  </si>
  <si>
    <t>存货/营业成本（不含折旧摊销）</t>
    <phoneticPr fontId="4" type="noConversion"/>
  </si>
  <si>
    <t>其他经营性流动资产/营业收入</t>
    <phoneticPr fontId="1" type="noConversion"/>
  </si>
  <si>
    <t>应付款项/营业成本（不含折旧摊销）</t>
    <phoneticPr fontId="1" type="noConversion"/>
  </si>
  <si>
    <t>预收款项/营业收入</t>
    <phoneticPr fontId="4" type="noConversion"/>
  </si>
  <si>
    <t>其他经营性流动负债/营业收入</t>
    <phoneticPr fontId="4" type="noConversion"/>
  </si>
  <si>
    <t>融资缺口利率</t>
    <phoneticPr fontId="1" type="noConversion"/>
  </si>
  <si>
    <t>短期借款发行/（期末应收款项+期末预付款项）</t>
    <phoneticPr fontId="1" type="noConversion"/>
  </si>
  <si>
    <t>短期借款利率</t>
    <phoneticPr fontId="1" type="noConversion"/>
  </si>
  <si>
    <t>长期借款发行/资本性支出</t>
    <phoneticPr fontId="1" type="noConversion"/>
  </si>
  <si>
    <t>长期借款利率</t>
    <phoneticPr fontId="1" type="noConversion"/>
  </si>
  <si>
    <t>银行存款利率</t>
    <phoneticPr fontId="1" type="noConversion"/>
  </si>
  <si>
    <t>归属于母公司股东的分红/上一年归属于母公司股东的净利润</t>
    <phoneticPr fontId="1" type="noConversion"/>
  </si>
  <si>
    <t>归属于少数股东的分红</t>
    <phoneticPr fontId="1" type="noConversion"/>
  </si>
  <si>
    <t>经营性营运资金（OWC）</t>
    <phoneticPr fontId="1" type="noConversion"/>
  </si>
  <si>
    <t>应收款项</t>
    <phoneticPr fontId="1" type="noConversion"/>
  </si>
  <si>
    <t>预付款项</t>
    <phoneticPr fontId="4" type="noConversion"/>
  </si>
  <si>
    <t>存货</t>
    <phoneticPr fontId="4" type="noConversion"/>
  </si>
  <si>
    <t>其他经营性流动资产</t>
    <phoneticPr fontId="1" type="noConversion"/>
  </si>
  <si>
    <t>应付款项</t>
    <phoneticPr fontId="1" type="noConversion"/>
  </si>
  <si>
    <t>预收款项</t>
    <phoneticPr fontId="4" type="noConversion"/>
  </si>
  <si>
    <t>其他经营性流动负债</t>
    <phoneticPr fontId="4" type="noConversion"/>
  </si>
  <si>
    <t>融资缺口</t>
    <phoneticPr fontId="1" type="noConversion"/>
  </si>
  <si>
    <t>短期借款期初值</t>
    <phoneticPr fontId="1" type="noConversion"/>
  </si>
  <si>
    <t>短期借款发行</t>
    <phoneticPr fontId="1" type="noConversion"/>
  </si>
  <si>
    <t>短期借款期末值</t>
    <phoneticPr fontId="1" type="noConversion"/>
  </si>
  <si>
    <t>短期借款利率</t>
  </si>
  <si>
    <t>短期借款利息支出</t>
    <phoneticPr fontId="1" type="noConversion"/>
  </si>
  <si>
    <t>长期借款期初值</t>
  </si>
  <si>
    <t>长期借款发行</t>
  </si>
  <si>
    <t>长期借款期末值</t>
  </si>
  <si>
    <t>长期借款利率</t>
  </si>
  <si>
    <t>长期借款利息支出</t>
  </si>
  <si>
    <t>债务合计</t>
    <phoneticPr fontId="1" type="noConversion"/>
  </si>
  <si>
    <t>利息支出合计</t>
    <phoneticPr fontId="1" type="noConversion"/>
  </si>
  <si>
    <t>货币资金</t>
    <phoneticPr fontId="1" type="noConversion"/>
  </si>
  <si>
    <t>货币资金利息收入</t>
    <phoneticPr fontId="1" type="noConversion"/>
  </si>
  <si>
    <t>财务费用</t>
    <phoneticPr fontId="1" type="noConversion"/>
  </si>
  <si>
    <t>留存收益</t>
    <phoneticPr fontId="1" type="noConversion"/>
  </si>
  <si>
    <t>期初值</t>
    <phoneticPr fontId="1" type="noConversion"/>
  </si>
  <si>
    <t>归属于母公司股东的净利润</t>
  </si>
  <si>
    <t>归属于母公司股东的分红</t>
    <phoneticPr fontId="1" type="noConversion"/>
  </si>
  <si>
    <t>期末值</t>
    <phoneticPr fontId="1" type="noConversion"/>
  </si>
  <si>
    <t>少数股东权益</t>
    <phoneticPr fontId="1" type="noConversion"/>
  </si>
  <si>
    <t>少数股东损益</t>
    <phoneticPr fontId="1" type="noConversion"/>
  </si>
  <si>
    <t>固定资产</t>
    <phoneticPr fontId="1" type="noConversion"/>
  </si>
  <si>
    <t>固定资产购建</t>
    <phoneticPr fontId="1" type="noConversion"/>
  </si>
  <si>
    <t>折旧</t>
    <phoneticPr fontId="1" type="noConversion"/>
  </si>
  <si>
    <t>无形资产购置</t>
    <phoneticPr fontId="1" type="noConversion"/>
  </si>
  <si>
    <t>无形资产摊销</t>
    <phoneticPr fontId="1" type="noConversion"/>
  </si>
  <si>
    <t>新增长期待摊费用</t>
    <phoneticPr fontId="1" type="noConversion"/>
  </si>
  <si>
    <t>长期待摊费用摊销</t>
    <phoneticPr fontId="1" type="noConversion"/>
  </si>
  <si>
    <t>利润表 Income Statement</t>
    <phoneticPr fontId="2" type="noConversion"/>
  </si>
  <si>
    <t>营业成本（不含折旧、摊销）/营业收入</t>
    <phoneticPr fontId="3" type="noConversion"/>
  </si>
  <si>
    <t>销售费用（不含折旧、摊销）/营业收入</t>
    <phoneticPr fontId="3" type="noConversion"/>
  </si>
  <si>
    <t>管理费用（不含折旧、摊销）/营业收入</t>
    <phoneticPr fontId="3" type="noConversion"/>
  </si>
  <si>
    <t>其他经营性损益/营业收入</t>
    <phoneticPr fontId="1" type="noConversion"/>
  </si>
  <si>
    <t>非经常性或非经营性损益</t>
    <phoneticPr fontId="3" type="noConversion"/>
  </si>
  <si>
    <t>有效所得税率</t>
    <phoneticPr fontId="1" type="noConversion"/>
  </si>
  <si>
    <t>少数股东损益</t>
  </si>
  <si>
    <t>已发行普通股数（百万股）</t>
    <phoneticPr fontId="3" type="noConversion"/>
  </si>
  <si>
    <t>营业收入</t>
  </si>
  <si>
    <t>营业成本（不含折旧、摊销）</t>
    <phoneticPr fontId="3" type="noConversion"/>
  </si>
  <si>
    <t>销售费用（不含折旧、摊销）</t>
    <phoneticPr fontId="3" type="noConversion"/>
  </si>
  <si>
    <t>管理费用（不含折旧、摊销）</t>
    <phoneticPr fontId="3" type="noConversion"/>
  </si>
  <si>
    <t>其他经营性损益</t>
    <phoneticPr fontId="1" type="noConversion"/>
  </si>
  <si>
    <t>折旧</t>
  </si>
  <si>
    <t>摊销</t>
    <phoneticPr fontId="3" type="noConversion"/>
  </si>
  <si>
    <t>非经常性或非经营性损益</t>
    <phoneticPr fontId="3" type="noConversion"/>
  </si>
  <si>
    <t>利润总额</t>
  </si>
  <si>
    <t>所得税</t>
    <phoneticPr fontId="3" type="noConversion"/>
  </si>
  <si>
    <t>净利润</t>
    <phoneticPr fontId="3" type="noConversion"/>
  </si>
  <si>
    <t>已发行普通股数（百万股）</t>
    <phoneticPr fontId="3" type="noConversion"/>
  </si>
  <si>
    <t>每股收益（元/股）</t>
    <phoneticPr fontId="3" type="noConversion"/>
  </si>
  <si>
    <t>快递业务票均收入（元/单）</t>
    <phoneticPr fontId="1" type="noConversion"/>
  </si>
  <si>
    <t>快件业务量增速</t>
    <phoneticPr fontId="1" type="noConversion"/>
  </si>
  <si>
    <t>商品销售业务收入</t>
    <phoneticPr fontId="1" type="noConversion"/>
  </si>
  <si>
    <t>其他业务收入/速运物流业务收入</t>
    <phoneticPr fontId="1" type="noConversion"/>
  </si>
  <si>
    <t>快件业务量（百万单）</t>
    <phoneticPr fontId="1" type="noConversion"/>
  </si>
  <si>
    <t>速运物流业务收入</t>
    <phoneticPr fontId="1" type="noConversion"/>
  </si>
  <si>
    <t>折旧/期初固定资产</t>
    <phoneticPr fontId="1" type="noConversion"/>
  </si>
  <si>
    <t>无形资产摊销/期初无形资产</t>
    <phoneticPr fontId="1" type="noConversion"/>
  </si>
  <si>
    <t>长期待摊费用摊销/期初长期待摊费用</t>
    <phoneticPr fontId="1" type="noConversion"/>
  </si>
  <si>
    <t>折旧摊销合计</t>
    <phoneticPr fontId="1" type="noConversion"/>
  </si>
  <si>
    <t>营业收入</t>
    <phoneticPr fontId="1" type="noConversion"/>
  </si>
  <si>
    <t>速运物流收入</t>
    <phoneticPr fontId="1" type="noConversion"/>
  </si>
  <si>
    <t>税金及附加/营业收入</t>
    <phoneticPr fontId="1" type="noConversion"/>
  </si>
  <si>
    <t>税金及附加</t>
    <phoneticPr fontId="1" type="noConversion"/>
  </si>
  <si>
    <t>投资收益</t>
    <phoneticPr fontId="1" type="noConversion"/>
  </si>
  <si>
    <t>投资收益/期末非核心资产（流动）</t>
    <phoneticPr fontId="1" type="noConversion"/>
  </si>
  <si>
    <t>单件折旧摊销（元/件）</t>
    <phoneticPr fontId="1" type="noConversion"/>
  </si>
  <si>
    <t>物流公司财务预测与估值模型</t>
    <phoneticPr fontId="3" type="noConversion"/>
  </si>
  <si>
    <t>物流公司</t>
    <phoneticPr fontId="1" type="noConversion"/>
  </si>
  <si>
    <t>少数股东损益</t>
    <phoneticPr fontId="1" type="noConversion"/>
  </si>
  <si>
    <t>资本性支出表 Capital Expenditures</t>
    <phoneticPr fontId="2" type="noConversion"/>
  </si>
  <si>
    <t>固定资产购建/营业收入</t>
    <phoneticPr fontId="1" type="noConversion"/>
  </si>
  <si>
    <t>无形资产购置/营业收入</t>
    <phoneticPr fontId="1" type="noConversion"/>
  </si>
  <si>
    <t>期末三项长期资产/当期快递业务量（元/单）</t>
    <phoneticPr fontId="1" type="noConversion"/>
  </si>
  <si>
    <t>估值时点</t>
    <phoneticPr fontId="1" type="noConversion"/>
  </si>
  <si>
    <t>EBITDA退出倍数</t>
    <phoneticPr fontId="1" type="noConversion"/>
  </si>
  <si>
    <t>WACC</t>
    <phoneticPr fontId="1" type="noConversion"/>
  </si>
  <si>
    <t>中间计算表 Calculations</t>
    <phoneticPr fontId="2" type="noConversion"/>
  </si>
  <si>
    <t>短期借款偿还/期初短期借款</t>
    <phoneticPr fontId="1" type="noConversion"/>
  </si>
  <si>
    <t>长期借款偿还/期初长期借款</t>
    <phoneticPr fontId="1" type="noConversion"/>
  </si>
  <si>
    <t>Financial Forecast and Valuation Model 
Logistics Company</t>
    <phoneticPr fontId="3" type="noConversion"/>
  </si>
  <si>
    <t>新增长期待摊费用/营业收入</t>
    <phoneticPr fontId="1" type="noConversion"/>
  </si>
  <si>
    <t>短期借款偿还</t>
    <phoneticPr fontId="1" type="noConversion"/>
  </si>
  <si>
    <t>长期借款偿还</t>
    <phoneticPr fontId="1" type="noConversion"/>
  </si>
  <si>
    <t>融资缺口利息支出</t>
    <phoneticPr fontId="1" type="noConversion"/>
  </si>
  <si>
    <t>投资收益</t>
    <phoneticPr fontId="1" type="noConversion"/>
  </si>
  <si>
    <t>（投资收益）</t>
    <phoneticPr fontId="1" type="noConversion"/>
  </si>
  <si>
    <t>非核心资产（流动+非流动）的市场价值/账面价值</t>
    <phoneticPr fontId="3" type="noConversion"/>
  </si>
  <si>
    <t>假设表 Assumption</t>
    <phoneticPr fontId="2" type="noConversion"/>
  </si>
  <si>
    <t>现金流量表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</si>
</sst>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_ "/>
    <numFmt numFmtId="177" formatCode="0.0%"/>
    <numFmt numFmtId="178" formatCode="#,##0_ "/>
    <numFmt numFmtId="179" formatCode="#,##0.00_ "/>
    <numFmt numFmtId="180" formatCode="0.0\ \x"/>
  </numFmts>
  <fonts count="37" x14ac:knownFonts="1">
    <font>
      <sz val="10"/>
      <color theme="1"/>
      <name val="arial"/>
      <family val="2"/>
      <charset val="134"/>
    </font>
    <font>
      <sz val="9"/>
      <name val="Arial"/>
      <family val="2"/>
      <charset val="134"/>
    </font>
    <font>
      <sz val="9"/>
      <name val="Arial"/>
      <family val="2"/>
    </font>
    <font>
      <sz val="9"/>
      <name val="宋体"/>
      <family val="3"/>
      <charset val="134"/>
    </font>
    <font>
      <sz val="10"/>
      <name val="Arial"/>
      <family val="2"/>
    </font>
    <font>
      <sz val="9"/>
      <color indexed="81"/>
      <name val="宋体"/>
      <family val="3"/>
      <charset val="134"/>
    </font>
    <font>
      <b/>
      <sz val="9"/>
      <color indexed="81"/>
      <name val="宋体"/>
      <family val="3"/>
      <charset val="134"/>
    </font>
    <font>
      <sz val="9"/>
      <color indexed="81"/>
      <name val="Arial"/>
      <family val="2"/>
    </font>
    <font>
      <b/>
      <sz val="15"/>
      <name val="华文细黑"/>
      <family val="3"/>
      <charset val="134"/>
    </font>
    <font>
      <b/>
      <sz val="10"/>
      <name val="华文细黑"/>
      <family val="3"/>
      <charset val="134"/>
    </font>
    <font>
      <sz val="10"/>
      <name val="华文细黑"/>
      <family val="3"/>
      <charset val="134"/>
    </font>
    <font>
      <b/>
      <sz val="24"/>
      <color indexed="9"/>
      <name val="华文细黑"/>
      <family val="3"/>
      <charset val="134"/>
    </font>
    <font>
      <b/>
      <sz val="11"/>
      <name val="华文细黑"/>
      <family val="3"/>
      <charset val="134"/>
    </font>
    <font>
      <b/>
      <sz val="8"/>
      <name val="Arial"/>
      <family val="2"/>
    </font>
    <font>
      <b/>
      <sz val="9"/>
      <color indexed="81"/>
      <name val="华文细黑"/>
      <family val="3"/>
      <charset val="134"/>
    </font>
    <font>
      <sz val="9"/>
      <color indexed="81"/>
      <name val="华文细黑"/>
      <family val="3"/>
      <charset val="134"/>
    </font>
    <font>
      <sz val="10"/>
      <color indexed="8"/>
      <name val="华文细黑"/>
      <family val="3"/>
      <charset val="134"/>
    </font>
    <font>
      <b/>
      <sz val="10"/>
      <color indexed="8"/>
      <name val="华文细黑"/>
      <family val="3"/>
      <charset val="134"/>
    </font>
    <font>
      <sz val="10"/>
      <color theme="1"/>
      <name val="华文细黑"/>
      <family val="3"/>
      <charset val="134"/>
    </font>
    <font>
      <b/>
      <i/>
      <sz val="10"/>
      <name val="华文细黑"/>
      <family val="3"/>
      <charset val="134"/>
    </font>
    <font>
      <sz val="9"/>
      <name val="华文细黑"/>
      <family val="3"/>
      <charset val="134"/>
    </font>
    <font>
      <b/>
      <sz val="9"/>
      <name val="华文细黑"/>
      <family val="3"/>
      <charset val="134"/>
    </font>
    <font>
      <sz val="11"/>
      <color indexed="8"/>
      <name val="华文细黑"/>
      <family val="3"/>
      <charset val="134"/>
    </font>
    <font>
      <u/>
      <sz val="10"/>
      <color rgb="FF0000FF"/>
      <name val="华文细黑"/>
      <family val="3"/>
      <charset val="134"/>
    </font>
    <font>
      <b/>
      <sz val="9"/>
      <color indexed="8"/>
      <name val="华文细黑"/>
      <family val="3"/>
      <charset val="134"/>
    </font>
    <font>
      <sz val="10"/>
      <color rgb="FF0000FF"/>
      <name val="华文细黑"/>
      <family val="3"/>
      <charset val="134"/>
    </font>
    <font>
      <sz val="10"/>
      <color indexed="9"/>
      <name val="华文细黑"/>
      <family val="3"/>
      <charset val="134"/>
    </font>
    <font>
      <b/>
      <sz val="10"/>
      <color theme="1"/>
      <name val="华文细黑"/>
      <family val="3"/>
      <charset val="134"/>
    </font>
    <font>
      <b/>
      <sz val="12"/>
      <name val="华文细黑"/>
      <family val="3"/>
      <charset val="134"/>
    </font>
    <font>
      <b/>
      <sz val="10"/>
      <color indexed="9"/>
      <name val="华文细黑"/>
      <family val="3"/>
      <charset val="134"/>
    </font>
    <font>
      <sz val="10"/>
      <color indexed="12"/>
      <name val="华文细黑"/>
      <family val="3"/>
      <charset val="134"/>
    </font>
    <font>
      <i/>
      <sz val="10"/>
      <name val="华文细黑"/>
      <family val="3"/>
      <charset val="134"/>
    </font>
    <font>
      <b/>
      <sz val="10"/>
      <color indexed="12"/>
      <name val="华文细黑"/>
      <family val="3"/>
      <charset val="134"/>
    </font>
    <font>
      <sz val="16"/>
      <color indexed="9"/>
      <name val="华文细黑"/>
      <family val="3"/>
      <charset val="134"/>
    </font>
    <font>
      <b/>
      <sz val="15"/>
      <color theme="0"/>
      <name val="华文细黑"/>
      <family val="3"/>
      <charset val="134"/>
    </font>
    <font>
      <sz val="9"/>
      <color theme="0"/>
      <name val="华文细黑"/>
      <family val="3"/>
      <charset val="134"/>
    </font>
    <font>
      <sz val="9"/>
      <color indexed="12"/>
      <name val="华文细黑"/>
      <family val="3"/>
      <charset val="134"/>
    </font>
  </fonts>
  <fills count="8">
    <fill>
      <patternFill patternType="none"/>
    </fill>
    <fill>
      <patternFill patternType="gray125"/>
    </fill>
    <fill>
      <patternFill patternType="solid">
        <fgColor indexed="9"/>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1"/>
        <bgColor indexed="64"/>
      </patternFill>
    </fill>
    <fill>
      <patternFill patternType="solid">
        <fgColor theme="0" tint="-4.9989318521683403E-2"/>
        <bgColor indexed="64"/>
      </patternFill>
    </fill>
    <fill>
      <patternFill patternType="solid">
        <fgColor rgb="FFFFF4F4"/>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hair">
        <color indexed="64"/>
      </bottom>
      <diagonal/>
    </border>
    <border>
      <left/>
      <right/>
      <top style="hair">
        <color indexed="64"/>
      </top>
      <bottom style="hair">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ashed">
        <color rgb="FFBB0502"/>
      </left>
      <right style="dashed">
        <color rgb="FFBB0502"/>
      </right>
      <top style="dashed">
        <color rgb="FFBB0502"/>
      </top>
      <bottom style="dashed">
        <color rgb="FFBB0502"/>
      </bottom>
      <diagonal/>
    </border>
    <border>
      <left style="dashed">
        <color rgb="FFC00000"/>
      </left>
      <right style="dashed">
        <color rgb="FFC00000"/>
      </right>
      <top style="dashed">
        <color rgb="FFC00000"/>
      </top>
      <bottom style="dashed">
        <color rgb="FFC00000"/>
      </bottom>
      <diagonal/>
    </border>
  </borders>
  <cellStyleXfs count="2">
    <xf numFmtId="0" fontId="0" fillId="0" borderId="0">
      <alignment vertical="center"/>
    </xf>
    <xf numFmtId="0" fontId="4" fillId="0" borderId="0"/>
  </cellStyleXfs>
  <cellXfs count="97">
    <xf numFmtId="0" fontId="0" fillId="0" borderId="0" xfId="0">
      <alignment vertical="center"/>
    </xf>
    <xf numFmtId="178" fontId="10" fillId="0" borderId="0" xfId="0" applyNumberFormat="1" applyFont="1" applyBorder="1" applyAlignment="1"/>
    <xf numFmtId="178" fontId="9" fillId="0" borderId="0" xfId="0" applyNumberFormat="1" applyFont="1" applyBorder="1" applyAlignment="1"/>
    <xf numFmtId="176" fontId="10" fillId="0" borderId="0" xfId="0" applyNumberFormat="1" applyFont="1" applyBorder="1" applyAlignment="1"/>
    <xf numFmtId="176" fontId="9" fillId="0" borderId="0" xfId="0" applyNumberFormat="1" applyFont="1" applyBorder="1" applyAlignment="1"/>
    <xf numFmtId="178" fontId="8" fillId="0" borderId="0" xfId="0" applyNumberFormat="1" applyFont="1" applyFill="1" applyBorder="1" applyAlignment="1">
      <alignment vertical="center"/>
    </xf>
    <xf numFmtId="178" fontId="20" fillId="0" borderId="0" xfId="0" applyNumberFormat="1" applyFont="1" applyBorder="1" applyAlignment="1"/>
    <xf numFmtId="178" fontId="12" fillId="0" borderId="0" xfId="0" applyNumberFormat="1" applyFont="1" applyFill="1" applyBorder="1" applyAlignment="1">
      <alignment vertical="center"/>
    </xf>
    <xf numFmtId="178" fontId="12" fillId="0" borderId="0" xfId="0" applyNumberFormat="1" applyFont="1" applyFill="1" applyBorder="1" applyAlignment="1"/>
    <xf numFmtId="178" fontId="22" fillId="0" borderId="0" xfId="0" applyNumberFormat="1" applyFont="1" applyFill="1" applyBorder="1" applyAlignment="1"/>
    <xf numFmtId="178" fontId="16" fillId="3" borderId="0" xfId="0" applyNumberFormat="1" applyFont="1" applyFill="1" applyBorder="1" applyAlignment="1"/>
    <xf numFmtId="178" fontId="23" fillId="3" borderId="0" xfId="0" applyNumberFormat="1" applyFont="1" applyFill="1" applyBorder="1" applyAlignment="1">
      <alignment horizontal="center"/>
    </xf>
    <xf numFmtId="178" fontId="24" fillId="0" borderId="0" xfId="0" applyNumberFormat="1" applyFont="1" applyFill="1" applyBorder="1" applyAlignment="1"/>
    <xf numFmtId="178" fontId="16" fillId="0" borderId="0" xfId="0" applyNumberFormat="1" applyFont="1" applyFill="1" applyBorder="1" applyAlignment="1"/>
    <xf numFmtId="178" fontId="16" fillId="0" borderId="0" xfId="0" applyNumberFormat="1" applyFont="1" applyFill="1" applyBorder="1" applyAlignment="1">
      <alignment horizontal="center"/>
    </xf>
    <xf numFmtId="178" fontId="17" fillId="3" borderId="0" xfId="0" applyNumberFormat="1" applyFont="1" applyFill="1" applyBorder="1" applyAlignment="1"/>
    <xf numFmtId="178" fontId="17" fillId="0" borderId="0" xfId="0" applyNumberFormat="1" applyFont="1" applyFill="1" applyBorder="1" applyAlignment="1"/>
    <xf numFmtId="9" fontId="10" fillId="0" borderId="0" xfId="0" applyNumberFormat="1" applyFont="1" applyBorder="1" applyAlignment="1"/>
    <xf numFmtId="177" fontId="10" fillId="0" borderId="0" xfId="0" applyNumberFormat="1" applyFont="1" applyBorder="1" applyAlignment="1"/>
    <xf numFmtId="176" fontId="25" fillId="0" borderId="0" xfId="0" applyNumberFormat="1" applyFont="1" applyBorder="1" applyAlignment="1"/>
    <xf numFmtId="177" fontId="25" fillId="0" borderId="0" xfId="0" applyNumberFormat="1" applyFont="1" applyBorder="1" applyAlignment="1"/>
    <xf numFmtId="176" fontId="10" fillId="4" borderId="0" xfId="0" applyNumberFormat="1" applyFont="1" applyFill="1" applyBorder="1" applyAlignment="1"/>
    <xf numFmtId="49" fontId="8" fillId="0" borderId="0" xfId="0" applyNumberFormat="1" applyFont="1" applyFill="1" applyBorder="1" applyAlignment="1">
      <alignment vertical="center"/>
    </xf>
    <xf numFmtId="0" fontId="9" fillId="0" borderId="0" xfId="1" applyFont="1" applyAlignment="1">
      <alignment vertical="center"/>
    </xf>
    <xf numFmtId="0" fontId="10" fillId="0" borderId="0" xfId="1" applyFont="1" applyAlignment="1">
      <alignment vertical="center"/>
    </xf>
    <xf numFmtId="0" fontId="18" fillId="0" borderId="0" xfId="0" applyFont="1">
      <alignment vertical="center"/>
    </xf>
    <xf numFmtId="0" fontId="9" fillId="2" borderId="0" xfId="1" applyFont="1" applyFill="1"/>
    <xf numFmtId="0" fontId="9" fillId="2" borderId="0" xfId="1" applyFont="1" applyFill="1" applyAlignment="1">
      <alignment horizontal="center" vertical="center" wrapText="1"/>
    </xf>
    <xf numFmtId="0" fontId="28" fillId="2" borderId="0" xfId="1" applyFont="1" applyFill="1" applyAlignment="1">
      <alignment horizontal="center" vertical="center"/>
    </xf>
    <xf numFmtId="0" fontId="28" fillId="2" borderId="0" xfId="1" applyFont="1" applyFill="1" applyAlignment="1"/>
    <xf numFmtId="0" fontId="10" fillId="0" borderId="0" xfId="1" applyFont="1" applyBorder="1" applyAlignment="1">
      <alignment vertical="center"/>
    </xf>
    <xf numFmtId="0" fontId="10" fillId="0" borderId="0" xfId="1" applyFont="1" applyFill="1"/>
    <xf numFmtId="0" fontId="12" fillId="0" borderId="0" xfId="1" applyFont="1" applyAlignment="1">
      <alignment vertical="center"/>
    </xf>
    <xf numFmtId="0" fontId="12" fillId="0" borderId="0" xfId="1" applyFont="1" applyFill="1" applyAlignment="1">
      <alignment horizontal="left"/>
    </xf>
    <xf numFmtId="0" fontId="10" fillId="0" borderId="0" xfId="1" applyFont="1"/>
    <xf numFmtId="0" fontId="10" fillId="0" borderId="0" xfId="1" applyFont="1" applyFill="1" applyAlignment="1"/>
    <xf numFmtId="49" fontId="10" fillId="0" borderId="2" xfId="1" applyNumberFormat="1" applyFont="1" applyFill="1" applyBorder="1" applyAlignment="1">
      <alignment horizontal="right"/>
    </xf>
    <xf numFmtId="0" fontId="10" fillId="0" borderId="0" xfId="1" applyFont="1" applyFill="1" applyAlignment="1">
      <alignment horizontal="center"/>
    </xf>
    <xf numFmtId="0" fontId="20" fillId="0" borderId="0" xfId="1" applyFont="1" applyAlignment="1">
      <alignment vertical="center"/>
    </xf>
    <xf numFmtId="0" fontId="10" fillId="0" borderId="3" xfId="1" applyFont="1" applyFill="1" applyBorder="1" applyAlignment="1">
      <alignment horizontal="right"/>
    </xf>
    <xf numFmtId="178" fontId="30" fillId="0" borderId="0" xfId="1" applyNumberFormat="1" applyFont="1" applyFill="1"/>
    <xf numFmtId="178" fontId="10" fillId="0" borderId="0" xfId="1" applyNumberFormat="1" applyFont="1" applyFill="1"/>
    <xf numFmtId="0" fontId="10" fillId="0" borderId="0" xfId="1" applyFont="1" applyFill="1" applyAlignment="1">
      <alignment horizontal="left" vertical="center"/>
    </xf>
    <xf numFmtId="0" fontId="9" fillId="0" borderId="0" xfId="1" applyFont="1" applyFill="1" applyAlignment="1">
      <alignment horizontal="left"/>
    </xf>
    <xf numFmtId="14" fontId="10" fillId="0" borderId="3" xfId="1" applyNumberFormat="1" applyFont="1" applyFill="1" applyBorder="1" applyAlignment="1">
      <alignment horizontal="right"/>
    </xf>
    <xf numFmtId="178" fontId="10" fillId="0" borderId="0" xfId="1" applyNumberFormat="1" applyFont="1" applyAlignment="1">
      <alignment vertical="center"/>
    </xf>
    <xf numFmtId="0" fontId="10" fillId="0" borderId="0" xfId="1" applyFont="1" applyAlignment="1">
      <alignment horizontal="center" vertical="center"/>
    </xf>
    <xf numFmtId="176" fontId="31" fillId="0" borderId="0" xfId="0" applyNumberFormat="1" applyFont="1" applyBorder="1" applyAlignment="1"/>
    <xf numFmtId="0" fontId="10" fillId="0" borderId="0" xfId="1" applyFont="1" applyFill="1" applyBorder="1"/>
    <xf numFmtId="178" fontId="30" fillId="0" borderId="0" xfId="0" applyNumberFormat="1" applyFont="1" applyFill="1" applyBorder="1" applyAlignment="1"/>
    <xf numFmtId="178" fontId="31" fillId="0" borderId="0" xfId="0" applyNumberFormat="1" applyFont="1" applyBorder="1" applyAlignment="1"/>
    <xf numFmtId="178" fontId="19" fillId="0" borderId="0" xfId="0" applyNumberFormat="1" applyFont="1" applyBorder="1" applyAlignment="1"/>
    <xf numFmtId="178" fontId="9" fillId="0" borderId="0" xfId="0" applyNumberFormat="1" applyFont="1" applyFill="1" applyBorder="1" applyAlignment="1"/>
    <xf numFmtId="178" fontId="21" fillId="0" borderId="0" xfId="0" applyNumberFormat="1" applyFont="1" applyBorder="1" applyAlignment="1"/>
    <xf numFmtId="178" fontId="30" fillId="0" borderId="0" xfId="0" applyNumberFormat="1" applyFont="1" applyBorder="1" applyAlignment="1"/>
    <xf numFmtId="176" fontId="9" fillId="0" borderId="0" xfId="0" applyNumberFormat="1" applyFont="1" applyFill="1" applyBorder="1" applyAlignment="1"/>
    <xf numFmtId="178" fontId="16" fillId="0" borderId="0" xfId="0" applyNumberFormat="1" applyFont="1" applyBorder="1" applyAlignment="1">
      <alignment horizontal="center"/>
    </xf>
    <xf numFmtId="178" fontId="25" fillId="0" borderId="0" xfId="0" applyNumberFormat="1" applyFont="1" applyBorder="1" applyAlignment="1">
      <alignment horizontal="right"/>
    </xf>
    <xf numFmtId="178" fontId="17" fillId="0" borderId="0" xfId="0" applyNumberFormat="1" applyFont="1" applyBorder="1" applyAlignment="1"/>
    <xf numFmtId="178" fontId="10" fillId="0" borderId="0" xfId="0" applyNumberFormat="1" applyFont="1" applyFill="1" applyBorder="1" applyAlignment="1"/>
    <xf numFmtId="178" fontId="16" fillId="0" borderId="0" xfId="0" applyNumberFormat="1" applyFont="1" applyBorder="1" applyAlignment="1"/>
    <xf numFmtId="176" fontId="25" fillId="0" borderId="0" xfId="0" applyNumberFormat="1" applyFont="1" applyBorder="1" applyAlignment="1">
      <alignment horizontal="right"/>
    </xf>
    <xf numFmtId="179" fontId="9" fillId="0" borderId="0" xfId="0" applyNumberFormat="1" applyFont="1" applyFill="1" applyBorder="1" applyAlignment="1"/>
    <xf numFmtId="176" fontId="30" fillId="0" borderId="0" xfId="0" applyNumberFormat="1" applyFont="1" applyFill="1" applyBorder="1" applyAlignment="1"/>
    <xf numFmtId="178" fontId="32" fillId="0" borderId="0" xfId="0" applyNumberFormat="1" applyFont="1" applyFill="1" applyBorder="1" applyAlignment="1"/>
    <xf numFmtId="179" fontId="10" fillId="0" borderId="0" xfId="0" applyNumberFormat="1" applyFont="1" applyBorder="1" applyAlignment="1"/>
    <xf numFmtId="177" fontId="10" fillId="0" borderId="0" xfId="0" applyNumberFormat="1" applyFont="1" applyFill="1" applyBorder="1" applyAlignment="1"/>
    <xf numFmtId="0" fontId="26" fillId="5" borderId="0" xfId="1" applyFont="1" applyFill="1"/>
    <xf numFmtId="0" fontId="29" fillId="5" borderId="0" xfId="1" applyFont="1" applyFill="1"/>
    <xf numFmtId="0" fontId="10" fillId="5" borderId="0" xfId="1" applyFont="1" applyFill="1" applyAlignment="1">
      <alignment vertical="center"/>
    </xf>
    <xf numFmtId="178" fontId="20" fillId="5" borderId="0" xfId="0" applyNumberFormat="1" applyFont="1" applyFill="1" applyBorder="1" applyAlignment="1"/>
    <xf numFmtId="178" fontId="34" fillId="5" borderId="0" xfId="0" applyNumberFormat="1" applyFont="1" applyFill="1" applyBorder="1" applyAlignment="1">
      <alignment vertical="center"/>
    </xf>
    <xf numFmtId="178" fontId="35" fillId="5" borderId="0" xfId="0" applyNumberFormat="1" applyFont="1" applyFill="1" applyBorder="1" applyAlignment="1"/>
    <xf numFmtId="176" fontId="30" fillId="6" borderId="10" xfId="0" applyNumberFormat="1" applyFont="1" applyFill="1" applyBorder="1" applyAlignment="1"/>
    <xf numFmtId="177" fontId="30" fillId="6" borderId="10" xfId="0" applyNumberFormat="1" applyFont="1" applyFill="1" applyBorder="1" applyAlignment="1"/>
    <xf numFmtId="178" fontId="30" fillId="6" borderId="10" xfId="0" applyNumberFormat="1" applyFont="1" applyFill="1" applyBorder="1" applyAlignment="1"/>
    <xf numFmtId="177" fontId="30" fillId="6" borderId="11" xfId="0" applyNumberFormat="1" applyFont="1" applyFill="1" applyBorder="1" applyAlignment="1"/>
    <xf numFmtId="178" fontId="30" fillId="6" borderId="11" xfId="0" applyNumberFormat="1" applyFont="1" applyFill="1" applyBorder="1" applyAlignment="1"/>
    <xf numFmtId="180" fontId="25" fillId="0" borderId="0" xfId="0" applyNumberFormat="1" applyFont="1" applyBorder="1" applyAlignment="1"/>
    <xf numFmtId="14" fontId="36" fillId="7" borderId="1" xfId="0" applyNumberFormat="1" applyFont="1" applyFill="1" applyBorder="1" applyAlignment="1"/>
    <xf numFmtId="177" fontId="30" fillId="7" borderId="1" xfId="0" applyNumberFormat="1" applyFont="1" applyFill="1" applyBorder="1" applyAlignment="1"/>
    <xf numFmtId="180" fontId="30" fillId="7" borderId="1" xfId="0" applyNumberFormat="1" applyFont="1" applyFill="1" applyBorder="1" applyAlignment="1"/>
    <xf numFmtId="178" fontId="17" fillId="0" borderId="0" xfId="0" applyNumberFormat="1" applyFont="1" applyBorder="1" applyAlignment="1">
      <alignment horizontal="center"/>
    </xf>
    <xf numFmtId="178" fontId="18" fillId="0" borderId="0" xfId="0" applyNumberFormat="1" applyFont="1" applyFill="1" applyBorder="1" applyAlignment="1"/>
    <xf numFmtId="178" fontId="27" fillId="0" borderId="0" xfId="0" applyNumberFormat="1" applyFont="1" applyFill="1" applyBorder="1" applyAlignment="1"/>
    <xf numFmtId="179" fontId="27" fillId="0" borderId="0" xfId="0" applyNumberFormat="1" applyFont="1" applyFill="1" applyBorder="1" applyAlignment="1"/>
    <xf numFmtId="177" fontId="18" fillId="0" borderId="0" xfId="0" applyNumberFormat="1" applyFont="1" applyFill="1" applyBorder="1" applyAlignment="1"/>
    <xf numFmtId="178" fontId="27" fillId="0" borderId="0" xfId="0" applyNumberFormat="1" applyFont="1" applyFill="1" applyBorder="1" applyAlignment="1">
      <alignment horizontal="center"/>
    </xf>
    <xf numFmtId="0" fontId="11" fillId="5" borderId="0" xfId="1" applyFont="1" applyFill="1" applyAlignment="1">
      <alignment horizontal="center" vertical="center" wrapText="1"/>
    </xf>
    <xf numFmtId="0" fontId="27" fillId="5" borderId="0" xfId="0" applyFont="1" applyFill="1" applyAlignment="1">
      <alignment vertical="center"/>
    </xf>
    <xf numFmtId="0" fontId="33" fillId="5" borderId="0" xfId="1" applyFont="1" applyFill="1" applyAlignment="1">
      <alignment horizontal="center" vertical="center" wrapText="1"/>
    </xf>
    <xf numFmtId="178" fontId="9" fillId="0" borderId="4" xfId="0" applyNumberFormat="1" applyFont="1" applyBorder="1" applyAlignment="1">
      <alignment horizontal="center" vertical="center" wrapText="1"/>
    </xf>
    <xf numFmtId="178" fontId="9" fillId="0" borderId="6" xfId="0" applyNumberFormat="1" applyFont="1" applyBorder="1" applyAlignment="1">
      <alignment horizontal="center" vertical="center" wrapText="1"/>
    </xf>
    <xf numFmtId="178" fontId="9" fillId="0" borderId="5" xfId="0" applyNumberFormat="1" applyFont="1" applyBorder="1" applyAlignment="1">
      <alignment horizontal="center" vertical="center" wrapText="1"/>
    </xf>
    <xf numFmtId="178" fontId="9" fillId="0" borderId="7" xfId="0" applyNumberFormat="1" applyFont="1" applyBorder="1" applyAlignment="1">
      <alignment horizontal="center" vertical="center"/>
    </xf>
    <xf numFmtId="178" fontId="9" fillId="0" borderId="8" xfId="0" applyNumberFormat="1" applyFont="1" applyBorder="1" applyAlignment="1">
      <alignment horizontal="center" vertical="center"/>
    </xf>
    <xf numFmtId="178" fontId="9" fillId="0" borderId="9" xfId="0" applyNumberFormat="1" applyFont="1" applyBorder="1" applyAlignment="1">
      <alignment horizontal="center" vertical="center"/>
    </xf>
  </cellXfs>
  <cellStyles count="2">
    <cellStyle name="常规" xfId="0" builtinId="0"/>
    <cellStyle name="常规 2" xfId="1" xr:uid="{00000000-0005-0000-0000-000001000000}"/>
  </cellStyles>
  <dxfs count="0"/>
  <tableStyles count="0" defaultTableStyle="TableStyleMedium2" defaultPivotStyle="PivotStyleLight16"/>
  <colors>
    <mruColors>
      <color rgb="FFFFF4F4"/>
      <color rgb="FFFFE7E7"/>
      <color rgb="FFFFD1D1"/>
      <color rgb="FFFE8D8A"/>
      <color rgb="FFBB0502"/>
      <color rgb="FFFF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647699</xdr:colOff>
      <xdr:row>6</xdr:row>
      <xdr:rowOff>189312</xdr:rowOff>
    </xdr:from>
    <xdr:to>
      <xdr:col>3</xdr:col>
      <xdr:colOff>160733</xdr:colOff>
      <xdr:row>8</xdr:row>
      <xdr:rowOff>91267</xdr:rowOff>
    </xdr:to>
    <xdr:sp macro="" textlink="">
      <xdr:nvSpPr>
        <xdr:cNvPr id="4" name="直角三角形 3">
          <a:extLst>
            <a:ext uri="{FF2B5EF4-FFF2-40B4-BE49-F238E27FC236}">
              <a16:creationId xmlns:a16="http://schemas.microsoft.com/office/drawing/2014/main" id="{1B2495D4-B1F4-43D5-8DA4-DBFDE17513FB}"/>
            </a:ext>
          </a:extLst>
        </xdr:cNvPr>
        <xdr:cNvSpPr/>
      </xdr:nvSpPr>
      <xdr:spPr>
        <a:xfrm rot="5400000">
          <a:off x="1548614" y="1205303"/>
          <a:ext cx="169846" cy="161925"/>
        </a:xfrm>
        <a:prstGeom prst="rtTriangle">
          <a:avLst/>
        </a:prstGeom>
        <a:solidFill>
          <a:srgbClr val="BB050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31"/>
  <sheetViews>
    <sheetView showGridLines="0" showRowColHeaders="0" tabSelected="1" zoomScaleNormal="100" workbookViewId="0"/>
  </sheetViews>
  <sheetFormatPr defaultColWidth="0" defaultRowHeight="12" customHeight="1" zeroHeight="1" x14ac:dyDescent="0.2"/>
  <cols>
    <col min="1" max="1" width="12.7109375" style="25" customWidth="1"/>
    <col min="2" max="2" width="0.85546875" style="25" customWidth="1"/>
    <col min="3" max="13" width="9.7109375" style="25" customWidth="1"/>
    <col min="14" max="14" width="0.85546875" style="25" customWidth="1"/>
    <col min="15" max="15" width="12.7109375" style="25" customWidth="1"/>
    <col min="16" max="256" width="0" style="25" hidden="1" customWidth="1"/>
    <col min="257" max="16384" width="9.140625" style="25" hidden="1"/>
  </cols>
  <sheetData>
    <row r="1" spans="1:15" ht="15" customHeight="1" x14ac:dyDescent="0.2">
      <c r="A1" s="22"/>
      <c r="B1" s="23"/>
      <c r="C1" s="23"/>
      <c r="D1" s="24"/>
      <c r="E1" s="24"/>
      <c r="F1" s="24"/>
      <c r="G1" s="24"/>
      <c r="H1" s="24"/>
      <c r="I1" s="24"/>
      <c r="J1" s="24"/>
      <c r="K1" s="24"/>
      <c r="L1" s="24"/>
      <c r="M1" s="24"/>
      <c r="N1" s="24"/>
      <c r="O1" s="24"/>
    </row>
    <row r="2" spans="1:15" ht="15" customHeight="1" x14ac:dyDescent="0.2">
      <c r="A2" s="22"/>
      <c r="B2" s="23"/>
      <c r="C2" s="23"/>
      <c r="D2" s="24"/>
      <c r="E2" s="24"/>
      <c r="F2" s="24"/>
      <c r="G2" s="24"/>
      <c r="H2" s="24"/>
      <c r="I2" s="24"/>
      <c r="J2" s="24"/>
      <c r="K2" s="24"/>
      <c r="L2" s="24"/>
      <c r="M2" s="24"/>
      <c r="N2" s="24"/>
      <c r="O2" s="24"/>
    </row>
    <row r="3" spans="1:15" ht="15" customHeight="1" x14ac:dyDescent="0.2">
      <c r="A3" s="24"/>
      <c r="B3" s="24"/>
      <c r="C3" s="24"/>
      <c r="D3" s="24"/>
      <c r="E3" s="24"/>
      <c r="F3" s="24"/>
      <c r="G3" s="24"/>
      <c r="H3" s="24"/>
      <c r="I3" s="24"/>
      <c r="J3" s="24"/>
      <c r="K3" s="24"/>
      <c r="L3" s="24"/>
      <c r="M3" s="24"/>
      <c r="N3" s="24"/>
      <c r="O3" s="24"/>
    </row>
    <row r="4" spans="1:15" ht="5.0999999999999996" customHeight="1" x14ac:dyDescent="0.2">
      <c r="A4" s="24"/>
      <c r="B4" s="69"/>
      <c r="C4" s="69"/>
      <c r="D4" s="69"/>
      <c r="E4" s="69"/>
      <c r="F4" s="69"/>
      <c r="G4" s="69"/>
      <c r="H4" s="69"/>
      <c r="I4" s="69"/>
      <c r="J4" s="69"/>
      <c r="K4" s="69"/>
      <c r="L4" s="69"/>
      <c r="M4" s="69"/>
      <c r="N4" s="69"/>
      <c r="O4" s="24"/>
    </row>
    <row r="5" spans="1:15" ht="15" customHeight="1" x14ac:dyDescent="0.2">
      <c r="A5" s="24"/>
      <c r="B5" s="69"/>
      <c r="C5" s="24"/>
      <c r="D5" s="24"/>
      <c r="E5" s="24"/>
      <c r="F5" s="24"/>
      <c r="G5" s="24"/>
      <c r="H5" s="24"/>
      <c r="I5" s="24"/>
      <c r="J5" s="24"/>
      <c r="K5" s="24"/>
      <c r="L5" s="24"/>
      <c r="M5" s="24"/>
      <c r="N5" s="69"/>
      <c r="O5" s="24"/>
    </row>
    <row r="6" spans="1:15" ht="15" customHeight="1" x14ac:dyDescent="0.2">
      <c r="A6" s="24"/>
      <c r="B6" s="69"/>
      <c r="C6" s="24"/>
      <c r="D6" s="24"/>
      <c r="E6" s="24"/>
      <c r="F6" s="24"/>
      <c r="G6" s="24"/>
      <c r="H6" s="24"/>
      <c r="I6" s="24"/>
      <c r="J6" s="24"/>
      <c r="K6" s="24"/>
      <c r="L6" s="24"/>
      <c r="M6" s="24"/>
      <c r="N6" s="69"/>
      <c r="O6" s="24"/>
    </row>
    <row r="7" spans="1:15" ht="15" customHeight="1" x14ac:dyDescent="0.2">
      <c r="A7" s="24"/>
      <c r="B7" s="69"/>
      <c r="C7" s="24"/>
      <c r="D7" s="24"/>
      <c r="E7" s="24"/>
      <c r="F7" s="24"/>
      <c r="G7" s="24"/>
      <c r="H7" s="24"/>
      <c r="I7" s="24"/>
      <c r="J7" s="24"/>
      <c r="K7" s="24"/>
      <c r="L7" s="24"/>
      <c r="M7" s="24"/>
      <c r="N7" s="69"/>
      <c r="O7" s="24"/>
    </row>
    <row r="8" spans="1:15" ht="6" customHeight="1" x14ac:dyDescent="0.25">
      <c r="A8" s="24"/>
      <c r="B8" s="69"/>
      <c r="C8" s="24"/>
      <c r="D8" s="67"/>
      <c r="E8" s="67"/>
      <c r="F8" s="67"/>
      <c r="G8" s="67"/>
      <c r="H8" s="67"/>
      <c r="I8" s="67"/>
      <c r="J8" s="67"/>
      <c r="K8" s="67"/>
      <c r="L8" s="67"/>
      <c r="M8" s="24"/>
      <c r="N8" s="69"/>
      <c r="O8" s="24"/>
    </row>
    <row r="9" spans="1:15" ht="24" customHeight="1" x14ac:dyDescent="0.2">
      <c r="A9" s="24"/>
      <c r="B9" s="69"/>
      <c r="C9" s="24"/>
      <c r="D9" s="88" t="s">
        <v>276</v>
      </c>
      <c r="E9" s="89"/>
      <c r="F9" s="89"/>
      <c r="G9" s="89"/>
      <c r="H9" s="89"/>
      <c r="I9" s="89"/>
      <c r="J9" s="89"/>
      <c r="K9" s="89"/>
      <c r="L9" s="89"/>
      <c r="M9" s="24"/>
      <c r="N9" s="69"/>
      <c r="O9" s="24"/>
    </row>
    <row r="10" spans="1:15" ht="24" customHeight="1" x14ac:dyDescent="0.2">
      <c r="A10" s="24"/>
      <c r="B10" s="69"/>
      <c r="C10" s="24"/>
      <c r="D10" s="89"/>
      <c r="E10" s="89"/>
      <c r="F10" s="89"/>
      <c r="G10" s="89"/>
      <c r="H10" s="89"/>
      <c r="I10" s="89"/>
      <c r="J10" s="89"/>
      <c r="K10" s="89"/>
      <c r="L10" s="89"/>
      <c r="M10" s="24"/>
      <c r="N10" s="69"/>
      <c r="O10" s="24"/>
    </row>
    <row r="11" spans="1:15" ht="0.95" customHeight="1" x14ac:dyDescent="0.3">
      <c r="A11" s="26"/>
      <c r="B11" s="69"/>
      <c r="C11" s="26"/>
      <c r="D11" s="26"/>
      <c r="E11" s="27"/>
      <c r="F11" s="27"/>
      <c r="G11" s="28"/>
      <c r="H11" s="28"/>
      <c r="I11" s="28"/>
      <c r="J11" s="29"/>
      <c r="K11" s="26"/>
      <c r="L11" s="26"/>
      <c r="M11" s="26"/>
      <c r="N11" s="69"/>
      <c r="O11" s="26"/>
    </row>
    <row r="12" spans="1:15" ht="24" customHeight="1" x14ac:dyDescent="0.25">
      <c r="A12" s="24"/>
      <c r="B12" s="69"/>
      <c r="C12" s="24"/>
      <c r="D12" s="68"/>
      <c r="E12" s="90" t="s">
        <v>289</v>
      </c>
      <c r="F12" s="90"/>
      <c r="G12" s="90"/>
      <c r="H12" s="90"/>
      <c r="I12" s="90"/>
      <c r="J12" s="90"/>
      <c r="K12" s="90"/>
      <c r="L12" s="68"/>
      <c r="M12" s="24"/>
      <c r="N12" s="69"/>
      <c r="O12" s="24"/>
    </row>
    <row r="13" spans="1:15" ht="24" customHeight="1" x14ac:dyDescent="0.25">
      <c r="A13" s="24"/>
      <c r="B13" s="69"/>
      <c r="C13" s="24"/>
      <c r="D13" s="68"/>
      <c r="E13" s="90"/>
      <c r="F13" s="90"/>
      <c r="G13" s="90"/>
      <c r="H13" s="90"/>
      <c r="I13" s="90"/>
      <c r="J13" s="90"/>
      <c r="K13" s="90"/>
      <c r="L13" s="68"/>
      <c r="M13" s="24"/>
      <c r="N13" s="69"/>
      <c r="O13" s="24"/>
    </row>
    <row r="14" spans="1:15" ht="15" customHeight="1" x14ac:dyDescent="0.25">
      <c r="A14" s="24"/>
      <c r="B14" s="69"/>
      <c r="C14" s="24"/>
      <c r="D14" s="30"/>
      <c r="E14" s="24"/>
      <c r="F14" s="24"/>
      <c r="G14" s="24"/>
      <c r="H14" s="24"/>
      <c r="I14" s="24"/>
      <c r="J14" s="24"/>
      <c r="K14" s="24"/>
      <c r="L14" s="24"/>
      <c r="M14" s="31"/>
      <c r="N14" s="69"/>
      <c r="O14" s="24"/>
    </row>
    <row r="15" spans="1:15" ht="15" customHeight="1" x14ac:dyDescent="0.25">
      <c r="A15" s="24"/>
      <c r="B15" s="69"/>
      <c r="C15" s="24"/>
      <c r="D15" s="30"/>
      <c r="E15" s="24"/>
      <c r="F15" s="24"/>
      <c r="G15" s="24"/>
      <c r="H15" s="24"/>
      <c r="I15" s="24"/>
      <c r="J15" s="24"/>
      <c r="K15" s="24"/>
      <c r="L15" s="24"/>
      <c r="M15" s="31"/>
      <c r="N15" s="69"/>
      <c r="O15" s="24"/>
    </row>
    <row r="16" spans="1:15" ht="15" customHeight="1" x14ac:dyDescent="0.25">
      <c r="A16" s="24"/>
      <c r="B16" s="69"/>
      <c r="C16" s="24"/>
      <c r="D16" s="32" t="s">
        <v>73</v>
      </c>
      <c r="E16" s="24"/>
      <c r="F16" s="24"/>
      <c r="G16" s="24"/>
      <c r="H16" s="24"/>
      <c r="I16" s="33" t="s">
        <v>74</v>
      </c>
      <c r="J16" s="31"/>
      <c r="K16" s="31"/>
      <c r="L16" s="24"/>
      <c r="M16" s="31"/>
      <c r="N16" s="69"/>
      <c r="O16" s="24"/>
    </row>
    <row r="17" spans="1:15" ht="9" customHeight="1" x14ac:dyDescent="0.25">
      <c r="A17" s="24"/>
      <c r="B17" s="69"/>
      <c r="C17" s="24"/>
      <c r="D17" s="24"/>
      <c r="E17" s="24"/>
      <c r="F17" s="24"/>
      <c r="G17" s="24"/>
      <c r="H17" s="24"/>
      <c r="I17" s="34"/>
      <c r="J17" s="31"/>
      <c r="K17" s="31"/>
      <c r="L17" s="24"/>
      <c r="M17" s="24"/>
      <c r="N17" s="69"/>
      <c r="O17" s="24"/>
    </row>
    <row r="18" spans="1:15" ht="15" customHeight="1" x14ac:dyDescent="0.25">
      <c r="A18" s="24"/>
      <c r="B18" s="69"/>
      <c r="C18" s="24"/>
      <c r="D18" s="35" t="s">
        <v>75</v>
      </c>
      <c r="E18" s="24"/>
      <c r="F18" s="36" t="s">
        <v>76</v>
      </c>
      <c r="G18" s="24"/>
      <c r="H18" s="34"/>
      <c r="I18" s="75">
        <v>5</v>
      </c>
      <c r="J18" s="37" t="s">
        <v>24</v>
      </c>
      <c r="K18" s="31" t="s">
        <v>77</v>
      </c>
      <c r="L18" s="24"/>
      <c r="M18" s="38"/>
      <c r="N18" s="69"/>
      <c r="O18" s="24"/>
    </row>
    <row r="19" spans="1:15" ht="15" customHeight="1" x14ac:dyDescent="0.25">
      <c r="A19" s="24"/>
      <c r="B19" s="69"/>
      <c r="C19" s="24"/>
      <c r="D19" s="35" t="s">
        <v>78</v>
      </c>
      <c r="E19" s="24"/>
      <c r="F19" s="39"/>
      <c r="G19" s="24"/>
      <c r="H19" s="34"/>
      <c r="I19" s="40">
        <v>5</v>
      </c>
      <c r="J19" s="37" t="s">
        <v>24</v>
      </c>
      <c r="K19" s="31" t="s">
        <v>79</v>
      </c>
      <c r="L19" s="24"/>
      <c r="M19" s="38"/>
      <c r="N19" s="69"/>
      <c r="O19" s="24"/>
    </row>
    <row r="20" spans="1:15" ht="15" customHeight="1" x14ac:dyDescent="0.25">
      <c r="A20" s="24"/>
      <c r="B20" s="69"/>
      <c r="C20" s="24"/>
      <c r="D20" s="35" t="s">
        <v>80</v>
      </c>
      <c r="E20" s="24"/>
      <c r="F20" s="39"/>
      <c r="G20" s="24"/>
      <c r="H20" s="34"/>
      <c r="I20" s="41">
        <v>5</v>
      </c>
      <c r="J20" s="37" t="s">
        <v>24</v>
      </c>
      <c r="K20" s="31" t="s">
        <v>81</v>
      </c>
      <c r="L20" s="24"/>
      <c r="M20" s="38"/>
      <c r="N20" s="69"/>
      <c r="O20" s="24"/>
    </row>
    <row r="21" spans="1:15" ht="15" customHeight="1" x14ac:dyDescent="0.25">
      <c r="A21" s="24"/>
      <c r="B21" s="69"/>
      <c r="C21" s="24"/>
      <c r="D21" s="42" t="s">
        <v>82</v>
      </c>
      <c r="E21" s="43"/>
      <c r="F21" s="44"/>
      <c r="G21" s="24"/>
      <c r="H21" s="34"/>
      <c r="I21" s="45"/>
      <c r="J21" s="46" t="s">
        <v>25</v>
      </c>
      <c r="K21" s="24" t="s">
        <v>83</v>
      </c>
      <c r="L21" s="31"/>
      <c r="M21" s="38"/>
      <c r="N21" s="69"/>
      <c r="O21" s="24"/>
    </row>
    <row r="22" spans="1:15" ht="15" customHeight="1" x14ac:dyDescent="0.2">
      <c r="A22" s="24"/>
      <c r="B22" s="69"/>
      <c r="C22" s="24"/>
      <c r="D22" s="24"/>
      <c r="E22" s="24"/>
      <c r="F22" s="24"/>
      <c r="G22" s="24"/>
      <c r="H22" s="24"/>
      <c r="I22" s="24"/>
      <c r="J22" s="24"/>
      <c r="K22" s="24"/>
      <c r="L22" s="24"/>
      <c r="M22" s="24"/>
      <c r="N22" s="69"/>
      <c r="O22" s="24"/>
    </row>
    <row r="23" spans="1:15" ht="5.0999999999999996" customHeight="1" x14ac:dyDescent="0.2">
      <c r="A23" s="24"/>
      <c r="B23" s="69"/>
      <c r="C23" s="69"/>
      <c r="D23" s="69"/>
      <c r="E23" s="69"/>
      <c r="F23" s="69"/>
      <c r="G23" s="69"/>
      <c r="H23" s="69"/>
      <c r="I23" s="69"/>
      <c r="J23" s="69"/>
      <c r="K23" s="69"/>
      <c r="L23" s="69"/>
      <c r="M23" s="69"/>
      <c r="N23" s="69"/>
      <c r="O23" s="24"/>
    </row>
    <row r="24" spans="1:15" ht="15" customHeight="1" x14ac:dyDescent="0.2">
      <c r="A24" s="24"/>
      <c r="B24" s="24"/>
      <c r="C24" s="24"/>
      <c r="D24" s="24"/>
      <c r="E24" s="24"/>
      <c r="F24" s="24"/>
      <c r="G24" s="24"/>
      <c r="H24" s="24"/>
      <c r="I24" s="24"/>
      <c r="J24" s="24"/>
      <c r="K24" s="24"/>
      <c r="L24" s="24"/>
      <c r="M24" s="24"/>
      <c r="N24" s="24"/>
      <c r="O24" s="24"/>
    </row>
    <row r="25" spans="1:15" ht="15" customHeight="1" x14ac:dyDescent="0.2">
      <c r="A25" s="24"/>
      <c r="B25" s="24"/>
      <c r="C25" s="24"/>
      <c r="D25" s="24"/>
      <c r="E25" s="24"/>
      <c r="F25" s="24"/>
      <c r="G25" s="24"/>
      <c r="H25" s="24"/>
      <c r="I25" s="24"/>
      <c r="J25" s="24"/>
      <c r="K25" s="24"/>
      <c r="L25" s="24"/>
      <c r="M25" s="24"/>
      <c r="N25" s="24"/>
      <c r="O25" s="24"/>
    </row>
    <row r="26" spans="1:15" ht="15" customHeight="1" x14ac:dyDescent="0.2"/>
    <row r="27" spans="1:15" ht="12" hidden="1" customHeight="1" x14ac:dyDescent="0.2"/>
    <row r="28" spans="1:15" ht="12" hidden="1" customHeight="1" x14ac:dyDescent="0.2"/>
    <row r="29" spans="1:15" ht="14.25" hidden="1" x14ac:dyDescent="0.2"/>
    <row r="30" spans="1:15" ht="14.25" hidden="1" x14ac:dyDescent="0.2"/>
    <row r="31" spans="1:15" ht="12" customHeight="1" x14ac:dyDescent="0.2"/>
  </sheetData>
  <mergeCells count="2">
    <mergeCell ref="D9:L10"/>
    <mergeCell ref="E12:K13"/>
  </mergeCells>
  <phoneticPr fontId="1" type="noConversion"/>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Q251"/>
  <sheetViews>
    <sheetView zoomScale="120" zoomScaleNormal="120" workbookViewId="0">
      <pane xSplit="2" ySplit="3" topLeftCell="C4" activePane="bottomRight" state="frozen"/>
      <selection pane="topRight"/>
      <selection pane="bottomLeft"/>
      <selection pane="bottomRight" activeCell="C4" sqref="C4"/>
    </sheetView>
  </sheetViews>
  <sheetFormatPr defaultColWidth="0" defaultRowHeight="14.25" x14ac:dyDescent="0.25"/>
  <cols>
    <col min="1" max="1" width="1.7109375" style="1" customWidth="1"/>
    <col min="2" max="2" width="39.7109375" style="1" customWidth="1"/>
    <col min="3" max="15" width="10.7109375" style="1" customWidth="1"/>
    <col min="16" max="16" width="1.7109375" style="1" hidden="1" customWidth="1"/>
    <col min="17" max="16384" width="10.7109375" style="6" hidden="1"/>
  </cols>
  <sheetData>
    <row r="1" spans="1:16" ht="24" customHeight="1" x14ac:dyDescent="0.2">
      <c r="A1" s="71" t="s">
        <v>277</v>
      </c>
      <c r="B1" s="72"/>
      <c r="C1" s="72"/>
      <c r="D1" s="72"/>
      <c r="E1" s="72"/>
      <c r="F1" s="72"/>
      <c r="G1" s="72"/>
      <c r="H1" s="72"/>
      <c r="I1" s="72"/>
      <c r="J1" s="72"/>
      <c r="K1" s="72"/>
      <c r="L1" s="72"/>
      <c r="M1" s="72"/>
      <c r="N1" s="72"/>
      <c r="O1" s="72"/>
      <c r="P1" s="70"/>
    </row>
    <row r="2" spans="1:16" s="9" customFormat="1" ht="18" customHeight="1" x14ac:dyDescent="0.25">
      <c r="A2" s="5"/>
      <c r="B2" s="7" t="s">
        <v>297</v>
      </c>
      <c r="C2" s="7"/>
      <c r="D2" s="8"/>
      <c r="E2" s="8"/>
      <c r="F2" s="8"/>
      <c r="G2" s="8"/>
      <c r="H2" s="8"/>
      <c r="I2" s="8"/>
    </row>
    <row r="3" spans="1:16" customFormat="1" ht="15" customHeight="1" x14ac:dyDescent="0.25">
      <c r="A3" s="10"/>
      <c r="B3" s="10" t="s">
        <v>67</v>
      </c>
      <c r="C3" s="11" t="s">
        <v>18</v>
      </c>
      <c r="D3" s="11" t="s">
        <v>0</v>
      </c>
      <c r="E3" s="11" t="s">
        <v>1</v>
      </c>
      <c r="F3" s="11" t="s">
        <v>2</v>
      </c>
      <c r="G3" s="11" t="s">
        <v>3</v>
      </c>
      <c r="H3" s="11" t="s">
        <v>4</v>
      </c>
      <c r="I3" s="11" t="s">
        <v>5</v>
      </c>
      <c r="J3" s="11" t="s">
        <v>6</v>
      </c>
      <c r="K3" s="11" t="s">
        <v>7</v>
      </c>
      <c r="L3" s="11" t="s">
        <v>8</v>
      </c>
      <c r="M3" s="11" t="s">
        <v>9</v>
      </c>
      <c r="N3" s="11" t="s">
        <v>10</v>
      </c>
      <c r="O3" s="11" t="s">
        <v>11</v>
      </c>
    </row>
    <row r="4" spans="1:16" customFormat="1" ht="9" customHeight="1" x14ac:dyDescent="0.25">
      <c r="A4" s="13"/>
      <c r="B4" s="13"/>
      <c r="C4" s="13"/>
      <c r="D4" s="14"/>
      <c r="E4" s="14"/>
      <c r="F4" s="14"/>
      <c r="G4" s="14"/>
      <c r="H4" s="14"/>
      <c r="I4" s="14"/>
      <c r="J4" s="14"/>
      <c r="K4" s="14"/>
      <c r="L4" s="13"/>
      <c r="M4" s="13"/>
      <c r="N4" s="13"/>
      <c r="O4" s="13"/>
    </row>
    <row r="5" spans="1:16" customFormat="1" ht="15" customHeight="1" x14ac:dyDescent="0.25">
      <c r="A5" s="16" t="s">
        <v>42</v>
      </c>
      <c r="B5" s="1"/>
      <c r="C5" s="1"/>
      <c r="D5" s="1"/>
      <c r="E5" s="1"/>
      <c r="F5" s="1"/>
      <c r="G5" s="1"/>
      <c r="H5" s="1"/>
      <c r="I5" s="1"/>
      <c r="J5" s="1"/>
      <c r="K5" s="1"/>
      <c r="L5" s="1"/>
      <c r="M5" s="1"/>
      <c r="N5" s="1"/>
      <c r="O5" s="1"/>
    </row>
    <row r="6" spans="1:16" customFormat="1" ht="15" customHeight="1" x14ac:dyDescent="0.25">
      <c r="A6" s="1"/>
      <c r="B6" s="1" t="s">
        <v>259</v>
      </c>
      <c r="C6" s="3">
        <f>IS!C6</f>
        <v>23.61</v>
      </c>
      <c r="D6" s="3">
        <f>IS!D6</f>
        <v>23.83</v>
      </c>
      <c r="E6" s="3">
        <f>IS!E6</f>
        <v>22.15</v>
      </c>
      <c r="F6" s="73">
        <v>22</v>
      </c>
      <c r="G6" s="73">
        <v>22</v>
      </c>
      <c r="H6" s="73">
        <v>21.8</v>
      </c>
      <c r="I6" s="73">
        <v>21.8</v>
      </c>
      <c r="J6" s="73">
        <v>21.8</v>
      </c>
      <c r="K6" s="73">
        <v>21.8</v>
      </c>
      <c r="L6" s="73">
        <v>21.8</v>
      </c>
      <c r="M6" s="73">
        <v>21.8</v>
      </c>
      <c r="N6" s="73">
        <v>21.8</v>
      </c>
      <c r="O6" s="73">
        <v>21.8</v>
      </c>
    </row>
    <row r="7" spans="1:16" s="53" customFormat="1" ht="15" customHeight="1" x14ac:dyDescent="0.25">
      <c r="A7" s="1"/>
      <c r="B7" s="1" t="s">
        <v>260</v>
      </c>
      <c r="C7" s="1"/>
      <c r="D7" s="18">
        <f>IS!D7/IS!C7-1</f>
        <v>0.22297349998076665</v>
      </c>
      <c r="E7" s="18">
        <f>IS!E7/IS!D7-1</f>
        <v>0.30980496427532156</v>
      </c>
      <c r="F7" s="74">
        <v>0.25</v>
      </c>
      <c r="G7" s="74">
        <v>0.21</v>
      </c>
      <c r="H7" s="74">
        <v>0.18</v>
      </c>
      <c r="I7" s="74">
        <v>0.15</v>
      </c>
      <c r="J7" s="74">
        <v>0.12</v>
      </c>
      <c r="K7" s="74">
        <v>0.08</v>
      </c>
      <c r="L7" s="74">
        <v>4.9999999999999989E-2</v>
      </c>
      <c r="M7" s="74">
        <v>0.04</v>
      </c>
      <c r="N7" s="74">
        <v>0.04</v>
      </c>
      <c r="O7" s="74">
        <v>0.03</v>
      </c>
      <c r="P7" s="2"/>
    </row>
    <row r="8" spans="1:16" ht="15" customHeight="1" x14ac:dyDescent="0.25">
      <c r="B8" s="1" t="s">
        <v>261</v>
      </c>
      <c r="C8" s="61">
        <v>777.27460999000004</v>
      </c>
      <c r="D8" s="49">
        <v>963.24232501999995</v>
      </c>
      <c r="E8" s="49">
        <v>20.42803134</v>
      </c>
      <c r="F8" s="75">
        <v>0</v>
      </c>
      <c r="G8" s="75">
        <v>0</v>
      </c>
      <c r="H8" s="75">
        <v>0</v>
      </c>
      <c r="I8" s="75">
        <v>0</v>
      </c>
      <c r="J8" s="75">
        <v>0</v>
      </c>
      <c r="K8" s="75">
        <v>0</v>
      </c>
      <c r="L8" s="75">
        <v>0</v>
      </c>
      <c r="M8" s="75">
        <v>0</v>
      </c>
      <c r="N8" s="75">
        <v>0</v>
      </c>
      <c r="O8" s="75">
        <v>0</v>
      </c>
    </row>
    <row r="9" spans="1:16" s="53" customFormat="1" ht="15" customHeight="1" x14ac:dyDescent="0.25">
      <c r="A9" s="1"/>
      <c r="B9" s="1" t="s">
        <v>262</v>
      </c>
      <c r="C9" s="18">
        <f>IS!C13/IS!C11</f>
        <v>2.4242726901620398E-3</v>
      </c>
      <c r="D9" s="18">
        <f>IS!D13/IS!D11</f>
        <v>4.3281533778743069E-3</v>
      </c>
      <c r="E9" s="18">
        <f>IS!E13/IS!E11</f>
        <v>5.6150171200587181E-3</v>
      </c>
      <c r="F9" s="74">
        <v>6.0000000000000001E-3</v>
      </c>
      <c r="G9" s="74">
        <v>6.0000000000000001E-3</v>
      </c>
      <c r="H9" s="74">
        <v>6.0000000000000001E-3</v>
      </c>
      <c r="I9" s="74">
        <v>6.0000000000000001E-3</v>
      </c>
      <c r="J9" s="74">
        <v>6.0000000000000001E-3</v>
      </c>
      <c r="K9" s="74">
        <v>6.0000000000000001E-3</v>
      </c>
      <c r="L9" s="74">
        <v>6.0000000000000001E-3</v>
      </c>
      <c r="M9" s="74">
        <v>6.0000000000000001E-3</v>
      </c>
      <c r="N9" s="74">
        <v>6.0000000000000001E-3</v>
      </c>
      <c r="O9" s="74">
        <v>6.0000000000000001E-3</v>
      </c>
      <c r="P9" s="2"/>
    </row>
    <row r="10" spans="1:16" ht="15" customHeight="1" x14ac:dyDescent="0.25">
      <c r="B10" s="1" t="s">
        <v>238</v>
      </c>
      <c r="C10" s="18">
        <f>IS!C18/IS!C14</f>
        <v>0.79154011394143164</v>
      </c>
      <c r="D10" s="18">
        <f>IS!D18/IS!D14</f>
        <v>0.76406158999044427</v>
      </c>
      <c r="E10" s="18">
        <f>IS!E18/IS!E14</f>
        <v>0.76618064013581744</v>
      </c>
      <c r="F10" s="74">
        <v>0.76500000000000001</v>
      </c>
      <c r="G10" s="74">
        <v>0.76500000000000001</v>
      </c>
      <c r="H10" s="74">
        <v>0.76500000000000001</v>
      </c>
      <c r="I10" s="74">
        <v>0.76500000000000001</v>
      </c>
      <c r="J10" s="74">
        <v>0.76500000000000001</v>
      </c>
      <c r="K10" s="74">
        <v>0.76500000000000001</v>
      </c>
      <c r="L10" s="74">
        <v>0.76500000000000001</v>
      </c>
      <c r="M10" s="74">
        <v>0.76500000000000001</v>
      </c>
      <c r="N10" s="74">
        <v>0.76500000000000001</v>
      </c>
      <c r="O10" s="74">
        <v>0.76500000000000001</v>
      </c>
    </row>
    <row r="11" spans="1:16" ht="15" customHeight="1" x14ac:dyDescent="0.25">
      <c r="B11" s="1" t="s">
        <v>271</v>
      </c>
      <c r="C11" s="18">
        <f>IS!C19/IS!C$17</f>
        <v>2.8384693785634056E-3</v>
      </c>
      <c r="D11" s="18">
        <f>IS!D19/IS!D$17</f>
        <v>3.8568959568139991E-3</v>
      </c>
      <c r="E11" s="18">
        <f>IS!E19/IS!E$17</f>
        <v>3.5367219207645541E-3</v>
      </c>
      <c r="F11" s="76">
        <v>4.0000000000000001E-3</v>
      </c>
      <c r="G11" s="76">
        <v>4.0000000000000001E-3</v>
      </c>
      <c r="H11" s="76">
        <v>4.0000000000000001E-3</v>
      </c>
      <c r="I11" s="76">
        <v>4.0000000000000001E-3</v>
      </c>
      <c r="J11" s="76">
        <v>4.0000000000000001E-3</v>
      </c>
      <c r="K11" s="76">
        <v>4.0000000000000001E-3</v>
      </c>
      <c r="L11" s="76">
        <v>4.0000000000000001E-3</v>
      </c>
      <c r="M11" s="76">
        <v>4.0000000000000001E-3</v>
      </c>
      <c r="N11" s="76">
        <v>4.0000000000000001E-3</v>
      </c>
      <c r="O11" s="76">
        <v>4.0000000000000001E-3</v>
      </c>
    </row>
    <row r="12" spans="1:16" ht="15" customHeight="1" x14ac:dyDescent="0.25">
      <c r="B12" s="1" t="s">
        <v>239</v>
      </c>
      <c r="C12" s="18">
        <f>IS!C20/IS!C$17</f>
        <v>4.127302213643777E-2</v>
      </c>
      <c r="D12" s="18">
        <f>IS!D20/IS!D$17</f>
        <v>3.9646388652516899E-2</v>
      </c>
      <c r="E12" s="18">
        <f>IS!E20/IS!E$17</f>
        <v>1.9619761927055238E-2</v>
      </c>
      <c r="F12" s="76">
        <v>0.02</v>
      </c>
      <c r="G12" s="76">
        <v>0.02</v>
      </c>
      <c r="H12" s="76">
        <v>0.02</v>
      </c>
      <c r="I12" s="76">
        <v>0.02</v>
      </c>
      <c r="J12" s="76">
        <v>0.02</v>
      </c>
      <c r="K12" s="76">
        <v>0.02</v>
      </c>
      <c r="L12" s="76">
        <v>0.02</v>
      </c>
      <c r="M12" s="76">
        <v>0.02</v>
      </c>
      <c r="N12" s="76">
        <v>0.02</v>
      </c>
      <c r="O12" s="76">
        <v>0.02</v>
      </c>
    </row>
    <row r="13" spans="1:16" ht="15" customHeight="1" x14ac:dyDescent="0.25">
      <c r="B13" s="1" t="s">
        <v>240</v>
      </c>
      <c r="C13" s="18">
        <f>IS!C21/IS!C$17</f>
        <v>0.12191771432341082</v>
      </c>
      <c r="D13" s="18">
        <f>IS!D21/IS!D$17</f>
        <v>0.11679645437598218</v>
      </c>
      <c r="E13" s="18">
        <f>IS!E21/IS!E$17</f>
        <v>0.10199561905669459</v>
      </c>
      <c r="F13" s="76">
        <v>0.1</v>
      </c>
      <c r="G13" s="76">
        <v>9.5000000000000001E-2</v>
      </c>
      <c r="H13" s="76">
        <v>9.5000000000000001E-2</v>
      </c>
      <c r="I13" s="76">
        <v>9.5000000000000001E-2</v>
      </c>
      <c r="J13" s="76">
        <v>9.5000000000000001E-2</v>
      </c>
      <c r="K13" s="76">
        <v>9.5000000000000001E-2</v>
      </c>
      <c r="L13" s="76">
        <v>9.5000000000000001E-2</v>
      </c>
      <c r="M13" s="76">
        <v>9.5000000000000001E-2</v>
      </c>
      <c r="N13" s="76">
        <v>9.5000000000000001E-2</v>
      </c>
      <c r="O13" s="76">
        <v>9.5000000000000001E-2</v>
      </c>
    </row>
    <row r="14" spans="1:16" ht="15" customHeight="1" x14ac:dyDescent="0.25">
      <c r="B14" s="1" t="s">
        <v>241</v>
      </c>
      <c r="C14" s="18">
        <f>IS!C22/IS!C$17</f>
        <v>4.9925111821580992E-3</v>
      </c>
      <c r="D14" s="18">
        <f>IS!D22/IS!D$17</f>
        <v>5.9908958439939828E-3</v>
      </c>
      <c r="E14" s="18">
        <f>IS!E22/IS!E$17</f>
        <v>4.62777438180578E-3</v>
      </c>
      <c r="F14" s="76">
        <v>5.0000000000000001E-3</v>
      </c>
      <c r="G14" s="76">
        <v>5.0000000000000001E-3</v>
      </c>
      <c r="H14" s="76">
        <v>4.0000000000000001E-3</v>
      </c>
      <c r="I14" s="76">
        <v>4.0000000000000001E-3</v>
      </c>
      <c r="J14" s="76">
        <v>4.0000000000000001E-3</v>
      </c>
      <c r="K14" s="76">
        <v>3.0000000000000001E-3</v>
      </c>
      <c r="L14" s="76">
        <v>3.0000000000000001E-3</v>
      </c>
      <c r="M14" s="76">
        <v>0</v>
      </c>
      <c r="N14" s="76">
        <v>0</v>
      </c>
      <c r="O14" s="76">
        <v>0</v>
      </c>
    </row>
    <row r="15" spans="1:16" ht="15" customHeight="1" x14ac:dyDescent="0.25">
      <c r="B15" s="1" t="s">
        <v>274</v>
      </c>
      <c r="C15" s="18">
        <f>IS!C30/BS!C12</f>
        <v>5.6756792240510674E-2</v>
      </c>
      <c r="D15" s="18">
        <f>IS!D30/BS!D12</f>
        <v>4.7790228647003156E-2</v>
      </c>
      <c r="E15" s="18">
        <f>IS!E30/BS!E12</f>
        <v>3.9727633302882759E-2</v>
      </c>
      <c r="F15" s="76">
        <v>0.04</v>
      </c>
      <c r="G15" s="76">
        <v>0.04</v>
      </c>
      <c r="H15" s="76">
        <v>0.04</v>
      </c>
      <c r="I15" s="76">
        <v>0.04</v>
      </c>
      <c r="J15" s="76">
        <v>0.04</v>
      </c>
      <c r="K15" s="76">
        <v>0.04</v>
      </c>
      <c r="L15" s="76">
        <v>0.04</v>
      </c>
      <c r="M15" s="76">
        <v>0.04</v>
      </c>
      <c r="N15" s="76">
        <v>0.04</v>
      </c>
      <c r="O15" s="76">
        <v>0.04</v>
      </c>
    </row>
    <row r="16" spans="1:16" ht="15" customHeight="1" x14ac:dyDescent="0.25">
      <c r="B16" s="1" t="s">
        <v>242</v>
      </c>
      <c r="C16" s="1">
        <f>IS!C31</f>
        <v>-9.8288061599969865</v>
      </c>
      <c r="D16" s="1">
        <f>IS!D31</f>
        <v>-152.54456794999697</v>
      </c>
      <c r="E16" s="1">
        <f>IS!E31</f>
        <v>1180.9533474599937</v>
      </c>
      <c r="F16" s="77">
        <v>0</v>
      </c>
      <c r="G16" s="77">
        <v>0</v>
      </c>
      <c r="H16" s="77">
        <v>0</v>
      </c>
      <c r="I16" s="77">
        <v>0</v>
      </c>
      <c r="J16" s="77">
        <v>0</v>
      </c>
      <c r="K16" s="77">
        <v>0</v>
      </c>
      <c r="L16" s="77">
        <v>0</v>
      </c>
      <c r="M16" s="77">
        <v>0</v>
      </c>
      <c r="N16" s="77">
        <v>0</v>
      </c>
      <c r="O16" s="77">
        <v>0</v>
      </c>
    </row>
    <row r="17" spans="1:17" ht="15" customHeight="1" x14ac:dyDescent="0.25">
      <c r="B17" s="1" t="s">
        <v>243</v>
      </c>
      <c r="C17" s="18">
        <f>IS!C34/IS!C32</f>
        <v>0.22908322404697304</v>
      </c>
      <c r="D17" s="18">
        <f>IS!D34/IS!D32</f>
        <v>0.35272529607179737</v>
      </c>
      <c r="E17" s="18">
        <f>IS!E34/IS!E32</f>
        <v>0.19842029144055981</v>
      </c>
      <c r="F17" s="76">
        <v>0.23</v>
      </c>
      <c r="G17" s="76">
        <v>0.23</v>
      </c>
      <c r="H17" s="76">
        <v>0.23</v>
      </c>
      <c r="I17" s="76">
        <v>0.23</v>
      </c>
      <c r="J17" s="76">
        <v>0.23</v>
      </c>
      <c r="K17" s="76">
        <v>0.23</v>
      </c>
      <c r="L17" s="76">
        <v>0.23</v>
      </c>
      <c r="M17" s="76">
        <v>0.23</v>
      </c>
      <c r="N17" s="76">
        <v>0.23</v>
      </c>
      <c r="O17" s="76">
        <v>0.23</v>
      </c>
    </row>
    <row r="18" spans="1:17" ht="15" customHeight="1" x14ac:dyDescent="0.25">
      <c r="B18" s="1" t="s">
        <v>278</v>
      </c>
      <c r="C18" s="1">
        <f>IS!C37</f>
        <v>-2.83874016</v>
      </c>
      <c r="D18" s="1">
        <f>IS!D37</f>
        <v>-7.209659320000001</v>
      </c>
      <c r="E18" s="1">
        <f>IS!E37</f>
        <v>-19.641210659999999</v>
      </c>
      <c r="F18" s="77">
        <v>0</v>
      </c>
      <c r="G18" s="77">
        <v>0</v>
      </c>
      <c r="H18" s="77">
        <v>0</v>
      </c>
      <c r="I18" s="77">
        <v>0</v>
      </c>
      <c r="J18" s="77">
        <v>0</v>
      </c>
      <c r="K18" s="77">
        <v>0</v>
      </c>
      <c r="L18" s="77">
        <v>0</v>
      </c>
      <c r="M18" s="77">
        <v>0</v>
      </c>
      <c r="N18" s="77">
        <v>0</v>
      </c>
      <c r="O18" s="77">
        <v>0</v>
      </c>
    </row>
    <row r="19" spans="1:17" s="1" customFormat="1" ht="15" customHeight="1" x14ac:dyDescent="0.25">
      <c r="B19" s="1" t="s">
        <v>245</v>
      </c>
      <c r="C19" s="1">
        <f>IS!C40</f>
        <v>800</v>
      </c>
      <c r="D19" s="1">
        <f>IS!D40</f>
        <v>3950.1858729999999</v>
      </c>
      <c r="E19" s="1">
        <f>IS!E40</f>
        <v>4183.6782130000001</v>
      </c>
      <c r="F19" s="77">
        <v>4183.6782130000001</v>
      </c>
      <c r="G19" s="77">
        <v>4183.6782130000001</v>
      </c>
      <c r="H19" s="77">
        <v>4183.6782130000001</v>
      </c>
      <c r="I19" s="77">
        <v>4183.6782130000001</v>
      </c>
      <c r="J19" s="77">
        <v>4183.6782130000001</v>
      </c>
      <c r="K19" s="77">
        <v>4183.6782130000001</v>
      </c>
      <c r="L19" s="77">
        <v>4183.6782130000001</v>
      </c>
      <c r="M19" s="77">
        <v>4183.6782130000001</v>
      </c>
      <c r="N19" s="77">
        <v>4183.6782130000001</v>
      </c>
      <c r="O19" s="77">
        <v>4183.6782130000001</v>
      </c>
      <c r="Q19" s="6"/>
    </row>
    <row r="20" spans="1:17" s="1" customFormat="1" ht="15" customHeight="1" x14ac:dyDescent="0.25">
      <c r="Q20" s="6"/>
    </row>
    <row r="21" spans="1:17" s="1" customFormat="1" ht="15" customHeight="1" x14ac:dyDescent="0.25">
      <c r="A21" s="16" t="s">
        <v>157</v>
      </c>
      <c r="B21" s="13"/>
      <c r="Q21" s="6"/>
    </row>
    <row r="22" spans="1:17" s="1" customFormat="1" ht="15" customHeight="1" x14ac:dyDescent="0.25">
      <c r="A22" s="16"/>
      <c r="B22" s="13" t="s">
        <v>280</v>
      </c>
      <c r="D22" s="18">
        <f>Capex!D7/IS!D17</f>
        <v>7.9592738066311564E-2</v>
      </c>
      <c r="E22" s="18">
        <f>Capex!E7/IS!E17</f>
        <v>8.4185607959143136E-2</v>
      </c>
      <c r="F22" s="76">
        <v>0.05</v>
      </c>
      <c r="G22" s="76">
        <v>0.04</v>
      </c>
      <c r="H22" s="76">
        <v>0.03</v>
      </c>
      <c r="I22" s="76">
        <v>0.02</v>
      </c>
      <c r="J22" s="76">
        <v>0.02</v>
      </c>
      <c r="K22" s="76">
        <v>0.02</v>
      </c>
      <c r="L22" s="76">
        <v>0.02</v>
      </c>
      <c r="M22" s="76">
        <v>0.02</v>
      </c>
      <c r="N22" s="76">
        <v>0.02</v>
      </c>
      <c r="O22" s="76">
        <v>0.02</v>
      </c>
      <c r="Q22" s="6"/>
    </row>
    <row r="23" spans="1:17" s="1" customFormat="1" ht="15" customHeight="1" x14ac:dyDescent="0.25">
      <c r="B23" s="1" t="s">
        <v>265</v>
      </c>
      <c r="C23" s="18"/>
      <c r="D23" s="18">
        <f>Capex!D8/Capex!D6</f>
        <v>0.21628283332493883</v>
      </c>
      <c r="E23" s="18">
        <f>Capex!E8/Capex!E6</f>
        <v>0.18819691323823645</v>
      </c>
      <c r="F23" s="76">
        <v>0.18</v>
      </c>
      <c r="G23" s="76">
        <v>0.17499999999999999</v>
      </c>
      <c r="H23" s="76">
        <v>0.16999999999999998</v>
      </c>
      <c r="I23" s="76">
        <v>0.16499999999999998</v>
      </c>
      <c r="J23" s="76">
        <v>0.16</v>
      </c>
      <c r="K23" s="76">
        <v>0.155</v>
      </c>
      <c r="L23" s="76">
        <v>0.15</v>
      </c>
      <c r="M23" s="76">
        <v>0.15</v>
      </c>
      <c r="N23" s="76">
        <v>0.15</v>
      </c>
      <c r="O23" s="76">
        <v>0.15</v>
      </c>
      <c r="Q23" s="6"/>
    </row>
    <row r="24" spans="1:17" s="1" customFormat="1" ht="15" customHeight="1" x14ac:dyDescent="0.25">
      <c r="B24" s="13" t="s">
        <v>281</v>
      </c>
      <c r="C24" s="18"/>
      <c r="D24" s="18">
        <f>Capex!D13/IS!D17</f>
        <v>4.0084705621941337E-2</v>
      </c>
      <c r="E24" s="18">
        <f>Capex!E13/IS!E17</f>
        <v>4.1929590416978163E-2</v>
      </c>
      <c r="F24" s="76">
        <v>0.02</v>
      </c>
      <c r="G24" s="76">
        <v>0.01</v>
      </c>
      <c r="H24" s="76">
        <v>5.0000000000000001E-3</v>
      </c>
      <c r="I24" s="76">
        <v>5.0000000000000001E-3</v>
      </c>
      <c r="J24" s="76">
        <v>5.0000000000000001E-3</v>
      </c>
      <c r="K24" s="76">
        <v>5.0000000000000001E-3</v>
      </c>
      <c r="L24" s="76">
        <v>5.0000000000000001E-3</v>
      </c>
      <c r="M24" s="76">
        <v>5.0000000000000001E-3</v>
      </c>
      <c r="N24" s="76">
        <v>5.0000000000000001E-3</v>
      </c>
      <c r="O24" s="76">
        <v>5.0000000000000001E-3</v>
      </c>
      <c r="Q24" s="6"/>
    </row>
    <row r="25" spans="1:17" s="1" customFormat="1" ht="15" customHeight="1" x14ac:dyDescent="0.25">
      <c r="B25" s="1" t="s">
        <v>266</v>
      </c>
      <c r="C25" s="18"/>
      <c r="D25" s="18">
        <f>Capex!D14/Capex!D12</f>
        <v>0.1495153483851345</v>
      </c>
      <c r="E25" s="18">
        <f>Capex!E14/Capex!E12</f>
        <v>7.1328556841265697E-2</v>
      </c>
      <c r="F25" s="76">
        <v>7.0000000000000007E-2</v>
      </c>
      <c r="G25" s="76">
        <v>6.6000000000000003E-2</v>
      </c>
      <c r="H25" s="76">
        <v>6.2000000000000006E-2</v>
      </c>
      <c r="I25" s="76">
        <v>5.800000000000001E-2</v>
      </c>
      <c r="J25" s="76">
        <v>5.4000000000000006E-2</v>
      </c>
      <c r="K25" s="76">
        <v>0.05</v>
      </c>
      <c r="L25" s="76">
        <v>0.05</v>
      </c>
      <c r="M25" s="76">
        <v>0.05</v>
      </c>
      <c r="N25" s="76">
        <v>0.05</v>
      </c>
      <c r="O25" s="76">
        <v>0.05</v>
      </c>
      <c r="Q25" s="6"/>
    </row>
    <row r="26" spans="1:17" s="1" customFormat="1" ht="15" customHeight="1" x14ac:dyDescent="0.25">
      <c r="B26" s="1" t="s">
        <v>290</v>
      </c>
      <c r="C26" s="18"/>
      <c r="D26" s="18">
        <f>Capex!D19/IS!D17</f>
        <v>1.4026434291096701E-2</v>
      </c>
      <c r="E26" s="18">
        <f>Capex!E19/IS!E17</f>
        <v>1.004805091551174E-2</v>
      </c>
      <c r="F26" s="76">
        <v>5.0000000000000001E-3</v>
      </c>
      <c r="G26" s="76">
        <v>5.0000000000000001E-3</v>
      </c>
      <c r="H26" s="76">
        <v>3.0000000000000001E-3</v>
      </c>
      <c r="I26" s="76">
        <v>3.0000000000000001E-3</v>
      </c>
      <c r="J26" s="76">
        <v>3.0000000000000001E-3</v>
      </c>
      <c r="K26" s="76">
        <v>3.0000000000000001E-3</v>
      </c>
      <c r="L26" s="76">
        <v>3.0000000000000001E-3</v>
      </c>
      <c r="M26" s="76">
        <v>3.0000000000000001E-3</v>
      </c>
      <c r="N26" s="76">
        <v>3.0000000000000001E-3</v>
      </c>
      <c r="O26" s="76">
        <v>3.0000000000000001E-3</v>
      </c>
      <c r="Q26" s="6"/>
    </row>
    <row r="27" spans="1:17" s="1" customFormat="1" ht="15" customHeight="1" x14ac:dyDescent="0.25">
      <c r="B27" s="1" t="s">
        <v>267</v>
      </c>
      <c r="C27" s="18"/>
      <c r="D27" s="18">
        <f>Capex!D20/Capex!D18</f>
        <v>0.51546908604834996</v>
      </c>
      <c r="E27" s="18">
        <f>Capex!E20/Capex!E18</f>
        <v>0.35516211183657892</v>
      </c>
      <c r="F27" s="76">
        <v>0.35</v>
      </c>
      <c r="G27" s="76">
        <v>0.35</v>
      </c>
      <c r="H27" s="76">
        <v>0.35</v>
      </c>
      <c r="I27" s="76">
        <v>0.35</v>
      </c>
      <c r="J27" s="76">
        <v>0.35</v>
      </c>
      <c r="K27" s="76">
        <v>0.35</v>
      </c>
      <c r="L27" s="76">
        <v>0.35</v>
      </c>
      <c r="M27" s="76">
        <v>0.35</v>
      </c>
      <c r="N27" s="76">
        <v>0.35</v>
      </c>
      <c r="O27" s="76">
        <v>0.35</v>
      </c>
      <c r="Q27" s="6"/>
    </row>
    <row r="28" spans="1:17" s="1" customFormat="1" ht="15" customHeight="1" x14ac:dyDescent="0.25">
      <c r="Q28" s="6"/>
    </row>
    <row r="29" spans="1:17" s="1" customFormat="1" ht="15" customHeight="1" x14ac:dyDescent="0.25">
      <c r="B29" s="25" t="s">
        <v>184</v>
      </c>
      <c r="C29" s="18">
        <f>BS!C8/IS!C$17</f>
        <v>7.6737822028196401E-2</v>
      </c>
      <c r="D29" s="18">
        <f>BS!D8/IS!D$17</f>
        <v>8.3072409431725988E-2</v>
      </c>
      <c r="E29" s="18">
        <f>BS!E8/IS!E$17</f>
        <v>7.9403339386603697E-2</v>
      </c>
      <c r="F29" s="76">
        <v>0.08</v>
      </c>
      <c r="G29" s="76">
        <v>0.08</v>
      </c>
      <c r="H29" s="76">
        <v>0.08</v>
      </c>
      <c r="I29" s="76">
        <v>0.08</v>
      </c>
      <c r="J29" s="76">
        <v>0.08</v>
      </c>
      <c r="K29" s="76">
        <v>0.08</v>
      </c>
      <c r="L29" s="76">
        <v>0.08</v>
      </c>
      <c r="M29" s="76">
        <v>0.08</v>
      </c>
      <c r="N29" s="76">
        <v>0.08</v>
      </c>
      <c r="O29" s="76">
        <v>0.08</v>
      </c>
      <c r="Q29" s="6"/>
    </row>
    <row r="30" spans="1:17" s="1" customFormat="1" ht="15" customHeight="1" x14ac:dyDescent="0.25">
      <c r="B30" s="48" t="s">
        <v>185</v>
      </c>
      <c r="C30" s="18">
        <f>BS!C9/IS!C$18</f>
        <v>5.3202780056894251E-2</v>
      </c>
      <c r="D30" s="18">
        <f>BS!D9/IS!D$18</f>
        <v>4.0126851398883424E-2</v>
      </c>
      <c r="E30" s="18">
        <f>BS!E9/IS!E$18</f>
        <v>3.3889124171487213E-2</v>
      </c>
      <c r="F30" s="76">
        <v>3.4000000000000002E-2</v>
      </c>
      <c r="G30" s="76">
        <v>3.4000000000000002E-2</v>
      </c>
      <c r="H30" s="76">
        <v>3.4000000000000002E-2</v>
      </c>
      <c r="I30" s="76">
        <v>3.4000000000000002E-2</v>
      </c>
      <c r="J30" s="76">
        <v>3.4000000000000002E-2</v>
      </c>
      <c r="K30" s="76">
        <v>3.4000000000000002E-2</v>
      </c>
      <c r="L30" s="76">
        <v>3.4000000000000002E-2</v>
      </c>
      <c r="M30" s="76">
        <v>3.4000000000000002E-2</v>
      </c>
      <c r="N30" s="76">
        <v>3.4000000000000002E-2</v>
      </c>
      <c r="O30" s="76">
        <v>3.4000000000000002E-2</v>
      </c>
      <c r="Q30" s="6"/>
    </row>
    <row r="31" spans="1:17" s="1" customFormat="1" ht="15" customHeight="1" x14ac:dyDescent="0.25">
      <c r="B31" s="48" t="s">
        <v>186</v>
      </c>
      <c r="C31" s="18">
        <f>BS!C10/IS!C$18</f>
        <v>1.2646374182589208E-2</v>
      </c>
      <c r="D31" s="18">
        <f>BS!D10/IS!D$18</f>
        <v>6.9682252211193552E-3</v>
      </c>
      <c r="E31" s="18">
        <f>BS!E10/IS!E$18</f>
        <v>8.9917011530912059E-3</v>
      </c>
      <c r="F31" s="76">
        <v>8.9999999999999993E-3</v>
      </c>
      <c r="G31" s="76">
        <v>8.9999999999999993E-3</v>
      </c>
      <c r="H31" s="76">
        <v>8.9999999999999993E-3</v>
      </c>
      <c r="I31" s="76">
        <v>8.9999999999999993E-3</v>
      </c>
      <c r="J31" s="76">
        <v>8.9999999999999993E-3</v>
      </c>
      <c r="K31" s="76">
        <v>8.9999999999999993E-3</v>
      </c>
      <c r="L31" s="76">
        <v>8.9999999999999993E-3</v>
      </c>
      <c r="M31" s="76">
        <v>8.9999999999999993E-3</v>
      </c>
      <c r="N31" s="76">
        <v>8.9999999999999993E-3</v>
      </c>
      <c r="O31" s="76">
        <v>8.9999999999999993E-3</v>
      </c>
      <c r="Q31" s="6"/>
    </row>
    <row r="32" spans="1:17" s="1" customFormat="1" ht="15" customHeight="1" x14ac:dyDescent="0.25">
      <c r="B32" s="25" t="s">
        <v>187</v>
      </c>
      <c r="C32" s="18">
        <f>BS!C11/IS!C$17</f>
        <v>1.8764622609910426E-2</v>
      </c>
      <c r="D32" s="18">
        <f>BS!D11/IS!D$17</f>
        <v>1.8608454169246728E-2</v>
      </c>
      <c r="E32" s="18">
        <f>BS!E11/IS!E$17</f>
        <v>1.7237309718814708E-2</v>
      </c>
      <c r="F32" s="76">
        <v>1.7000000000000001E-2</v>
      </c>
      <c r="G32" s="76">
        <v>1.7000000000000001E-2</v>
      </c>
      <c r="H32" s="76">
        <v>1.7000000000000001E-2</v>
      </c>
      <c r="I32" s="76">
        <v>1.7000000000000001E-2</v>
      </c>
      <c r="J32" s="76">
        <v>1.7000000000000001E-2</v>
      </c>
      <c r="K32" s="76">
        <v>1.7000000000000001E-2</v>
      </c>
      <c r="L32" s="76">
        <v>1.7000000000000001E-2</v>
      </c>
      <c r="M32" s="76">
        <v>1.7000000000000001E-2</v>
      </c>
      <c r="N32" s="76">
        <v>1.7000000000000001E-2</v>
      </c>
      <c r="O32" s="76">
        <v>1.7000000000000001E-2</v>
      </c>
      <c r="Q32" s="6"/>
    </row>
    <row r="33" spans="2:17" s="1" customFormat="1" ht="15" customHeight="1" x14ac:dyDescent="0.25">
      <c r="B33" s="25" t="s">
        <v>188</v>
      </c>
      <c r="C33" s="18">
        <f>BS!C27/IS!C18</f>
        <v>7.3812782325158866E-2</v>
      </c>
      <c r="D33" s="18">
        <f>BS!D27/IS!D18</f>
        <v>8.9395167773498402E-2</v>
      </c>
      <c r="E33" s="18">
        <f>BS!E27/IS!E18</f>
        <v>0.1194124161987262</v>
      </c>
      <c r="F33" s="76">
        <v>0.11899999999999999</v>
      </c>
      <c r="G33" s="76">
        <v>0.11899999999999999</v>
      </c>
      <c r="H33" s="76">
        <v>0.11899999999999999</v>
      </c>
      <c r="I33" s="76">
        <v>0.11899999999999999</v>
      </c>
      <c r="J33" s="76">
        <v>0.11899999999999999</v>
      </c>
      <c r="K33" s="76">
        <v>0.11899999999999999</v>
      </c>
      <c r="L33" s="76">
        <v>0.11899999999999999</v>
      </c>
      <c r="M33" s="76">
        <v>0.11899999999999999</v>
      </c>
      <c r="N33" s="76">
        <v>0.11899999999999999</v>
      </c>
      <c r="O33" s="76">
        <v>0.11899999999999999</v>
      </c>
      <c r="Q33" s="6"/>
    </row>
    <row r="34" spans="2:17" s="1" customFormat="1" ht="15" customHeight="1" x14ac:dyDescent="0.25">
      <c r="B34" s="48" t="s">
        <v>189</v>
      </c>
      <c r="C34" s="18">
        <f>BS!C28/IS!C$17</f>
        <v>4.0751304637022595E-3</v>
      </c>
      <c r="D34" s="18">
        <f>BS!D28/IS!D$17</f>
        <v>4.1609678430946772E-3</v>
      </c>
      <c r="E34" s="18">
        <f>BS!E28/IS!E$17</f>
        <v>4.9814770709893427E-3</v>
      </c>
      <c r="F34" s="76">
        <v>5.0000000000000001E-3</v>
      </c>
      <c r="G34" s="76">
        <v>5.0000000000000001E-3</v>
      </c>
      <c r="H34" s="76">
        <v>5.0000000000000001E-3</v>
      </c>
      <c r="I34" s="76">
        <v>5.0000000000000001E-3</v>
      </c>
      <c r="J34" s="76">
        <v>5.0000000000000001E-3</v>
      </c>
      <c r="K34" s="76">
        <v>5.0000000000000001E-3</v>
      </c>
      <c r="L34" s="76">
        <v>5.0000000000000001E-3</v>
      </c>
      <c r="M34" s="76">
        <v>5.0000000000000001E-3</v>
      </c>
      <c r="N34" s="76">
        <v>5.0000000000000001E-3</v>
      </c>
      <c r="O34" s="76">
        <v>5.0000000000000001E-3</v>
      </c>
      <c r="Q34" s="6"/>
    </row>
    <row r="35" spans="2:17" s="1" customFormat="1" ht="15" customHeight="1" x14ac:dyDescent="0.25">
      <c r="B35" s="48" t="s">
        <v>190</v>
      </c>
      <c r="C35" s="18">
        <f>BS!C29/IS!C$17</f>
        <v>0.13119586279254844</v>
      </c>
      <c r="D35" s="18">
        <f>BS!D29/IS!D$17</f>
        <v>0.12585444168415483</v>
      </c>
      <c r="E35" s="18">
        <f>BS!E29/IS!E$17</f>
        <v>0.10923407555991067</v>
      </c>
      <c r="F35" s="76">
        <v>0.109</v>
      </c>
      <c r="G35" s="76">
        <v>0.109</v>
      </c>
      <c r="H35" s="76">
        <v>0.109</v>
      </c>
      <c r="I35" s="76">
        <v>0.109</v>
      </c>
      <c r="J35" s="76">
        <v>0.109</v>
      </c>
      <c r="K35" s="76">
        <v>0.109</v>
      </c>
      <c r="L35" s="76">
        <v>0.109</v>
      </c>
      <c r="M35" s="76">
        <v>0.109</v>
      </c>
      <c r="N35" s="76">
        <v>0.109</v>
      </c>
      <c r="O35" s="76">
        <v>0.109</v>
      </c>
      <c r="Q35" s="6"/>
    </row>
    <row r="36" spans="2:17" s="1" customFormat="1" ht="15" customHeight="1" x14ac:dyDescent="0.25">
      <c r="B36" s="1" t="s">
        <v>191</v>
      </c>
      <c r="F36" s="76">
        <v>3.5000000000000003E-2</v>
      </c>
      <c r="G36" s="76">
        <v>3.5000000000000003E-2</v>
      </c>
      <c r="H36" s="76">
        <v>3.5000000000000003E-2</v>
      </c>
      <c r="I36" s="76">
        <v>3.5000000000000003E-2</v>
      </c>
      <c r="J36" s="76">
        <v>3.5000000000000003E-2</v>
      </c>
      <c r="K36" s="76">
        <v>3.5000000000000003E-2</v>
      </c>
      <c r="L36" s="76">
        <v>3.5000000000000003E-2</v>
      </c>
      <c r="M36" s="76">
        <v>3.5000000000000003E-2</v>
      </c>
      <c r="N36" s="76">
        <v>3.5000000000000003E-2</v>
      </c>
      <c r="O36" s="76">
        <v>3.5000000000000003E-2</v>
      </c>
      <c r="Q36" s="6"/>
    </row>
    <row r="37" spans="2:17" s="1" customFormat="1" ht="15" customHeight="1" x14ac:dyDescent="0.25">
      <c r="B37" s="1" t="s">
        <v>192</v>
      </c>
      <c r="F37" s="76">
        <v>0.9</v>
      </c>
      <c r="G37" s="76">
        <v>0.9</v>
      </c>
      <c r="H37" s="76">
        <v>0.9</v>
      </c>
      <c r="I37" s="76">
        <v>0.9</v>
      </c>
      <c r="J37" s="76">
        <v>0.9</v>
      </c>
      <c r="K37" s="76">
        <v>0.9</v>
      </c>
      <c r="L37" s="76">
        <v>0.9</v>
      </c>
      <c r="M37" s="76">
        <v>0.9</v>
      </c>
      <c r="N37" s="76">
        <v>0.9</v>
      </c>
      <c r="O37" s="76">
        <v>0.9</v>
      </c>
      <c r="Q37" s="6"/>
    </row>
    <row r="38" spans="2:17" s="1" customFormat="1" ht="15" customHeight="1" x14ac:dyDescent="0.25">
      <c r="B38" s="1" t="s">
        <v>287</v>
      </c>
      <c r="F38" s="76">
        <v>1</v>
      </c>
      <c r="G38" s="76">
        <v>1</v>
      </c>
      <c r="H38" s="76">
        <v>1</v>
      </c>
      <c r="I38" s="76">
        <v>1</v>
      </c>
      <c r="J38" s="76">
        <v>1</v>
      </c>
      <c r="K38" s="76">
        <v>1</v>
      </c>
      <c r="L38" s="76">
        <v>1</v>
      </c>
      <c r="M38" s="76">
        <v>1</v>
      </c>
      <c r="N38" s="76">
        <v>1</v>
      </c>
      <c r="O38" s="76">
        <v>1</v>
      </c>
      <c r="Q38" s="6"/>
    </row>
    <row r="39" spans="2:17" s="1" customFormat="1" ht="15" customHeight="1" x14ac:dyDescent="0.25">
      <c r="B39" s="1" t="s">
        <v>193</v>
      </c>
      <c r="F39" s="76">
        <v>3.5000000000000003E-2</v>
      </c>
      <c r="G39" s="76">
        <v>3.5000000000000003E-2</v>
      </c>
      <c r="H39" s="76">
        <v>3.5000000000000003E-2</v>
      </c>
      <c r="I39" s="76">
        <v>3.5000000000000003E-2</v>
      </c>
      <c r="J39" s="76">
        <v>3.5000000000000003E-2</v>
      </c>
      <c r="K39" s="76">
        <v>3.5000000000000003E-2</v>
      </c>
      <c r="L39" s="76">
        <v>3.5000000000000003E-2</v>
      </c>
      <c r="M39" s="76">
        <v>3.5000000000000003E-2</v>
      </c>
      <c r="N39" s="76">
        <v>3.5000000000000003E-2</v>
      </c>
      <c r="O39" s="76">
        <v>3.5000000000000003E-2</v>
      </c>
      <c r="Q39" s="6"/>
    </row>
    <row r="40" spans="2:17" s="1" customFormat="1" ht="15" customHeight="1" x14ac:dyDescent="0.25">
      <c r="B40" s="1" t="s">
        <v>194</v>
      </c>
      <c r="D40" s="17"/>
      <c r="E40" s="17"/>
      <c r="F40" s="76">
        <v>0.3</v>
      </c>
      <c r="G40" s="76">
        <v>0.3</v>
      </c>
      <c r="H40" s="76">
        <v>0.3</v>
      </c>
      <c r="I40" s="76">
        <v>0.3</v>
      </c>
      <c r="J40" s="76">
        <v>0.3</v>
      </c>
      <c r="K40" s="76">
        <v>0.3</v>
      </c>
      <c r="L40" s="76">
        <v>0.3</v>
      </c>
      <c r="M40" s="76">
        <v>0.3</v>
      </c>
      <c r="N40" s="76">
        <v>0.3</v>
      </c>
      <c r="O40" s="76">
        <v>0.3</v>
      </c>
      <c r="Q40" s="6"/>
    </row>
    <row r="41" spans="2:17" s="1" customFormat="1" ht="15" customHeight="1" x14ac:dyDescent="0.25">
      <c r="B41" s="1" t="s">
        <v>288</v>
      </c>
      <c r="F41" s="76">
        <v>0.2</v>
      </c>
      <c r="G41" s="76">
        <v>0.2</v>
      </c>
      <c r="H41" s="76">
        <v>0.2</v>
      </c>
      <c r="I41" s="76">
        <v>0.2</v>
      </c>
      <c r="J41" s="76">
        <v>0.2</v>
      </c>
      <c r="K41" s="76">
        <v>0.2</v>
      </c>
      <c r="L41" s="76">
        <v>0.2</v>
      </c>
      <c r="M41" s="76">
        <v>0.2</v>
      </c>
      <c r="N41" s="76">
        <v>0.2</v>
      </c>
      <c r="O41" s="76">
        <v>0.2</v>
      </c>
      <c r="Q41" s="6"/>
    </row>
    <row r="42" spans="2:17" s="1" customFormat="1" ht="15" customHeight="1" x14ac:dyDescent="0.25">
      <c r="B42" s="1" t="s">
        <v>195</v>
      </c>
      <c r="F42" s="76">
        <v>4.4999999999999998E-2</v>
      </c>
      <c r="G42" s="76">
        <v>4.4999999999999998E-2</v>
      </c>
      <c r="H42" s="76">
        <v>4.4999999999999998E-2</v>
      </c>
      <c r="I42" s="76">
        <v>4.4999999999999998E-2</v>
      </c>
      <c r="J42" s="76">
        <v>4.4999999999999998E-2</v>
      </c>
      <c r="K42" s="76">
        <v>4.4999999999999998E-2</v>
      </c>
      <c r="L42" s="76">
        <v>4.4999999999999998E-2</v>
      </c>
      <c r="M42" s="76">
        <v>4.4999999999999998E-2</v>
      </c>
      <c r="N42" s="76">
        <v>4.4999999999999998E-2</v>
      </c>
      <c r="O42" s="76">
        <v>4.4999999999999998E-2</v>
      </c>
      <c r="Q42" s="6"/>
    </row>
    <row r="43" spans="2:17" s="1" customFormat="1" ht="15" customHeight="1" x14ac:dyDescent="0.25">
      <c r="B43" s="1" t="s">
        <v>196</v>
      </c>
      <c r="F43" s="76">
        <v>0.01</v>
      </c>
      <c r="G43" s="76">
        <v>0.01</v>
      </c>
      <c r="H43" s="76">
        <v>0.01</v>
      </c>
      <c r="I43" s="76">
        <v>0.01</v>
      </c>
      <c r="J43" s="76">
        <v>0.01</v>
      </c>
      <c r="K43" s="76">
        <v>0.01</v>
      </c>
      <c r="L43" s="76">
        <v>0.01</v>
      </c>
      <c r="M43" s="76">
        <v>0.01</v>
      </c>
      <c r="N43" s="76">
        <v>0.01</v>
      </c>
      <c r="O43" s="76">
        <v>0.01</v>
      </c>
      <c r="Q43" s="6"/>
    </row>
    <row r="44" spans="2:17" s="1" customFormat="1" ht="15" customHeight="1" x14ac:dyDescent="0.25">
      <c r="B44" s="1" t="s">
        <v>197</v>
      </c>
      <c r="F44" s="76">
        <v>0.2</v>
      </c>
      <c r="G44" s="76">
        <v>0.2</v>
      </c>
      <c r="H44" s="76">
        <v>0.2</v>
      </c>
      <c r="I44" s="76">
        <v>0.4</v>
      </c>
      <c r="J44" s="76">
        <v>0.4</v>
      </c>
      <c r="K44" s="76">
        <v>0.4</v>
      </c>
      <c r="L44" s="76">
        <v>0.6</v>
      </c>
      <c r="M44" s="76">
        <v>0.6</v>
      </c>
      <c r="N44" s="76">
        <v>0.6</v>
      </c>
      <c r="O44" s="76">
        <v>0.6</v>
      </c>
      <c r="Q44" s="6"/>
    </row>
    <row r="45" spans="2:17" s="1" customFormat="1" ht="15" customHeight="1" x14ac:dyDescent="0.25">
      <c r="B45" s="1" t="s">
        <v>198</v>
      </c>
      <c r="F45" s="77">
        <v>0</v>
      </c>
      <c r="G45" s="77">
        <v>0</v>
      </c>
      <c r="H45" s="77">
        <v>0</v>
      </c>
      <c r="I45" s="77">
        <v>0</v>
      </c>
      <c r="J45" s="77">
        <v>0</v>
      </c>
      <c r="K45" s="77">
        <v>0</v>
      </c>
      <c r="L45" s="77">
        <v>0</v>
      </c>
      <c r="M45" s="77">
        <v>0</v>
      </c>
      <c r="N45" s="77">
        <v>0</v>
      </c>
      <c r="O45" s="77">
        <v>0</v>
      </c>
      <c r="Q45" s="6"/>
    </row>
    <row r="46" spans="2:17" s="1" customFormat="1" ht="15" customHeight="1" x14ac:dyDescent="0.25">
      <c r="Q46" s="6"/>
    </row>
    <row r="47" spans="2:17" s="1" customFormat="1" ht="15" customHeight="1" x14ac:dyDescent="0.25">
      <c r="B47" s="25" t="s">
        <v>21</v>
      </c>
      <c r="C47" s="1">
        <f>BS!C12</f>
        <v>7570.1952671899999</v>
      </c>
      <c r="D47" s="1">
        <f>BS!D12</f>
        <v>8340.1986406899996</v>
      </c>
      <c r="E47" s="1">
        <f>BS!E12</f>
        <v>6972.7284756199988</v>
      </c>
      <c r="F47" s="77">
        <v>6972.7284756199988</v>
      </c>
      <c r="G47" s="77">
        <v>6972.7284756199988</v>
      </c>
      <c r="H47" s="77">
        <v>6972.7284756199988</v>
      </c>
      <c r="I47" s="77">
        <v>6972.7284756199988</v>
      </c>
      <c r="J47" s="77">
        <v>6972.7284756199988</v>
      </c>
      <c r="K47" s="77">
        <v>6972.7284756199988</v>
      </c>
      <c r="L47" s="77">
        <v>6972.7284756199988</v>
      </c>
      <c r="M47" s="77">
        <v>6972.7284756199988</v>
      </c>
      <c r="N47" s="77">
        <v>6972.7284756199988</v>
      </c>
      <c r="O47" s="77">
        <v>6972.7284756199988</v>
      </c>
      <c r="Q47" s="6"/>
    </row>
    <row r="48" spans="2:17" s="1" customFormat="1" ht="15" customHeight="1" x14ac:dyDescent="0.25">
      <c r="B48" s="25" t="s">
        <v>22</v>
      </c>
      <c r="C48" s="1">
        <f>BS!C15</f>
        <v>1320.4967954799999</v>
      </c>
      <c r="D48" s="1">
        <f>BS!D15</f>
        <v>1957.1808187300001</v>
      </c>
      <c r="E48" s="1">
        <f>BS!E15</f>
        <v>3614.3771436199995</v>
      </c>
      <c r="F48" s="77">
        <v>3614.3771436199995</v>
      </c>
      <c r="G48" s="77">
        <v>3614.3771436199995</v>
      </c>
      <c r="H48" s="77">
        <v>3614.3771436199995</v>
      </c>
      <c r="I48" s="77">
        <v>3614.3771436199995</v>
      </c>
      <c r="J48" s="77">
        <v>3614.3771436199995</v>
      </c>
      <c r="K48" s="77">
        <v>3614.3771436199995</v>
      </c>
      <c r="L48" s="77">
        <v>3614.3771436199995</v>
      </c>
      <c r="M48" s="77">
        <v>3614.3771436199995</v>
      </c>
      <c r="N48" s="77">
        <v>3614.3771436199995</v>
      </c>
      <c r="O48" s="77">
        <v>3614.3771436199995</v>
      </c>
      <c r="Q48" s="6"/>
    </row>
    <row r="49" spans="1:17" s="1" customFormat="1" ht="15" customHeight="1" x14ac:dyDescent="0.25">
      <c r="B49" s="25" t="s">
        <v>154</v>
      </c>
      <c r="C49" s="18">
        <f>BS!C19/IS!C17</f>
        <v>4.5316939653520134E-2</v>
      </c>
      <c r="D49" s="18">
        <f>BS!D19/IS!D17</f>
        <v>2.3902205679644916E-2</v>
      </c>
      <c r="E49" s="18">
        <f>BS!E19/IS!E17</f>
        <v>1.1720885594872691E-2</v>
      </c>
      <c r="F49" s="76">
        <v>1.2E-2</v>
      </c>
      <c r="G49" s="76">
        <v>1.2E-2</v>
      </c>
      <c r="H49" s="76">
        <v>1.2E-2</v>
      </c>
      <c r="I49" s="76">
        <v>1.2E-2</v>
      </c>
      <c r="J49" s="76">
        <v>1.2E-2</v>
      </c>
      <c r="K49" s="76">
        <v>1.2E-2</v>
      </c>
      <c r="L49" s="76">
        <v>1.2E-2</v>
      </c>
      <c r="M49" s="76">
        <v>1.2E-2</v>
      </c>
      <c r="N49" s="76">
        <v>1.2E-2</v>
      </c>
      <c r="O49" s="76">
        <v>1.2E-2</v>
      </c>
      <c r="Q49" s="6"/>
    </row>
    <row r="50" spans="1:17" s="1" customFormat="1" ht="15" customHeight="1" x14ac:dyDescent="0.25">
      <c r="B50" s="25" t="s">
        <v>155</v>
      </c>
      <c r="C50" s="18">
        <f>BS!C33/IS!C17</f>
        <v>1.5503397330838228E-3</v>
      </c>
      <c r="D50" s="18">
        <f>BS!D33/IS!D17</f>
        <v>2.30938374172942E-3</v>
      </c>
      <c r="E50" s="18">
        <f>BS!E33/IS!E17</f>
        <v>2.9223089150448912E-3</v>
      </c>
      <c r="F50" s="76">
        <v>3.0000000000000001E-3</v>
      </c>
      <c r="G50" s="76">
        <v>3.0000000000000001E-3</v>
      </c>
      <c r="H50" s="76">
        <v>3.0000000000000001E-3</v>
      </c>
      <c r="I50" s="76">
        <v>3.0000000000000001E-3</v>
      </c>
      <c r="J50" s="76">
        <v>3.0000000000000001E-3</v>
      </c>
      <c r="K50" s="76">
        <v>3.0000000000000001E-3</v>
      </c>
      <c r="L50" s="76">
        <v>3.0000000000000001E-3</v>
      </c>
      <c r="M50" s="76">
        <v>3.0000000000000001E-3</v>
      </c>
      <c r="N50" s="76">
        <v>3.0000000000000001E-3</v>
      </c>
      <c r="O50" s="76">
        <v>3.0000000000000001E-3</v>
      </c>
      <c r="Q50" s="6"/>
    </row>
    <row r="51" spans="1:17" s="1" customFormat="1" ht="15" customHeight="1" x14ac:dyDescent="0.25">
      <c r="B51" s="1" t="s">
        <v>156</v>
      </c>
      <c r="C51" s="1">
        <f>BS!C37</f>
        <v>8171.7234005800001</v>
      </c>
      <c r="D51" s="1">
        <f>BS!D37</f>
        <v>8490.9191506200004</v>
      </c>
      <c r="E51" s="1">
        <f>BS!E37</f>
        <v>12420.376554639999</v>
      </c>
      <c r="F51" s="77">
        <v>12420.376554639999</v>
      </c>
      <c r="G51" s="77">
        <v>12420.376554639999</v>
      </c>
      <c r="H51" s="77">
        <v>12420.376554639999</v>
      </c>
      <c r="I51" s="77">
        <v>12420.376554639999</v>
      </c>
      <c r="J51" s="77">
        <v>12420.376554639999</v>
      </c>
      <c r="K51" s="77">
        <v>12420.376554639999</v>
      </c>
      <c r="L51" s="77">
        <v>12420.376554639999</v>
      </c>
      <c r="M51" s="77">
        <v>12420.376554639999</v>
      </c>
      <c r="N51" s="77">
        <v>12420.376554639999</v>
      </c>
      <c r="O51" s="77">
        <v>12420.376554639999</v>
      </c>
      <c r="Q51" s="6"/>
    </row>
    <row r="52" spans="1:17" s="1" customFormat="1" ht="15" customHeight="1" x14ac:dyDescent="0.25">
      <c r="Q52" s="6"/>
    </row>
    <row r="53" spans="1:17" s="1" customFormat="1" ht="15" customHeight="1" x14ac:dyDescent="0.25">
      <c r="A53" s="2" t="s">
        <v>298</v>
      </c>
      <c r="Q53" s="6"/>
    </row>
    <row r="54" spans="1:17" s="1" customFormat="1" ht="15" customHeight="1" x14ac:dyDescent="0.25">
      <c r="B54" s="1" t="s">
        <v>122</v>
      </c>
      <c r="D54" s="18"/>
      <c r="F54" s="76">
        <v>0.03</v>
      </c>
      <c r="G54" s="76">
        <v>0.03</v>
      </c>
      <c r="H54" s="76">
        <v>0.03</v>
      </c>
      <c r="I54" s="76">
        <v>0.03</v>
      </c>
      <c r="J54" s="76">
        <v>0.03</v>
      </c>
      <c r="K54" s="76">
        <v>0.03</v>
      </c>
      <c r="L54" s="76">
        <v>0.03</v>
      </c>
      <c r="M54" s="76">
        <v>0.03</v>
      </c>
      <c r="N54" s="76">
        <v>0.03</v>
      </c>
      <c r="O54" s="76">
        <v>0.03</v>
      </c>
      <c r="Q54" s="6"/>
    </row>
    <row r="55" spans="1:17" s="1" customFormat="1" ht="15" customHeight="1" x14ac:dyDescent="0.25">
      <c r="Q55" s="6"/>
    </row>
    <row r="56" spans="1:17" s="1" customFormat="1" ht="15" customHeight="1" x14ac:dyDescent="0.25">
      <c r="Q56" s="6"/>
    </row>
    <row r="57" spans="1:17" s="1" customFormat="1" ht="15" customHeight="1" x14ac:dyDescent="0.25">
      <c r="Q57" s="6"/>
    </row>
    <row r="58" spans="1:17" s="1" customFormat="1" ht="15" customHeight="1" x14ac:dyDescent="0.25">
      <c r="Q58" s="6"/>
    </row>
    <row r="59" spans="1:17" s="1" customFormat="1" ht="15" customHeight="1" x14ac:dyDescent="0.25">
      <c r="Q59" s="6"/>
    </row>
    <row r="60" spans="1:17" s="1" customFormat="1" ht="15" customHeight="1" x14ac:dyDescent="0.25">
      <c r="Q60" s="6"/>
    </row>
    <row r="61" spans="1:17" s="1" customFormat="1" ht="15" customHeight="1" x14ac:dyDescent="0.25">
      <c r="Q61" s="6"/>
    </row>
    <row r="62" spans="1:17" s="1" customFormat="1" ht="15" customHeight="1" x14ac:dyDescent="0.25">
      <c r="Q62" s="6"/>
    </row>
    <row r="63" spans="1:17" s="1" customFormat="1" ht="15" customHeight="1" x14ac:dyDescent="0.25">
      <c r="Q63" s="6"/>
    </row>
    <row r="64" spans="1:17" s="1" customFormat="1" ht="15" customHeight="1" x14ac:dyDescent="0.25">
      <c r="Q64" s="6"/>
    </row>
    <row r="65" spans="17:17" s="1" customFormat="1" ht="15" customHeight="1" x14ac:dyDescent="0.25">
      <c r="Q65" s="6"/>
    </row>
    <row r="66" spans="17:17" s="1" customFormat="1" ht="15" customHeight="1" x14ac:dyDescent="0.25">
      <c r="Q66" s="6"/>
    </row>
    <row r="67" spans="17:17" s="1" customFormat="1" ht="15" customHeight="1" x14ac:dyDescent="0.25">
      <c r="Q67" s="6"/>
    </row>
    <row r="68" spans="17:17" s="1" customFormat="1" ht="15" customHeight="1" x14ac:dyDescent="0.25">
      <c r="Q68" s="6"/>
    </row>
    <row r="69" spans="17:17" s="1" customFormat="1" ht="15" customHeight="1" x14ac:dyDescent="0.25">
      <c r="Q69" s="6"/>
    </row>
    <row r="70" spans="17:17" s="1" customFormat="1" ht="15" customHeight="1" x14ac:dyDescent="0.25">
      <c r="Q70" s="6"/>
    </row>
    <row r="71" spans="17:17" s="1" customFormat="1" ht="15" customHeight="1" x14ac:dyDescent="0.25">
      <c r="Q71" s="6"/>
    </row>
    <row r="72" spans="17:17" s="1" customFormat="1" ht="15" customHeight="1" x14ac:dyDescent="0.25">
      <c r="Q72" s="6"/>
    </row>
    <row r="73" spans="17:17" s="1" customFormat="1" ht="15" customHeight="1" x14ac:dyDescent="0.25">
      <c r="Q73" s="6"/>
    </row>
    <row r="74" spans="17:17" s="1" customFormat="1" ht="15" customHeight="1" x14ac:dyDescent="0.25">
      <c r="Q74" s="6"/>
    </row>
    <row r="75" spans="17:17" s="1" customFormat="1" ht="15" customHeight="1" x14ac:dyDescent="0.25">
      <c r="Q75" s="6"/>
    </row>
    <row r="76" spans="17:17" s="1" customFormat="1" ht="15" customHeight="1" x14ac:dyDescent="0.25">
      <c r="Q76" s="6"/>
    </row>
    <row r="77" spans="17:17" s="1" customFormat="1" ht="15" customHeight="1" x14ac:dyDescent="0.25">
      <c r="Q77" s="6"/>
    </row>
    <row r="78" spans="17:17" s="1" customFormat="1" ht="15" customHeight="1" x14ac:dyDescent="0.25">
      <c r="Q78" s="6"/>
    </row>
    <row r="79" spans="17:17" s="1" customFormat="1" ht="15" customHeight="1" x14ac:dyDescent="0.25">
      <c r="Q79" s="6"/>
    </row>
    <row r="80" spans="17:17" s="1" customFormat="1" ht="15" customHeight="1" x14ac:dyDescent="0.25">
      <c r="Q80" s="6"/>
    </row>
    <row r="81" spans="17:17" s="1" customFormat="1" ht="15" customHeight="1" x14ac:dyDescent="0.25">
      <c r="Q81" s="6"/>
    </row>
    <row r="82" spans="17:17" s="1" customFormat="1" ht="15" customHeight="1" x14ac:dyDescent="0.25">
      <c r="Q82" s="6"/>
    </row>
    <row r="83" spans="17:17" s="1" customFormat="1" ht="15" customHeight="1" x14ac:dyDescent="0.25">
      <c r="Q83" s="6"/>
    </row>
    <row r="84" spans="17:17" s="1" customFormat="1" ht="15" customHeight="1" x14ac:dyDescent="0.25">
      <c r="Q84" s="6"/>
    </row>
    <row r="85" spans="17:17" s="1" customFormat="1" ht="15" customHeight="1" x14ac:dyDescent="0.25">
      <c r="Q85" s="6"/>
    </row>
    <row r="86" spans="17:17" s="1" customFormat="1" ht="15" customHeight="1" x14ac:dyDescent="0.25">
      <c r="Q86" s="6"/>
    </row>
    <row r="87" spans="17:17" s="1" customFormat="1" ht="15" customHeight="1" x14ac:dyDescent="0.25">
      <c r="Q87" s="6"/>
    </row>
    <row r="88" spans="17:17" s="1" customFormat="1" ht="15" customHeight="1" x14ac:dyDescent="0.25">
      <c r="Q88" s="6"/>
    </row>
    <row r="89" spans="17:17" s="1" customFormat="1" ht="15" customHeight="1" x14ac:dyDescent="0.25">
      <c r="Q89" s="6"/>
    </row>
    <row r="90" spans="17:17" s="1" customFormat="1" ht="15" customHeight="1" x14ac:dyDescent="0.25">
      <c r="Q90" s="6"/>
    </row>
    <row r="91" spans="17:17" s="1" customFormat="1" ht="15" customHeight="1" x14ac:dyDescent="0.25">
      <c r="Q91" s="6"/>
    </row>
    <row r="92" spans="17:17" s="1" customFormat="1" ht="15" customHeight="1" x14ac:dyDescent="0.25">
      <c r="Q92" s="6"/>
    </row>
    <row r="93" spans="17:17" s="1" customFormat="1" ht="15" customHeight="1" x14ac:dyDescent="0.25">
      <c r="Q93" s="6"/>
    </row>
    <row r="94" spans="17:17" s="1" customFormat="1" ht="15" customHeight="1" x14ac:dyDescent="0.25">
      <c r="Q94" s="6"/>
    </row>
    <row r="95" spans="17:17" s="1" customFormat="1" ht="15" customHeight="1" x14ac:dyDescent="0.25">
      <c r="Q95" s="6"/>
    </row>
    <row r="96" spans="17:17" s="1" customFormat="1" ht="15" customHeight="1" x14ac:dyDescent="0.25">
      <c r="Q96" s="6"/>
    </row>
    <row r="97" spans="17:17" s="1" customFormat="1" ht="15" customHeight="1" x14ac:dyDescent="0.25">
      <c r="Q97" s="6"/>
    </row>
    <row r="98" spans="17:17" s="1" customFormat="1" ht="15" customHeight="1" x14ac:dyDescent="0.25">
      <c r="Q98" s="6"/>
    </row>
    <row r="99" spans="17:17" s="1" customFormat="1" ht="15" customHeight="1" x14ac:dyDescent="0.25">
      <c r="Q99" s="6"/>
    </row>
    <row r="100" spans="17:17" s="1" customFormat="1" ht="15" customHeight="1" x14ac:dyDescent="0.25">
      <c r="Q100" s="6"/>
    </row>
    <row r="101" spans="17:17" s="1" customFormat="1" ht="15" customHeight="1" x14ac:dyDescent="0.25">
      <c r="Q101" s="6"/>
    </row>
    <row r="102" spans="17:17" s="1" customFormat="1" ht="15" customHeight="1" x14ac:dyDescent="0.25">
      <c r="Q102" s="6"/>
    </row>
    <row r="103" spans="17:17" s="1" customFormat="1" ht="15" customHeight="1" x14ac:dyDescent="0.25">
      <c r="Q103" s="6"/>
    </row>
    <row r="104" spans="17:17" s="1" customFormat="1" ht="15" customHeight="1" x14ac:dyDescent="0.25">
      <c r="Q104" s="6"/>
    </row>
    <row r="105" spans="17:17" s="1" customFormat="1" ht="15" customHeight="1" x14ac:dyDescent="0.25">
      <c r="Q105" s="6"/>
    </row>
    <row r="106" spans="17:17" s="1" customFormat="1" ht="15" customHeight="1" x14ac:dyDescent="0.25">
      <c r="Q106" s="6"/>
    </row>
    <row r="107" spans="17:17" s="1" customFormat="1" ht="15" customHeight="1" x14ac:dyDescent="0.25">
      <c r="Q107" s="6"/>
    </row>
    <row r="108" spans="17:17" s="1" customFormat="1" ht="15" customHeight="1" x14ac:dyDescent="0.25">
      <c r="Q108" s="6"/>
    </row>
    <row r="109" spans="17:17" s="1" customFormat="1" ht="15" customHeight="1" x14ac:dyDescent="0.25">
      <c r="Q109" s="6"/>
    </row>
    <row r="110" spans="17:17" s="1" customFormat="1" ht="15" customHeight="1" x14ac:dyDescent="0.25">
      <c r="Q110" s="6"/>
    </row>
    <row r="111" spans="17:17" s="1" customFormat="1" ht="15" customHeight="1" x14ac:dyDescent="0.25">
      <c r="Q111" s="6"/>
    </row>
    <row r="112" spans="17:17" s="1" customFormat="1" ht="15" customHeight="1" x14ac:dyDescent="0.25">
      <c r="Q112" s="6"/>
    </row>
    <row r="113" spans="17:17" s="1" customFormat="1" ht="15" customHeight="1" x14ac:dyDescent="0.25">
      <c r="Q113" s="6"/>
    </row>
    <row r="114" spans="17:17" s="1" customFormat="1" ht="15" customHeight="1" x14ac:dyDescent="0.25">
      <c r="Q114" s="6"/>
    </row>
    <row r="115" spans="17:17" s="1" customFormat="1" ht="15" customHeight="1" x14ac:dyDescent="0.25">
      <c r="Q115" s="6"/>
    </row>
    <row r="116" spans="17:17" ht="15" customHeight="1" x14ac:dyDescent="0.25"/>
    <row r="117" spans="17:17" ht="15" customHeight="1" x14ac:dyDescent="0.25"/>
    <row r="118" spans="17:17" ht="15" customHeight="1" x14ac:dyDescent="0.25"/>
    <row r="119" spans="17:17" ht="15" customHeight="1" x14ac:dyDescent="0.25"/>
    <row r="120" spans="17:17" ht="15" customHeight="1" x14ac:dyDescent="0.25"/>
    <row r="121" spans="17:17" ht="15" customHeight="1" x14ac:dyDescent="0.25"/>
    <row r="122" spans="17:17" ht="15" customHeight="1" x14ac:dyDescent="0.25"/>
    <row r="123" spans="17:17" ht="15" customHeight="1" x14ac:dyDescent="0.25"/>
    <row r="124" spans="17:17" ht="15" customHeight="1" x14ac:dyDescent="0.25"/>
    <row r="125" spans="17:17" ht="15" customHeight="1" x14ac:dyDescent="0.25"/>
    <row r="126" spans="17:17" ht="15" customHeight="1" x14ac:dyDescent="0.25"/>
    <row r="127" spans="17:17" ht="15" customHeight="1" x14ac:dyDescent="0.25"/>
    <row r="128" spans="17:17"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Q161"/>
  <sheetViews>
    <sheetView zoomScale="120" zoomScaleNormal="120" workbookViewId="0">
      <pane xSplit="2" ySplit="3" topLeftCell="C4" activePane="bottomRight" state="frozen"/>
      <selection pane="topRight"/>
      <selection pane="bottomLeft"/>
      <selection pane="bottomRight" activeCell="C4" sqref="C4"/>
    </sheetView>
  </sheetViews>
  <sheetFormatPr defaultColWidth="0" defaultRowHeight="14.25" x14ac:dyDescent="0.25"/>
  <cols>
    <col min="1" max="1" width="1.7109375" style="1" customWidth="1"/>
    <col min="2" max="2" width="39.7109375" style="1" customWidth="1"/>
    <col min="3" max="15" width="10.7109375" style="1" customWidth="1"/>
    <col min="16" max="16" width="1.7109375" style="1" hidden="1" customWidth="1"/>
    <col min="17" max="16384" width="10.7109375" style="6" hidden="1"/>
  </cols>
  <sheetData>
    <row r="1" spans="1:16" ht="24" customHeight="1" x14ac:dyDescent="0.2">
      <c r="A1" s="71" t="s">
        <v>277</v>
      </c>
      <c r="B1" s="72"/>
      <c r="C1" s="72"/>
      <c r="D1" s="72"/>
      <c r="E1" s="72"/>
      <c r="F1" s="72"/>
      <c r="G1" s="72"/>
      <c r="H1" s="72"/>
      <c r="I1" s="72"/>
      <c r="J1" s="72"/>
      <c r="K1" s="72"/>
      <c r="L1" s="72"/>
      <c r="M1" s="72"/>
      <c r="N1" s="72"/>
      <c r="O1" s="72"/>
      <c r="P1" s="70"/>
    </row>
    <row r="2" spans="1:16" s="9" customFormat="1" ht="18" customHeight="1" x14ac:dyDescent="0.25">
      <c r="A2" s="5"/>
      <c r="B2" s="7" t="s">
        <v>237</v>
      </c>
      <c r="C2" s="7"/>
      <c r="D2" s="8"/>
      <c r="E2" s="8"/>
      <c r="F2" s="8"/>
      <c r="G2" s="8"/>
      <c r="H2" s="8"/>
      <c r="I2" s="8"/>
    </row>
    <row r="3" spans="1:16" customFormat="1" ht="15" customHeight="1" x14ac:dyDescent="0.25">
      <c r="A3" s="10"/>
      <c r="B3" s="10" t="s">
        <v>183</v>
      </c>
      <c r="C3" s="11" t="s">
        <v>18</v>
      </c>
      <c r="D3" s="11" t="s">
        <v>0</v>
      </c>
      <c r="E3" s="11" t="s">
        <v>1</v>
      </c>
      <c r="F3" s="11" t="s">
        <v>2</v>
      </c>
      <c r="G3" s="11" t="s">
        <v>3</v>
      </c>
      <c r="H3" s="11" t="s">
        <v>4</v>
      </c>
      <c r="I3" s="11" t="s">
        <v>5</v>
      </c>
      <c r="J3" s="11" t="s">
        <v>6</v>
      </c>
      <c r="K3" s="11" t="s">
        <v>7</v>
      </c>
      <c r="L3" s="11" t="s">
        <v>8</v>
      </c>
      <c r="M3" s="11" t="s">
        <v>9</v>
      </c>
      <c r="N3" s="11" t="s">
        <v>10</v>
      </c>
      <c r="O3" s="11" t="s">
        <v>11</v>
      </c>
    </row>
    <row r="4" spans="1:16" customFormat="1" ht="9" customHeight="1" x14ac:dyDescent="0.25">
      <c r="A4" s="13"/>
      <c r="B4" s="13"/>
      <c r="C4" s="13"/>
      <c r="D4" s="14"/>
      <c r="E4" s="14"/>
      <c r="F4" s="14"/>
      <c r="G4" s="14"/>
      <c r="H4" s="14"/>
      <c r="I4" s="14"/>
      <c r="J4" s="14"/>
      <c r="K4" s="14"/>
      <c r="L4" s="13"/>
      <c r="M4" s="13"/>
      <c r="N4" s="13"/>
      <c r="O4" s="13"/>
    </row>
    <row r="5" spans="1:16" customFormat="1" ht="15" customHeight="1" x14ac:dyDescent="0.25">
      <c r="A5" s="2" t="s">
        <v>270</v>
      </c>
      <c r="B5" s="1"/>
      <c r="C5" s="1"/>
      <c r="D5" s="1"/>
      <c r="E5" s="1"/>
      <c r="F5" s="1"/>
      <c r="G5" s="1"/>
      <c r="H5" s="1"/>
      <c r="I5" s="1"/>
      <c r="J5" s="1"/>
      <c r="K5" s="1"/>
      <c r="L5" s="1"/>
      <c r="M5" s="1"/>
      <c r="N5" s="1"/>
      <c r="O5" s="1"/>
    </row>
    <row r="6" spans="1:16" customFormat="1" ht="15" customHeight="1" x14ac:dyDescent="0.25">
      <c r="A6" s="1"/>
      <c r="B6" s="1" t="s">
        <v>259</v>
      </c>
      <c r="C6" s="63">
        <v>23.61</v>
      </c>
      <c r="D6" s="63">
        <v>23.83</v>
      </c>
      <c r="E6" s="63">
        <v>22.15</v>
      </c>
      <c r="F6" s="3">
        <f>Assumption!F6</f>
        <v>22</v>
      </c>
      <c r="G6" s="3">
        <f>Assumption!G6</f>
        <v>22</v>
      </c>
      <c r="H6" s="3">
        <f>Assumption!H6</f>
        <v>21.8</v>
      </c>
      <c r="I6" s="3">
        <f>Assumption!I6</f>
        <v>21.8</v>
      </c>
      <c r="J6" s="3">
        <f>Assumption!J6</f>
        <v>21.8</v>
      </c>
      <c r="K6" s="3">
        <f>Assumption!K6</f>
        <v>21.8</v>
      </c>
      <c r="L6" s="3">
        <f>Assumption!L6</f>
        <v>21.8</v>
      </c>
      <c r="M6" s="3">
        <f>Assumption!M6</f>
        <v>21.8</v>
      </c>
      <c r="N6" s="3">
        <f>Assumption!N6</f>
        <v>21.8</v>
      </c>
      <c r="O6" s="3">
        <f>Assumption!O6</f>
        <v>21.8</v>
      </c>
    </row>
    <row r="7" spans="1:16" customFormat="1" ht="15" customHeight="1" x14ac:dyDescent="0.25">
      <c r="A7" s="1"/>
      <c r="B7" s="1" t="s">
        <v>263</v>
      </c>
      <c r="C7" s="1">
        <f>C8/C6</f>
        <v>1610.4736346637021</v>
      </c>
      <c r="D7" s="1">
        <f>D8/D6</f>
        <v>1969.5665776114142</v>
      </c>
      <c r="E7" s="1">
        <f>E8/E6</f>
        <v>2579.7480808261857</v>
      </c>
      <c r="F7" s="1">
        <f>(1+Assumption!F7)*E7</f>
        <v>3224.6851010327323</v>
      </c>
      <c r="G7" s="1">
        <f>(1+Assumption!G7)*F7</f>
        <v>3901.868972249606</v>
      </c>
      <c r="H7" s="1">
        <f>(1+Assumption!H7)*G7</f>
        <v>4604.2053872545348</v>
      </c>
      <c r="I7" s="1">
        <f>(1+Assumption!I7)*H7</f>
        <v>5294.8361953427147</v>
      </c>
      <c r="J7" s="1">
        <f>(1+Assumption!J7)*I7</f>
        <v>5930.2165387838413</v>
      </c>
      <c r="K7" s="1">
        <f>(1+Assumption!K7)*J7</f>
        <v>6404.6338618865493</v>
      </c>
      <c r="L7" s="1">
        <f>(1+Assumption!L7)*K7</f>
        <v>6724.8655549808773</v>
      </c>
      <c r="M7" s="1">
        <f>(1+Assumption!M7)*L7</f>
        <v>6993.8601771801123</v>
      </c>
      <c r="N7" s="1">
        <f>(1+Assumption!N7)*M7</f>
        <v>7273.6145842673168</v>
      </c>
      <c r="O7" s="1">
        <f>(1+Assumption!O7)*N7</f>
        <v>7491.8230217953369</v>
      </c>
    </row>
    <row r="8" spans="1:16" customFormat="1" ht="15" customHeight="1" x14ac:dyDescent="0.25">
      <c r="A8" s="1"/>
      <c r="B8" s="2" t="s">
        <v>264</v>
      </c>
      <c r="C8" s="64">
        <v>38023.282514410006</v>
      </c>
      <c r="D8" s="64">
        <v>46934.771544479998</v>
      </c>
      <c r="E8" s="64">
        <v>57141.419990300012</v>
      </c>
      <c r="F8" s="2">
        <f t="shared" ref="F8:O8" si="0">F6*F7</f>
        <v>70943.072222720104</v>
      </c>
      <c r="G8" s="2">
        <f t="shared" si="0"/>
        <v>85841.117389491337</v>
      </c>
      <c r="H8" s="2">
        <f t="shared" si="0"/>
        <v>100371.67744214887</v>
      </c>
      <c r="I8" s="2">
        <f t="shared" si="0"/>
        <v>115427.42905847119</v>
      </c>
      <c r="J8" s="2">
        <f t="shared" si="0"/>
        <v>129278.72054548774</v>
      </c>
      <c r="K8" s="2">
        <f t="shared" si="0"/>
        <v>139621.01818912677</v>
      </c>
      <c r="L8" s="2">
        <f t="shared" si="0"/>
        <v>146602.06909858313</v>
      </c>
      <c r="M8" s="2">
        <f t="shared" si="0"/>
        <v>152466.15186252646</v>
      </c>
      <c r="N8" s="2">
        <f t="shared" si="0"/>
        <v>158564.7979370275</v>
      </c>
      <c r="O8" s="2">
        <f t="shared" si="0"/>
        <v>163321.74187513834</v>
      </c>
    </row>
    <row r="9" spans="1:16" customFormat="1" ht="15" customHeight="1" x14ac:dyDescent="0.25">
      <c r="A9" s="1"/>
      <c r="B9" s="1"/>
      <c r="C9" s="1"/>
      <c r="D9" s="1"/>
      <c r="E9" s="1"/>
      <c r="F9" s="1"/>
      <c r="G9" s="1"/>
      <c r="H9" s="1"/>
      <c r="I9" s="1"/>
      <c r="J9" s="1"/>
      <c r="K9" s="1"/>
      <c r="L9" s="1"/>
      <c r="M9" s="1"/>
      <c r="N9" s="1"/>
      <c r="O9" s="1"/>
    </row>
    <row r="10" spans="1:16" customFormat="1" ht="15" customHeight="1" x14ac:dyDescent="0.25">
      <c r="A10" s="2" t="s">
        <v>269</v>
      </c>
      <c r="B10" s="1"/>
      <c r="C10" s="1"/>
      <c r="D10" s="1"/>
      <c r="E10" s="1"/>
      <c r="F10" s="1"/>
      <c r="G10" s="1"/>
      <c r="H10" s="1"/>
      <c r="I10" s="1"/>
      <c r="J10" s="1"/>
      <c r="K10" s="1"/>
      <c r="L10" s="1"/>
      <c r="M10" s="1"/>
      <c r="N10" s="1"/>
      <c r="O10" s="1"/>
    </row>
    <row r="11" spans="1:16" customFormat="1" ht="15" customHeight="1" x14ac:dyDescent="0.25">
      <c r="A11" s="1"/>
      <c r="B11" s="1" t="s">
        <v>264</v>
      </c>
      <c r="C11" s="1">
        <f t="shared" ref="C11:O11" si="1">C8</f>
        <v>38023.282514410006</v>
      </c>
      <c r="D11" s="1">
        <f t="shared" si="1"/>
        <v>46934.771544479998</v>
      </c>
      <c r="E11" s="1">
        <f t="shared" si="1"/>
        <v>57141.419990300012</v>
      </c>
      <c r="F11" s="1">
        <f t="shared" si="1"/>
        <v>70943.072222720104</v>
      </c>
      <c r="G11" s="1">
        <f t="shared" si="1"/>
        <v>85841.117389491337</v>
      </c>
      <c r="H11" s="1">
        <f t="shared" si="1"/>
        <v>100371.67744214887</v>
      </c>
      <c r="I11" s="1">
        <f t="shared" si="1"/>
        <v>115427.42905847119</v>
      </c>
      <c r="J11" s="1">
        <f t="shared" si="1"/>
        <v>129278.72054548774</v>
      </c>
      <c r="K11" s="1">
        <f t="shared" si="1"/>
        <v>139621.01818912677</v>
      </c>
      <c r="L11" s="1">
        <f t="shared" si="1"/>
        <v>146602.06909858313</v>
      </c>
      <c r="M11" s="1">
        <f t="shared" si="1"/>
        <v>152466.15186252646</v>
      </c>
      <c r="N11" s="1">
        <f t="shared" si="1"/>
        <v>158564.7979370275</v>
      </c>
      <c r="O11" s="1">
        <f t="shared" si="1"/>
        <v>163321.74187513834</v>
      </c>
    </row>
    <row r="12" spans="1:16" customFormat="1" ht="15" customHeight="1" x14ac:dyDescent="0.25">
      <c r="A12" s="1"/>
      <c r="B12" s="1" t="s">
        <v>27</v>
      </c>
      <c r="C12" s="61">
        <v>777.27460999000004</v>
      </c>
      <c r="D12" s="49">
        <v>963.24232501999995</v>
      </c>
      <c r="E12" s="49">
        <v>20.42803134</v>
      </c>
      <c r="F12" s="1">
        <f>Assumption!F8</f>
        <v>0</v>
      </c>
      <c r="G12" s="1">
        <f>Assumption!G8</f>
        <v>0</v>
      </c>
      <c r="H12" s="1">
        <f>Assumption!H8</f>
        <v>0</v>
      </c>
      <c r="I12" s="1">
        <f>Assumption!I8</f>
        <v>0</v>
      </c>
      <c r="J12" s="1">
        <f>Assumption!J8</f>
        <v>0</v>
      </c>
      <c r="K12" s="1">
        <f>Assumption!K8</f>
        <v>0</v>
      </c>
      <c r="L12" s="1">
        <f>Assumption!L8</f>
        <v>0</v>
      </c>
      <c r="M12" s="1">
        <f>Assumption!M8</f>
        <v>0</v>
      </c>
      <c r="N12" s="1">
        <f>Assumption!N8</f>
        <v>0</v>
      </c>
      <c r="O12" s="1">
        <f>Assumption!O8</f>
        <v>0</v>
      </c>
    </row>
    <row r="13" spans="1:16" customFormat="1" ht="15" customHeight="1" x14ac:dyDescent="0.25">
      <c r="A13" s="1"/>
      <c r="B13" s="1" t="s">
        <v>26</v>
      </c>
      <c r="C13" s="61">
        <v>92.178805389999994</v>
      </c>
      <c r="D13" s="49">
        <v>203.14089000000001</v>
      </c>
      <c r="E13" s="49">
        <v>320.85005151000001</v>
      </c>
      <c r="F13" s="1">
        <f>Assumption!F9*F8</f>
        <v>425.65843333632063</v>
      </c>
      <c r="G13" s="1">
        <f>Assumption!G9*G8</f>
        <v>515.04670433694798</v>
      </c>
      <c r="H13" s="1">
        <f>Assumption!H9*H8</f>
        <v>602.23006465289325</v>
      </c>
      <c r="I13" s="1">
        <f>Assumption!I9*I8</f>
        <v>692.56457435082712</v>
      </c>
      <c r="J13" s="1">
        <f>Assumption!J9*J8</f>
        <v>775.67232327292641</v>
      </c>
      <c r="K13" s="1">
        <f>Assumption!K9*K8</f>
        <v>837.72610913476069</v>
      </c>
      <c r="L13" s="1">
        <f>Assumption!L9*L8</f>
        <v>879.6124145914988</v>
      </c>
      <c r="M13" s="1">
        <f>Assumption!M9*M8</f>
        <v>914.79691117515881</v>
      </c>
      <c r="N13" s="1">
        <f>Assumption!N9*N8</f>
        <v>951.38878762216507</v>
      </c>
      <c r="O13" s="1">
        <f>Assumption!O9*O8</f>
        <v>979.93045125083006</v>
      </c>
    </row>
    <row r="14" spans="1:16" customFormat="1" ht="15" customHeight="1" x14ac:dyDescent="0.25">
      <c r="A14" s="1"/>
      <c r="B14" s="2" t="s">
        <v>28</v>
      </c>
      <c r="C14" s="2">
        <f t="shared" ref="C14:O14" si="2">SUM(C8,C12:C13)</f>
        <v>38892.735929790011</v>
      </c>
      <c r="D14" s="2">
        <f t="shared" si="2"/>
        <v>48101.154759500001</v>
      </c>
      <c r="E14" s="2">
        <f t="shared" si="2"/>
        <v>57482.698073150015</v>
      </c>
      <c r="F14" s="2">
        <f t="shared" si="2"/>
        <v>71368.730656056418</v>
      </c>
      <c r="G14" s="2">
        <f t="shared" si="2"/>
        <v>86356.16409382828</v>
      </c>
      <c r="H14" s="2">
        <f t="shared" si="2"/>
        <v>100973.90750680176</v>
      </c>
      <c r="I14" s="2">
        <f t="shared" si="2"/>
        <v>116119.99363282201</v>
      </c>
      <c r="J14" s="2">
        <f t="shared" si="2"/>
        <v>130054.39286876067</v>
      </c>
      <c r="K14" s="2">
        <f t="shared" si="2"/>
        <v>140458.74429826153</v>
      </c>
      <c r="L14" s="2">
        <f t="shared" si="2"/>
        <v>147481.68151317464</v>
      </c>
      <c r="M14" s="2">
        <f t="shared" si="2"/>
        <v>153380.94877370162</v>
      </c>
      <c r="N14" s="2">
        <f t="shared" si="2"/>
        <v>159516.18672464965</v>
      </c>
      <c r="O14" s="2">
        <f t="shared" si="2"/>
        <v>164301.67232638918</v>
      </c>
    </row>
    <row r="15" spans="1:16" customFormat="1" ht="15" customHeight="1" x14ac:dyDescent="0.25">
      <c r="A15" s="13"/>
      <c r="B15" s="13"/>
      <c r="C15" s="13"/>
      <c r="D15" s="14"/>
      <c r="E15" s="14"/>
      <c r="F15" s="14"/>
      <c r="G15" s="14"/>
      <c r="H15" s="14"/>
      <c r="I15" s="14"/>
      <c r="J15" s="14"/>
      <c r="K15" s="14"/>
      <c r="L15" s="13"/>
      <c r="M15" s="13"/>
      <c r="N15" s="13"/>
      <c r="O15" s="13"/>
    </row>
    <row r="16" spans="1:16" customFormat="1" ht="15" customHeight="1" x14ac:dyDescent="0.25">
      <c r="A16" s="16" t="s">
        <v>42</v>
      </c>
      <c r="B16" s="13"/>
      <c r="C16" s="13"/>
      <c r="D16" s="1"/>
      <c r="E16" s="1"/>
      <c r="F16" s="54"/>
      <c r="G16" s="54"/>
      <c r="H16" s="54"/>
      <c r="I16" s="1"/>
      <c r="J16" s="1"/>
      <c r="K16" s="1"/>
      <c r="L16" s="1"/>
      <c r="M16" s="1"/>
      <c r="N16" s="1"/>
      <c r="O16" s="1"/>
    </row>
    <row r="17" spans="1:17" ht="15" customHeight="1" x14ac:dyDescent="0.25">
      <c r="B17" s="1" t="s">
        <v>246</v>
      </c>
      <c r="C17" s="49">
        <v>38911.141418019994</v>
      </c>
      <c r="D17" s="49">
        <v>48101.154759500001</v>
      </c>
      <c r="E17" s="49">
        <v>57482.698073150001</v>
      </c>
      <c r="F17" s="83">
        <f>IS!F14</f>
        <v>71368.730656056418</v>
      </c>
      <c r="G17" s="83">
        <f>IS!G14</f>
        <v>86356.16409382828</v>
      </c>
      <c r="H17" s="83">
        <f>IS!H14</f>
        <v>100973.90750680176</v>
      </c>
      <c r="I17" s="83">
        <f>IS!I14</f>
        <v>116119.99363282201</v>
      </c>
      <c r="J17" s="83">
        <f>IS!J14</f>
        <v>130054.39286876067</v>
      </c>
      <c r="K17" s="83">
        <f>IS!K14</f>
        <v>140458.74429826153</v>
      </c>
      <c r="L17" s="83">
        <f>IS!L14</f>
        <v>147481.68151317464</v>
      </c>
      <c r="M17" s="83">
        <f>IS!M14</f>
        <v>153380.94877370162</v>
      </c>
      <c r="N17" s="83">
        <f>IS!N14</f>
        <v>159516.18672464965</v>
      </c>
      <c r="O17" s="83">
        <f>IS!O14</f>
        <v>164301.67232638918</v>
      </c>
    </row>
    <row r="18" spans="1:17" ht="15" customHeight="1" x14ac:dyDescent="0.25">
      <c r="B18" s="1" t="s">
        <v>247</v>
      </c>
      <c r="C18" s="49">
        <v>30785.160629359998</v>
      </c>
      <c r="D18" s="49">
        <v>36752.244785919997</v>
      </c>
      <c r="E18" s="49">
        <v>44042.130406420001</v>
      </c>
      <c r="F18" s="83">
        <f>Assumption!F10*F17</f>
        <v>54597.078951883159</v>
      </c>
      <c r="G18" s="83">
        <f>Assumption!G10*G17</f>
        <v>66062.465531778638</v>
      </c>
      <c r="H18" s="83">
        <f>Assumption!H10*H17</f>
        <v>77245.039242703351</v>
      </c>
      <c r="I18" s="83">
        <f>Assumption!I10*I17</f>
        <v>88831.795129108839</v>
      </c>
      <c r="J18" s="83">
        <f>Assumption!J10*J17</f>
        <v>99491.610544601906</v>
      </c>
      <c r="K18" s="83">
        <f>Assumption!K10*K17</f>
        <v>107450.93938817007</v>
      </c>
      <c r="L18" s="83">
        <f>Assumption!L10*L17</f>
        <v>112823.4863575786</v>
      </c>
      <c r="M18" s="83">
        <f>Assumption!M10*M17</f>
        <v>117336.42581188174</v>
      </c>
      <c r="N18" s="83">
        <f>Assumption!N10*N17</f>
        <v>122029.88284435699</v>
      </c>
      <c r="O18" s="83">
        <f>Assumption!O10*O17</f>
        <v>125690.77932968772</v>
      </c>
    </row>
    <row r="19" spans="1:17" ht="15" customHeight="1" x14ac:dyDescent="0.25">
      <c r="B19" s="1" t="s">
        <v>272</v>
      </c>
      <c r="C19" s="49">
        <v>110.4480834</v>
      </c>
      <c r="D19" s="49">
        <v>185.52114931</v>
      </c>
      <c r="E19" s="49">
        <v>203.30031833999999</v>
      </c>
      <c r="F19" s="83">
        <f>Assumption!F11*F$17</f>
        <v>285.47492262422566</v>
      </c>
      <c r="G19" s="83">
        <f>Assumption!G11*G$17</f>
        <v>345.42465637531313</v>
      </c>
      <c r="H19" s="83">
        <f>Assumption!H11*H$17</f>
        <v>403.89563002720701</v>
      </c>
      <c r="I19" s="83">
        <f>Assumption!I11*I$17</f>
        <v>464.47997453128801</v>
      </c>
      <c r="J19" s="83">
        <f>Assumption!J11*J$17</f>
        <v>520.21757147504263</v>
      </c>
      <c r="K19" s="83">
        <f>Assumption!K11*K$17</f>
        <v>561.83497719304614</v>
      </c>
      <c r="L19" s="83">
        <f>Assumption!L11*L$17</f>
        <v>589.92672605269854</v>
      </c>
      <c r="M19" s="83">
        <f>Assumption!M11*M$17</f>
        <v>613.52379509480647</v>
      </c>
      <c r="N19" s="83">
        <f>Assumption!N11*N$17</f>
        <v>638.06474689859863</v>
      </c>
      <c r="O19" s="83">
        <f>Assumption!O11*O$17</f>
        <v>657.20668930555667</v>
      </c>
    </row>
    <row r="20" spans="1:17" ht="15" customHeight="1" x14ac:dyDescent="0.25">
      <c r="B20" s="1" t="s">
        <v>248</v>
      </c>
      <c r="C20" s="49">
        <v>1605.9804010999999</v>
      </c>
      <c r="D20" s="49">
        <v>1907.0370762300001</v>
      </c>
      <c r="E20" s="49">
        <v>1127.7968511199999</v>
      </c>
      <c r="F20" s="83">
        <f>Assumption!F12*F$17</f>
        <v>1427.3746131211283</v>
      </c>
      <c r="G20" s="83">
        <f>Assumption!G12*G$17</f>
        <v>1727.1232818765657</v>
      </c>
      <c r="H20" s="83">
        <f>Assumption!H12*H$17</f>
        <v>2019.4781501360351</v>
      </c>
      <c r="I20" s="83">
        <f>Assumption!I12*I$17</f>
        <v>2322.39987265644</v>
      </c>
      <c r="J20" s="83">
        <f>Assumption!J12*J$17</f>
        <v>2601.0878573752134</v>
      </c>
      <c r="K20" s="83">
        <f>Assumption!K12*K$17</f>
        <v>2809.1748859652307</v>
      </c>
      <c r="L20" s="83">
        <f>Assumption!L12*L$17</f>
        <v>2949.6336302634927</v>
      </c>
      <c r="M20" s="83">
        <f>Assumption!M12*M$17</f>
        <v>3067.6189754740326</v>
      </c>
      <c r="N20" s="83">
        <f>Assumption!N12*N$17</f>
        <v>3190.323734492993</v>
      </c>
      <c r="O20" s="83">
        <f>Assumption!O12*O$17</f>
        <v>3286.0334465277838</v>
      </c>
    </row>
    <row r="21" spans="1:17" ht="15" customHeight="1" x14ac:dyDescent="0.25">
      <c r="B21" s="1" t="s">
        <v>249</v>
      </c>
      <c r="C21" s="49">
        <v>4743.9574234000002</v>
      </c>
      <c r="D21" s="49">
        <v>5618.0443273000001</v>
      </c>
      <c r="E21" s="49">
        <v>5862.9833750199996</v>
      </c>
      <c r="F21" s="83">
        <f>Assumption!F13*F$17</f>
        <v>7136.8730656056423</v>
      </c>
      <c r="G21" s="83">
        <f>Assumption!G13*G$17</f>
        <v>8203.8355889136874</v>
      </c>
      <c r="H21" s="83">
        <f>Assumption!H13*H$17</f>
        <v>9592.5212131461667</v>
      </c>
      <c r="I21" s="83">
        <f>Assumption!I13*I$17</f>
        <v>11031.399395118091</v>
      </c>
      <c r="J21" s="83">
        <f>Assumption!J13*J$17</f>
        <v>12355.167322532263</v>
      </c>
      <c r="K21" s="83">
        <f>Assumption!K13*K$17</f>
        <v>13343.580708334846</v>
      </c>
      <c r="L21" s="83">
        <f>Assumption!L13*L$17</f>
        <v>14010.759743751591</v>
      </c>
      <c r="M21" s="83">
        <f>Assumption!M13*M$17</f>
        <v>14571.190133501654</v>
      </c>
      <c r="N21" s="83">
        <f>Assumption!N13*N$17</f>
        <v>15154.037738841718</v>
      </c>
      <c r="O21" s="83">
        <f>Assumption!O13*O$17</f>
        <v>15608.658871006972</v>
      </c>
    </row>
    <row r="22" spans="1:17" ht="15" customHeight="1" x14ac:dyDescent="0.25">
      <c r="B22" s="1" t="s">
        <v>250</v>
      </c>
      <c r="C22" s="49">
        <v>194.26430863999997</v>
      </c>
      <c r="D22" s="49">
        <v>288.16900813999996</v>
      </c>
      <c r="E22" s="49">
        <v>266.01695754000002</v>
      </c>
      <c r="F22" s="83">
        <f>Assumption!F14*F$17</f>
        <v>356.84365328028207</v>
      </c>
      <c r="G22" s="83">
        <f>Assumption!G14*G$17</f>
        <v>431.78082046914142</v>
      </c>
      <c r="H22" s="83">
        <f>Assumption!H14*H$17</f>
        <v>403.89563002720701</v>
      </c>
      <c r="I22" s="83">
        <f>Assumption!I14*I$17</f>
        <v>464.47997453128801</v>
      </c>
      <c r="J22" s="83">
        <f>Assumption!J14*J$17</f>
        <v>520.21757147504263</v>
      </c>
      <c r="K22" s="83">
        <f>Assumption!K14*K$17</f>
        <v>421.37623289478461</v>
      </c>
      <c r="L22" s="83">
        <f>Assumption!L14*L$17</f>
        <v>442.44504453952391</v>
      </c>
      <c r="M22" s="83">
        <f>Assumption!M14*M$17</f>
        <v>0</v>
      </c>
      <c r="N22" s="83">
        <f>Assumption!N14*N$17</f>
        <v>0</v>
      </c>
      <c r="O22" s="83">
        <f>Assumption!O14*O$17</f>
        <v>0</v>
      </c>
    </row>
    <row r="23" spans="1:17" s="53" customFormat="1" ht="15" customHeight="1" x14ac:dyDescent="0.25">
      <c r="A23" s="2"/>
      <c r="B23" s="2" t="s">
        <v>16</v>
      </c>
      <c r="C23" s="52">
        <f>C17-SUM(C18:C21)+C22</f>
        <v>1859.8591893999924</v>
      </c>
      <c r="D23" s="52">
        <f t="shared" ref="D23:F23" si="3">D17-SUM(D18:D21)+D22</f>
        <v>3926.4764288800061</v>
      </c>
      <c r="E23" s="52">
        <f t="shared" si="3"/>
        <v>6512.5040797900001</v>
      </c>
      <c r="F23" s="84">
        <f t="shared" si="3"/>
        <v>8278.7727561025404</v>
      </c>
      <c r="G23" s="84">
        <f t="shared" ref="G23" si="4">G17-SUM(G18:G21)+G22</f>
        <v>10449.095855353213</v>
      </c>
      <c r="H23" s="84">
        <f t="shared" ref="H23" si="5">H17-SUM(H18:H21)+H22</f>
        <v>12116.868900816185</v>
      </c>
      <c r="I23" s="84">
        <f t="shared" ref="I23" si="6">I17-SUM(I18:I21)+I22</f>
        <v>13934.399235938628</v>
      </c>
      <c r="J23" s="84">
        <f t="shared" ref="J23" si="7">J17-SUM(J18:J21)+J22</f>
        <v>15606.527144251284</v>
      </c>
      <c r="K23" s="84">
        <f t="shared" ref="K23" si="8">K17-SUM(K18:K21)+K22</f>
        <v>16714.590571493121</v>
      </c>
      <c r="L23" s="84">
        <f t="shared" ref="L23" si="9">L17-SUM(L18:L21)+L22</f>
        <v>17550.320100067784</v>
      </c>
      <c r="M23" s="84">
        <f t="shared" ref="M23" si="10">M17-SUM(M18:M21)+M22</f>
        <v>17792.190057749394</v>
      </c>
      <c r="N23" s="84">
        <f t="shared" ref="N23" si="11">N17-SUM(N18:N21)+N22</f>
        <v>18503.877660059341</v>
      </c>
      <c r="O23" s="84">
        <f t="shared" ref="O23" si="12">O17-SUM(O18:O21)+O22</f>
        <v>19058.993989861134</v>
      </c>
      <c r="P23" s="52"/>
    </row>
    <row r="24" spans="1:17" ht="15" customHeight="1" x14ac:dyDescent="0.25">
      <c r="C24" s="49"/>
      <c r="D24" s="18"/>
      <c r="E24" s="18"/>
      <c r="F24" s="49"/>
      <c r="G24" s="49"/>
      <c r="H24" s="49"/>
      <c r="I24" s="49"/>
      <c r="J24" s="49"/>
      <c r="K24" s="49"/>
      <c r="L24" s="49"/>
      <c r="M24" s="49"/>
      <c r="N24" s="49"/>
      <c r="O24" s="49"/>
    </row>
    <row r="25" spans="1:17" ht="15" customHeight="1" x14ac:dyDescent="0.25">
      <c r="B25" s="1" t="s">
        <v>251</v>
      </c>
      <c r="C25" s="49">
        <v>1282.4256652600002</v>
      </c>
      <c r="D25" s="49">
        <v>1560.1276243099999</v>
      </c>
      <c r="E25" s="49">
        <v>1802.9438227400001</v>
      </c>
      <c r="F25" s="83">
        <f>Capex!F8</f>
        <v>2254.1113130903996</v>
      </c>
      <c r="G25" s="83">
        <f>Capex!G8</f>
        <v>2421.5040233986733</v>
      </c>
      <c r="H25" s="83">
        <f>Capex!H8</f>
        <v>2527.884426018969</v>
      </c>
      <c r="I25" s="83">
        <f>Capex!I8</f>
        <v>2536.2547959427734</v>
      </c>
      <c r="J25" s="83">
        <f>Capex!J8</f>
        <v>2425.1818022793004</v>
      </c>
      <c r="K25" s="83">
        <f>Capex!K8</f>
        <v>2376.6603094979387</v>
      </c>
      <c r="L25" s="83">
        <f>Capex!L8</f>
        <v>2364.8710343713246</v>
      </c>
      <c r="M25" s="83">
        <f>Capex!M8</f>
        <v>2452.5854237551498</v>
      </c>
      <c r="N25" s="83">
        <f>Capex!N8</f>
        <v>2544.8404565129827</v>
      </c>
      <c r="O25" s="83">
        <f>Capex!O8</f>
        <v>2641.6629482099843</v>
      </c>
    </row>
    <row r="26" spans="1:17" ht="15" customHeight="1" x14ac:dyDescent="0.25">
      <c r="B26" s="1" t="s">
        <v>252</v>
      </c>
      <c r="C26" s="49">
        <v>267.45753692</v>
      </c>
      <c r="D26" s="49">
        <v>524.64400006000005</v>
      </c>
      <c r="E26" s="49">
        <v>559.36401870999998</v>
      </c>
      <c r="F26" s="83">
        <f>SUM(Capex!F14,Capex!F20)</f>
        <v>775.26849723679993</v>
      </c>
      <c r="G26" s="83">
        <f>SUM(Capex!G14,Capex!G20)</f>
        <v>797.97401407647635</v>
      </c>
      <c r="H26" s="83">
        <f>SUM(Capex!H14,Capex!H20)</f>
        <v>810.64300080118778</v>
      </c>
      <c r="I26" s="83">
        <f>SUM(Capex!I14,Capex!I20)</f>
        <v>751.02574221184193</v>
      </c>
      <c r="J26" s="83">
        <f>SUM(Capex!J14,Capex!J20)</f>
        <v>725.86229712564477</v>
      </c>
      <c r="K26" s="83">
        <f>SUM(Capex!K14,Capex!K20)</f>
        <v>721.63979079113324</v>
      </c>
      <c r="L26" s="83">
        <f>SUM(Capex!L14,Capex!L20)</f>
        <v>755.34781504563921</v>
      </c>
      <c r="M26" s="83">
        <f>SUM(Capex!M14,Capex!M20)</f>
        <v>791.73797584064164</v>
      </c>
      <c r="N26" s="83">
        <f>SUM(Capex!N14,Capex!N20)</f>
        <v>828.66996840487377</v>
      </c>
      <c r="O26" s="83">
        <f>SUM(Capex!O14,Capex!O20)</f>
        <v>866.42289153075262</v>
      </c>
    </row>
    <row r="27" spans="1:17" ht="15" customHeight="1" x14ac:dyDescent="0.25">
      <c r="A27" s="2"/>
      <c r="B27" s="2" t="s">
        <v>17</v>
      </c>
      <c r="C27" s="52">
        <f>C23-C25-C26</f>
        <v>309.97598721999219</v>
      </c>
      <c r="D27" s="52">
        <f>D23-D25-D26</f>
        <v>1841.7048045100059</v>
      </c>
      <c r="E27" s="52">
        <f>E23-E25-E26</f>
        <v>4150.1962383399996</v>
      </c>
      <c r="F27" s="84">
        <f>F23-F25-F26</f>
        <v>5249.3929457753411</v>
      </c>
      <c r="G27" s="84">
        <f t="shared" ref="G27:O27" si="13">G23-G25-G26</f>
        <v>7229.6178178780638</v>
      </c>
      <c r="H27" s="84">
        <f t="shared" si="13"/>
        <v>8778.3414739960281</v>
      </c>
      <c r="I27" s="84">
        <f t="shared" si="13"/>
        <v>10647.118697784013</v>
      </c>
      <c r="J27" s="84">
        <f t="shared" si="13"/>
        <v>12455.48304484634</v>
      </c>
      <c r="K27" s="84">
        <f t="shared" si="13"/>
        <v>13616.290471204051</v>
      </c>
      <c r="L27" s="84">
        <f t="shared" si="13"/>
        <v>14430.10125065082</v>
      </c>
      <c r="M27" s="84">
        <f t="shared" si="13"/>
        <v>14547.866658153602</v>
      </c>
      <c r="N27" s="84">
        <f t="shared" si="13"/>
        <v>15130.367235141484</v>
      </c>
      <c r="O27" s="84">
        <f t="shared" si="13"/>
        <v>15550.908150120396</v>
      </c>
      <c r="P27" s="2"/>
      <c r="Q27" s="53"/>
    </row>
    <row r="28" spans="1:17" ht="15" customHeight="1" x14ac:dyDescent="0.25">
      <c r="C28" s="18"/>
      <c r="D28" s="18"/>
      <c r="E28" s="18"/>
      <c r="F28" s="49"/>
      <c r="G28" s="49"/>
      <c r="H28" s="49"/>
      <c r="I28" s="49"/>
      <c r="J28" s="49"/>
      <c r="K28" s="49"/>
      <c r="L28" s="49"/>
      <c r="M28" s="49"/>
      <c r="N28" s="49"/>
      <c r="O28" s="49"/>
    </row>
    <row r="29" spans="1:17" ht="15" customHeight="1" x14ac:dyDescent="0.25">
      <c r="B29" s="1" t="s">
        <v>15</v>
      </c>
      <c r="C29" s="49">
        <v>112.84313763</v>
      </c>
      <c r="D29" s="57">
        <v>397.23519852999999</v>
      </c>
      <c r="E29" s="57">
        <v>417.42821259999999</v>
      </c>
      <c r="F29" s="83">
        <f ca="1">Cals!F43</f>
        <v>412.56732156848875</v>
      </c>
      <c r="G29" s="83">
        <f ca="1">Cals!G43</f>
        <v>427.25974479523848</v>
      </c>
      <c r="H29" s="83">
        <f ca="1">Cals!H43</f>
        <v>410.97101423430564</v>
      </c>
      <c r="I29" s="83">
        <f ca="1">Cals!I43</f>
        <v>375.29977693700795</v>
      </c>
      <c r="J29" s="83">
        <f ca="1">Cals!J43</f>
        <v>336.02269105197865</v>
      </c>
      <c r="K29" s="83">
        <f ca="1">Cals!K43</f>
        <v>296.19594110452567</v>
      </c>
      <c r="L29" s="83">
        <f ca="1">Cals!L43</f>
        <v>263.38781968371239</v>
      </c>
      <c r="M29" s="83">
        <f ca="1">Cals!M43</f>
        <v>240.06516554081668</v>
      </c>
      <c r="N29" s="83">
        <f ca="1">Cals!N43</f>
        <v>217.12573232886143</v>
      </c>
      <c r="O29" s="83">
        <f ca="1">Cals!O43</f>
        <v>192.00842937449909</v>
      </c>
    </row>
    <row r="30" spans="1:17" ht="15" customHeight="1" x14ac:dyDescent="0.25">
      <c r="B30" s="1" t="s">
        <v>273</v>
      </c>
      <c r="C30" s="49">
        <v>429.66</v>
      </c>
      <c r="D30" s="57">
        <v>398.58</v>
      </c>
      <c r="E30" s="57">
        <v>277.01</v>
      </c>
      <c r="F30" s="83">
        <f>Assumption!F15*BS!F12</f>
        <v>278.90913902479997</v>
      </c>
      <c r="G30" s="83">
        <f>Assumption!G15*BS!G12</f>
        <v>278.90913902479997</v>
      </c>
      <c r="H30" s="83">
        <f>Assumption!H15*BS!H12</f>
        <v>278.90913902479997</v>
      </c>
      <c r="I30" s="83">
        <f>Assumption!I15*BS!I12</f>
        <v>278.90913902479997</v>
      </c>
      <c r="J30" s="83">
        <f>Assumption!J15*BS!J12</f>
        <v>278.90913902479997</v>
      </c>
      <c r="K30" s="83">
        <f>Assumption!K15*BS!K12</f>
        <v>278.90913902479997</v>
      </c>
      <c r="L30" s="83">
        <f>Assumption!L15*BS!L12</f>
        <v>278.90913902479997</v>
      </c>
      <c r="M30" s="83">
        <f>Assumption!M15*BS!M12</f>
        <v>278.90913902479997</v>
      </c>
      <c r="N30" s="83">
        <f>Assumption!N15*BS!N12</f>
        <v>278.90913902479997</v>
      </c>
      <c r="O30" s="83">
        <f>Assumption!O15*BS!O12</f>
        <v>278.90913902479997</v>
      </c>
    </row>
    <row r="31" spans="1:17" ht="15" customHeight="1" x14ac:dyDescent="0.25">
      <c r="B31" s="1" t="s">
        <v>253</v>
      </c>
      <c r="C31" s="49">
        <v>-9.8288061599969865</v>
      </c>
      <c r="D31" s="57">
        <v>-152.54456794999697</v>
      </c>
      <c r="E31" s="57">
        <v>1180.9533474599937</v>
      </c>
      <c r="F31" s="83">
        <f>Assumption!F16</f>
        <v>0</v>
      </c>
      <c r="G31" s="83">
        <f>Assumption!G16</f>
        <v>0</v>
      </c>
      <c r="H31" s="83">
        <f>Assumption!H16</f>
        <v>0</v>
      </c>
      <c r="I31" s="83">
        <f>Assumption!I16</f>
        <v>0</v>
      </c>
      <c r="J31" s="83">
        <f>Assumption!J16</f>
        <v>0</v>
      </c>
      <c r="K31" s="83">
        <f>Assumption!K16</f>
        <v>0</v>
      </c>
      <c r="L31" s="83">
        <f>Assumption!L16</f>
        <v>0</v>
      </c>
      <c r="M31" s="83">
        <f>Assumption!M16</f>
        <v>0</v>
      </c>
      <c r="N31" s="83">
        <f>Assumption!N16</f>
        <v>0</v>
      </c>
      <c r="O31" s="83">
        <f>Assumption!O16</f>
        <v>0</v>
      </c>
    </row>
    <row r="32" spans="1:17" s="53" customFormat="1" ht="15" customHeight="1" x14ac:dyDescent="0.25">
      <c r="A32" s="2"/>
      <c r="B32" s="2" t="s">
        <v>254</v>
      </c>
      <c r="C32" s="52">
        <f t="shared" ref="C32:D32" si="14">C27-C29+C30+C31</f>
        <v>616.96404342999517</v>
      </c>
      <c r="D32" s="52">
        <f t="shared" si="14"/>
        <v>1690.505038030009</v>
      </c>
      <c r="E32" s="52">
        <f t="shared" ref="E32" si="15">E27-E29+E30+E31</f>
        <v>5190.7313731999939</v>
      </c>
      <c r="F32" s="84">
        <f t="shared" ref="F32:O32" ca="1" si="16">F27-F29+F30+F31</f>
        <v>5115.7347632316523</v>
      </c>
      <c r="G32" s="84">
        <f t="shared" ca="1" si="16"/>
        <v>7081.2672121076248</v>
      </c>
      <c r="H32" s="84">
        <f t="shared" ca="1" si="16"/>
        <v>8646.2795987865211</v>
      </c>
      <c r="I32" s="84">
        <f t="shared" ca="1" si="16"/>
        <v>10550.728059871804</v>
      </c>
      <c r="J32" s="84">
        <f t="shared" ca="1" si="16"/>
        <v>12398.369492819162</v>
      </c>
      <c r="K32" s="84">
        <f t="shared" ca="1" si="16"/>
        <v>13599.003669124324</v>
      </c>
      <c r="L32" s="84">
        <f t="shared" ca="1" si="16"/>
        <v>14445.622569991907</v>
      </c>
      <c r="M32" s="84">
        <f t="shared" ca="1" si="16"/>
        <v>14586.710631637585</v>
      </c>
      <c r="N32" s="84">
        <f t="shared" ca="1" si="16"/>
        <v>15192.150641837423</v>
      </c>
      <c r="O32" s="84">
        <f t="shared" ca="1" si="16"/>
        <v>15637.808859770697</v>
      </c>
      <c r="P32" s="2"/>
    </row>
    <row r="33" spans="1:17" s="53" customFormat="1" ht="15" customHeight="1" x14ac:dyDescent="0.25">
      <c r="A33" s="1"/>
      <c r="B33" s="1"/>
      <c r="C33" s="1"/>
      <c r="D33" s="1"/>
      <c r="E33" s="1"/>
      <c r="F33" s="49"/>
      <c r="G33" s="49"/>
      <c r="H33" s="49"/>
      <c r="I33" s="49"/>
      <c r="J33" s="49"/>
      <c r="K33" s="49"/>
      <c r="L33" s="49"/>
      <c r="M33" s="49"/>
      <c r="N33" s="49"/>
      <c r="O33" s="49"/>
      <c r="P33" s="1"/>
      <c r="Q33" s="6"/>
    </row>
    <row r="34" spans="1:17" s="53" customFormat="1" ht="15" customHeight="1" x14ac:dyDescent="0.25">
      <c r="A34" s="1"/>
      <c r="B34" s="1" t="s">
        <v>255</v>
      </c>
      <c r="C34" s="49">
        <v>141.33611218999999</v>
      </c>
      <c r="D34" s="57">
        <v>596.28389004999997</v>
      </c>
      <c r="E34" s="57">
        <v>1029.9464318600001</v>
      </c>
      <c r="F34" s="83">
        <f ca="1">Assumption!F17*F32</f>
        <v>1176.6189955432801</v>
      </c>
      <c r="G34" s="83">
        <f ca="1">Assumption!G17*G32</f>
        <v>1628.6914587847539</v>
      </c>
      <c r="H34" s="83">
        <f ca="1">Assumption!H17*H32</f>
        <v>1988.6443077208999</v>
      </c>
      <c r="I34" s="83">
        <f ca="1">Assumption!I17*I32</f>
        <v>2426.6674537705153</v>
      </c>
      <c r="J34" s="83">
        <f ca="1">Assumption!J17*J32</f>
        <v>2851.6249833484071</v>
      </c>
      <c r="K34" s="83">
        <f ca="1">Assumption!K17*K32</f>
        <v>3127.7708438985946</v>
      </c>
      <c r="L34" s="83">
        <f ca="1">Assumption!L17*L32</f>
        <v>3322.4931910981386</v>
      </c>
      <c r="M34" s="83">
        <f ca="1">Assumption!M17*M32</f>
        <v>3354.9434452766445</v>
      </c>
      <c r="N34" s="83">
        <f ca="1">Assumption!N17*N32</f>
        <v>3494.1946476226076</v>
      </c>
      <c r="O34" s="83">
        <f ca="1">Assumption!O17*O32</f>
        <v>3596.6960377472606</v>
      </c>
      <c r="P34" s="1"/>
      <c r="Q34" s="6"/>
    </row>
    <row r="35" spans="1:17" ht="15" customHeight="1" x14ac:dyDescent="0.25">
      <c r="A35" s="2"/>
      <c r="B35" s="2" t="s">
        <v>256</v>
      </c>
      <c r="C35" s="52">
        <f t="shared" ref="C35:E35" si="17">C32-C34</f>
        <v>475.62793123999518</v>
      </c>
      <c r="D35" s="52">
        <f t="shared" si="17"/>
        <v>1094.2211479800089</v>
      </c>
      <c r="E35" s="52">
        <f t="shared" si="17"/>
        <v>4160.7849413399936</v>
      </c>
      <c r="F35" s="84">
        <f t="shared" ref="F35:O35" ca="1" si="18">F32-F34</f>
        <v>3939.1157676883722</v>
      </c>
      <c r="G35" s="84">
        <f t="shared" ca="1" si="18"/>
        <v>5452.5757533228707</v>
      </c>
      <c r="H35" s="84">
        <f t="shared" ca="1" si="18"/>
        <v>6657.6352910656215</v>
      </c>
      <c r="I35" s="84">
        <f t="shared" ca="1" si="18"/>
        <v>8124.0606061012895</v>
      </c>
      <c r="J35" s="84">
        <f t="shared" ca="1" si="18"/>
        <v>9546.7445094707546</v>
      </c>
      <c r="K35" s="84">
        <f t="shared" ca="1" si="18"/>
        <v>10471.232825225728</v>
      </c>
      <c r="L35" s="84">
        <f t="shared" ca="1" si="18"/>
        <v>11123.129378893769</v>
      </c>
      <c r="M35" s="84">
        <f t="shared" ca="1" si="18"/>
        <v>11231.767186360939</v>
      </c>
      <c r="N35" s="84">
        <f t="shared" ca="1" si="18"/>
        <v>11697.955994214815</v>
      </c>
      <c r="O35" s="84">
        <f t="shared" ca="1" si="18"/>
        <v>12041.112822023437</v>
      </c>
      <c r="P35" s="58"/>
      <c r="Q35" s="53"/>
    </row>
    <row r="36" spans="1:17" ht="15" customHeight="1" x14ac:dyDescent="0.25">
      <c r="D36" s="59"/>
      <c r="E36" s="66"/>
      <c r="F36" s="49"/>
      <c r="G36" s="49"/>
      <c r="H36" s="49"/>
      <c r="I36" s="49"/>
      <c r="J36" s="49"/>
      <c r="K36" s="49"/>
      <c r="L36" s="49"/>
      <c r="M36" s="49"/>
      <c r="N36" s="49"/>
      <c r="O36" s="49"/>
      <c r="P36" s="60"/>
    </row>
    <row r="37" spans="1:17" ht="15" customHeight="1" x14ac:dyDescent="0.25">
      <c r="B37" s="1" t="s">
        <v>244</v>
      </c>
      <c r="C37" s="49">
        <v>-2.83874016</v>
      </c>
      <c r="D37" s="57">
        <v>-7.209659320000001</v>
      </c>
      <c r="E37" s="57">
        <v>-19.641210659999999</v>
      </c>
      <c r="F37" s="83">
        <f>Assumption!F18</f>
        <v>0</v>
      </c>
      <c r="G37" s="83">
        <f>Assumption!G18</f>
        <v>0</v>
      </c>
      <c r="H37" s="83">
        <f>Assumption!H18</f>
        <v>0</v>
      </c>
      <c r="I37" s="83">
        <f>Assumption!I18</f>
        <v>0</v>
      </c>
      <c r="J37" s="83">
        <f>Assumption!J18</f>
        <v>0</v>
      </c>
      <c r="K37" s="83">
        <f>Assumption!K18</f>
        <v>0</v>
      </c>
      <c r="L37" s="83">
        <f>Assumption!L18</f>
        <v>0</v>
      </c>
      <c r="M37" s="83">
        <f>Assumption!M18</f>
        <v>0</v>
      </c>
      <c r="N37" s="83">
        <f>Assumption!N18</f>
        <v>0</v>
      </c>
      <c r="O37" s="83">
        <f>Assumption!O18</f>
        <v>0</v>
      </c>
      <c r="P37" s="60"/>
    </row>
    <row r="38" spans="1:17" ht="15" customHeight="1" x14ac:dyDescent="0.25">
      <c r="A38" s="2"/>
      <c r="B38" s="2" t="s">
        <v>225</v>
      </c>
      <c r="C38" s="52">
        <f t="shared" ref="C38:E38" si="19">C35-C37</f>
        <v>478.46667139999516</v>
      </c>
      <c r="D38" s="52">
        <f t="shared" si="19"/>
        <v>1101.4308073000088</v>
      </c>
      <c r="E38" s="52">
        <f t="shared" si="19"/>
        <v>4180.4261519999936</v>
      </c>
      <c r="F38" s="84">
        <f t="shared" ref="F38:O38" ca="1" si="20">F35-F37</f>
        <v>3939.1157676883722</v>
      </c>
      <c r="G38" s="84">
        <f t="shared" ca="1" si="20"/>
        <v>5452.5757533228707</v>
      </c>
      <c r="H38" s="84">
        <f t="shared" ca="1" si="20"/>
        <v>6657.6352910656215</v>
      </c>
      <c r="I38" s="84">
        <f t="shared" ca="1" si="20"/>
        <v>8124.0606061012895</v>
      </c>
      <c r="J38" s="84">
        <f t="shared" ca="1" si="20"/>
        <v>9546.7445094707546</v>
      </c>
      <c r="K38" s="84">
        <f t="shared" ca="1" si="20"/>
        <v>10471.232825225728</v>
      </c>
      <c r="L38" s="84">
        <f t="shared" ca="1" si="20"/>
        <v>11123.129378893769</v>
      </c>
      <c r="M38" s="84">
        <f t="shared" ca="1" si="20"/>
        <v>11231.767186360939</v>
      </c>
      <c r="N38" s="84">
        <f t="shared" ca="1" si="20"/>
        <v>11697.955994214815</v>
      </c>
      <c r="O38" s="84">
        <f t="shared" ca="1" si="20"/>
        <v>12041.112822023437</v>
      </c>
      <c r="P38" s="58"/>
      <c r="Q38" s="53"/>
    </row>
    <row r="39" spans="1:17" ht="15" customHeight="1" x14ac:dyDescent="0.25">
      <c r="D39" s="59"/>
      <c r="E39" s="59"/>
      <c r="F39" s="59"/>
      <c r="G39" s="59"/>
      <c r="H39" s="59"/>
      <c r="I39" s="59"/>
      <c r="J39" s="59"/>
      <c r="K39" s="59"/>
      <c r="L39" s="59"/>
      <c r="M39" s="59"/>
      <c r="N39" s="59"/>
      <c r="O39" s="59"/>
    </row>
    <row r="40" spans="1:17" s="53" customFormat="1" ht="15" customHeight="1" x14ac:dyDescent="0.25">
      <c r="A40" s="1"/>
      <c r="B40" s="1" t="s">
        <v>257</v>
      </c>
      <c r="C40" s="61">
        <v>800</v>
      </c>
      <c r="D40" s="57">
        <v>3950.1858729999999</v>
      </c>
      <c r="E40" s="57">
        <v>4183.6782130000001</v>
      </c>
      <c r="F40" s="83">
        <f>Assumption!F19</f>
        <v>4183.6782130000001</v>
      </c>
      <c r="G40" s="83">
        <f>Assumption!G19</f>
        <v>4183.6782130000001</v>
      </c>
      <c r="H40" s="83">
        <f>Assumption!H19</f>
        <v>4183.6782130000001</v>
      </c>
      <c r="I40" s="83">
        <f>Assumption!I19</f>
        <v>4183.6782130000001</v>
      </c>
      <c r="J40" s="83">
        <f>Assumption!J19</f>
        <v>4183.6782130000001</v>
      </c>
      <c r="K40" s="83">
        <f>Assumption!K19</f>
        <v>4183.6782130000001</v>
      </c>
      <c r="L40" s="83">
        <f>Assumption!L19</f>
        <v>4183.6782130000001</v>
      </c>
      <c r="M40" s="83">
        <f>Assumption!M19</f>
        <v>4183.6782130000001</v>
      </c>
      <c r="N40" s="83">
        <f>Assumption!N19</f>
        <v>4183.6782130000001</v>
      </c>
      <c r="O40" s="83">
        <f>Assumption!O19</f>
        <v>4183.6782130000001</v>
      </c>
      <c r="P40" s="1"/>
      <c r="Q40" s="6"/>
    </row>
    <row r="41" spans="1:17" ht="15" customHeight="1" x14ac:dyDescent="0.25">
      <c r="A41" s="2"/>
      <c r="B41" s="2" t="s">
        <v>258</v>
      </c>
      <c r="C41" s="62">
        <f t="shared" ref="C41:E41" si="21">C38/C40</f>
        <v>0.59808333924999391</v>
      </c>
      <c r="D41" s="62">
        <f t="shared" si="21"/>
        <v>0.27883012159716891</v>
      </c>
      <c r="E41" s="62">
        <f t="shared" si="21"/>
        <v>0.99922267898379435</v>
      </c>
      <c r="F41" s="85">
        <f t="shared" ref="F41:O41" ca="1" si="22">F38/F40</f>
        <v>0.94154367691289076</v>
      </c>
      <c r="G41" s="85">
        <f t="shared" ca="1" si="22"/>
        <v>1.3032971169675545</v>
      </c>
      <c r="H41" s="85">
        <f t="shared" ca="1" si="22"/>
        <v>1.5913354115950555</v>
      </c>
      <c r="I41" s="85">
        <f t="shared" ca="1" si="22"/>
        <v>1.9418464309366064</v>
      </c>
      <c r="J41" s="85">
        <f t="shared" ca="1" si="22"/>
        <v>2.2819021978808087</v>
      </c>
      <c r="K41" s="85">
        <f t="shared" ca="1" si="22"/>
        <v>2.5028772032916691</v>
      </c>
      <c r="L41" s="85">
        <f t="shared" ca="1" si="22"/>
        <v>2.6586962028606114</v>
      </c>
      <c r="M41" s="85">
        <f t="shared" ca="1" si="22"/>
        <v>2.6846632591054247</v>
      </c>
      <c r="N41" s="85">
        <f t="shared" ca="1" si="22"/>
        <v>2.796093628297128</v>
      </c>
      <c r="O41" s="85">
        <f t="shared" ca="1" si="22"/>
        <v>2.8781163868215112</v>
      </c>
      <c r="P41" s="2"/>
      <c r="Q41" s="53"/>
    </row>
    <row r="42" spans="1:17" ht="15" customHeight="1" x14ac:dyDescent="0.25">
      <c r="D42" s="49"/>
      <c r="E42" s="49"/>
    </row>
    <row r="43" spans="1:17" ht="15" customHeight="1" x14ac:dyDescent="0.25">
      <c r="D43" s="49"/>
      <c r="E43" s="49"/>
    </row>
    <row r="44" spans="1:17" s="53" customFormat="1" ht="15" customHeight="1" x14ac:dyDescent="0.25">
      <c r="A44" s="1"/>
      <c r="B44" s="2"/>
      <c r="C44" s="2"/>
      <c r="D44" s="52"/>
      <c r="E44" s="52"/>
      <c r="F44" s="2"/>
      <c r="G44" s="2"/>
      <c r="H44" s="2"/>
      <c r="I44" s="2"/>
      <c r="J44" s="2"/>
      <c r="K44" s="2"/>
      <c r="L44" s="2"/>
      <c r="M44" s="2"/>
      <c r="N44" s="2"/>
      <c r="O44" s="2"/>
      <c r="P44" s="2"/>
    </row>
    <row r="45" spans="1:17" ht="15" customHeight="1" x14ac:dyDescent="0.25">
      <c r="A45" s="2"/>
      <c r="D45" s="54"/>
      <c r="E45" s="54"/>
    </row>
    <row r="46" spans="1:17" ht="15" customHeight="1" x14ac:dyDescent="0.25">
      <c r="D46" s="49"/>
      <c r="E46" s="49"/>
    </row>
    <row r="47" spans="1:17" ht="15" customHeight="1" x14ac:dyDescent="0.25">
      <c r="D47" s="49"/>
      <c r="E47" s="49"/>
    </row>
    <row r="48" spans="1:17" s="53" customFormat="1" ht="15" customHeight="1" x14ac:dyDescent="0.25">
      <c r="A48" s="1"/>
      <c r="B48" s="2"/>
      <c r="C48" s="2"/>
      <c r="D48" s="52"/>
      <c r="E48" s="52"/>
      <c r="F48" s="2"/>
      <c r="G48" s="2"/>
      <c r="H48" s="2"/>
      <c r="I48" s="2"/>
      <c r="J48" s="2"/>
      <c r="K48" s="2"/>
      <c r="L48" s="2"/>
      <c r="M48" s="2"/>
      <c r="N48" s="2"/>
      <c r="O48" s="2"/>
      <c r="P48" s="2"/>
    </row>
    <row r="49" spans="1:16" ht="15" customHeight="1" x14ac:dyDescent="0.25">
      <c r="A49" s="2"/>
      <c r="D49" s="54"/>
      <c r="E49" s="54"/>
    </row>
    <row r="50" spans="1:16" ht="15" customHeight="1" x14ac:dyDescent="0.25">
      <c r="D50" s="49"/>
      <c r="E50" s="49"/>
    </row>
    <row r="51" spans="1:16" s="53" customFormat="1" ht="15" customHeight="1" x14ac:dyDescent="0.25">
      <c r="A51" s="1"/>
      <c r="B51" s="2"/>
      <c r="C51" s="2"/>
      <c r="D51" s="52"/>
      <c r="E51" s="52"/>
      <c r="F51" s="2"/>
      <c r="G51" s="2"/>
      <c r="H51" s="2"/>
      <c r="I51" s="2"/>
      <c r="J51" s="2"/>
      <c r="K51" s="2"/>
      <c r="L51" s="2"/>
      <c r="M51" s="2"/>
      <c r="N51" s="2"/>
      <c r="O51" s="2"/>
      <c r="P51" s="2"/>
    </row>
    <row r="52" spans="1:16" ht="15" customHeight="1" x14ac:dyDescent="0.25">
      <c r="A52" s="2"/>
      <c r="D52" s="54"/>
      <c r="E52" s="54"/>
    </row>
    <row r="53" spans="1:16" s="53" customFormat="1" ht="15" customHeight="1" x14ac:dyDescent="0.25">
      <c r="A53" s="1"/>
      <c r="B53" s="2"/>
      <c r="C53" s="2"/>
      <c r="D53" s="52"/>
      <c r="E53" s="52"/>
      <c r="F53" s="2"/>
      <c r="G53" s="2"/>
      <c r="H53" s="2"/>
      <c r="I53" s="2"/>
      <c r="J53" s="2"/>
      <c r="K53" s="2"/>
      <c r="L53" s="2"/>
      <c r="M53" s="2"/>
      <c r="N53" s="2"/>
      <c r="O53" s="2"/>
      <c r="P53" s="2"/>
    </row>
    <row r="54" spans="1:16" ht="15" customHeight="1" x14ac:dyDescent="0.25">
      <c r="A54" s="2"/>
    </row>
    <row r="55" spans="1:16" s="53" customFormat="1" ht="15" customHeight="1" x14ac:dyDescent="0.25">
      <c r="A55" s="1"/>
      <c r="B55" s="1"/>
      <c r="C55" s="1"/>
      <c r="D55" s="56"/>
      <c r="E55" s="56"/>
      <c r="F55" s="56"/>
      <c r="G55" s="56"/>
      <c r="H55" s="56"/>
      <c r="I55" s="56"/>
      <c r="J55" s="56"/>
      <c r="K55" s="56"/>
      <c r="L55" s="56"/>
      <c r="M55" s="56"/>
      <c r="N55" s="56"/>
      <c r="O55" s="56"/>
      <c r="P55" s="2"/>
    </row>
    <row r="56" spans="1:16" ht="15" customHeight="1" x14ac:dyDescent="0.25">
      <c r="A56" s="2"/>
    </row>
    <row r="57" spans="1:16" ht="15" customHeight="1" x14ac:dyDescent="0.25"/>
    <row r="58" spans="1:16" ht="15" customHeight="1" x14ac:dyDescent="0.25"/>
    <row r="59" spans="1:16" ht="15" customHeight="1" x14ac:dyDescent="0.25"/>
    <row r="60" spans="1:16" ht="15" customHeight="1" x14ac:dyDescent="0.25"/>
    <row r="61" spans="1:16" ht="15" customHeight="1" x14ac:dyDescent="0.25"/>
    <row r="62" spans="1:16" ht="15" customHeight="1" x14ac:dyDescent="0.25"/>
    <row r="63" spans="1:16" ht="15" customHeight="1" x14ac:dyDescent="0.25"/>
    <row r="64" spans="1:16" ht="15" customHeight="1" x14ac:dyDescent="0.25"/>
    <row r="65" spans="2:7" ht="15" customHeight="1" x14ac:dyDescent="0.25"/>
    <row r="66" spans="2:7" ht="15" customHeight="1" x14ac:dyDescent="0.25"/>
    <row r="67" spans="2:7" ht="15" customHeight="1" x14ac:dyDescent="0.25"/>
    <row r="68" spans="2:7" ht="15" customHeight="1" x14ac:dyDescent="0.25"/>
    <row r="69" spans="2:7" ht="15" customHeight="1" x14ac:dyDescent="0.25"/>
    <row r="70" spans="2:7" ht="15" customHeight="1" x14ac:dyDescent="0.25"/>
    <row r="71" spans="2:7" ht="15" customHeight="1" x14ac:dyDescent="0.25"/>
    <row r="72" spans="2:7" ht="15" customHeight="1" x14ac:dyDescent="0.25"/>
    <row r="73" spans="2:7" ht="15" customHeight="1" x14ac:dyDescent="0.25"/>
    <row r="74" spans="2:7" ht="15" customHeight="1" x14ac:dyDescent="0.25"/>
    <row r="75" spans="2:7" ht="15" customHeight="1" x14ac:dyDescent="0.25">
      <c r="B75" s="50"/>
      <c r="C75" s="50"/>
      <c r="D75" s="50"/>
      <c r="E75" s="50"/>
      <c r="F75" s="50"/>
      <c r="G75" s="50"/>
    </row>
    <row r="76" spans="2:7" ht="15" customHeight="1" x14ac:dyDescent="0.25"/>
    <row r="77" spans="2:7" ht="15" customHeight="1" x14ac:dyDescent="0.25"/>
    <row r="78" spans="2:7" ht="15" customHeight="1" x14ac:dyDescent="0.25"/>
    <row r="79" spans="2:7" ht="15" customHeight="1" x14ac:dyDescent="0.25"/>
    <row r="80" spans="2:7"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sheetData>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V102"/>
  <sheetViews>
    <sheetView zoomScale="120" zoomScaleNormal="120" workbookViewId="0">
      <pane xSplit="2" ySplit="3" topLeftCell="C4" activePane="bottomRight" state="frozen"/>
      <selection pane="topRight"/>
      <selection pane="bottomLeft"/>
      <selection pane="bottomRight" activeCell="C4" sqref="C4"/>
    </sheetView>
  </sheetViews>
  <sheetFormatPr defaultColWidth="0" defaultRowHeight="14.25" x14ac:dyDescent="0.25"/>
  <cols>
    <col min="1" max="1" width="1.7109375" style="1" customWidth="1"/>
    <col min="2" max="2" width="39.7109375" style="1" customWidth="1"/>
    <col min="3" max="15" width="10.7109375" style="1" customWidth="1"/>
    <col min="16" max="16" width="1.7109375" style="1" hidden="1" customWidth="1"/>
    <col min="17" max="22" width="9.7109375" style="6" hidden="1" customWidth="1"/>
    <col min="23" max="16384" width="9.140625" style="6" hidden="1"/>
  </cols>
  <sheetData>
    <row r="1" spans="1:22" ht="24" customHeight="1" x14ac:dyDescent="0.2">
      <c r="A1" s="71" t="s">
        <v>277</v>
      </c>
      <c r="B1" s="72"/>
      <c r="C1" s="72"/>
      <c r="D1" s="72"/>
      <c r="E1" s="72"/>
      <c r="F1" s="72"/>
      <c r="G1" s="72"/>
      <c r="H1" s="72"/>
      <c r="I1" s="72"/>
      <c r="J1" s="72"/>
      <c r="K1" s="72"/>
      <c r="L1" s="72"/>
      <c r="M1" s="72"/>
      <c r="N1" s="72"/>
      <c r="O1" s="72"/>
      <c r="P1" s="70"/>
    </row>
    <row r="2" spans="1:22" s="9" customFormat="1" ht="18" customHeight="1" x14ac:dyDescent="0.25">
      <c r="A2" s="5"/>
      <c r="B2" s="7" t="s">
        <v>279</v>
      </c>
      <c r="C2" s="7"/>
      <c r="D2" s="8"/>
      <c r="E2" s="8"/>
      <c r="F2" s="8"/>
      <c r="G2" s="8"/>
      <c r="H2" s="8"/>
      <c r="I2" s="8"/>
    </row>
    <row r="3" spans="1:22" customFormat="1" ht="15" customHeight="1" x14ac:dyDescent="0.25">
      <c r="A3" s="10"/>
      <c r="B3" s="10" t="s">
        <v>183</v>
      </c>
      <c r="C3" s="11" t="s">
        <v>18</v>
      </c>
      <c r="D3" s="11" t="s">
        <v>0</v>
      </c>
      <c r="E3" s="11" t="s">
        <v>1</v>
      </c>
      <c r="F3" s="11" t="s">
        <v>2</v>
      </c>
      <c r="G3" s="11" t="s">
        <v>3</v>
      </c>
      <c r="H3" s="11" t="s">
        <v>4</v>
      </c>
      <c r="I3" s="11" t="s">
        <v>5</v>
      </c>
      <c r="J3" s="11" t="s">
        <v>6</v>
      </c>
      <c r="K3" s="11" t="s">
        <v>7</v>
      </c>
      <c r="L3" s="11" t="s">
        <v>8</v>
      </c>
      <c r="M3" s="11" t="s">
        <v>9</v>
      </c>
      <c r="N3" s="11" t="s">
        <v>10</v>
      </c>
      <c r="O3" s="11" t="s">
        <v>11</v>
      </c>
    </row>
    <row r="4" spans="1:22" customFormat="1" ht="9" customHeight="1" x14ac:dyDescent="0.25">
      <c r="A4" s="13"/>
      <c r="B4" s="13"/>
      <c r="C4" s="13"/>
      <c r="D4" s="14"/>
      <c r="E4" s="14"/>
      <c r="F4" s="14"/>
      <c r="G4" s="14"/>
      <c r="H4" s="14"/>
      <c r="I4" s="14"/>
      <c r="J4" s="14"/>
      <c r="K4" s="14"/>
      <c r="L4" s="13"/>
      <c r="M4" s="13"/>
      <c r="N4" s="13"/>
      <c r="O4" s="13"/>
    </row>
    <row r="5" spans="1:22" customFormat="1" ht="15" customHeight="1" x14ac:dyDescent="0.25">
      <c r="A5" s="2" t="s">
        <v>230</v>
      </c>
      <c r="B5" s="1"/>
      <c r="C5" s="1"/>
      <c r="D5" s="1"/>
      <c r="E5" s="1"/>
      <c r="F5" s="1"/>
      <c r="G5" s="1"/>
      <c r="H5" s="1"/>
      <c r="I5" s="1"/>
      <c r="J5" s="1"/>
      <c r="K5" s="1"/>
      <c r="L5" s="1"/>
      <c r="M5" s="1"/>
      <c r="N5" s="1"/>
      <c r="O5" s="1"/>
    </row>
    <row r="6" spans="1:22" customFormat="1" ht="15" customHeight="1" x14ac:dyDescent="0.25">
      <c r="A6" s="2"/>
      <c r="B6" s="1" t="s">
        <v>224</v>
      </c>
      <c r="C6" s="1"/>
      <c r="D6" s="1">
        <f t="shared" ref="D6:E6" si="0">C9</f>
        <v>7191.8607250399991</v>
      </c>
      <c r="E6" s="1">
        <f t="shared" si="0"/>
        <v>9464.8873220099995</v>
      </c>
      <c r="F6" s="83">
        <f>E9</f>
        <v>12522.840628279999</v>
      </c>
      <c r="G6" s="83">
        <f t="shared" ref="G6:O6" si="1">F9</f>
        <v>13837.165847992421</v>
      </c>
      <c r="H6" s="83">
        <f t="shared" si="1"/>
        <v>14869.908388346877</v>
      </c>
      <c r="I6" s="83">
        <f t="shared" si="1"/>
        <v>15371.241187531963</v>
      </c>
      <c r="J6" s="83">
        <f t="shared" si="1"/>
        <v>15157.386264245628</v>
      </c>
      <c r="K6" s="83">
        <f t="shared" si="1"/>
        <v>15333.292319341541</v>
      </c>
      <c r="L6" s="83">
        <f t="shared" si="1"/>
        <v>15765.806895808832</v>
      </c>
      <c r="M6" s="83">
        <f t="shared" si="1"/>
        <v>16350.569491701001</v>
      </c>
      <c r="N6" s="83">
        <f t="shared" si="1"/>
        <v>16965.603043419884</v>
      </c>
      <c r="O6" s="83">
        <f t="shared" si="1"/>
        <v>17611.086321399896</v>
      </c>
    </row>
    <row r="7" spans="1:22" s="1" customFormat="1" ht="15" customHeight="1" x14ac:dyDescent="0.25">
      <c r="A7" s="2"/>
      <c r="B7" s="1" t="s">
        <v>231</v>
      </c>
      <c r="D7" s="1">
        <f>D8+D9-D6</f>
        <v>3828.5026114599996</v>
      </c>
      <c r="E7" s="1">
        <f>E8+E9-E6</f>
        <v>4839.2158844199985</v>
      </c>
      <c r="F7" s="83">
        <f>Assumption!F22*IS!F17</f>
        <v>3568.4365328028211</v>
      </c>
      <c r="G7" s="83">
        <f>Assumption!G22*IS!G17</f>
        <v>3454.2465637531313</v>
      </c>
      <c r="H7" s="83">
        <f>Assumption!H22*IS!H17</f>
        <v>3029.2172252040527</v>
      </c>
      <c r="I7" s="83">
        <f>Assumption!I22*IS!I17</f>
        <v>2322.39987265644</v>
      </c>
      <c r="J7" s="83">
        <f>Assumption!J22*IS!J17</f>
        <v>2601.0878573752134</v>
      </c>
      <c r="K7" s="83">
        <f>Assumption!K22*IS!K17</f>
        <v>2809.1748859652307</v>
      </c>
      <c r="L7" s="83">
        <f>Assumption!L22*IS!L17</f>
        <v>2949.6336302634927</v>
      </c>
      <c r="M7" s="83">
        <f>Assumption!M22*IS!M17</f>
        <v>3067.6189754740326</v>
      </c>
      <c r="N7" s="83">
        <f>Assumption!N22*IS!N17</f>
        <v>3190.323734492993</v>
      </c>
      <c r="O7" s="83">
        <f>Assumption!O22*IS!O17</f>
        <v>3286.0334465277838</v>
      </c>
      <c r="P7" s="59" t="e">
        <f>#REF!*IS!P17</f>
        <v>#REF!</v>
      </c>
      <c r="Q7" s="6"/>
      <c r="R7" s="6"/>
      <c r="S7" s="6"/>
      <c r="T7" s="6"/>
      <c r="U7" s="6"/>
      <c r="V7" s="6"/>
    </row>
    <row r="8" spans="1:22" s="1" customFormat="1" ht="15" customHeight="1" x14ac:dyDescent="0.25">
      <c r="A8" s="2"/>
      <c r="B8" s="1" t="s">
        <v>232</v>
      </c>
      <c r="C8" s="57">
        <v>1282.2596764500001</v>
      </c>
      <c r="D8" s="57">
        <v>1555.4760144899999</v>
      </c>
      <c r="E8" s="57">
        <v>1781.2625781500001</v>
      </c>
      <c r="F8" s="83">
        <f>Assumption!F23*F6</f>
        <v>2254.1113130903996</v>
      </c>
      <c r="G8" s="83">
        <f>Assumption!G23*G6</f>
        <v>2421.5040233986733</v>
      </c>
      <c r="H8" s="83">
        <f>Assumption!H23*H6</f>
        <v>2527.884426018969</v>
      </c>
      <c r="I8" s="83">
        <f>Assumption!I23*I6</f>
        <v>2536.2547959427734</v>
      </c>
      <c r="J8" s="83">
        <f>Assumption!J23*J6</f>
        <v>2425.1818022793004</v>
      </c>
      <c r="K8" s="83">
        <f>Assumption!K23*K6</f>
        <v>2376.6603094979387</v>
      </c>
      <c r="L8" s="83">
        <f>Assumption!L23*L6</f>
        <v>2364.8710343713246</v>
      </c>
      <c r="M8" s="83">
        <f>Assumption!M23*M6</f>
        <v>2452.5854237551498</v>
      </c>
      <c r="N8" s="83">
        <f>Assumption!N23*N6</f>
        <v>2544.8404565129827</v>
      </c>
      <c r="O8" s="83">
        <f>Assumption!O23*O6</f>
        <v>2641.6629482099843</v>
      </c>
      <c r="P8" s="59" t="e">
        <f>#REF!*P6</f>
        <v>#REF!</v>
      </c>
      <c r="Q8" s="6"/>
      <c r="R8" s="6"/>
      <c r="S8" s="6"/>
      <c r="T8" s="6"/>
      <c r="U8" s="6"/>
      <c r="V8" s="6"/>
    </row>
    <row r="9" spans="1:22" s="1" customFormat="1" ht="15" customHeight="1" x14ac:dyDescent="0.25">
      <c r="A9" s="2"/>
      <c r="B9" s="1" t="s">
        <v>227</v>
      </c>
      <c r="C9" s="1">
        <f>BS!C16</f>
        <v>7191.8607250399991</v>
      </c>
      <c r="D9" s="1">
        <f>BS!D16</f>
        <v>9464.8873220099995</v>
      </c>
      <c r="E9" s="1">
        <f>BS!E16</f>
        <v>12522.840628279999</v>
      </c>
      <c r="F9" s="83">
        <f>F6+F7-F8</f>
        <v>13837.165847992421</v>
      </c>
      <c r="G9" s="83">
        <f t="shared" ref="G9:O9" si="2">G6+G7-G8</f>
        <v>14869.908388346877</v>
      </c>
      <c r="H9" s="83">
        <f t="shared" si="2"/>
        <v>15371.241187531963</v>
      </c>
      <c r="I9" s="83">
        <f t="shared" si="2"/>
        <v>15157.386264245628</v>
      </c>
      <c r="J9" s="83">
        <f t="shared" si="2"/>
        <v>15333.292319341541</v>
      </c>
      <c r="K9" s="83">
        <f t="shared" si="2"/>
        <v>15765.806895808832</v>
      </c>
      <c r="L9" s="83">
        <f t="shared" si="2"/>
        <v>16350.569491701001</v>
      </c>
      <c r="M9" s="83">
        <f t="shared" si="2"/>
        <v>16965.603043419884</v>
      </c>
      <c r="N9" s="83">
        <f t="shared" si="2"/>
        <v>17611.086321399896</v>
      </c>
      <c r="O9" s="83">
        <f t="shared" si="2"/>
        <v>18255.456819717696</v>
      </c>
      <c r="P9" s="59" t="e">
        <f t="shared" ref="P9" si="3">P6+P7-P8</f>
        <v>#REF!</v>
      </c>
      <c r="Q9" s="6"/>
      <c r="R9" s="6"/>
      <c r="S9" s="6"/>
      <c r="T9" s="6"/>
      <c r="U9" s="6"/>
      <c r="V9" s="6"/>
    </row>
    <row r="10" spans="1:22" s="1" customFormat="1" ht="15" customHeight="1" x14ac:dyDescent="0.25">
      <c r="A10" s="2"/>
      <c r="F10" s="59"/>
      <c r="G10" s="59"/>
      <c r="H10" s="59"/>
      <c r="I10" s="59"/>
      <c r="J10" s="59"/>
      <c r="K10" s="59"/>
      <c r="L10" s="59"/>
      <c r="M10" s="59"/>
      <c r="N10" s="59"/>
      <c r="O10" s="59"/>
      <c r="P10" s="59"/>
      <c r="Q10" s="6"/>
      <c r="R10" s="6"/>
      <c r="S10" s="6"/>
      <c r="T10" s="6"/>
      <c r="U10" s="6"/>
      <c r="V10" s="6"/>
    </row>
    <row r="11" spans="1:22" s="1" customFormat="1" ht="15" customHeight="1" x14ac:dyDescent="0.25">
      <c r="A11" s="2" t="s">
        <v>30</v>
      </c>
      <c r="D11" s="18"/>
      <c r="E11" s="18"/>
      <c r="F11" s="66"/>
      <c r="G11" s="66"/>
      <c r="H11" s="66"/>
      <c r="I11" s="66"/>
      <c r="J11" s="66"/>
      <c r="K11" s="66"/>
      <c r="L11" s="66"/>
      <c r="M11" s="66"/>
      <c r="N11" s="66"/>
      <c r="O11" s="66"/>
      <c r="P11" s="59"/>
      <c r="Q11" s="6"/>
      <c r="R11" s="6"/>
      <c r="S11" s="6"/>
      <c r="T11" s="6"/>
      <c r="U11" s="6"/>
      <c r="V11" s="6"/>
    </row>
    <row r="12" spans="1:22" s="1" customFormat="1" ht="15" customHeight="1" x14ac:dyDescent="0.25">
      <c r="A12" s="2"/>
      <c r="B12" s="1" t="s">
        <v>224</v>
      </c>
      <c r="D12" s="1">
        <f t="shared" ref="D12:E12" si="4">C15</f>
        <v>656.85601004</v>
      </c>
      <c r="E12" s="1">
        <f t="shared" si="4"/>
        <v>2486.7665834700001</v>
      </c>
      <c r="F12" s="83">
        <f>E15</f>
        <v>4719.6150981399996</v>
      </c>
      <c r="G12" s="83">
        <f t="shared" ref="G12:O12" si="5">F15</f>
        <v>5816.6166543913278</v>
      </c>
      <c r="H12" s="83">
        <f t="shared" si="5"/>
        <v>6296.2815961397828</v>
      </c>
      <c r="I12" s="83">
        <f t="shared" si="5"/>
        <v>6410.7816747131246</v>
      </c>
      <c r="J12" s="83">
        <f t="shared" si="5"/>
        <v>6619.5563057438731</v>
      </c>
      <c r="K12" s="83">
        <f t="shared" si="5"/>
        <v>6912.3722295775069</v>
      </c>
      <c r="L12" s="83">
        <f t="shared" si="5"/>
        <v>7269.0473395899398</v>
      </c>
      <c r="M12" s="83">
        <f t="shared" si="5"/>
        <v>7643.0033801763157</v>
      </c>
      <c r="N12" s="83">
        <f t="shared" si="5"/>
        <v>8027.7579550360069</v>
      </c>
      <c r="O12" s="83">
        <f t="shared" si="5"/>
        <v>8423.950990907455</v>
      </c>
      <c r="P12" s="59"/>
      <c r="Q12" s="6"/>
      <c r="R12" s="6"/>
      <c r="S12" s="6"/>
      <c r="T12" s="6"/>
      <c r="U12" s="6"/>
      <c r="V12" s="6"/>
    </row>
    <row r="13" spans="1:22" s="1" customFormat="1" ht="15" customHeight="1" x14ac:dyDescent="0.25">
      <c r="A13" s="2"/>
      <c r="B13" s="1" t="s">
        <v>233</v>
      </c>
      <c r="D13" s="1">
        <f>D14+D15-D12</f>
        <v>1928.12062861</v>
      </c>
      <c r="E13" s="1">
        <f>E14+E15-E12</f>
        <v>2410.2259862699993</v>
      </c>
      <c r="F13" s="83">
        <f>IS!F17*Assumption!F24</f>
        <v>1427.3746131211283</v>
      </c>
      <c r="G13" s="83">
        <f>IS!G17*Assumption!G24</f>
        <v>863.56164093828284</v>
      </c>
      <c r="H13" s="83">
        <f>IS!H17*Assumption!H24</f>
        <v>504.86953753400877</v>
      </c>
      <c r="I13" s="83">
        <f>IS!I17*Assumption!I24</f>
        <v>580.59996816411001</v>
      </c>
      <c r="J13" s="83">
        <f>IS!J17*Assumption!J24</f>
        <v>650.27196434380335</v>
      </c>
      <c r="K13" s="83">
        <f>IS!K17*Assumption!K24</f>
        <v>702.29372149130768</v>
      </c>
      <c r="L13" s="83">
        <f>IS!L17*Assumption!L24</f>
        <v>737.40840756587318</v>
      </c>
      <c r="M13" s="83">
        <f>IS!M17*Assumption!M24</f>
        <v>766.90474386850815</v>
      </c>
      <c r="N13" s="83">
        <f>IS!N17*Assumption!N24</f>
        <v>797.58093362324826</v>
      </c>
      <c r="O13" s="83">
        <f>IS!O17*Assumption!O24</f>
        <v>821.50836163194595</v>
      </c>
      <c r="P13" s="59"/>
      <c r="Q13" s="6"/>
      <c r="R13" s="6"/>
      <c r="S13" s="6"/>
      <c r="T13" s="6"/>
      <c r="U13" s="6"/>
      <c r="V13" s="6"/>
    </row>
    <row r="14" spans="1:22" s="1" customFormat="1" ht="15" customHeight="1" x14ac:dyDescent="0.25">
      <c r="A14" s="2"/>
      <c r="B14" s="1" t="s">
        <v>234</v>
      </c>
      <c r="C14" s="57">
        <v>43.550520229999997</v>
      </c>
      <c r="D14" s="57">
        <v>98.210055180000012</v>
      </c>
      <c r="E14" s="57">
        <v>177.37747160000001</v>
      </c>
      <c r="F14" s="83">
        <f>Assumption!F25*F12</f>
        <v>330.3730568698</v>
      </c>
      <c r="G14" s="83">
        <f>Assumption!G25*G12</f>
        <v>383.89669918982764</v>
      </c>
      <c r="H14" s="83">
        <f>Assumption!H25*H12</f>
        <v>390.36945896066658</v>
      </c>
      <c r="I14" s="83">
        <f>Assumption!I25*I12</f>
        <v>371.8253371333613</v>
      </c>
      <c r="J14" s="83">
        <f>Assumption!J25*J12</f>
        <v>357.4560405101692</v>
      </c>
      <c r="K14" s="83">
        <f>Assumption!K25*K12</f>
        <v>345.61861147887538</v>
      </c>
      <c r="L14" s="83">
        <f>Assumption!L25*L12</f>
        <v>363.45236697949701</v>
      </c>
      <c r="M14" s="83">
        <f>Assumption!M25*M12</f>
        <v>382.15016900881579</v>
      </c>
      <c r="N14" s="83">
        <f>Assumption!N25*N12</f>
        <v>401.38789775180038</v>
      </c>
      <c r="O14" s="83">
        <f>Assumption!O25*O12</f>
        <v>421.19754954537279</v>
      </c>
      <c r="P14" s="59"/>
      <c r="Q14" s="6"/>
      <c r="R14" s="6"/>
      <c r="S14" s="6"/>
      <c r="T14" s="6"/>
      <c r="U14" s="6"/>
      <c r="V14" s="6"/>
    </row>
    <row r="15" spans="1:22" s="1" customFormat="1" ht="15" customHeight="1" x14ac:dyDescent="0.25">
      <c r="A15" s="2"/>
      <c r="B15" s="1" t="s">
        <v>227</v>
      </c>
      <c r="C15" s="1">
        <f>BS!C17</f>
        <v>656.85601004</v>
      </c>
      <c r="D15" s="1">
        <f>BS!D17</f>
        <v>2486.7665834700001</v>
      </c>
      <c r="E15" s="1">
        <f>BS!E17</f>
        <v>4719.6150981399996</v>
      </c>
      <c r="F15" s="83">
        <f>F12+F13-F14</f>
        <v>5816.6166543913278</v>
      </c>
      <c r="G15" s="83">
        <f t="shared" ref="G15:O15" si="6">G12+G13-G14</f>
        <v>6296.2815961397828</v>
      </c>
      <c r="H15" s="83">
        <f t="shared" si="6"/>
        <v>6410.7816747131246</v>
      </c>
      <c r="I15" s="83">
        <f t="shared" si="6"/>
        <v>6619.5563057438731</v>
      </c>
      <c r="J15" s="83">
        <f t="shared" si="6"/>
        <v>6912.3722295775069</v>
      </c>
      <c r="K15" s="83">
        <f t="shared" si="6"/>
        <v>7269.0473395899398</v>
      </c>
      <c r="L15" s="83">
        <f t="shared" si="6"/>
        <v>7643.0033801763157</v>
      </c>
      <c r="M15" s="83">
        <f t="shared" si="6"/>
        <v>8027.7579550360069</v>
      </c>
      <c r="N15" s="83">
        <f t="shared" si="6"/>
        <v>8423.950990907455</v>
      </c>
      <c r="O15" s="83">
        <f t="shared" si="6"/>
        <v>8824.2618029940277</v>
      </c>
      <c r="P15" s="59"/>
      <c r="Q15" s="6"/>
      <c r="R15" s="6"/>
      <c r="S15" s="6"/>
      <c r="T15" s="6"/>
      <c r="U15" s="6"/>
      <c r="V15" s="6"/>
    </row>
    <row r="16" spans="1:22" s="1" customFormat="1" ht="15" customHeight="1" x14ac:dyDescent="0.25">
      <c r="A16" s="2"/>
      <c r="F16" s="59"/>
      <c r="G16" s="59"/>
      <c r="H16" s="59"/>
      <c r="I16" s="59"/>
      <c r="J16" s="59"/>
      <c r="K16" s="59"/>
      <c r="L16" s="59"/>
      <c r="M16" s="59"/>
      <c r="N16" s="59"/>
      <c r="O16" s="59"/>
      <c r="P16" s="59"/>
      <c r="Q16" s="6"/>
      <c r="R16" s="6"/>
      <c r="S16" s="6"/>
      <c r="T16" s="6"/>
      <c r="U16" s="6"/>
      <c r="V16" s="6"/>
    </row>
    <row r="17" spans="1:22" s="1" customFormat="1" ht="15" customHeight="1" x14ac:dyDescent="0.25">
      <c r="A17" s="2" t="s">
        <v>29</v>
      </c>
      <c r="D17" s="18"/>
      <c r="E17" s="18"/>
      <c r="F17" s="66"/>
      <c r="G17" s="66"/>
      <c r="H17" s="66"/>
      <c r="I17" s="66"/>
      <c r="J17" s="66"/>
      <c r="K17" s="66"/>
      <c r="L17" s="66"/>
      <c r="M17" s="66"/>
      <c r="N17" s="66"/>
      <c r="O17" s="66"/>
      <c r="P17" s="59"/>
      <c r="Q17" s="6"/>
      <c r="R17" s="6"/>
      <c r="S17" s="6"/>
      <c r="T17" s="6"/>
      <c r="U17" s="6"/>
      <c r="V17" s="6"/>
    </row>
    <row r="18" spans="1:22" s="1" customFormat="1" ht="15" customHeight="1" x14ac:dyDescent="0.25">
      <c r="A18" s="2"/>
      <c r="B18" s="1" t="s">
        <v>224</v>
      </c>
      <c r="D18" s="1">
        <f t="shared" ref="D18:E18" si="7">C21</f>
        <v>827.27355804999991</v>
      </c>
      <c r="E18" s="1">
        <f t="shared" si="7"/>
        <v>1075.5272997300001</v>
      </c>
      <c r="F18" s="83">
        <f>E21</f>
        <v>1271.12982962</v>
      </c>
      <c r="G18" s="83">
        <f t="shared" ref="G18:O18" si="8">F21</f>
        <v>1183.0780425332821</v>
      </c>
      <c r="H18" s="83">
        <f t="shared" si="8"/>
        <v>1200.7815481157747</v>
      </c>
      <c r="I18" s="83">
        <f t="shared" si="8"/>
        <v>1083.429728795659</v>
      </c>
      <c r="J18" s="83">
        <f t="shared" si="8"/>
        <v>1052.5893046156446</v>
      </c>
      <c r="K18" s="83">
        <f t="shared" si="8"/>
        <v>1074.346226606451</v>
      </c>
      <c r="L18" s="83">
        <f t="shared" si="8"/>
        <v>1119.7012801889778</v>
      </c>
      <c r="M18" s="83">
        <f t="shared" si="8"/>
        <v>1170.2508766623596</v>
      </c>
      <c r="N18" s="83">
        <f t="shared" si="8"/>
        <v>1220.8059161516385</v>
      </c>
      <c r="O18" s="83">
        <f t="shared" si="8"/>
        <v>1272.0724056725139</v>
      </c>
      <c r="P18" s="59"/>
      <c r="Q18" s="6"/>
      <c r="R18" s="6"/>
      <c r="S18" s="6"/>
      <c r="T18" s="6"/>
      <c r="U18" s="6"/>
      <c r="V18" s="6"/>
    </row>
    <row r="19" spans="1:22" s="1" customFormat="1" ht="15" customHeight="1" x14ac:dyDescent="0.25">
      <c r="A19" s="2"/>
      <c r="B19" s="1" t="s">
        <v>235</v>
      </c>
      <c r="D19" s="1">
        <f>D20+D21-D18</f>
        <v>674.68768656000009</v>
      </c>
      <c r="E19" s="1">
        <f>E20+E21-E18</f>
        <v>577.58907699999986</v>
      </c>
      <c r="F19" s="83">
        <f>IS!F17*Assumption!F26</f>
        <v>356.84365328028207</v>
      </c>
      <c r="G19" s="83">
        <f>IS!G17*Assumption!G26</f>
        <v>431.78082046914142</v>
      </c>
      <c r="H19" s="83">
        <f>IS!H17*Assumption!H26</f>
        <v>302.9217225204053</v>
      </c>
      <c r="I19" s="83">
        <f>IS!I17*Assumption!I26</f>
        <v>348.35998089846601</v>
      </c>
      <c r="J19" s="83">
        <f>IS!J17*Assumption!J26</f>
        <v>390.16317860628203</v>
      </c>
      <c r="K19" s="83">
        <f>IS!K17*Assumption!K26</f>
        <v>421.37623289478461</v>
      </c>
      <c r="L19" s="83">
        <f>IS!L17*Assumption!L26</f>
        <v>442.44504453952391</v>
      </c>
      <c r="M19" s="83">
        <f>IS!M17*Assumption!M26</f>
        <v>460.14284632110486</v>
      </c>
      <c r="N19" s="83">
        <f>IS!N17*Assumption!N26</f>
        <v>478.548560173949</v>
      </c>
      <c r="O19" s="83">
        <f>IS!O17*Assumption!O26</f>
        <v>492.90501697916756</v>
      </c>
      <c r="P19" s="59"/>
      <c r="Q19" s="6"/>
      <c r="R19" s="6"/>
      <c r="S19" s="6"/>
      <c r="T19" s="6"/>
      <c r="U19" s="6"/>
      <c r="V19" s="6"/>
    </row>
    <row r="20" spans="1:22" s="1" customFormat="1" ht="15" customHeight="1" x14ac:dyDescent="0.25">
      <c r="A20" s="2"/>
      <c r="B20" s="1" t="s">
        <v>236</v>
      </c>
      <c r="C20" s="57">
        <v>223.90701669000001</v>
      </c>
      <c r="D20" s="57">
        <v>426.43394488000001</v>
      </c>
      <c r="E20" s="57">
        <v>381.98654711</v>
      </c>
      <c r="F20" s="83">
        <f>Assumption!F27*F18</f>
        <v>444.89544036699999</v>
      </c>
      <c r="G20" s="83">
        <f>Assumption!G27*G18</f>
        <v>414.07731488664871</v>
      </c>
      <c r="H20" s="83">
        <f>Assumption!H27*H18</f>
        <v>420.27354184052115</v>
      </c>
      <c r="I20" s="83">
        <f>Assumption!I27*I18</f>
        <v>379.20040507848063</v>
      </c>
      <c r="J20" s="83">
        <f>Assumption!J27*J18</f>
        <v>368.40625661547557</v>
      </c>
      <c r="K20" s="83">
        <f>Assumption!K27*K18</f>
        <v>376.0211793122578</v>
      </c>
      <c r="L20" s="83">
        <f>Assumption!L27*L18</f>
        <v>391.89544806614219</v>
      </c>
      <c r="M20" s="83">
        <f>Assumption!M27*M18</f>
        <v>409.58780683182584</v>
      </c>
      <c r="N20" s="83">
        <f>Assumption!N27*N18</f>
        <v>427.28207065307345</v>
      </c>
      <c r="O20" s="83">
        <f>Assumption!O27*O18</f>
        <v>445.22534198537983</v>
      </c>
      <c r="P20" s="59"/>
      <c r="Q20" s="6"/>
      <c r="R20" s="6"/>
      <c r="S20" s="6"/>
      <c r="T20" s="6"/>
      <c r="U20" s="6"/>
      <c r="V20" s="6"/>
    </row>
    <row r="21" spans="1:22" s="1" customFormat="1" ht="15" customHeight="1" x14ac:dyDescent="0.25">
      <c r="A21" s="2"/>
      <c r="B21" s="1" t="s">
        <v>227</v>
      </c>
      <c r="C21" s="1">
        <f>BS!C18</f>
        <v>827.27355804999991</v>
      </c>
      <c r="D21" s="1">
        <f>BS!D18</f>
        <v>1075.5272997300001</v>
      </c>
      <c r="E21" s="1">
        <f>BS!E18</f>
        <v>1271.12982962</v>
      </c>
      <c r="F21" s="83">
        <f>F18+F19-F20</f>
        <v>1183.0780425332821</v>
      </c>
      <c r="G21" s="83">
        <f t="shared" ref="G21:O21" si="9">G18+G19-G20</f>
        <v>1200.7815481157747</v>
      </c>
      <c r="H21" s="83">
        <f t="shared" si="9"/>
        <v>1083.429728795659</v>
      </c>
      <c r="I21" s="83">
        <f t="shared" si="9"/>
        <v>1052.5893046156446</v>
      </c>
      <c r="J21" s="83">
        <f t="shared" si="9"/>
        <v>1074.346226606451</v>
      </c>
      <c r="K21" s="83">
        <f t="shared" si="9"/>
        <v>1119.7012801889778</v>
      </c>
      <c r="L21" s="83">
        <f t="shared" si="9"/>
        <v>1170.2508766623596</v>
      </c>
      <c r="M21" s="83">
        <f t="shared" si="9"/>
        <v>1220.8059161516385</v>
      </c>
      <c r="N21" s="83">
        <f t="shared" si="9"/>
        <v>1272.0724056725139</v>
      </c>
      <c r="O21" s="83">
        <f t="shared" si="9"/>
        <v>1319.7520806663017</v>
      </c>
      <c r="P21" s="59"/>
      <c r="Q21" s="6"/>
      <c r="R21" s="6"/>
      <c r="S21" s="6"/>
      <c r="T21" s="6"/>
      <c r="U21" s="6"/>
      <c r="V21" s="6"/>
    </row>
    <row r="22" spans="1:22" s="1" customFormat="1" ht="15" customHeight="1" x14ac:dyDescent="0.25">
      <c r="A22" s="2"/>
      <c r="C22" s="65"/>
      <c r="D22" s="65"/>
      <c r="E22" s="65"/>
      <c r="F22" s="65"/>
      <c r="G22" s="65"/>
      <c r="H22" s="65"/>
      <c r="I22" s="65"/>
      <c r="J22" s="65"/>
      <c r="K22" s="65"/>
      <c r="L22" s="65"/>
      <c r="M22" s="65"/>
      <c r="N22" s="65"/>
      <c r="O22" s="65"/>
      <c r="Q22" s="6"/>
      <c r="R22" s="6"/>
      <c r="S22" s="6"/>
      <c r="T22" s="6"/>
      <c r="U22" s="6"/>
      <c r="V22" s="6"/>
    </row>
    <row r="23" spans="1:22" s="1" customFormat="1" ht="15" customHeight="1" x14ac:dyDescent="0.25">
      <c r="A23" s="2"/>
      <c r="B23" s="1" t="s">
        <v>44</v>
      </c>
      <c r="D23" s="1">
        <f t="shared" ref="D23:E23" si="10">SUM(D7,D13,D19)</f>
        <v>6431.3109266299989</v>
      </c>
      <c r="E23" s="1">
        <f t="shared" si="10"/>
        <v>7827.0309476899974</v>
      </c>
      <c r="F23" s="1">
        <f t="shared" ref="F23" si="11">SUM(F7,F13,F19)</f>
        <v>5352.6547992042324</v>
      </c>
      <c r="G23" s="1">
        <f t="shared" ref="G23:O23" si="12">SUM(G7,G13,G19)</f>
        <v>4749.589025160556</v>
      </c>
      <c r="H23" s="1">
        <f t="shared" si="12"/>
        <v>3837.0084852584669</v>
      </c>
      <c r="I23" s="1">
        <f t="shared" si="12"/>
        <v>3251.3598217190161</v>
      </c>
      <c r="J23" s="1">
        <f t="shared" si="12"/>
        <v>3641.5230003252987</v>
      </c>
      <c r="K23" s="1">
        <f t="shared" si="12"/>
        <v>3932.844840351323</v>
      </c>
      <c r="L23" s="1">
        <f t="shared" si="12"/>
        <v>4129.4870823688898</v>
      </c>
      <c r="M23" s="1">
        <f t="shared" si="12"/>
        <v>4294.666565663646</v>
      </c>
      <c r="N23" s="1">
        <f t="shared" si="12"/>
        <v>4466.4532282901901</v>
      </c>
      <c r="O23" s="1">
        <f t="shared" si="12"/>
        <v>4600.4468251388971</v>
      </c>
      <c r="Q23" s="6"/>
      <c r="R23" s="6"/>
      <c r="S23" s="6"/>
      <c r="T23" s="6"/>
      <c r="U23" s="6"/>
      <c r="V23" s="6"/>
    </row>
    <row r="24" spans="1:22" s="1" customFormat="1" ht="15" customHeight="1" x14ac:dyDescent="0.25">
      <c r="A24" s="2"/>
      <c r="B24" s="1" t="s">
        <v>268</v>
      </c>
      <c r="C24" s="1">
        <f>SUM(C8,C14,C20)</f>
        <v>1549.7172133700003</v>
      </c>
      <c r="D24" s="1">
        <f>SUM(D8,D14,D20)</f>
        <v>2080.1200145499997</v>
      </c>
      <c r="E24" s="1">
        <f>SUM(E8,E14,E20)</f>
        <v>2340.6265968600001</v>
      </c>
      <c r="F24" s="1">
        <f>SUM(F8,F14,F20)</f>
        <v>3029.3798103271997</v>
      </c>
      <c r="G24" s="1">
        <f t="shared" ref="G24:O24" si="13">SUM(G8,G14,G20)</f>
        <v>3219.4780374751499</v>
      </c>
      <c r="H24" s="1">
        <f t="shared" si="13"/>
        <v>3338.5274268201565</v>
      </c>
      <c r="I24" s="1">
        <f t="shared" si="13"/>
        <v>3287.2805381546154</v>
      </c>
      <c r="J24" s="1">
        <f t="shared" si="13"/>
        <v>3151.0440994049454</v>
      </c>
      <c r="K24" s="1">
        <f t="shared" si="13"/>
        <v>3098.3001002890715</v>
      </c>
      <c r="L24" s="1">
        <f t="shared" si="13"/>
        <v>3120.2188494169641</v>
      </c>
      <c r="M24" s="1">
        <f t="shared" si="13"/>
        <v>3244.3233995957912</v>
      </c>
      <c r="N24" s="1">
        <f t="shared" si="13"/>
        <v>3373.5104249178562</v>
      </c>
      <c r="O24" s="1">
        <f t="shared" si="13"/>
        <v>3508.0858397407364</v>
      </c>
      <c r="Q24" s="6"/>
      <c r="R24" s="6"/>
      <c r="S24" s="6"/>
      <c r="T24" s="6"/>
      <c r="U24" s="6"/>
      <c r="V24" s="6"/>
    </row>
    <row r="25" spans="1:22" s="1" customFormat="1" ht="15" customHeight="1" x14ac:dyDescent="0.25">
      <c r="A25" s="2"/>
      <c r="Q25" s="6"/>
      <c r="R25" s="6"/>
      <c r="S25" s="6"/>
      <c r="T25" s="6"/>
      <c r="U25" s="6"/>
      <c r="V25" s="6"/>
    </row>
    <row r="26" spans="1:22" s="1" customFormat="1" ht="15" customHeight="1" x14ac:dyDescent="0.25">
      <c r="A26" s="2"/>
      <c r="B26" s="1" t="s">
        <v>275</v>
      </c>
      <c r="C26" s="65">
        <f>C24/IS!C7</f>
        <v>0.96227419065672015</v>
      </c>
      <c r="D26" s="65">
        <f>D24/IS!D7</f>
        <v>1.0561308453317984</v>
      </c>
      <c r="E26" s="65">
        <f>E24/IS!E7</f>
        <v>0.90730820356319253</v>
      </c>
      <c r="F26" s="65">
        <f>F24/IS!F7</f>
        <v>0.93943430611473211</v>
      </c>
      <c r="G26" s="65">
        <f>G24/IS!G7</f>
        <v>0.82511177601614172</v>
      </c>
      <c r="H26" s="65">
        <f>H24/IS!H7</f>
        <v>0.72510393130201001</v>
      </c>
      <c r="I26" s="65">
        <f>I24/IS!I7</f>
        <v>0.62084650343783532</v>
      </c>
      <c r="J26" s="65">
        <f>J24/IS!J7</f>
        <v>0.53135396975759608</v>
      </c>
      <c r="K26" s="65">
        <f>K24/IS!K7</f>
        <v>0.48375912926526543</v>
      </c>
      <c r="L26" s="65">
        <f>L24/IS!L7</f>
        <v>0.46398233896377677</v>
      </c>
      <c r="M26" s="65">
        <f>M24/IS!M7</f>
        <v>0.46388165010526211</v>
      </c>
      <c r="N26" s="65">
        <f>N24/IS!N7</f>
        <v>0.4638010972171514</v>
      </c>
      <c r="O26" s="65">
        <f>O24/IS!O7</f>
        <v>0.46825530041686175</v>
      </c>
      <c r="Q26" s="6"/>
      <c r="R26" s="6"/>
      <c r="S26" s="6"/>
      <c r="T26" s="6"/>
      <c r="U26" s="6"/>
      <c r="V26" s="6"/>
    </row>
    <row r="27" spans="1:22" s="1" customFormat="1" ht="15" customHeight="1" x14ac:dyDescent="0.25">
      <c r="A27" s="2"/>
      <c r="B27" s="1" t="s">
        <v>282</v>
      </c>
      <c r="C27" s="3">
        <f>(C21+C15+C9)/IS!C7</f>
        <v>5.3872290153583995</v>
      </c>
      <c r="D27" s="3">
        <f>(D21+D15+D9)/IS!D7</f>
        <v>6.6142375450992237</v>
      </c>
      <c r="E27" s="3">
        <f>(E21+E15+E9)/IS!E7</f>
        <v>7.1765090915818677</v>
      </c>
      <c r="F27" s="3">
        <f>(F21+F15+F9)/IS!F7</f>
        <v>6.4616729671507622</v>
      </c>
      <c r="G27" s="3">
        <f>(G21+G15+G9)/IS!G7</f>
        <v>5.7323738166704379</v>
      </c>
      <c r="H27" s="3">
        <f>(H21+H15+H9)/IS!H7</f>
        <v>4.9662103811305656</v>
      </c>
      <c r="I27" s="3">
        <f>(I21+I15+I9)/IS!I7</f>
        <v>4.311659706240917</v>
      </c>
      <c r="J27" s="3">
        <f>(J21+J15+J9)/IS!J7</f>
        <v>3.9324045965289365</v>
      </c>
      <c r="K27" s="3">
        <f>(K21+K15+K9)/IS!K7</f>
        <v>3.7714186378911574</v>
      </c>
      <c r="L27" s="3">
        <f>(L21+L15+L9)/IS!L7</f>
        <v>3.741907335218277</v>
      </c>
      <c r="M27" s="3">
        <f>(M21+M15+M9)/IS!M7</f>
        <v>3.7481685722200044</v>
      </c>
      <c r="N27" s="3">
        <f>(N21+N15+N9)/IS!N7</f>
        <v>3.7542695453020842</v>
      </c>
      <c r="O27" s="3">
        <f>(O21+O15+O9)/IS!O7</f>
        <v>3.7907289882259376</v>
      </c>
      <c r="Q27" s="6"/>
      <c r="R27" s="6"/>
      <c r="S27" s="6"/>
      <c r="T27" s="6"/>
      <c r="U27" s="6"/>
      <c r="V27" s="6"/>
    </row>
    <row r="28" spans="1:22" s="1" customFormat="1" ht="15" customHeight="1" x14ac:dyDescent="0.25">
      <c r="A28" s="2"/>
      <c r="Q28" s="6"/>
      <c r="R28" s="6"/>
      <c r="S28" s="6"/>
      <c r="T28" s="6"/>
      <c r="U28" s="6"/>
      <c r="V28" s="6"/>
    </row>
    <row r="29" spans="1:22" s="1" customFormat="1" ht="15" customHeight="1" x14ac:dyDescent="0.25">
      <c r="Q29" s="6"/>
      <c r="R29" s="6"/>
      <c r="S29" s="6"/>
      <c r="T29" s="6"/>
      <c r="U29" s="6"/>
      <c r="V29" s="6"/>
    </row>
    <row r="30" spans="1:22" s="1" customFormat="1" ht="15" customHeight="1" x14ac:dyDescent="0.25">
      <c r="Q30" s="6"/>
      <c r="R30" s="6"/>
      <c r="S30" s="6"/>
      <c r="T30" s="6"/>
      <c r="U30" s="6"/>
      <c r="V30" s="6"/>
    </row>
    <row r="31" spans="1:22" s="1" customFormat="1" ht="15" customHeight="1" x14ac:dyDescent="0.25">
      <c r="Q31" s="6"/>
      <c r="R31" s="6"/>
      <c r="S31" s="6"/>
      <c r="T31" s="6"/>
      <c r="U31" s="6"/>
      <c r="V31" s="6"/>
    </row>
    <row r="32" spans="1:22" s="1" customFormat="1" ht="15" customHeight="1" x14ac:dyDescent="0.25">
      <c r="Q32" s="6"/>
      <c r="R32" s="6"/>
      <c r="S32" s="6"/>
      <c r="T32" s="6"/>
      <c r="U32" s="6"/>
      <c r="V32" s="6"/>
    </row>
    <row r="33" spans="17:22" s="1" customFormat="1" ht="15" customHeight="1" x14ac:dyDescent="0.25">
      <c r="Q33" s="6"/>
      <c r="R33" s="6"/>
      <c r="S33" s="6"/>
      <c r="T33" s="6"/>
      <c r="U33" s="6"/>
      <c r="V33" s="6"/>
    </row>
    <row r="34" spans="17:22" s="1" customFormat="1" ht="15" customHeight="1" x14ac:dyDescent="0.25">
      <c r="Q34" s="6"/>
      <c r="R34" s="6"/>
      <c r="S34" s="6"/>
      <c r="T34" s="6"/>
      <c r="U34" s="6"/>
      <c r="V34" s="6"/>
    </row>
    <row r="35" spans="17:22" s="1" customFormat="1" ht="15" customHeight="1" x14ac:dyDescent="0.25">
      <c r="Q35" s="6"/>
      <c r="R35" s="6"/>
      <c r="S35" s="6"/>
      <c r="T35" s="6"/>
      <c r="U35" s="6"/>
      <c r="V35" s="6"/>
    </row>
    <row r="36" spans="17:22" s="1" customFormat="1" ht="15" customHeight="1" x14ac:dyDescent="0.25">
      <c r="Q36" s="6"/>
      <c r="R36" s="6"/>
      <c r="S36" s="6"/>
      <c r="T36" s="6"/>
      <c r="U36" s="6"/>
      <c r="V36" s="6"/>
    </row>
    <row r="37" spans="17:22" s="1" customFormat="1" ht="15" customHeight="1" x14ac:dyDescent="0.25">
      <c r="Q37" s="6"/>
      <c r="R37" s="6"/>
      <c r="S37" s="6"/>
      <c r="T37" s="6"/>
      <c r="U37" s="6"/>
      <c r="V37" s="6"/>
    </row>
    <row r="38" spans="17:22" s="1" customFormat="1" ht="15" customHeight="1" x14ac:dyDescent="0.25">
      <c r="Q38" s="6"/>
      <c r="R38" s="6"/>
      <c r="S38" s="6"/>
      <c r="T38" s="6"/>
      <c r="U38" s="6"/>
      <c r="V38" s="6"/>
    </row>
    <row r="39" spans="17:22" s="1" customFormat="1" ht="15" customHeight="1" x14ac:dyDescent="0.25">
      <c r="Q39" s="6"/>
      <c r="R39" s="6"/>
      <c r="S39" s="6"/>
      <c r="T39" s="6"/>
      <c r="U39" s="6"/>
      <c r="V39" s="6"/>
    </row>
    <row r="40" spans="17:22" s="1" customFormat="1" ht="15" customHeight="1" x14ac:dyDescent="0.25">
      <c r="Q40" s="6"/>
      <c r="R40" s="6"/>
      <c r="S40" s="6"/>
      <c r="T40" s="6"/>
      <c r="U40" s="6"/>
      <c r="V40" s="6"/>
    </row>
    <row r="41" spans="17:22" s="1" customFormat="1" ht="15" customHeight="1" x14ac:dyDescent="0.25">
      <c r="Q41" s="6"/>
      <c r="R41" s="6"/>
      <c r="S41" s="6"/>
      <c r="T41" s="6"/>
      <c r="U41" s="6"/>
      <c r="V41" s="6"/>
    </row>
    <row r="42" spans="17:22" s="1" customFormat="1" ht="15" customHeight="1" x14ac:dyDescent="0.25">
      <c r="Q42" s="6"/>
      <c r="R42" s="6"/>
      <c r="S42" s="6"/>
      <c r="T42" s="6"/>
      <c r="U42" s="6"/>
      <c r="V42" s="6"/>
    </row>
    <row r="43" spans="17:22" s="1" customFormat="1" ht="15" customHeight="1" x14ac:dyDescent="0.25">
      <c r="Q43" s="6"/>
      <c r="R43" s="6"/>
      <c r="S43" s="6"/>
      <c r="T43" s="6"/>
      <c r="U43" s="6"/>
      <c r="V43" s="6"/>
    </row>
    <row r="44" spans="17:22" s="1" customFormat="1" ht="15" customHeight="1" x14ac:dyDescent="0.25">
      <c r="Q44" s="6"/>
      <c r="R44" s="6"/>
      <c r="S44" s="6"/>
      <c r="T44" s="6"/>
      <c r="U44" s="6"/>
      <c r="V44" s="6"/>
    </row>
    <row r="45" spans="17:22" s="1" customFormat="1" ht="15" customHeight="1" x14ac:dyDescent="0.25">
      <c r="Q45" s="6"/>
      <c r="R45" s="6"/>
      <c r="S45" s="6"/>
      <c r="T45" s="6"/>
      <c r="U45" s="6"/>
      <c r="V45" s="6"/>
    </row>
    <row r="46" spans="17:22" s="1" customFormat="1" ht="15" customHeight="1" x14ac:dyDescent="0.25">
      <c r="Q46" s="6"/>
      <c r="R46" s="6"/>
      <c r="S46" s="6"/>
      <c r="T46" s="6"/>
      <c r="U46" s="6"/>
      <c r="V46" s="6"/>
    </row>
    <row r="47" spans="17:22" ht="15" customHeight="1" x14ac:dyDescent="0.25"/>
    <row r="48" spans="17:22"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sheetData>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V97"/>
  <sheetViews>
    <sheetView zoomScale="120" zoomScaleNormal="120" workbookViewId="0">
      <pane xSplit="2" ySplit="3" topLeftCell="C4" activePane="bottomRight" state="frozen"/>
      <selection pane="topRight"/>
      <selection pane="bottomLeft"/>
      <selection pane="bottomRight" activeCell="C4" sqref="C4"/>
    </sheetView>
  </sheetViews>
  <sheetFormatPr defaultColWidth="0" defaultRowHeight="14.25" x14ac:dyDescent="0.25"/>
  <cols>
    <col min="1" max="1" width="1.7109375" style="1" customWidth="1"/>
    <col min="2" max="2" width="39.7109375" style="1" customWidth="1"/>
    <col min="3" max="15" width="10.7109375" style="1" customWidth="1"/>
    <col min="16" max="16" width="1.7109375" style="1" hidden="1" customWidth="1"/>
    <col min="17" max="22" width="9.7109375" style="6" hidden="1" customWidth="1"/>
    <col min="23" max="16384" width="9.140625" style="6" hidden="1"/>
  </cols>
  <sheetData>
    <row r="1" spans="1:22" ht="24" customHeight="1" x14ac:dyDescent="0.2">
      <c r="A1" s="71" t="s">
        <v>277</v>
      </c>
      <c r="B1" s="72"/>
      <c r="C1" s="72"/>
      <c r="D1" s="72"/>
      <c r="E1" s="72"/>
      <c r="F1" s="72"/>
      <c r="G1" s="72"/>
      <c r="H1" s="72"/>
      <c r="I1" s="72"/>
      <c r="J1" s="72"/>
      <c r="K1" s="72"/>
      <c r="L1" s="72"/>
      <c r="M1" s="72"/>
      <c r="N1" s="72"/>
      <c r="O1" s="72"/>
      <c r="P1" s="70"/>
    </row>
    <row r="2" spans="1:22" customFormat="1" ht="18" customHeight="1" x14ac:dyDescent="0.25">
      <c r="A2" s="5"/>
      <c r="B2" s="7" t="s">
        <v>286</v>
      </c>
      <c r="C2" s="7"/>
      <c r="D2" s="8"/>
      <c r="E2" s="8"/>
      <c r="F2" s="8"/>
      <c r="G2" s="8"/>
      <c r="H2" s="8"/>
      <c r="I2" s="8"/>
      <c r="J2" s="9"/>
      <c r="K2" s="9"/>
      <c r="L2" s="9"/>
      <c r="M2" s="9"/>
      <c r="N2" s="9"/>
      <c r="O2" s="9"/>
    </row>
    <row r="3" spans="1:22" customFormat="1" ht="15" customHeight="1" x14ac:dyDescent="0.25">
      <c r="A3" s="10"/>
      <c r="B3" s="10" t="s">
        <v>183</v>
      </c>
      <c r="C3" s="11" t="s">
        <v>18</v>
      </c>
      <c r="D3" s="11" t="s">
        <v>0</v>
      </c>
      <c r="E3" s="11" t="s">
        <v>1</v>
      </c>
      <c r="F3" s="11" t="s">
        <v>2</v>
      </c>
      <c r="G3" s="11" t="s">
        <v>3</v>
      </c>
      <c r="H3" s="11" t="s">
        <v>4</v>
      </c>
      <c r="I3" s="11" t="s">
        <v>5</v>
      </c>
      <c r="J3" s="11" t="s">
        <v>6</v>
      </c>
      <c r="K3" s="11" t="s">
        <v>7</v>
      </c>
      <c r="L3" s="11" t="s">
        <v>8</v>
      </c>
      <c r="M3" s="11" t="s">
        <v>9</v>
      </c>
      <c r="N3" s="11" t="s">
        <v>10</v>
      </c>
      <c r="O3" s="11" t="s">
        <v>11</v>
      </c>
    </row>
    <row r="4" spans="1:22" customFormat="1" ht="9" customHeight="1" x14ac:dyDescent="0.25">
      <c r="A4" s="13"/>
      <c r="B4" s="13"/>
      <c r="C4" s="13"/>
      <c r="D4" s="14"/>
      <c r="E4" s="14"/>
      <c r="F4" s="14"/>
      <c r="G4" s="14"/>
      <c r="H4" s="14"/>
      <c r="I4" s="14"/>
      <c r="J4" s="14"/>
      <c r="K4" s="14"/>
      <c r="L4" s="13"/>
      <c r="M4" s="13"/>
      <c r="N4" s="13"/>
      <c r="O4" s="13"/>
    </row>
    <row r="5" spans="1:22" customFormat="1" ht="15" customHeight="1" x14ac:dyDescent="0.25">
      <c r="A5" s="2" t="s">
        <v>199</v>
      </c>
      <c r="B5" s="1"/>
      <c r="C5" s="1"/>
      <c r="D5" s="1"/>
      <c r="E5" s="1"/>
      <c r="F5" s="1"/>
      <c r="G5" s="1"/>
      <c r="H5" s="1"/>
      <c r="I5" s="1"/>
      <c r="J5" s="1"/>
      <c r="K5" s="1"/>
      <c r="L5" s="1"/>
      <c r="M5" s="1"/>
      <c r="N5" s="1"/>
      <c r="O5" s="1"/>
    </row>
    <row r="6" spans="1:22" customFormat="1" ht="15" customHeight="1" x14ac:dyDescent="0.25">
      <c r="A6" s="1"/>
      <c r="B6" s="25" t="s">
        <v>200</v>
      </c>
      <c r="C6" s="1"/>
      <c r="D6" s="1"/>
      <c r="E6" s="1">
        <f>BS!E8</f>
        <v>4564.3181839600002</v>
      </c>
      <c r="F6" s="83">
        <f>IS!F$17*Assumption!F29</f>
        <v>5709.4984524845131</v>
      </c>
      <c r="G6" s="83">
        <f>IS!G$17*Assumption!G29</f>
        <v>6908.4931275062627</v>
      </c>
      <c r="H6" s="83">
        <f>IS!H$17*Assumption!H29</f>
        <v>8077.9126005441403</v>
      </c>
      <c r="I6" s="83">
        <f>IS!I$17*Assumption!I29</f>
        <v>9289.5994906257602</v>
      </c>
      <c r="J6" s="83">
        <f>IS!J$17*Assumption!J29</f>
        <v>10404.351429500854</v>
      </c>
      <c r="K6" s="83">
        <f>IS!K$17*Assumption!K29</f>
        <v>11236.699543860923</v>
      </c>
      <c r="L6" s="83">
        <f>IS!L$17*Assumption!L29</f>
        <v>11798.534521053971</v>
      </c>
      <c r="M6" s="83">
        <f>IS!M$17*Assumption!M29</f>
        <v>12270.47590189613</v>
      </c>
      <c r="N6" s="83">
        <f>IS!N$17*Assumption!N29</f>
        <v>12761.294937971972</v>
      </c>
      <c r="O6" s="83">
        <f>IS!O$17*Assumption!O29</f>
        <v>13144.133786111135</v>
      </c>
    </row>
    <row r="7" spans="1:22" s="1" customFormat="1" ht="15" customHeight="1" x14ac:dyDescent="0.25">
      <c r="B7" s="48" t="s">
        <v>201</v>
      </c>
      <c r="E7" s="1">
        <f>BS!E9</f>
        <v>1492.54922612</v>
      </c>
      <c r="F7" s="83">
        <f>IS!F$18*Assumption!F30</f>
        <v>1856.3006843640276</v>
      </c>
      <c r="G7" s="83">
        <f>IS!G$18*Assumption!G30</f>
        <v>2246.1238280804737</v>
      </c>
      <c r="H7" s="83">
        <f>IS!H$18*Assumption!H30</f>
        <v>2626.3313342519141</v>
      </c>
      <c r="I7" s="83">
        <f>IS!I$18*Assumption!I30</f>
        <v>3020.2810343897008</v>
      </c>
      <c r="J7" s="83">
        <f>IS!J$18*Assumption!J30</f>
        <v>3382.7147585164653</v>
      </c>
      <c r="K7" s="83">
        <f>IS!K$18*Assumption!K30</f>
        <v>3653.3319391977825</v>
      </c>
      <c r="L7" s="83">
        <f>IS!L$18*Assumption!L30</f>
        <v>3835.9985361576728</v>
      </c>
      <c r="M7" s="83">
        <f>IS!M$18*Assumption!M30</f>
        <v>3989.4384776039792</v>
      </c>
      <c r="N7" s="83">
        <f>IS!N$18*Assumption!N30</f>
        <v>4149.0160167081385</v>
      </c>
      <c r="O7" s="83">
        <f>IS!O$18*Assumption!O30</f>
        <v>4273.4864972093828</v>
      </c>
      <c r="Q7" s="6"/>
      <c r="R7" s="6"/>
      <c r="S7" s="6"/>
      <c r="T7" s="6"/>
      <c r="U7" s="6"/>
      <c r="V7" s="6"/>
    </row>
    <row r="8" spans="1:22" s="1" customFormat="1" ht="15" customHeight="1" x14ac:dyDescent="0.25">
      <c r="B8" s="48" t="s">
        <v>202</v>
      </c>
      <c r="E8" s="1">
        <f>BS!E10</f>
        <v>396.01367476000001</v>
      </c>
      <c r="F8" s="83">
        <f>IS!F$18*Assumption!F31</f>
        <v>491.37371056694838</v>
      </c>
      <c r="G8" s="83">
        <f>IS!G$18*Assumption!G31</f>
        <v>594.56218978600771</v>
      </c>
      <c r="H8" s="83">
        <f>IS!H$18*Assumption!H31</f>
        <v>695.20535318433008</v>
      </c>
      <c r="I8" s="83">
        <f>IS!I$18*Assumption!I31</f>
        <v>799.48615616197947</v>
      </c>
      <c r="J8" s="83">
        <f>IS!J$18*Assumption!J31</f>
        <v>895.42449490141712</v>
      </c>
      <c r="K8" s="83">
        <f>IS!K$18*Assumption!K31</f>
        <v>967.05845449353058</v>
      </c>
      <c r="L8" s="83">
        <f>IS!L$18*Assumption!L31</f>
        <v>1015.4113772182073</v>
      </c>
      <c r="M8" s="83">
        <f>IS!M$18*Assumption!M31</f>
        <v>1056.0278323069356</v>
      </c>
      <c r="N8" s="83">
        <f>IS!N$18*Assumption!N31</f>
        <v>1098.2689455992129</v>
      </c>
      <c r="O8" s="83">
        <f>IS!O$18*Assumption!O31</f>
        <v>1131.2170139671894</v>
      </c>
      <c r="Q8" s="6"/>
      <c r="R8" s="6"/>
      <c r="S8" s="6"/>
      <c r="T8" s="6"/>
      <c r="U8" s="6"/>
      <c r="V8" s="6"/>
    </row>
    <row r="9" spans="1:22" s="1" customFormat="1" ht="15" customHeight="1" x14ac:dyDescent="0.25">
      <c r="B9" s="25" t="s">
        <v>203</v>
      </c>
      <c r="E9" s="1">
        <f>BS!E11</f>
        <v>990.84707016000004</v>
      </c>
      <c r="F9" s="83">
        <f>IS!F$17*Assumption!F32</f>
        <v>1213.2684211529593</v>
      </c>
      <c r="G9" s="83">
        <f>IS!G$17*Assumption!G32</f>
        <v>1468.0547895950808</v>
      </c>
      <c r="H9" s="83">
        <f>IS!H$17*Assumption!H32</f>
        <v>1716.5564276156299</v>
      </c>
      <c r="I9" s="83">
        <f>IS!I$17*Assumption!I32</f>
        <v>1974.0398917579741</v>
      </c>
      <c r="J9" s="83">
        <f>IS!J$17*Assumption!J32</f>
        <v>2210.9246787689317</v>
      </c>
      <c r="K9" s="83">
        <f>IS!K$17*Assumption!K32</f>
        <v>2387.7986530704461</v>
      </c>
      <c r="L9" s="83">
        <f>IS!L$17*Assumption!L32</f>
        <v>2507.188585723969</v>
      </c>
      <c r="M9" s="83">
        <f>IS!M$17*Assumption!M32</f>
        <v>2607.4761291529276</v>
      </c>
      <c r="N9" s="83">
        <f>IS!N$17*Assumption!N32</f>
        <v>2711.7751743190443</v>
      </c>
      <c r="O9" s="83">
        <f>IS!O$17*Assumption!O32</f>
        <v>2793.1284295486162</v>
      </c>
      <c r="Q9" s="6"/>
      <c r="R9" s="6"/>
      <c r="S9" s="6"/>
      <c r="T9" s="6"/>
      <c r="U9" s="6"/>
      <c r="V9" s="6"/>
    </row>
    <row r="10" spans="1:22" s="1" customFormat="1" ht="15" customHeight="1" x14ac:dyDescent="0.25">
      <c r="B10" s="25"/>
      <c r="F10" s="59"/>
      <c r="G10" s="59"/>
      <c r="H10" s="59"/>
      <c r="I10" s="59"/>
      <c r="J10" s="59"/>
      <c r="K10" s="59"/>
      <c r="L10" s="59"/>
      <c r="M10" s="59"/>
      <c r="N10" s="59"/>
      <c r="O10" s="59"/>
      <c r="Q10" s="6"/>
      <c r="R10" s="6"/>
      <c r="S10" s="6"/>
      <c r="T10" s="6"/>
      <c r="U10" s="6"/>
      <c r="V10" s="6"/>
    </row>
    <row r="11" spans="1:22" s="1" customFormat="1" ht="15" customHeight="1" x14ac:dyDescent="0.25">
      <c r="B11" s="25" t="s">
        <v>204</v>
      </c>
      <c r="E11" s="1">
        <f>BS!E27</f>
        <v>5259.1772063699991</v>
      </c>
      <c r="F11" s="83">
        <f>IS!F$18*Assumption!F33</f>
        <v>6497.0523952740959</v>
      </c>
      <c r="G11" s="83">
        <f>IS!G$18*Assumption!G33</f>
        <v>7861.4333982816579</v>
      </c>
      <c r="H11" s="83">
        <f>IS!H$18*Assumption!H33</f>
        <v>9192.1596698816975</v>
      </c>
      <c r="I11" s="83">
        <f>IS!I$18*Assumption!I33</f>
        <v>10570.983620363952</v>
      </c>
      <c r="J11" s="83">
        <f>IS!J$18*Assumption!J33</f>
        <v>11839.501654807626</v>
      </c>
      <c r="K11" s="83">
        <f>IS!K$18*Assumption!K33</f>
        <v>12786.661787192237</v>
      </c>
      <c r="L11" s="83">
        <f>IS!L$18*Assumption!L33</f>
        <v>13425.994876551853</v>
      </c>
      <c r="M11" s="83">
        <f>IS!M$18*Assumption!M33</f>
        <v>13963.034671613927</v>
      </c>
      <c r="N11" s="83">
        <f>IS!N$18*Assumption!N33</f>
        <v>14521.556058478482</v>
      </c>
      <c r="O11" s="83">
        <f>IS!O$18*Assumption!O33</f>
        <v>14957.202740232839</v>
      </c>
      <c r="Q11" s="6"/>
      <c r="R11" s="6"/>
      <c r="S11" s="6"/>
      <c r="T11" s="6"/>
      <c r="U11" s="6"/>
      <c r="V11" s="6"/>
    </row>
    <row r="12" spans="1:22" s="1" customFormat="1" ht="15" customHeight="1" x14ac:dyDescent="0.25">
      <c r="B12" s="48" t="s">
        <v>205</v>
      </c>
      <c r="E12" s="1">
        <f>BS!E28</f>
        <v>286.34874243000002</v>
      </c>
      <c r="F12" s="83">
        <f>IS!F$17*Assumption!F34</f>
        <v>356.84365328028207</v>
      </c>
      <c r="G12" s="83">
        <f>IS!G$17*Assumption!G34</f>
        <v>431.78082046914142</v>
      </c>
      <c r="H12" s="83">
        <f>IS!H$17*Assumption!H34</f>
        <v>504.86953753400877</v>
      </c>
      <c r="I12" s="83">
        <f>IS!I$17*Assumption!I34</f>
        <v>580.59996816411001</v>
      </c>
      <c r="J12" s="83">
        <f>IS!J$17*Assumption!J34</f>
        <v>650.27196434380335</v>
      </c>
      <c r="K12" s="83">
        <f>IS!K$17*Assumption!K34</f>
        <v>702.29372149130768</v>
      </c>
      <c r="L12" s="83">
        <f>IS!L$17*Assumption!L34</f>
        <v>737.40840756587318</v>
      </c>
      <c r="M12" s="83">
        <f>IS!M$17*Assumption!M34</f>
        <v>766.90474386850815</v>
      </c>
      <c r="N12" s="83">
        <f>IS!N$17*Assumption!N34</f>
        <v>797.58093362324826</v>
      </c>
      <c r="O12" s="83">
        <f>IS!O$17*Assumption!O34</f>
        <v>821.50836163194595</v>
      </c>
      <c r="Q12" s="6"/>
      <c r="R12" s="6"/>
      <c r="S12" s="6"/>
      <c r="T12" s="6"/>
      <c r="U12" s="6"/>
      <c r="V12" s="6"/>
    </row>
    <row r="13" spans="1:22" s="1" customFormat="1" ht="15" customHeight="1" x14ac:dyDescent="0.25">
      <c r="B13" s="48" t="s">
        <v>206</v>
      </c>
      <c r="E13" s="1">
        <f>BS!E29</f>
        <v>6279.0693847099992</v>
      </c>
      <c r="F13" s="83">
        <f>IS!F$17*Assumption!F35</f>
        <v>7779.1916415101496</v>
      </c>
      <c r="G13" s="83">
        <f>IS!G$17*Assumption!G35</f>
        <v>9412.8218862272824</v>
      </c>
      <c r="H13" s="83">
        <f>IS!H$17*Assumption!H35</f>
        <v>11006.155918241391</v>
      </c>
      <c r="I13" s="83">
        <f>IS!I$17*Assumption!I35</f>
        <v>12657.079305977599</v>
      </c>
      <c r="J13" s="83">
        <f>IS!J$17*Assumption!J35</f>
        <v>14175.928822694912</v>
      </c>
      <c r="K13" s="83">
        <f>IS!K$17*Assumption!K35</f>
        <v>15310.003128510507</v>
      </c>
      <c r="L13" s="83">
        <f>IS!L$17*Assumption!L35</f>
        <v>16075.503284936036</v>
      </c>
      <c r="M13" s="83">
        <f>IS!M$17*Assumption!M35</f>
        <v>16718.523416333475</v>
      </c>
      <c r="N13" s="83">
        <f>IS!N$17*Assumption!N35</f>
        <v>17387.264352986811</v>
      </c>
      <c r="O13" s="83">
        <f>IS!O$17*Assumption!O35</f>
        <v>17908.882283576419</v>
      </c>
      <c r="Q13" s="6"/>
      <c r="R13" s="6"/>
      <c r="S13" s="6"/>
      <c r="T13" s="6"/>
      <c r="U13" s="6"/>
      <c r="V13" s="6"/>
    </row>
    <row r="14" spans="1:22" s="1" customFormat="1" ht="15" customHeight="1" x14ac:dyDescent="0.25">
      <c r="B14" s="48"/>
      <c r="F14" s="59"/>
      <c r="G14" s="59"/>
      <c r="H14" s="59"/>
      <c r="I14" s="59"/>
      <c r="J14" s="59"/>
      <c r="K14" s="59"/>
      <c r="L14" s="59"/>
      <c r="M14" s="59"/>
      <c r="N14" s="59"/>
      <c r="O14" s="59"/>
      <c r="Q14" s="6"/>
      <c r="R14" s="6"/>
      <c r="S14" s="6"/>
      <c r="T14" s="6"/>
      <c r="U14" s="6"/>
      <c r="V14" s="6"/>
    </row>
    <row r="15" spans="1:22" s="1" customFormat="1" ht="15" customHeight="1" x14ac:dyDescent="0.25">
      <c r="B15" s="2" t="s">
        <v>199</v>
      </c>
      <c r="E15" s="2">
        <f t="shared" ref="E15:F15" si="0">SUM(E6:E9)-SUM(E11:E13)</f>
        <v>-4380.8671785099987</v>
      </c>
      <c r="F15" s="84">
        <f t="shared" si="0"/>
        <v>-5362.6464214960779</v>
      </c>
      <c r="G15" s="84">
        <f t="shared" ref="G15" si="1">SUM(G6:G9)-SUM(G11:G13)</f>
        <v>-6488.8021700102599</v>
      </c>
      <c r="H15" s="84">
        <f t="shared" ref="H15" si="2">SUM(H6:H9)-SUM(H11:H13)</f>
        <v>-7587.1794100610823</v>
      </c>
      <c r="I15" s="84">
        <f t="shared" ref="I15" si="3">SUM(I6:I9)-SUM(I11:I13)</f>
        <v>-8725.256321570243</v>
      </c>
      <c r="J15" s="84">
        <f t="shared" ref="J15" si="4">SUM(J6:J9)-SUM(J11:J13)</f>
        <v>-9772.2870801586723</v>
      </c>
      <c r="K15" s="84">
        <f t="shared" ref="K15" si="5">SUM(K6:K9)-SUM(K11:K13)</f>
        <v>-10554.070046571371</v>
      </c>
      <c r="L15" s="84">
        <f t="shared" ref="L15" si="6">SUM(L6:L9)-SUM(L11:L13)</f>
        <v>-11081.773548899942</v>
      </c>
      <c r="M15" s="84">
        <f t="shared" ref="M15" si="7">SUM(M6:M9)-SUM(M11:M13)</f>
        <v>-11525.044490855937</v>
      </c>
      <c r="N15" s="84">
        <f t="shared" ref="N15" si="8">SUM(N6:N9)-SUM(N11:N13)</f>
        <v>-11986.046270490173</v>
      </c>
      <c r="O15" s="84">
        <f t="shared" ref="O15" si="9">SUM(O6:O9)-SUM(O11:O13)</f>
        <v>-12345.627658604877</v>
      </c>
      <c r="Q15" s="6"/>
      <c r="R15" s="6"/>
      <c r="S15" s="6"/>
      <c r="T15" s="6"/>
      <c r="U15" s="6"/>
      <c r="V15" s="6"/>
    </row>
    <row r="16" spans="1:22" s="1" customFormat="1" ht="15" customHeight="1" x14ac:dyDescent="0.25">
      <c r="F16" s="59"/>
      <c r="G16" s="59"/>
      <c r="H16" s="59"/>
      <c r="I16" s="59"/>
      <c r="J16" s="59"/>
      <c r="K16" s="59"/>
      <c r="L16" s="59"/>
      <c r="M16" s="59"/>
      <c r="N16" s="59"/>
      <c r="O16" s="59"/>
      <c r="Q16" s="6"/>
      <c r="R16" s="6"/>
      <c r="S16" s="6"/>
      <c r="T16" s="6"/>
      <c r="U16" s="6"/>
      <c r="V16" s="6"/>
    </row>
    <row r="17" spans="1:22" s="1" customFormat="1" ht="15" customHeight="1" x14ac:dyDescent="0.25">
      <c r="A17" s="2" t="s">
        <v>43</v>
      </c>
      <c r="F17" s="59"/>
      <c r="G17" s="59"/>
      <c r="H17" s="59"/>
      <c r="I17" s="59"/>
      <c r="J17" s="59"/>
      <c r="K17" s="59"/>
      <c r="L17" s="59"/>
      <c r="M17" s="59"/>
      <c r="N17" s="59"/>
      <c r="O17" s="59"/>
      <c r="Q17" s="6"/>
      <c r="R17" s="6"/>
      <c r="S17" s="6"/>
      <c r="T17" s="6"/>
      <c r="U17" s="6"/>
      <c r="V17" s="6"/>
    </row>
    <row r="18" spans="1:22" s="1" customFormat="1" ht="15" customHeight="1" x14ac:dyDescent="0.25">
      <c r="B18" s="1" t="s">
        <v>207</v>
      </c>
      <c r="E18" s="1">
        <f>BS!E25</f>
        <v>0</v>
      </c>
      <c r="F18" s="83">
        <f ca="1">BS!F25</f>
        <v>0</v>
      </c>
      <c r="G18" s="83">
        <f ca="1">BS!G25</f>
        <v>0</v>
      </c>
      <c r="H18" s="83">
        <f ca="1">BS!H25</f>
        <v>0</v>
      </c>
      <c r="I18" s="83">
        <f ca="1">BS!I25</f>
        <v>0</v>
      </c>
      <c r="J18" s="83">
        <f ca="1">BS!J25</f>
        <v>0</v>
      </c>
      <c r="K18" s="83">
        <f ca="1">BS!K25</f>
        <v>0</v>
      </c>
      <c r="L18" s="83">
        <f ca="1">BS!L25</f>
        <v>0</v>
      </c>
      <c r="M18" s="83">
        <f ca="1">BS!M25</f>
        <v>0</v>
      </c>
      <c r="N18" s="83">
        <f ca="1">BS!N25</f>
        <v>0</v>
      </c>
      <c r="O18" s="83">
        <f ca="1">BS!O25</f>
        <v>0</v>
      </c>
      <c r="Q18" s="6"/>
      <c r="R18" s="6"/>
      <c r="S18" s="6"/>
      <c r="T18" s="6"/>
      <c r="U18" s="6"/>
      <c r="V18" s="6"/>
    </row>
    <row r="19" spans="1:22" s="1" customFormat="1" ht="15" customHeight="1" x14ac:dyDescent="0.25">
      <c r="B19" s="1" t="s">
        <v>191</v>
      </c>
      <c r="F19" s="86">
        <f>Assumption!F36</f>
        <v>3.5000000000000003E-2</v>
      </c>
      <c r="G19" s="86">
        <f>Assumption!G36</f>
        <v>3.5000000000000003E-2</v>
      </c>
      <c r="H19" s="86">
        <f>Assumption!H36</f>
        <v>3.5000000000000003E-2</v>
      </c>
      <c r="I19" s="86">
        <f>Assumption!I36</f>
        <v>3.5000000000000003E-2</v>
      </c>
      <c r="J19" s="86">
        <f>Assumption!J36</f>
        <v>3.5000000000000003E-2</v>
      </c>
      <c r="K19" s="86">
        <f>Assumption!K36</f>
        <v>3.5000000000000003E-2</v>
      </c>
      <c r="L19" s="86">
        <f>Assumption!L36</f>
        <v>3.5000000000000003E-2</v>
      </c>
      <c r="M19" s="86">
        <f>Assumption!M36</f>
        <v>3.5000000000000003E-2</v>
      </c>
      <c r="N19" s="86">
        <f>Assumption!N36</f>
        <v>3.5000000000000003E-2</v>
      </c>
      <c r="O19" s="86">
        <f>Assumption!O36</f>
        <v>3.5000000000000003E-2</v>
      </c>
      <c r="Q19" s="6"/>
      <c r="R19" s="6"/>
      <c r="S19" s="6"/>
      <c r="T19" s="6"/>
      <c r="U19" s="6"/>
      <c r="V19" s="6"/>
    </row>
    <row r="20" spans="1:22" s="1" customFormat="1" ht="15" customHeight="1" x14ac:dyDescent="0.25">
      <c r="B20" s="1" t="s">
        <v>293</v>
      </c>
      <c r="F20" s="83">
        <f t="shared" ref="F20:O20" ca="1" si="10">AVERAGE(E18:F18)*F19</f>
        <v>0</v>
      </c>
      <c r="G20" s="83">
        <f t="shared" ca="1" si="10"/>
        <v>0</v>
      </c>
      <c r="H20" s="83">
        <f t="shared" ca="1" si="10"/>
        <v>0</v>
      </c>
      <c r="I20" s="83">
        <f t="shared" ca="1" si="10"/>
        <v>0</v>
      </c>
      <c r="J20" s="83">
        <f t="shared" ca="1" si="10"/>
        <v>0</v>
      </c>
      <c r="K20" s="83">
        <f t="shared" ca="1" si="10"/>
        <v>0</v>
      </c>
      <c r="L20" s="83">
        <f t="shared" ca="1" si="10"/>
        <v>0</v>
      </c>
      <c r="M20" s="83">
        <f t="shared" ca="1" si="10"/>
        <v>0</v>
      </c>
      <c r="N20" s="83">
        <f t="shared" ca="1" si="10"/>
        <v>0</v>
      </c>
      <c r="O20" s="83">
        <f t="shared" ca="1" si="10"/>
        <v>0</v>
      </c>
      <c r="Q20" s="6"/>
      <c r="R20" s="6"/>
      <c r="S20" s="6"/>
      <c r="T20" s="6"/>
      <c r="U20" s="6"/>
      <c r="V20" s="6"/>
    </row>
    <row r="21" spans="1:22" s="1" customFormat="1" ht="15" customHeight="1" x14ac:dyDescent="0.25">
      <c r="F21" s="59"/>
      <c r="G21" s="59"/>
      <c r="H21" s="59"/>
      <c r="I21" s="59"/>
      <c r="J21" s="59"/>
      <c r="K21" s="59"/>
      <c r="L21" s="59"/>
      <c r="M21" s="59"/>
      <c r="N21" s="59"/>
      <c r="O21" s="59"/>
      <c r="Q21" s="6"/>
      <c r="R21" s="6"/>
      <c r="S21" s="6"/>
      <c r="T21" s="6"/>
      <c r="U21" s="6"/>
      <c r="V21" s="6"/>
    </row>
    <row r="22" spans="1:22" s="1" customFormat="1" ht="15" customHeight="1" x14ac:dyDescent="0.25">
      <c r="B22" s="1" t="s">
        <v>208</v>
      </c>
      <c r="F22" s="83">
        <f>E25</f>
        <v>5480.1787676399999</v>
      </c>
      <c r="G22" s="83">
        <f t="shared" ref="G22:O22" si="11">F25</f>
        <v>6809.2192231636873</v>
      </c>
      <c r="H22" s="83">
        <f t="shared" si="11"/>
        <v>8239.1552600280629</v>
      </c>
      <c r="I22" s="83">
        <f t="shared" si="11"/>
        <v>9633.8195413164503</v>
      </c>
      <c r="J22" s="83">
        <f t="shared" si="11"/>
        <v>11078.892472513915</v>
      </c>
      <c r="K22" s="83">
        <f t="shared" si="11"/>
        <v>12408.359569215587</v>
      </c>
      <c r="L22" s="83">
        <f t="shared" si="11"/>
        <v>13401.028334752835</v>
      </c>
      <c r="M22" s="83">
        <f t="shared" si="11"/>
        <v>14071.079751490481</v>
      </c>
      <c r="N22" s="83">
        <f t="shared" si="11"/>
        <v>14633.922941550099</v>
      </c>
      <c r="O22" s="83">
        <f t="shared" si="11"/>
        <v>15219.2798592121</v>
      </c>
      <c r="Q22" s="6"/>
      <c r="R22" s="6"/>
      <c r="S22" s="6"/>
      <c r="T22" s="6"/>
      <c r="U22" s="6"/>
      <c r="V22" s="6"/>
    </row>
    <row r="23" spans="1:22" s="1" customFormat="1" ht="15" customHeight="1" x14ac:dyDescent="0.25">
      <c r="B23" s="1" t="s">
        <v>209</v>
      </c>
      <c r="F23" s="83">
        <f>Assumption!F37*(F6+F7)</f>
        <v>6809.2192231636873</v>
      </c>
      <c r="G23" s="83">
        <f>Assumption!G37*(G6+G7)</f>
        <v>8239.1552600280629</v>
      </c>
      <c r="H23" s="83">
        <f>Assumption!H37*(H6+H7)</f>
        <v>9633.8195413164485</v>
      </c>
      <c r="I23" s="83">
        <f>Assumption!I37*(I6+I7)</f>
        <v>11078.892472513917</v>
      </c>
      <c r="J23" s="83">
        <f>Assumption!J37*(J6+J7)</f>
        <v>12408.359569215587</v>
      </c>
      <c r="K23" s="83">
        <f>Assumption!K37*(K6+K7)</f>
        <v>13401.028334752835</v>
      </c>
      <c r="L23" s="83">
        <f>Assumption!L37*(L6+L7)</f>
        <v>14071.079751490479</v>
      </c>
      <c r="M23" s="83">
        <f>Assumption!M37*(M6+M7)</f>
        <v>14633.922941550098</v>
      </c>
      <c r="N23" s="83">
        <f>Assumption!N37*(N6+N7)</f>
        <v>15219.2798592121</v>
      </c>
      <c r="O23" s="83">
        <f>Assumption!O37*(O6+O7)</f>
        <v>15675.858254988465</v>
      </c>
      <c r="Q23" s="6"/>
      <c r="R23" s="6"/>
      <c r="S23" s="6"/>
      <c r="T23" s="6"/>
      <c r="U23" s="6"/>
      <c r="V23" s="6"/>
    </row>
    <row r="24" spans="1:22" s="1" customFormat="1" ht="15" customHeight="1" x14ac:dyDescent="0.25">
      <c r="B24" s="1" t="s">
        <v>291</v>
      </c>
      <c r="F24" s="83">
        <f>Assumption!F38*F22</f>
        <v>5480.1787676399999</v>
      </c>
      <c r="G24" s="83">
        <f>Assumption!G38*G22</f>
        <v>6809.2192231636873</v>
      </c>
      <c r="H24" s="83">
        <f>Assumption!H38*H22</f>
        <v>8239.1552600280629</v>
      </c>
      <c r="I24" s="83">
        <f>Assumption!I38*I22</f>
        <v>9633.8195413164503</v>
      </c>
      <c r="J24" s="83">
        <f>Assumption!J38*J22</f>
        <v>11078.892472513915</v>
      </c>
      <c r="K24" s="83">
        <f>Assumption!K38*K22</f>
        <v>12408.359569215587</v>
      </c>
      <c r="L24" s="83">
        <f>Assumption!L38*L22</f>
        <v>13401.028334752835</v>
      </c>
      <c r="M24" s="83">
        <f>Assumption!M38*M22</f>
        <v>14071.079751490481</v>
      </c>
      <c r="N24" s="83">
        <f>Assumption!N38*N22</f>
        <v>14633.922941550099</v>
      </c>
      <c r="O24" s="83">
        <f>Assumption!O38*O22</f>
        <v>15219.2798592121</v>
      </c>
      <c r="Q24" s="6"/>
      <c r="R24" s="6"/>
      <c r="S24" s="6"/>
      <c r="T24" s="6"/>
      <c r="U24" s="6"/>
      <c r="V24" s="6"/>
    </row>
    <row r="25" spans="1:22" s="1" customFormat="1" ht="15" customHeight="1" x14ac:dyDescent="0.25">
      <c r="B25" s="1" t="s">
        <v>210</v>
      </c>
      <c r="E25" s="1">
        <f>BS!E26</f>
        <v>5480.1787676399999</v>
      </c>
      <c r="F25" s="83">
        <f>F22+F23-F24</f>
        <v>6809.2192231636873</v>
      </c>
      <c r="G25" s="83">
        <f t="shared" ref="G25:O25" si="12">G22+G23-G24</f>
        <v>8239.1552600280629</v>
      </c>
      <c r="H25" s="83">
        <f t="shared" si="12"/>
        <v>9633.8195413164503</v>
      </c>
      <c r="I25" s="83">
        <f t="shared" si="12"/>
        <v>11078.892472513915</v>
      </c>
      <c r="J25" s="83">
        <f t="shared" si="12"/>
        <v>12408.359569215587</v>
      </c>
      <c r="K25" s="83">
        <f t="shared" si="12"/>
        <v>13401.028334752835</v>
      </c>
      <c r="L25" s="83">
        <f t="shared" si="12"/>
        <v>14071.079751490481</v>
      </c>
      <c r="M25" s="83">
        <f t="shared" si="12"/>
        <v>14633.922941550099</v>
      </c>
      <c r="N25" s="83">
        <f t="shared" si="12"/>
        <v>15219.2798592121</v>
      </c>
      <c r="O25" s="83">
        <f t="shared" si="12"/>
        <v>15675.858254988463</v>
      </c>
      <c r="Q25" s="6"/>
      <c r="R25" s="6"/>
      <c r="S25" s="6"/>
      <c r="T25" s="6"/>
      <c r="U25" s="6"/>
      <c r="V25" s="6"/>
    </row>
    <row r="26" spans="1:22" s="1" customFormat="1" ht="15" customHeight="1" x14ac:dyDescent="0.25">
      <c r="B26" s="1" t="s">
        <v>211</v>
      </c>
      <c r="F26" s="86">
        <f>Assumption!F39</f>
        <v>3.5000000000000003E-2</v>
      </c>
      <c r="G26" s="86">
        <f>Assumption!G39</f>
        <v>3.5000000000000003E-2</v>
      </c>
      <c r="H26" s="86">
        <f>Assumption!H39</f>
        <v>3.5000000000000003E-2</v>
      </c>
      <c r="I26" s="86">
        <f>Assumption!I39</f>
        <v>3.5000000000000003E-2</v>
      </c>
      <c r="J26" s="86">
        <f>Assumption!J39</f>
        <v>3.5000000000000003E-2</v>
      </c>
      <c r="K26" s="86">
        <f>Assumption!K39</f>
        <v>3.5000000000000003E-2</v>
      </c>
      <c r="L26" s="86">
        <f>Assumption!L39</f>
        <v>3.5000000000000003E-2</v>
      </c>
      <c r="M26" s="86">
        <f>Assumption!M39</f>
        <v>3.5000000000000003E-2</v>
      </c>
      <c r="N26" s="86">
        <f>Assumption!N39</f>
        <v>3.5000000000000003E-2</v>
      </c>
      <c r="O26" s="86">
        <f>Assumption!O39</f>
        <v>3.5000000000000003E-2</v>
      </c>
      <c r="Q26" s="6"/>
      <c r="R26" s="6"/>
      <c r="S26" s="6"/>
      <c r="T26" s="6"/>
      <c r="U26" s="6"/>
      <c r="V26" s="6"/>
    </row>
    <row r="27" spans="1:22" s="1" customFormat="1" ht="15" customHeight="1" x14ac:dyDescent="0.25">
      <c r="B27" s="1" t="s">
        <v>212</v>
      </c>
      <c r="F27" s="83">
        <f>AVERAGE(E25:F25)*F26</f>
        <v>215.06446483906456</v>
      </c>
      <c r="G27" s="83">
        <f t="shared" ref="G27:O27" si="13">AVERAGE(F25:G25)*G26</f>
        <v>263.34655345585566</v>
      </c>
      <c r="H27" s="83">
        <f t="shared" si="13"/>
        <v>312.77705902352903</v>
      </c>
      <c r="I27" s="83">
        <f t="shared" si="13"/>
        <v>362.47246024203145</v>
      </c>
      <c r="J27" s="83">
        <f t="shared" si="13"/>
        <v>411.02691073026631</v>
      </c>
      <c r="K27" s="83">
        <f t="shared" si="13"/>
        <v>451.66428831944739</v>
      </c>
      <c r="L27" s="83">
        <f t="shared" si="13"/>
        <v>480.76189150925808</v>
      </c>
      <c r="M27" s="83">
        <f t="shared" si="13"/>
        <v>502.33754712821019</v>
      </c>
      <c r="N27" s="83">
        <f t="shared" si="13"/>
        <v>522.43104901333857</v>
      </c>
      <c r="O27" s="83">
        <f t="shared" si="13"/>
        <v>540.66491699850985</v>
      </c>
      <c r="Q27" s="6"/>
      <c r="R27" s="6"/>
      <c r="S27" s="6"/>
      <c r="T27" s="6"/>
      <c r="U27" s="6"/>
      <c r="V27" s="6"/>
    </row>
    <row r="28" spans="1:22" s="1" customFormat="1" ht="15" customHeight="1" x14ac:dyDescent="0.25">
      <c r="F28" s="59"/>
      <c r="G28" s="59"/>
      <c r="H28" s="59"/>
      <c r="I28" s="59"/>
      <c r="J28" s="59"/>
      <c r="K28" s="59"/>
      <c r="L28" s="59"/>
      <c r="M28" s="59"/>
      <c r="N28" s="59"/>
      <c r="O28" s="59"/>
      <c r="Q28" s="6"/>
      <c r="R28" s="6"/>
      <c r="S28" s="6"/>
      <c r="T28" s="6"/>
      <c r="U28" s="6"/>
      <c r="V28" s="6"/>
    </row>
    <row r="29" spans="1:22" s="1" customFormat="1" ht="15" customHeight="1" x14ac:dyDescent="0.25">
      <c r="B29" s="1" t="s">
        <v>213</v>
      </c>
      <c r="F29" s="83">
        <f>E32</f>
        <v>6104.2559455899991</v>
      </c>
      <c r="G29" s="83">
        <f t="shared" ref="G29:O29" si="14">F32</f>
        <v>6489.201196233269</v>
      </c>
      <c r="H29" s="83">
        <f t="shared" si="14"/>
        <v>6616.2376645347813</v>
      </c>
      <c r="I29" s="83">
        <f t="shared" si="14"/>
        <v>6444.0926772053645</v>
      </c>
      <c r="J29" s="83">
        <f t="shared" si="14"/>
        <v>6130.6820882799966</v>
      </c>
      <c r="K29" s="83">
        <f t="shared" si="14"/>
        <v>5997.0025707215873</v>
      </c>
      <c r="L29" s="83">
        <f t="shared" si="14"/>
        <v>5977.4555086826667</v>
      </c>
      <c r="M29" s="83">
        <f t="shared" si="14"/>
        <v>6020.8105316567999</v>
      </c>
      <c r="N29" s="83">
        <f t="shared" si="14"/>
        <v>6105.0483950245343</v>
      </c>
      <c r="O29" s="83">
        <f t="shared" si="14"/>
        <v>6223.9746845066838</v>
      </c>
      <c r="Q29" s="6"/>
      <c r="R29" s="6"/>
      <c r="S29" s="6"/>
      <c r="T29" s="6"/>
      <c r="U29" s="6"/>
      <c r="V29" s="6"/>
    </row>
    <row r="30" spans="1:22" s="1" customFormat="1" ht="15" customHeight="1" x14ac:dyDescent="0.25">
      <c r="B30" s="1" t="s">
        <v>214</v>
      </c>
      <c r="F30" s="83">
        <f>Capex!F23*Assumption!F40</f>
        <v>1605.7964397612698</v>
      </c>
      <c r="G30" s="83">
        <f>Capex!G23*Assumption!G40</f>
        <v>1424.8767075481667</v>
      </c>
      <c r="H30" s="83">
        <f>Capex!H23*Assumption!H40</f>
        <v>1151.10254557754</v>
      </c>
      <c r="I30" s="83">
        <f>Capex!I23*Assumption!I40</f>
        <v>975.40794651570479</v>
      </c>
      <c r="J30" s="83">
        <f>Capex!J23*Assumption!J40</f>
        <v>1092.4569000975896</v>
      </c>
      <c r="K30" s="83">
        <f>Capex!K23*Assumption!K40</f>
        <v>1179.8534521053969</v>
      </c>
      <c r="L30" s="83">
        <f>Capex!L23*Assumption!L40</f>
        <v>1238.8461247106668</v>
      </c>
      <c r="M30" s="83">
        <f>Capex!M23*Assumption!M40</f>
        <v>1288.3999696990938</v>
      </c>
      <c r="N30" s="83">
        <f>Capex!N23*Assumption!N40</f>
        <v>1339.9359684870569</v>
      </c>
      <c r="O30" s="83">
        <f>Capex!O23*Assumption!O40</f>
        <v>1380.1340475416691</v>
      </c>
      <c r="Q30" s="6"/>
      <c r="R30" s="6"/>
      <c r="S30" s="6"/>
      <c r="T30" s="6"/>
      <c r="U30" s="6"/>
      <c r="V30" s="6"/>
    </row>
    <row r="31" spans="1:22" s="1" customFormat="1" ht="15" customHeight="1" x14ac:dyDescent="0.25">
      <c r="B31" s="1" t="s">
        <v>292</v>
      </c>
      <c r="F31" s="83">
        <f>Assumption!F41*F29</f>
        <v>1220.8511891179999</v>
      </c>
      <c r="G31" s="83">
        <f>Assumption!G41*G29</f>
        <v>1297.8402392466539</v>
      </c>
      <c r="H31" s="83">
        <f>Assumption!H41*H29</f>
        <v>1323.2475329069564</v>
      </c>
      <c r="I31" s="83">
        <f>Assumption!I41*I29</f>
        <v>1288.818535441073</v>
      </c>
      <c r="J31" s="83">
        <f>Assumption!J41*J29</f>
        <v>1226.1364176559994</v>
      </c>
      <c r="K31" s="83">
        <f>Assumption!K41*K29</f>
        <v>1199.4005141443174</v>
      </c>
      <c r="L31" s="83">
        <f>Assumption!L41*L29</f>
        <v>1195.4911017365334</v>
      </c>
      <c r="M31" s="83">
        <f>Assumption!M41*M29</f>
        <v>1204.1621063313601</v>
      </c>
      <c r="N31" s="83">
        <f>Assumption!N41*N29</f>
        <v>1221.009679004907</v>
      </c>
      <c r="O31" s="83">
        <f>Assumption!O41*O29</f>
        <v>1244.7949369013368</v>
      </c>
      <c r="Q31" s="6"/>
      <c r="R31" s="6"/>
      <c r="S31" s="6"/>
      <c r="T31" s="6"/>
      <c r="U31" s="6"/>
      <c r="V31" s="6"/>
    </row>
    <row r="32" spans="1:22" s="1" customFormat="1" ht="15" customHeight="1" x14ac:dyDescent="0.25">
      <c r="B32" s="1" t="s">
        <v>215</v>
      </c>
      <c r="E32" s="1">
        <f>BS!E32</f>
        <v>6104.2559455899991</v>
      </c>
      <c r="F32" s="83">
        <f>F29+F30-F31</f>
        <v>6489.201196233269</v>
      </c>
      <c r="G32" s="83">
        <f t="shared" ref="G32:O32" si="15">G29+G30-G31</f>
        <v>6616.2376645347813</v>
      </c>
      <c r="H32" s="83">
        <f t="shared" si="15"/>
        <v>6444.0926772053645</v>
      </c>
      <c r="I32" s="83">
        <f t="shared" si="15"/>
        <v>6130.6820882799966</v>
      </c>
      <c r="J32" s="83">
        <f t="shared" si="15"/>
        <v>5997.0025707215873</v>
      </c>
      <c r="K32" s="83">
        <f t="shared" si="15"/>
        <v>5977.4555086826667</v>
      </c>
      <c r="L32" s="83">
        <f t="shared" si="15"/>
        <v>6020.8105316567999</v>
      </c>
      <c r="M32" s="83">
        <f t="shared" si="15"/>
        <v>6105.0483950245343</v>
      </c>
      <c r="N32" s="83">
        <f t="shared" si="15"/>
        <v>6223.9746845066838</v>
      </c>
      <c r="O32" s="83">
        <f t="shared" si="15"/>
        <v>6359.3137951470162</v>
      </c>
      <c r="Q32" s="6"/>
      <c r="R32" s="6"/>
      <c r="S32" s="6"/>
      <c r="T32" s="6"/>
      <c r="U32" s="6"/>
      <c r="V32" s="6"/>
    </row>
    <row r="33" spans="1:22" s="1" customFormat="1" ht="15" customHeight="1" x14ac:dyDescent="0.25">
      <c r="B33" s="1" t="s">
        <v>216</v>
      </c>
      <c r="F33" s="86">
        <f>Assumption!F42</f>
        <v>4.4999999999999998E-2</v>
      </c>
      <c r="G33" s="86">
        <f>Assumption!G42</f>
        <v>4.4999999999999998E-2</v>
      </c>
      <c r="H33" s="86">
        <f>Assumption!H42</f>
        <v>4.4999999999999998E-2</v>
      </c>
      <c r="I33" s="86">
        <f>Assumption!I42</f>
        <v>4.4999999999999998E-2</v>
      </c>
      <c r="J33" s="86">
        <f>Assumption!J42</f>
        <v>4.4999999999999998E-2</v>
      </c>
      <c r="K33" s="86">
        <f>Assumption!K42</f>
        <v>4.4999999999999998E-2</v>
      </c>
      <c r="L33" s="86">
        <f>Assumption!L42</f>
        <v>4.4999999999999998E-2</v>
      </c>
      <c r="M33" s="86">
        <f>Assumption!M42</f>
        <v>4.4999999999999998E-2</v>
      </c>
      <c r="N33" s="86">
        <f>Assumption!N42</f>
        <v>4.4999999999999998E-2</v>
      </c>
      <c r="O33" s="86">
        <f>Assumption!O42</f>
        <v>4.4999999999999998E-2</v>
      </c>
      <c r="Q33" s="6"/>
      <c r="R33" s="6"/>
      <c r="S33" s="6"/>
      <c r="T33" s="6"/>
      <c r="U33" s="6"/>
      <c r="V33" s="6"/>
    </row>
    <row r="34" spans="1:22" s="1" customFormat="1" ht="15" customHeight="1" x14ac:dyDescent="0.25">
      <c r="B34" s="1" t="s">
        <v>217</v>
      </c>
      <c r="F34" s="83">
        <f>AVERAGE(E32:F32)*F33</f>
        <v>283.35278569102354</v>
      </c>
      <c r="G34" s="83">
        <f t="shared" ref="G34:O34" si="16">AVERAGE(F32:G32)*G33</f>
        <v>294.87237436728111</v>
      </c>
      <c r="H34" s="83">
        <f t="shared" si="16"/>
        <v>293.85743268915326</v>
      </c>
      <c r="I34" s="83">
        <f t="shared" si="16"/>
        <v>282.93243222342062</v>
      </c>
      <c r="J34" s="83">
        <f t="shared" si="16"/>
        <v>272.87290482753565</v>
      </c>
      <c r="K34" s="83">
        <f t="shared" si="16"/>
        <v>269.42530678659568</v>
      </c>
      <c r="L34" s="83">
        <f t="shared" si="16"/>
        <v>269.96098590763796</v>
      </c>
      <c r="M34" s="83">
        <f t="shared" si="16"/>
        <v>272.83182585033001</v>
      </c>
      <c r="N34" s="83">
        <f t="shared" si="16"/>
        <v>277.4030192894524</v>
      </c>
      <c r="O34" s="83">
        <f t="shared" si="16"/>
        <v>283.12399079220825</v>
      </c>
      <c r="Q34" s="6"/>
      <c r="R34" s="6"/>
      <c r="S34" s="6"/>
      <c r="T34" s="6"/>
      <c r="U34" s="6"/>
      <c r="V34" s="6"/>
    </row>
    <row r="35" spans="1:22" s="1" customFormat="1" ht="15" customHeight="1" x14ac:dyDescent="0.25">
      <c r="F35" s="59"/>
      <c r="G35" s="59"/>
      <c r="H35" s="59"/>
      <c r="I35" s="59"/>
      <c r="J35" s="59"/>
      <c r="K35" s="59"/>
      <c r="L35" s="59"/>
      <c r="M35" s="59"/>
      <c r="N35" s="59"/>
      <c r="O35" s="59"/>
      <c r="Q35" s="6"/>
      <c r="R35" s="6"/>
      <c r="S35" s="6"/>
      <c r="T35" s="6"/>
      <c r="U35" s="6"/>
      <c r="V35" s="6"/>
    </row>
    <row r="36" spans="1:22" ht="15" customHeight="1" x14ac:dyDescent="0.25">
      <c r="B36" s="2" t="s">
        <v>218</v>
      </c>
      <c r="C36" s="2"/>
      <c r="D36" s="2"/>
      <c r="E36" s="2">
        <f t="shared" ref="E36" si="17">SUM(E32,E25,E18)</f>
        <v>11584.434713229999</v>
      </c>
      <c r="F36" s="84">
        <f t="shared" ref="F36:O36" ca="1" si="18">SUM(F32,F25,F18)</f>
        <v>13298.420419396956</v>
      </c>
      <c r="G36" s="84">
        <f t="shared" ca="1" si="18"/>
        <v>14855.392924562844</v>
      </c>
      <c r="H36" s="84">
        <f t="shared" ca="1" si="18"/>
        <v>16077.912218521815</v>
      </c>
      <c r="I36" s="84">
        <f t="shared" ca="1" si="18"/>
        <v>17209.57456079391</v>
      </c>
      <c r="J36" s="84">
        <f t="shared" ca="1" si="18"/>
        <v>18405.362139937173</v>
      </c>
      <c r="K36" s="84">
        <f t="shared" ca="1" si="18"/>
        <v>19378.483843435501</v>
      </c>
      <c r="L36" s="84">
        <f t="shared" ca="1" si="18"/>
        <v>20091.890283147281</v>
      </c>
      <c r="M36" s="84">
        <f t="shared" ca="1" si="18"/>
        <v>20738.971336574636</v>
      </c>
      <c r="N36" s="84">
        <f t="shared" ca="1" si="18"/>
        <v>21443.254543718784</v>
      </c>
      <c r="O36" s="84">
        <f t="shared" ca="1" si="18"/>
        <v>22035.172050135479</v>
      </c>
    </row>
    <row r="37" spans="1:22" ht="15" customHeight="1" x14ac:dyDescent="0.25">
      <c r="B37" s="2" t="s">
        <v>219</v>
      </c>
      <c r="C37" s="2"/>
      <c r="D37" s="2"/>
      <c r="E37" s="2"/>
      <c r="F37" s="83">
        <f t="shared" ref="F37:O37" ca="1" si="19">SUM(F34,F27,F20)</f>
        <v>498.4172505300881</v>
      </c>
      <c r="G37" s="83">
        <f t="shared" ca="1" si="19"/>
        <v>558.21892782313671</v>
      </c>
      <c r="H37" s="83">
        <f t="shared" ca="1" si="19"/>
        <v>606.63449171268235</v>
      </c>
      <c r="I37" s="83">
        <f t="shared" ca="1" si="19"/>
        <v>645.40489246545212</v>
      </c>
      <c r="J37" s="83">
        <f t="shared" ca="1" si="19"/>
        <v>683.89981555780196</v>
      </c>
      <c r="K37" s="83">
        <f t="shared" ca="1" si="19"/>
        <v>721.08959510604313</v>
      </c>
      <c r="L37" s="83">
        <f t="shared" ca="1" si="19"/>
        <v>750.72287741689604</v>
      </c>
      <c r="M37" s="83">
        <f t="shared" ca="1" si="19"/>
        <v>775.1693729785402</v>
      </c>
      <c r="N37" s="83">
        <f t="shared" ca="1" si="19"/>
        <v>799.83406830279091</v>
      </c>
      <c r="O37" s="83">
        <f t="shared" ca="1" si="19"/>
        <v>823.7889077907181</v>
      </c>
    </row>
    <row r="38" spans="1:22" ht="15" customHeight="1" x14ac:dyDescent="0.25">
      <c r="F38" s="59"/>
      <c r="G38" s="59"/>
      <c r="H38" s="59"/>
      <c r="I38" s="59"/>
      <c r="J38" s="59"/>
      <c r="K38" s="59"/>
      <c r="L38" s="59"/>
      <c r="M38" s="59"/>
      <c r="N38" s="59"/>
      <c r="O38" s="59"/>
    </row>
    <row r="39" spans="1:22" ht="15" customHeight="1" x14ac:dyDescent="0.25">
      <c r="B39" s="1" t="s">
        <v>220</v>
      </c>
      <c r="E39" s="1">
        <f>BS!E7</f>
        <v>6915.5089719499992</v>
      </c>
      <c r="F39" s="83">
        <f ca="1">BS!F7</f>
        <v>10254.47682036987</v>
      </c>
      <c r="G39" s="83">
        <f ca="1">BS!G7</f>
        <v>15937.359785209785</v>
      </c>
      <c r="H39" s="83">
        <f ca="1">BS!H7</f>
        <v>23195.335710465555</v>
      </c>
      <c r="I39" s="83">
        <f ca="1">BS!I7</f>
        <v>30825.687395223271</v>
      </c>
      <c r="J39" s="83">
        <f ca="1">BS!J7</f>
        <v>38749.737505941397</v>
      </c>
      <c r="K39" s="83">
        <f ca="1">BS!K7</f>
        <v>46228.993294362088</v>
      </c>
      <c r="L39" s="83">
        <f ca="1">BS!L7</f>
        <v>51238.018252274633</v>
      </c>
      <c r="M39" s="83">
        <f ca="1">BS!M7</f>
        <v>55782.823235270065</v>
      </c>
      <c r="N39" s="83">
        <f ca="1">BS!N7</f>
        <v>60758.843959515842</v>
      </c>
      <c r="O39" s="83">
        <f ca="1">BS!O7</f>
        <v>65597.251723727968</v>
      </c>
    </row>
    <row r="40" spans="1:22" ht="15" customHeight="1" x14ac:dyDescent="0.25">
      <c r="B40" s="1" t="s">
        <v>196</v>
      </c>
      <c r="F40" s="86">
        <f>Assumption!F43</f>
        <v>0.01</v>
      </c>
      <c r="G40" s="86">
        <f>Assumption!G43</f>
        <v>0.01</v>
      </c>
      <c r="H40" s="86">
        <f>Assumption!H43</f>
        <v>0.01</v>
      </c>
      <c r="I40" s="86">
        <f>Assumption!I43</f>
        <v>0.01</v>
      </c>
      <c r="J40" s="86">
        <f>Assumption!J43</f>
        <v>0.01</v>
      </c>
      <c r="K40" s="86">
        <f>Assumption!K43</f>
        <v>0.01</v>
      </c>
      <c r="L40" s="86">
        <f>Assumption!L43</f>
        <v>0.01</v>
      </c>
      <c r="M40" s="86">
        <f>Assumption!M43</f>
        <v>0.01</v>
      </c>
      <c r="N40" s="86">
        <f>Assumption!N43</f>
        <v>0.01</v>
      </c>
      <c r="O40" s="86">
        <f>Assumption!O43</f>
        <v>0.01</v>
      </c>
    </row>
    <row r="41" spans="1:22" ht="15" customHeight="1" x14ac:dyDescent="0.25">
      <c r="B41" s="1" t="s">
        <v>221</v>
      </c>
      <c r="F41" s="83">
        <f t="shared" ref="F41:O41" ca="1" si="20">AVERAGE(E39:F39)*F40</f>
        <v>85.849928961599346</v>
      </c>
      <c r="G41" s="83">
        <f t="shared" ca="1" si="20"/>
        <v>130.95918302789826</v>
      </c>
      <c r="H41" s="83">
        <f t="shared" ca="1" si="20"/>
        <v>195.66347747837671</v>
      </c>
      <c r="I41" s="83">
        <f t="shared" ca="1" si="20"/>
        <v>270.10511552844417</v>
      </c>
      <c r="J41" s="83">
        <f t="shared" ca="1" si="20"/>
        <v>347.8771245058233</v>
      </c>
      <c r="K41" s="83">
        <f t="shared" ca="1" si="20"/>
        <v>424.89365400151746</v>
      </c>
      <c r="L41" s="83">
        <f t="shared" ca="1" si="20"/>
        <v>487.33505773318365</v>
      </c>
      <c r="M41" s="83">
        <f t="shared" ca="1" si="20"/>
        <v>535.10420743772352</v>
      </c>
      <c r="N41" s="83">
        <f t="shared" ca="1" si="20"/>
        <v>582.70833597392948</v>
      </c>
      <c r="O41" s="83">
        <f t="shared" ca="1" si="20"/>
        <v>631.78047841621901</v>
      </c>
    </row>
    <row r="42" spans="1:22" ht="15" customHeight="1" x14ac:dyDescent="0.25">
      <c r="F42" s="59"/>
      <c r="G42" s="59"/>
      <c r="H42" s="59"/>
      <c r="I42" s="59"/>
      <c r="J42" s="59"/>
      <c r="K42" s="59"/>
      <c r="L42" s="59"/>
      <c r="M42" s="59"/>
      <c r="N42" s="59"/>
      <c r="O42" s="59"/>
    </row>
    <row r="43" spans="1:22" ht="15" customHeight="1" x14ac:dyDescent="0.25">
      <c r="B43" s="2" t="s">
        <v>222</v>
      </c>
      <c r="C43" s="2"/>
      <c r="D43" s="2"/>
      <c r="E43" s="2"/>
      <c r="F43" s="84">
        <f t="shared" ref="F43:O43" ca="1" si="21">F37-F41</f>
        <v>412.56732156848875</v>
      </c>
      <c r="G43" s="84">
        <f t="shared" ca="1" si="21"/>
        <v>427.25974479523848</v>
      </c>
      <c r="H43" s="84">
        <f t="shared" ca="1" si="21"/>
        <v>410.97101423430564</v>
      </c>
      <c r="I43" s="84">
        <f t="shared" ca="1" si="21"/>
        <v>375.29977693700795</v>
      </c>
      <c r="J43" s="84">
        <f t="shared" ca="1" si="21"/>
        <v>336.02269105197865</v>
      </c>
      <c r="K43" s="84">
        <f t="shared" ca="1" si="21"/>
        <v>296.19594110452567</v>
      </c>
      <c r="L43" s="84">
        <f t="shared" ca="1" si="21"/>
        <v>263.38781968371239</v>
      </c>
      <c r="M43" s="84">
        <f t="shared" ca="1" si="21"/>
        <v>240.06516554081668</v>
      </c>
      <c r="N43" s="84">
        <f t="shared" ca="1" si="21"/>
        <v>217.12573232886143</v>
      </c>
      <c r="O43" s="84">
        <f t="shared" ca="1" si="21"/>
        <v>192.00842937449909</v>
      </c>
    </row>
    <row r="44" spans="1:22" ht="15" customHeight="1" x14ac:dyDescent="0.25">
      <c r="F44" s="59"/>
      <c r="G44" s="59"/>
      <c r="H44" s="59"/>
      <c r="I44" s="59"/>
      <c r="J44" s="59"/>
      <c r="K44" s="59"/>
      <c r="L44" s="59"/>
      <c r="M44" s="59"/>
      <c r="N44" s="59"/>
      <c r="O44" s="59"/>
    </row>
    <row r="45" spans="1:22" ht="15" customHeight="1" x14ac:dyDescent="0.25">
      <c r="A45" s="2" t="s">
        <v>223</v>
      </c>
      <c r="F45" s="59"/>
      <c r="G45" s="59"/>
      <c r="H45" s="59"/>
      <c r="I45" s="59"/>
      <c r="J45" s="59"/>
      <c r="K45" s="59"/>
      <c r="L45" s="59"/>
      <c r="M45" s="59"/>
      <c r="N45" s="59"/>
      <c r="O45" s="59"/>
    </row>
    <row r="46" spans="1:22" ht="15" customHeight="1" x14ac:dyDescent="0.25">
      <c r="B46" s="1" t="s">
        <v>224</v>
      </c>
      <c r="F46" s="83">
        <f t="shared" ref="F46:O46" si="22">E49</f>
        <v>8091.3911123200005</v>
      </c>
      <c r="G46" s="83">
        <f t="shared" ca="1" si="22"/>
        <v>11194.421649608374</v>
      </c>
      <c r="H46" s="83">
        <f t="shared" ca="1" si="22"/>
        <v>15859.174249393569</v>
      </c>
      <c r="I46" s="83">
        <f t="shared" ca="1" si="22"/>
        <v>21426.294389794617</v>
      </c>
      <c r="J46" s="83">
        <f t="shared" ca="1" si="22"/>
        <v>26887.300879469658</v>
      </c>
      <c r="K46" s="83">
        <f t="shared" ca="1" si="22"/>
        <v>33184.421146499903</v>
      </c>
      <c r="L46" s="83">
        <f t="shared" ca="1" si="22"/>
        <v>39836.956167937329</v>
      </c>
      <c r="M46" s="83">
        <f t="shared" ca="1" si="22"/>
        <v>44677.34585169566</v>
      </c>
      <c r="N46" s="83">
        <f t="shared" ca="1" si="22"/>
        <v>49235.235410720343</v>
      </c>
      <c r="O46" s="83">
        <f t="shared" ca="1" si="22"/>
        <v>54194.131093118602</v>
      </c>
    </row>
    <row r="47" spans="1:22" ht="15" customHeight="1" x14ac:dyDescent="0.25">
      <c r="B47" s="1" t="s">
        <v>225</v>
      </c>
      <c r="F47" s="83">
        <f ca="1">IS!F38</f>
        <v>3939.1157676883722</v>
      </c>
      <c r="G47" s="83">
        <f ca="1">IS!G38</f>
        <v>5452.5757533228707</v>
      </c>
      <c r="H47" s="83">
        <f ca="1">IS!H38</f>
        <v>6657.6352910656215</v>
      </c>
      <c r="I47" s="83">
        <f ca="1">IS!I38</f>
        <v>8124.0606061012895</v>
      </c>
      <c r="J47" s="83">
        <f ca="1">IS!J38</f>
        <v>9546.7445094707546</v>
      </c>
      <c r="K47" s="83">
        <f ca="1">IS!K38</f>
        <v>10471.232825225728</v>
      </c>
      <c r="L47" s="83">
        <f ca="1">IS!L38</f>
        <v>11123.129378893769</v>
      </c>
      <c r="M47" s="83">
        <f ca="1">IS!M38</f>
        <v>11231.767186360939</v>
      </c>
      <c r="N47" s="83">
        <f ca="1">IS!N38</f>
        <v>11697.955994214815</v>
      </c>
      <c r="O47" s="83">
        <f ca="1">IS!O38</f>
        <v>12041.112822023437</v>
      </c>
    </row>
    <row r="48" spans="1:22" ht="15" customHeight="1" x14ac:dyDescent="0.25">
      <c r="B48" s="1" t="s">
        <v>226</v>
      </c>
      <c r="F48" s="83">
        <f>MAX(0,IS!E38*Assumption!F44)</f>
        <v>836.08523039999875</v>
      </c>
      <c r="G48" s="83">
        <f ca="1">MAX(0,IS!F38*Assumption!G44)</f>
        <v>787.82315353767444</v>
      </c>
      <c r="H48" s="83">
        <f ca="1">MAX(0,IS!G38*Assumption!H44)</f>
        <v>1090.5151506645741</v>
      </c>
      <c r="I48" s="83">
        <f ca="1">MAX(0,IS!H38*Assumption!I44)</f>
        <v>2663.0541164262486</v>
      </c>
      <c r="J48" s="83">
        <f ca="1">MAX(0,IS!I38*Assumption!J44)</f>
        <v>3249.6242424405159</v>
      </c>
      <c r="K48" s="83">
        <f ca="1">MAX(0,IS!J38*Assumption!K44)</f>
        <v>3818.6978037883018</v>
      </c>
      <c r="L48" s="83">
        <f ca="1">MAX(0,IS!K38*Assumption!L44)</f>
        <v>6282.7396951354367</v>
      </c>
      <c r="M48" s="83">
        <f ca="1">MAX(0,IS!L38*Assumption!M44)</f>
        <v>6673.877627336261</v>
      </c>
      <c r="N48" s="83">
        <f ca="1">MAX(0,IS!M38*Assumption!N44)</f>
        <v>6739.0603118165636</v>
      </c>
      <c r="O48" s="83">
        <f ca="1">MAX(0,IS!N38*Assumption!O44)</f>
        <v>7018.7735965288894</v>
      </c>
    </row>
    <row r="49" spans="1:15" ht="15" customHeight="1" x14ac:dyDescent="0.25">
      <c r="B49" s="1" t="s">
        <v>227</v>
      </c>
      <c r="E49" s="1">
        <f>BS!E38</f>
        <v>8091.3911123200005</v>
      </c>
      <c r="F49" s="83">
        <f t="shared" ref="F49:O49" ca="1" si="23">F46+F47-F48</f>
        <v>11194.421649608374</v>
      </c>
      <c r="G49" s="83">
        <f t="shared" ca="1" si="23"/>
        <v>15859.174249393569</v>
      </c>
      <c r="H49" s="83">
        <f t="shared" ca="1" si="23"/>
        <v>21426.294389794617</v>
      </c>
      <c r="I49" s="83">
        <f t="shared" ca="1" si="23"/>
        <v>26887.300879469658</v>
      </c>
      <c r="J49" s="83">
        <f t="shared" ca="1" si="23"/>
        <v>33184.421146499903</v>
      </c>
      <c r="K49" s="83">
        <f t="shared" ca="1" si="23"/>
        <v>39836.956167937329</v>
      </c>
      <c r="L49" s="83">
        <f t="shared" ca="1" si="23"/>
        <v>44677.34585169566</v>
      </c>
      <c r="M49" s="83">
        <f t="shared" ca="1" si="23"/>
        <v>49235.235410720343</v>
      </c>
      <c r="N49" s="83">
        <f t="shared" ca="1" si="23"/>
        <v>54194.131093118602</v>
      </c>
      <c r="O49" s="83">
        <f t="shared" ca="1" si="23"/>
        <v>59216.470318613152</v>
      </c>
    </row>
    <row r="50" spans="1:15" ht="15" customHeight="1" x14ac:dyDescent="0.25">
      <c r="F50" s="59"/>
      <c r="G50" s="59"/>
      <c r="H50" s="59"/>
      <c r="I50" s="59"/>
      <c r="J50" s="59"/>
      <c r="K50" s="59"/>
      <c r="L50" s="59"/>
      <c r="M50" s="59"/>
      <c r="N50" s="59"/>
      <c r="O50" s="59"/>
    </row>
    <row r="51" spans="1:15" ht="15" customHeight="1" x14ac:dyDescent="0.25">
      <c r="A51" s="2" t="s">
        <v>228</v>
      </c>
      <c r="F51" s="59"/>
      <c r="G51" s="59"/>
      <c r="H51" s="59"/>
      <c r="I51" s="59"/>
      <c r="J51" s="59"/>
      <c r="K51" s="59"/>
      <c r="L51" s="59"/>
      <c r="M51" s="59"/>
      <c r="N51" s="59"/>
      <c r="O51" s="59"/>
    </row>
    <row r="52" spans="1:15" ht="15" customHeight="1" x14ac:dyDescent="0.25">
      <c r="B52" s="1" t="s">
        <v>224</v>
      </c>
      <c r="F52" s="83">
        <f>E55</f>
        <v>44.896515289999996</v>
      </c>
      <c r="G52" s="83">
        <f t="shared" ref="G52:O52" si="24">F55</f>
        <v>44.896515289999996</v>
      </c>
      <c r="H52" s="83">
        <f t="shared" si="24"/>
        <v>44.896515289999996</v>
      </c>
      <c r="I52" s="83">
        <f t="shared" si="24"/>
        <v>44.896515289999996</v>
      </c>
      <c r="J52" s="83">
        <f t="shared" si="24"/>
        <v>44.896515289999996</v>
      </c>
      <c r="K52" s="83">
        <f t="shared" si="24"/>
        <v>44.896515289999996</v>
      </c>
      <c r="L52" s="83">
        <f t="shared" si="24"/>
        <v>44.896515289999996</v>
      </c>
      <c r="M52" s="83">
        <f t="shared" si="24"/>
        <v>44.896515289999996</v>
      </c>
      <c r="N52" s="83">
        <f t="shared" si="24"/>
        <v>44.896515289999996</v>
      </c>
      <c r="O52" s="83">
        <f t="shared" si="24"/>
        <v>44.896515289999996</v>
      </c>
    </row>
    <row r="53" spans="1:15" ht="15" customHeight="1" x14ac:dyDescent="0.25">
      <c r="B53" s="1" t="s">
        <v>229</v>
      </c>
      <c r="F53" s="83">
        <f>IS!F37</f>
        <v>0</v>
      </c>
      <c r="G53" s="83">
        <f>IS!G37</f>
        <v>0</v>
      </c>
      <c r="H53" s="83">
        <f>IS!H37</f>
        <v>0</v>
      </c>
      <c r="I53" s="83">
        <f>IS!I37</f>
        <v>0</v>
      </c>
      <c r="J53" s="83">
        <f>IS!J37</f>
        <v>0</v>
      </c>
      <c r="K53" s="83">
        <f>IS!K37</f>
        <v>0</v>
      </c>
      <c r="L53" s="83">
        <f>IS!L37</f>
        <v>0</v>
      </c>
      <c r="M53" s="83">
        <f>IS!M37</f>
        <v>0</v>
      </c>
      <c r="N53" s="83">
        <f>IS!N37</f>
        <v>0</v>
      </c>
      <c r="O53" s="83">
        <f>IS!O37</f>
        <v>0</v>
      </c>
    </row>
    <row r="54" spans="1:15" ht="15" customHeight="1" x14ac:dyDescent="0.25">
      <c r="B54" s="1" t="s">
        <v>198</v>
      </c>
      <c r="F54" s="83">
        <f>Assumption!F45</f>
        <v>0</v>
      </c>
      <c r="G54" s="83">
        <f>Assumption!G45</f>
        <v>0</v>
      </c>
      <c r="H54" s="83">
        <f>Assumption!H45</f>
        <v>0</v>
      </c>
      <c r="I54" s="83">
        <f>Assumption!I45</f>
        <v>0</v>
      </c>
      <c r="J54" s="83">
        <f>Assumption!J45</f>
        <v>0</v>
      </c>
      <c r="K54" s="83">
        <f>Assumption!K45</f>
        <v>0</v>
      </c>
      <c r="L54" s="83">
        <f>Assumption!L45</f>
        <v>0</v>
      </c>
      <c r="M54" s="83">
        <f>Assumption!M45</f>
        <v>0</v>
      </c>
      <c r="N54" s="83">
        <f>Assumption!N45</f>
        <v>0</v>
      </c>
      <c r="O54" s="83">
        <f>Assumption!O45</f>
        <v>0</v>
      </c>
    </row>
    <row r="55" spans="1:15" ht="15" customHeight="1" x14ac:dyDescent="0.25">
      <c r="B55" s="1" t="s">
        <v>227</v>
      </c>
      <c r="E55" s="1">
        <f>BS!E41</f>
        <v>44.896515289999996</v>
      </c>
      <c r="F55" s="83">
        <f>F52+F53-F54</f>
        <v>44.896515289999996</v>
      </c>
      <c r="G55" s="83">
        <f t="shared" ref="G55:O55" si="25">G52+G53-G54</f>
        <v>44.896515289999996</v>
      </c>
      <c r="H55" s="83">
        <f t="shared" si="25"/>
        <v>44.896515289999996</v>
      </c>
      <c r="I55" s="83">
        <f t="shared" si="25"/>
        <v>44.896515289999996</v>
      </c>
      <c r="J55" s="83">
        <f t="shared" si="25"/>
        <v>44.896515289999996</v>
      </c>
      <c r="K55" s="83">
        <f t="shared" si="25"/>
        <v>44.896515289999996</v>
      </c>
      <c r="L55" s="83">
        <f t="shared" si="25"/>
        <v>44.896515289999996</v>
      </c>
      <c r="M55" s="83">
        <f t="shared" si="25"/>
        <v>44.896515289999996</v>
      </c>
      <c r="N55" s="83">
        <f t="shared" si="25"/>
        <v>44.896515289999996</v>
      </c>
      <c r="O55" s="83">
        <f t="shared" si="25"/>
        <v>44.896515289999996</v>
      </c>
    </row>
    <row r="56" spans="1:15" ht="15" customHeight="1" x14ac:dyDescent="0.25"/>
    <row r="57" spans="1:15" ht="15" customHeight="1" x14ac:dyDescent="0.25"/>
    <row r="58" spans="1:15" ht="15" customHeight="1" x14ac:dyDescent="0.25"/>
    <row r="59" spans="1:15" ht="15" customHeight="1" x14ac:dyDescent="0.25"/>
    <row r="60" spans="1:15" ht="15" customHeight="1" x14ac:dyDescent="0.25"/>
    <row r="61" spans="1:15" ht="15" customHeight="1" x14ac:dyDescent="0.25"/>
    <row r="62" spans="1:15" ht="15" customHeight="1" x14ac:dyDescent="0.25"/>
    <row r="63" spans="1:15" ht="15" customHeight="1" x14ac:dyDescent="0.25"/>
    <row r="64" spans="1:15"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V152"/>
  <sheetViews>
    <sheetView zoomScale="120" zoomScaleNormal="120" workbookViewId="0">
      <pane xSplit="2" ySplit="3" topLeftCell="C4" activePane="bottomRight" state="frozen"/>
      <selection pane="topRight"/>
      <selection pane="bottomLeft"/>
      <selection pane="bottomRight" activeCell="C4" sqref="C4"/>
    </sheetView>
  </sheetViews>
  <sheetFormatPr defaultColWidth="0" defaultRowHeight="14.25" x14ac:dyDescent="0.25"/>
  <cols>
    <col min="1" max="1" width="1.7109375" style="1" customWidth="1"/>
    <col min="2" max="2" width="39.7109375" style="1" customWidth="1"/>
    <col min="3" max="15" width="10.7109375" style="1" customWidth="1"/>
    <col min="16" max="16" width="1.7109375" style="1" hidden="1" customWidth="1"/>
    <col min="17" max="22" width="9.7109375" style="6" hidden="1" customWidth="1"/>
    <col min="23" max="16384" width="9.140625" style="6" hidden="1"/>
  </cols>
  <sheetData>
    <row r="1" spans="1:16" ht="24" customHeight="1" x14ac:dyDescent="0.2">
      <c r="A1" s="71" t="s">
        <v>277</v>
      </c>
      <c r="B1" s="72"/>
      <c r="C1" s="72"/>
      <c r="D1" s="72"/>
      <c r="E1" s="72"/>
      <c r="F1" s="72"/>
      <c r="G1" s="72"/>
      <c r="H1" s="72"/>
      <c r="I1" s="72"/>
      <c r="J1" s="72"/>
      <c r="K1" s="72"/>
      <c r="L1" s="72"/>
      <c r="M1" s="72"/>
      <c r="N1" s="72"/>
      <c r="O1" s="72"/>
      <c r="P1" s="70"/>
    </row>
    <row r="2" spans="1:16" s="9" customFormat="1" ht="18" customHeight="1" x14ac:dyDescent="0.25">
      <c r="A2" s="5"/>
      <c r="B2" s="7" t="s">
        <v>153</v>
      </c>
      <c r="C2" s="7"/>
      <c r="D2" s="8"/>
      <c r="E2" s="8"/>
      <c r="F2" s="8"/>
      <c r="G2" s="8"/>
      <c r="H2" s="8"/>
      <c r="I2" s="8"/>
    </row>
    <row r="3" spans="1:16" customFormat="1" ht="15" customHeight="1" x14ac:dyDescent="0.25">
      <c r="A3" s="10"/>
      <c r="B3" s="10" t="s">
        <v>67</v>
      </c>
      <c r="C3" s="11" t="s">
        <v>18</v>
      </c>
      <c r="D3" s="11" t="s">
        <v>0</v>
      </c>
      <c r="E3" s="11" t="s">
        <v>1</v>
      </c>
      <c r="F3" s="11" t="s">
        <v>2</v>
      </c>
      <c r="G3" s="11" t="s">
        <v>3</v>
      </c>
      <c r="H3" s="11" t="s">
        <v>4</v>
      </c>
      <c r="I3" s="11" t="s">
        <v>5</v>
      </c>
      <c r="J3" s="11" t="s">
        <v>6</v>
      </c>
      <c r="K3" s="11" t="s">
        <v>7</v>
      </c>
      <c r="L3" s="11" t="s">
        <v>8</v>
      </c>
      <c r="M3" s="11" t="s">
        <v>9</v>
      </c>
      <c r="N3" s="11" t="s">
        <v>10</v>
      </c>
      <c r="O3" s="11" t="s">
        <v>11</v>
      </c>
    </row>
    <row r="4" spans="1:16" customFormat="1" ht="9" customHeight="1" x14ac:dyDescent="0.25">
      <c r="A4" s="13"/>
      <c r="B4" s="13"/>
      <c r="C4" s="13"/>
      <c r="D4" s="14"/>
      <c r="E4" s="14"/>
      <c r="F4" s="14"/>
      <c r="G4" s="14"/>
      <c r="H4" s="14"/>
      <c r="I4" s="14"/>
      <c r="J4" s="14"/>
      <c r="K4" s="14"/>
      <c r="L4" s="13"/>
      <c r="M4" s="13"/>
      <c r="N4" s="13"/>
      <c r="O4" s="13"/>
    </row>
    <row r="5" spans="1:16" customFormat="1" ht="15" customHeight="1" x14ac:dyDescent="0.25">
      <c r="A5" s="2" t="s">
        <v>157</v>
      </c>
      <c r="B5" s="1"/>
      <c r="C5" s="1"/>
      <c r="D5" s="1"/>
      <c r="E5" s="1"/>
      <c r="F5" s="1"/>
      <c r="G5" s="1"/>
      <c r="H5" s="1"/>
      <c r="I5" s="1"/>
      <c r="J5" s="1"/>
      <c r="K5" s="1"/>
      <c r="L5" s="1"/>
      <c r="M5" s="1"/>
      <c r="N5" s="1"/>
      <c r="O5" s="1"/>
    </row>
    <row r="6" spans="1:16" customFormat="1" ht="15" customHeight="1" x14ac:dyDescent="0.25">
      <c r="A6" s="1"/>
      <c r="B6" s="51" t="s">
        <v>158</v>
      </c>
      <c r="C6" s="51"/>
      <c r="D6" s="1"/>
      <c r="E6" s="1"/>
      <c r="F6" s="1"/>
      <c r="G6" s="1"/>
      <c r="H6" s="1"/>
      <c r="I6" s="1"/>
      <c r="J6" s="1"/>
      <c r="K6" s="1"/>
      <c r="L6" s="1"/>
      <c r="M6" s="1"/>
      <c r="N6" s="1"/>
      <c r="O6" s="1"/>
    </row>
    <row r="7" spans="1:16" ht="15" customHeight="1" x14ac:dyDescent="0.25">
      <c r="B7" s="48" t="s">
        <v>12</v>
      </c>
      <c r="C7" s="49">
        <v>2353.1455509499997</v>
      </c>
      <c r="D7" s="49">
        <v>3620.37334693</v>
      </c>
      <c r="E7" s="49">
        <v>6915.5089719499992</v>
      </c>
      <c r="F7" s="83">
        <f ca="1">CFS!F43</f>
        <v>10254.47682036987</v>
      </c>
      <c r="G7" s="83">
        <f ca="1">CFS!G43</f>
        <v>15937.359785209785</v>
      </c>
      <c r="H7" s="83">
        <f ca="1">CFS!H43</f>
        <v>23195.335710465555</v>
      </c>
      <c r="I7" s="83">
        <f ca="1">CFS!I43</f>
        <v>30825.687395223271</v>
      </c>
      <c r="J7" s="83">
        <f ca="1">CFS!J43</f>
        <v>38749.737505941397</v>
      </c>
      <c r="K7" s="83">
        <f ca="1">CFS!K43</f>
        <v>46228.993294362088</v>
      </c>
      <c r="L7" s="83">
        <f ca="1">CFS!L43</f>
        <v>51238.018252274633</v>
      </c>
      <c r="M7" s="83">
        <f ca="1">CFS!M43</f>
        <v>55782.823235270065</v>
      </c>
      <c r="N7" s="83">
        <f ca="1">CFS!N43</f>
        <v>60758.843959515842</v>
      </c>
      <c r="O7" s="83">
        <f ca="1">CFS!O43</f>
        <v>65597.251723727968</v>
      </c>
    </row>
    <row r="8" spans="1:16" ht="15" customHeight="1" x14ac:dyDescent="0.25">
      <c r="B8" s="25" t="s">
        <v>19</v>
      </c>
      <c r="C8" s="49">
        <v>2985.9562450500002</v>
      </c>
      <c r="D8" s="49">
        <v>3995.8788223199995</v>
      </c>
      <c r="E8" s="49">
        <v>4564.3181839600002</v>
      </c>
      <c r="F8" s="83">
        <f>Cals!F6</f>
        <v>5709.4984524845131</v>
      </c>
      <c r="G8" s="83">
        <f>Cals!G6</f>
        <v>6908.4931275062627</v>
      </c>
      <c r="H8" s="83">
        <f>Cals!H6</f>
        <v>8077.9126005441403</v>
      </c>
      <c r="I8" s="83">
        <f>Cals!I6</f>
        <v>9289.5994906257602</v>
      </c>
      <c r="J8" s="83">
        <f>Cals!J6</f>
        <v>10404.351429500854</v>
      </c>
      <c r="K8" s="83">
        <f>Cals!K6</f>
        <v>11236.699543860923</v>
      </c>
      <c r="L8" s="83">
        <f>Cals!L6</f>
        <v>11798.534521053971</v>
      </c>
      <c r="M8" s="83">
        <f>Cals!M6</f>
        <v>12270.47590189613</v>
      </c>
      <c r="N8" s="83">
        <f>Cals!N6</f>
        <v>12761.294937971972</v>
      </c>
      <c r="O8" s="83">
        <f>Cals!O6</f>
        <v>13144.133786111135</v>
      </c>
    </row>
    <row r="9" spans="1:16" ht="15" customHeight="1" x14ac:dyDescent="0.25">
      <c r="B9" s="48" t="s">
        <v>13</v>
      </c>
      <c r="C9" s="49">
        <v>1637.8561299800001</v>
      </c>
      <c r="D9" s="49">
        <v>1474.7518650999998</v>
      </c>
      <c r="E9" s="49">
        <v>1492.54922612</v>
      </c>
      <c r="F9" s="83">
        <f>Cals!F7</f>
        <v>1856.3006843640276</v>
      </c>
      <c r="G9" s="83">
        <f>Cals!G7</f>
        <v>2246.1238280804737</v>
      </c>
      <c r="H9" s="83">
        <f>Cals!H7</f>
        <v>2626.3313342519141</v>
      </c>
      <c r="I9" s="83">
        <f>Cals!I7</f>
        <v>3020.2810343897008</v>
      </c>
      <c r="J9" s="83">
        <f>Cals!J7</f>
        <v>3382.7147585164653</v>
      </c>
      <c r="K9" s="83">
        <f>Cals!K7</f>
        <v>3653.3319391977825</v>
      </c>
      <c r="L9" s="83">
        <f>Cals!L7</f>
        <v>3835.9985361576728</v>
      </c>
      <c r="M9" s="83">
        <f>Cals!M7</f>
        <v>3989.4384776039792</v>
      </c>
      <c r="N9" s="83">
        <f>Cals!N7</f>
        <v>4149.0160167081385</v>
      </c>
      <c r="O9" s="83">
        <f>Cals!O7</f>
        <v>4273.4864972093828</v>
      </c>
    </row>
    <row r="10" spans="1:16" ht="15" customHeight="1" x14ac:dyDescent="0.25">
      <c r="B10" s="48" t="s">
        <v>159</v>
      </c>
      <c r="C10" s="49">
        <v>389.32066058999999</v>
      </c>
      <c r="D10" s="49">
        <v>256.09791905000003</v>
      </c>
      <c r="E10" s="49">
        <v>396.01367476000001</v>
      </c>
      <c r="F10" s="83">
        <f>Cals!F8</f>
        <v>491.37371056694838</v>
      </c>
      <c r="G10" s="83">
        <f>Cals!G8</f>
        <v>594.56218978600771</v>
      </c>
      <c r="H10" s="83">
        <f>Cals!H8</f>
        <v>695.20535318433008</v>
      </c>
      <c r="I10" s="83">
        <f>Cals!I8</f>
        <v>799.48615616197947</v>
      </c>
      <c r="J10" s="83">
        <f>Cals!J8</f>
        <v>895.42449490141712</v>
      </c>
      <c r="K10" s="83">
        <f>Cals!K8</f>
        <v>967.05845449353058</v>
      </c>
      <c r="L10" s="83">
        <f>Cals!L8</f>
        <v>1015.4113772182073</v>
      </c>
      <c r="M10" s="83">
        <f>Cals!M8</f>
        <v>1056.0278323069356</v>
      </c>
      <c r="N10" s="83">
        <f>Cals!N8</f>
        <v>1098.2689455992129</v>
      </c>
      <c r="O10" s="83">
        <f>Cals!O8</f>
        <v>1131.2170139671894</v>
      </c>
    </row>
    <row r="11" spans="1:16" ht="15" customHeight="1" x14ac:dyDescent="0.25">
      <c r="B11" s="25" t="s">
        <v>20</v>
      </c>
      <c r="C11" s="49">
        <v>730.15288403</v>
      </c>
      <c r="D11" s="49">
        <v>895.08813382999995</v>
      </c>
      <c r="E11" s="49">
        <v>990.84707016000004</v>
      </c>
      <c r="F11" s="83">
        <f>Cals!F9</f>
        <v>1213.2684211529593</v>
      </c>
      <c r="G11" s="83">
        <f>Cals!G9</f>
        <v>1468.0547895950808</v>
      </c>
      <c r="H11" s="83">
        <f>Cals!H9</f>
        <v>1716.5564276156299</v>
      </c>
      <c r="I11" s="83">
        <f>Cals!I9</f>
        <v>1974.0398917579741</v>
      </c>
      <c r="J11" s="83">
        <f>Cals!J9</f>
        <v>2210.9246787689317</v>
      </c>
      <c r="K11" s="83">
        <f>Cals!K9</f>
        <v>2387.7986530704461</v>
      </c>
      <c r="L11" s="83">
        <f>Cals!L9</f>
        <v>2507.188585723969</v>
      </c>
      <c r="M11" s="83">
        <f>Cals!M9</f>
        <v>2607.4761291529276</v>
      </c>
      <c r="N11" s="83">
        <f>Cals!N9</f>
        <v>2711.7751743190443</v>
      </c>
      <c r="O11" s="83">
        <f>Cals!O9</f>
        <v>2793.1284295486162</v>
      </c>
    </row>
    <row r="12" spans="1:16" ht="15" customHeight="1" x14ac:dyDescent="0.25">
      <c r="B12" s="25" t="s">
        <v>21</v>
      </c>
      <c r="C12" s="49">
        <v>7570.1952671899999</v>
      </c>
      <c r="D12" s="49">
        <v>8340.1986406899996</v>
      </c>
      <c r="E12" s="49">
        <v>6972.7284756199988</v>
      </c>
      <c r="F12" s="83">
        <f>Assumption!F47</f>
        <v>6972.7284756199988</v>
      </c>
      <c r="G12" s="83">
        <f>Assumption!G47</f>
        <v>6972.7284756199988</v>
      </c>
      <c r="H12" s="83">
        <f>Assumption!H47</f>
        <v>6972.7284756199988</v>
      </c>
      <c r="I12" s="83">
        <f>Assumption!I47</f>
        <v>6972.7284756199988</v>
      </c>
      <c r="J12" s="83">
        <f>Assumption!J47</f>
        <v>6972.7284756199988</v>
      </c>
      <c r="K12" s="83">
        <f>Assumption!K47</f>
        <v>6972.7284756199988</v>
      </c>
      <c r="L12" s="83">
        <f>Assumption!L47</f>
        <v>6972.7284756199988</v>
      </c>
      <c r="M12" s="83">
        <f>Assumption!M47</f>
        <v>6972.7284756199988</v>
      </c>
      <c r="N12" s="83">
        <f>Assumption!N47</f>
        <v>6972.7284756199988</v>
      </c>
      <c r="O12" s="83">
        <f>Assumption!O47</f>
        <v>6972.7284756199988</v>
      </c>
    </row>
    <row r="13" spans="1:16" s="53" customFormat="1" ht="15" customHeight="1" x14ac:dyDescent="0.25">
      <c r="A13" s="1"/>
      <c r="B13" s="2" t="s">
        <v>160</v>
      </c>
      <c r="C13" s="52">
        <f t="shared" ref="C13:O13" si="0">SUM(C7:C12)</f>
        <v>15666.62673779</v>
      </c>
      <c r="D13" s="52">
        <f t="shared" si="0"/>
        <v>18582.388727919999</v>
      </c>
      <c r="E13" s="52">
        <f t="shared" si="0"/>
        <v>21331.965602569999</v>
      </c>
      <c r="F13" s="84">
        <f t="shared" ca="1" si="0"/>
        <v>26497.646564558319</v>
      </c>
      <c r="G13" s="84">
        <f t="shared" ca="1" si="0"/>
        <v>34127.322195797606</v>
      </c>
      <c r="H13" s="84">
        <f t="shared" ca="1" si="0"/>
        <v>43284.069901681563</v>
      </c>
      <c r="I13" s="84">
        <f t="shared" ca="1" si="0"/>
        <v>52881.822443778685</v>
      </c>
      <c r="J13" s="84">
        <f t="shared" ca="1" si="0"/>
        <v>62615.881343249072</v>
      </c>
      <c r="K13" s="84">
        <f t="shared" ca="1" si="0"/>
        <v>71446.610360604769</v>
      </c>
      <c r="L13" s="84">
        <f t="shared" ca="1" si="0"/>
        <v>77367.879748048435</v>
      </c>
      <c r="M13" s="84">
        <f t="shared" ca="1" si="0"/>
        <v>82678.970051850032</v>
      </c>
      <c r="N13" s="84">
        <f t="shared" ca="1" si="0"/>
        <v>88451.927509734189</v>
      </c>
      <c r="O13" s="84">
        <f t="shared" ca="1" si="0"/>
        <v>93911.945926184286</v>
      </c>
      <c r="P13" s="2"/>
    </row>
    <row r="14" spans="1:16" ht="15" customHeight="1" x14ac:dyDescent="0.25">
      <c r="A14" s="2"/>
      <c r="D14" s="54"/>
      <c r="E14" s="54"/>
      <c r="F14" s="59"/>
      <c r="G14" s="59"/>
      <c r="H14" s="59"/>
      <c r="I14" s="59"/>
      <c r="J14" s="59"/>
      <c r="K14" s="59"/>
      <c r="L14" s="59"/>
      <c r="M14" s="59"/>
      <c r="N14" s="59"/>
      <c r="O14" s="59"/>
    </row>
    <row r="15" spans="1:16" ht="15" customHeight="1" x14ac:dyDescent="0.25">
      <c r="B15" s="25" t="s">
        <v>22</v>
      </c>
      <c r="C15" s="49">
        <v>1320.4967954799999</v>
      </c>
      <c r="D15" s="49">
        <v>1957.1808187300001</v>
      </c>
      <c r="E15" s="49">
        <v>3614.3771436199995</v>
      </c>
      <c r="F15" s="83">
        <f>Assumption!F48</f>
        <v>3614.3771436199995</v>
      </c>
      <c r="G15" s="83">
        <f>Assumption!G48</f>
        <v>3614.3771436199995</v>
      </c>
      <c r="H15" s="83">
        <f>Assumption!H48</f>
        <v>3614.3771436199995</v>
      </c>
      <c r="I15" s="83">
        <f>Assumption!I48</f>
        <v>3614.3771436199995</v>
      </c>
      <c r="J15" s="83">
        <f>Assumption!J48</f>
        <v>3614.3771436199995</v>
      </c>
      <c r="K15" s="83">
        <f>Assumption!K48</f>
        <v>3614.3771436199995</v>
      </c>
      <c r="L15" s="83">
        <f>Assumption!L48</f>
        <v>3614.3771436199995</v>
      </c>
      <c r="M15" s="83">
        <f>Assumption!M48</f>
        <v>3614.3771436199995</v>
      </c>
      <c r="N15" s="83">
        <f>Assumption!N48</f>
        <v>3614.3771436199995</v>
      </c>
      <c r="O15" s="83">
        <f>Assumption!O48</f>
        <v>3614.3771436199995</v>
      </c>
    </row>
    <row r="16" spans="1:16" ht="15" customHeight="1" x14ac:dyDescent="0.25">
      <c r="B16" s="48" t="s">
        <v>14</v>
      </c>
      <c r="C16" s="49">
        <v>7191.8607250399991</v>
      </c>
      <c r="D16" s="49">
        <v>9464.8873220099995</v>
      </c>
      <c r="E16" s="49">
        <v>12522.840628279999</v>
      </c>
      <c r="F16" s="83">
        <f>Capex!F9</f>
        <v>13837.165847992421</v>
      </c>
      <c r="G16" s="83">
        <f>Capex!G9</f>
        <v>14869.908388346877</v>
      </c>
      <c r="H16" s="83">
        <f>Capex!H9</f>
        <v>15371.241187531963</v>
      </c>
      <c r="I16" s="83">
        <f>Capex!I9</f>
        <v>15157.386264245628</v>
      </c>
      <c r="J16" s="83">
        <f>Capex!J9</f>
        <v>15333.292319341541</v>
      </c>
      <c r="K16" s="83">
        <f>Capex!K9</f>
        <v>15765.806895808832</v>
      </c>
      <c r="L16" s="83">
        <f>Capex!L9</f>
        <v>16350.569491701001</v>
      </c>
      <c r="M16" s="83">
        <f>Capex!M9</f>
        <v>16965.603043419884</v>
      </c>
      <c r="N16" s="83">
        <f>Capex!N9</f>
        <v>17611.086321399896</v>
      </c>
      <c r="O16" s="83">
        <f>Capex!O9</f>
        <v>18255.456819717696</v>
      </c>
    </row>
    <row r="17" spans="1:16" ht="15" customHeight="1" x14ac:dyDescent="0.25">
      <c r="B17" s="48" t="s">
        <v>161</v>
      </c>
      <c r="C17" s="49">
        <v>656.85601004</v>
      </c>
      <c r="D17" s="49">
        <v>2486.7665834700001</v>
      </c>
      <c r="E17" s="49">
        <v>4719.6150981399996</v>
      </c>
      <c r="F17" s="83">
        <f>Capex!F15</f>
        <v>5816.6166543913278</v>
      </c>
      <c r="G17" s="83">
        <f>Capex!G15</f>
        <v>6296.2815961397828</v>
      </c>
      <c r="H17" s="83">
        <f>Capex!H15</f>
        <v>6410.7816747131246</v>
      </c>
      <c r="I17" s="83">
        <f>Capex!I15</f>
        <v>6619.5563057438731</v>
      </c>
      <c r="J17" s="83">
        <f>Capex!J15</f>
        <v>6912.3722295775069</v>
      </c>
      <c r="K17" s="83">
        <f>Capex!K15</f>
        <v>7269.0473395899398</v>
      </c>
      <c r="L17" s="83">
        <f>Capex!L15</f>
        <v>7643.0033801763157</v>
      </c>
      <c r="M17" s="83">
        <f>Capex!M15</f>
        <v>8027.7579550360069</v>
      </c>
      <c r="N17" s="83">
        <f>Capex!N15</f>
        <v>8423.950990907455</v>
      </c>
      <c r="O17" s="83">
        <f>Capex!O15</f>
        <v>8824.2618029940277</v>
      </c>
    </row>
    <row r="18" spans="1:16" ht="15" customHeight="1" x14ac:dyDescent="0.25">
      <c r="B18" s="48" t="s">
        <v>162</v>
      </c>
      <c r="C18" s="49">
        <v>827.27355804999991</v>
      </c>
      <c r="D18" s="49">
        <v>1075.5272997300001</v>
      </c>
      <c r="E18" s="49">
        <v>1271.12982962</v>
      </c>
      <c r="F18" s="83">
        <f>Capex!F21</f>
        <v>1183.0780425332821</v>
      </c>
      <c r="G18" s="83">
        <f>Capex!G21</f>
        <v>1200.7815481157747</v>
      </c>
      <c r="H18" s="83">
        <f>Capex!H21</f>
        <v>1083.429728795659</v>
      </c>
      <c r="I18" s="83">
        <f>Capex!I21</f>
        <v>1052.5893046156446</v>
      </c>
      <c r="J18" s="83">
        <f>Capex!J21</f>
        <v>1074.346226606451</v>
      </c>
      <c r="K18" s="83">
        <f>Capex!K21</f>
        <v>1119.7012801889778</v>
      </c>
      <c r="L18" s="83">
        <f>Capex!L21</f>
        <v>1170.2508766623596</v>
      </c>
      <c r="M18" s="83">
        <f>Capex!M21</f>
        <v>1220.8059161516385</v>
      </c>
      <c r="N18" s="83">
        <f>Capex!N21</f>
        <v>1272.0724056725139</v>
      </c>
      <c r="O18" s="83">
        <f>Capex!O21</f>
        <v>1319.7520806663017</v>
      </c>
    </row>
    <row r="19" spans="1:16" ht="15" customHeight="1" x14ac:dyDescent="0.25">
      <c r="B19" s="25" t="s">
        <v>23</v>
      </c>
      <c r="C19" s="49">
        <v>1763.3338474899999</v>
      </c>
      <c r="D19" s="49">
        <v>1149.7236944900001</v>
      </c>
      <c r="E19" s="49">
        <v>673.74812780000002</v>
      </c>
      <c r="F19" s="83">
        <f>IS!F17*Assumption!F49</f>
        <v>856.42476787267708</v>
      </c>
      <c r="G19" s="83">
        <f>IS!G17*Assumption!G49</f>
        <v>1036.2739691259394</v>
      </c>
      <c r="H19" s="83">
        <f>IS!H17*Assumption!H49</f>
        <v>1211.6868900816212</v>
      </c>
      <c r="I19" s="83">
        <f>IS!I17*Assumption!I49</f>
        <v>1393.439923593864</v>
      </c>
      <c r="J19" s="83">
        <f>IS!J17*Assumption!J49</f>
        <v>1560.6527144251281</v>
      </c>
      <c r="K19" s="83">
        <f>IS!K17*Assumption!K49</f>
        <v>1685.5049315791384</v>
      </c>
      <c r="L19" s="83">
        <f>IS!L17*Assumption!L49</f>
        <v>1769.7801781580956</v>
      </c>
      <c r="M19" s="83">
        <f>IS!M17*Assumption!M49</f>
        <v>1840.5713852844194</v>
      </c>
      <c r="N19" s="83">
        <f>IS!N17*Assumption!N49</f>
        <v>1914.194240695796</v>
      </c>
      <c r="O19" s="83">
        <f>IS!O17*Assumption!O49</f>
        <v>1971.6200679166702</v>
      </c>
    </row>
    <row r="20" spans="1:16" ht="15" customHeight="1" x14ac:dyDescent="0.25">
      <c r="B20" s="2" t="s">
        <v>163</v>
      </c>
      <c r="C20" s="2">
        <f t="shared" ref="C20:F20" si="1">SUM(C15:C19)</f>
        <v>11759.820936099997</v>
      </c>
      <c r="D20" s="2">
        <f t="shared" si="1"/>
        <v>16134.085718429998</v>
      </c>
      <c r="E20" s="2">
        <f t="shared" si="1"/>
        <v>22801.71082746</v>
      </c>
      <c r="F20" s="84">
        <f t="shared" si="1"/>
        <v>25307.662456409707</v>
      </c>
      <c r="G20" s="84">
        <f t="shared" ref="G20:O20" si="2">SUM(G15:G19)</f>
        <v>27017.622645348376</v>
      </c>
      <c r="H20" s="84">
        <f t="shared" si="2"/>
        <v>27691.516624742369</v>
      </c>
      <c r="I20" s="84">
        <f t="shared" si="2"/>
        <v>27837.348941819011</v>
      </c>
      <c r="J20" s="84">
        <f t="shared" si="2"/>
        <v>28495.040633570628</v>
      </c>
      <c r="K20" s="84">
        <f t="shared" si="2"/>
        <v>29454.437590786889</v>
      </c>
      <c r="L20" s="84">
        <f t="shared" si="2"/>
        <v>30547.981070317775</v>
      </c>
      <c r="M20" s="84">
        <f t="shared" si="2"/>
        <v>31669.11544351195</v>
      </c>
      <c r="N20" s="84">
        <f t="shared" si="2"/>
        <v>32835.681102295661</v>
      </c>
      <c r="O20" s="84">
        <f t="shared" si="2"/>
        <v>33985.467914914698</v>
      </c>
    </row>
    <row r="21" spans="1:16" ht="15" customHeight="1" x14ac:dyDescent="0.25">
      <c r="B21" s="2"/>
      <c r="C21" s="2"/>
      <c r="D21" s="2"/>
      <c r="E21" s="2"/>
      <c r="F21" s="52"/>
      <c r="G21" s="52"/>
      <c r="H21" s="52"/>
      <c r="I21" s="52"/>
      <c r="J21" s="52"/>
      <c r="K21" s="52"/>
      <c r="L21" s="52"/>
      <c r="M21" s="52"/>
      <c r="N21" s="52"/>
      <c r="O21" s="52"/>
    </row>
    <row r="22" spans="1:16" s="53" customFormat="1" ht="15" customHeight="1" x14ac:dyDescent="0.25">
      <c r="A22" s="1"/>
      <c r="B22" s="2" t="s">
        <v>164</v>
      </c>
      <c r="C22" s="2">
        <f t="shared" ref="C22:E22" si="3">C13+C20</f>
        <v>27426.447673889998</v>
      </c>
      <c r="D22" s="2">
        <f t="shared" si="3"/>
        <v>34716.474446349996</v>
      </c>
      <c r="E22" s="2">
        <f t="shared" si="3"/>
        <v>44133.676430029998</v>
      </c>
      <c r="F22" s="84">
        <f t="shared" ref="F22:O22" ca="1" si="4">F13+F20</f>
        <v>51805.309020968023</v>
      </c>
      <c r="G22" s="84">
        <f t="shared" ca="1" si="4"/>
        <v>61144.944841145982</v>
      </c>
      <c r="H22" s="84">
        <f t="shared" ca="1" si="4"/>
        <v>70975.586526423926</v>
      </c>
      <c r="I22" s="84">
        <f t="shared" ca="1" si="4"/>
        <v>80719.1713855977</v>
      </c>
      <c r="J22" s="84">
        <f t="shared" ca="1" si="4"/>
        <v>91110.921976819693</v>
      </c>
      <c r="K22" s="84">
        <f t="shared" ca="1" si="4"/>
        <v>100901.04795139167</v>
      </c>
      <c r="L22" s="84">
        <f t="shared" ca="1" si="4"/>
        <v>107915.86081836621</v>
      </c>
      <c r="M22" s="84">
        <f t="shared" ca="1" si="4"/>
        <v>114348.08549536199</v>
      </c>
      <c r="N22" s="84">
        <f t="shared" ca="1" si="4"/>
        <v>121287.60861202984</v>
      </c>
      <c r="O22" s="84">
        <f t="shared" ca="1" si="4"/>
        <v>127897.41384109898</v>
      </c>
      <c r="P22" s="2"/>
    </row>
    <row r="23" spans="1:16" s="53" customFormat="1" ht="15" customHeight="1" x14ac:dyDescent="0.25">
      <c r="A23" s="1"/>
      <c r="B23" s="2"/>
      <c r="C23" s="2"/>
      <c r="D23" s="55"/>
      <c r="E23" s="55"/>
      <c r="F23" s="52"/>
      <c r="G23" s="52"/>
      <c r="H23" s="52"/>
      <c r="I23" s="52"/>
      <c r="J23" s="52"/>
      <c r="K23" s="52"/>
      <c r="L23" s="52"/>
      <c r="M23" s="52"/>
      <c r="N23" s="52"/>
      <c r="O23" s="52"/>
      <c r="P23" s="2"/>
    </row>
    <row r="24" spans="1:16" s="53" customFormat="1" ht="15" customHeight="1" x14ac:dyDescent="0.25">
      <c r="A24" s="1"/>
      <c r="B24" s="51" t="s">
        <v>165</v>
      </c>
      <c r="C24" s="51"/>
      <c r="D24" s="55"/>
      <c r="E24" s="55"/>
      <c r="F24" s="52"/>
      <c r="G24" s="52"/>
      <c r="H24" s="52"/>
      <c r="I24" s="52"/>
      <c r="J24" s="52"/>
      <c r="K24" s="52"/>
      <c r="L24" s="52"/>
      <c r="M24" s="52"/>
      <c r="N24" s="52"/>
      <c r="O24" s="52"/>
      <c r="P24" s="2"/>
    </row>
    <row r="25" spans="1:16" ht="15" customHeight="1" x14ac:dyDescent="0.25">
      <c r="A25" s="2"/>
      <c r="B25" s="1" t="s">
        <v>166</v>
      </c>
      <c r="C25" s="49">
        <v>0</v>
      </c>
      <c r="D25" s="49">
        <v>0</v>
      </c>
      <c r="E25" s="49">
        <v>0</v>
      </c>
      <c r="F25" s="83">
        <f ca="1">CFS!F42</f>
        <v>0</v>
      </c>
      <c r="G25" s="83">
        <f ca="1">CFS!G42</f>
        <v>0</v>
      </c>
      <c r="H25" s="83">
        <f ca="1">CFS!H42</f>
        <v>0</v>
      </c>
      <c r="I25" s="83">
        <f ca="1">CFS!I42</f>
        <v>0</v>
      </c>
      <c r="J25" s="83">
        <f ca="1">CFS!J42</f>
        <v>0</v>
      </c>
      <c r="K25" s="83">
        <f ca="1">CFS!K42</f>
        <v>0</v>
      </c>
      <c r="L25" s="83">
        <f ca="1">CFS!L42</f>
        <v>0</v>
      </c>
      <c r="M25" s="83">
        <f ca="1">CFS!M42</f>
        <v>0</v>
      </c>
      <c r="N25" s="83">
        <f ca="1">CFS!N42</f>
        <v>0</v>
      </c>
      <c r="O25" s="83">
        <f ca="1">CFS!O42</f>
        <v>0</v>
      </c>
    </row>
    <row r="26" spans="1:16" ht="15" customHeight="1" x14ac:dyDescent="0.25">
      <c r="B26" s="48" t="s">
        <v>167</v>
      </c>
      <c r="C26" s="49">
        <v>4544.8827602600004</v>
      </c>
      <c r="D26" s="49">
        <v>6600.1759622499994</v>
      </c>
      <c r="E26" s="49">
        <v>5480.1787676399999</v>
      </c>
      <c r="F26" s="83">
        <f>Cals!F25</f>
        <v>6809.2192231636873</v>
      </c>
      <c r="G26" s="83">
        <f>Cals!G25</f>
        <v>8239.1552600280629</v>
      </c>
      <c r="H26" s="83">
        <f>Cals!H25</f>
        <v>9633.8195413164503</v>
      </c>
      <c r="I26" s="83">
        <f>Cals!I25</f>
        <v>11078.892472513915</v>
      </c>
      <c r="J26" s="83">
        <f>Cals!J25</f>
        <v>12408.359569215587</v>
      </c>
      <c r="K26" s="83">
        <f>Cals!K25</f>
        <v>13401.028334752835</v>
      </c>
      <c r="L26" s="83">
        <f>Cals!L25</f>
        <v>14071.079751490481</v>
      </c>
      <c r="M26" s="83">
        <f>Cals!M25</f>
        <v>14633.922941550099</v>
      </c>
      <c r="N26" s="83">
        <f>Cals!N25</f>
        <v>15219.2798592121</v>
      </c>
      <c r="O26" s="83">
        <f>Cals!O25</f>
        <v>15675.858254988463</v>
      </c>
    </row>
    <row r="27" spans="1:16" ht="15" customHeight="1" x14ac:dyDescent="0.25">
      <c r="B27" s="25" t="s">
        <v>168</v>
      </c>
      <c r="C27" s="49">
        <v>2272.3383603800003</v>
      </c>
      <c r="D27" s="49">
        <v>3285.4730886900002</v>
      </c>
      <c r="E27" s="49">
        <v>5259.1772063699991</v>
      </c>
      <c r="F27" s="83">
        <f>Cals!F11</f>
        <v>6497.0523952740959</v>
      </c>
      <c r="G27" s="83">
        <f>Cals!G11</f>
        <v>7861.4333982816579</v>
      </c>
      <c r="H27" s="83">
        <f>Cals!H11</f>
        <v>9192.1596698816975</v>
      </c>
      <c r="I27" s="83">
        <f>Cals!I11</f>
        <v>10570.983620363952</v>
      </c>
      <c r="J27" s="83">
        <f>Cals!J11</f>
        <v>11839.501654807626</v>
      </c>
      <c r="K27" s="83">
        <f>Cals!K11</f>
        <v>12786.661787192237</v>
      </c>
      <c r="L27" s="83">
        <f>Cals!L11</f>
        <v>13425.994876551853</v>
      </c>
      <c r="M27" s="83">
        <f>Cals!M11</f>
        <v>13963.034671613927</v>
      </c>
      <c r="N27" s="83">
        <f>Cals!N11</f>
        <v>14521.556058478482</v>
      </c>
      <c r="O27" s="83">
        <f>Cals!O11</f>
        <v>14957.202740232839</v>
      </c>
    </row>
    <row r="28" spans="1:16" ht="15" customHeight="1" x14ac:dyDescent="0.25">
      <c r="B28" s="48" t="s">
        <v>169</v>
      </c>
      <c r="C28" s="49">
        <v>158.56797777</v>
      </c>
      <c r="D28" s="49">
        <v>200.14735816999999</v>
      </c>
      <c r="E28" s="49">
        <v>286.34874243000002</v>
      </c>
      <c r="F28" s="83">
        <f>Cals!F12</f>
        <v>356.84365328028207</v>
      </c>
      <c r="G28" s="83">
        <f>Cals!G12</f>
        <v>431.78082046914142</v>
      </c>
      <c r="H28" s="83">
        <f>Cals!H12</f>
        <v>504.86953753400877</v>
      </c>
      <c r="I28" s="83">
        <f>Cals!I12</f>
        <v>580.59996816411001</v>
      </c>
      <c r="J28" s="83">
        <f>Cals!J12</f>
        <v>650.27196434380335</v>
      </c>
      <c r="K28" s="83">
        <f>Cals!K12</f>
        <v>702.29372149130768</v>
      </c>
      <c r="L28" s="83">
        <f>Cals!L12</f>
        <v>737.40840756587318</v>
      </c>
      <c r="M28" s="83">
        <f>Cals!M12</f>
        <v>766.90474386850815</v>
      </c>
      <c r="N28" s="83">
        <f>Cals!N12</f>
        <v>797.58093362324826</v>
      </c>
      <c r="O28" s="83">
        <f>Cals!O12</f>
        <v>821.50836163194595</v>
      </c>
    </row>
    <row r="29" spans="1:16" ht="15" customHeight="1" x14ac:dyDescent="0.25">
      <c r="B29" s="48" t="s">
        <v>170</v>
      </c>
      <c r="C29" s="49">
        <v>5104.9807705799994</v>
      </c>
      <c r="D29" s="49">
        <v>6053.7439766199986</v>
      </c>
      <c r="E29" s="49">
        <v>6279.0693847099992</v>
      </c>
      <c r="F29" s="83">
        <f>Cals!F13</f>
        <v>7779.1916415101496</v>
      </c>
      <c r="G29" s="83">
        <f>Cals!G13</f>
        <v>9412.8218862272824</v>
      </c>
      <c r="H29" s="83">
        <f>Cals!H13</f>
        <v>11006.155918241391</v>
      </c>
      <c r="I29" s="83">
        <f>Cals!I13</f>
        <v>12657.079305977599</v>
      </c>
      <c r="J29" s="83">
        <f>Cals!J13</f>
        <v>14175.928822694912</v>
      </c>
      <c r="K29" s="83">
        <f>Cals!K13</f>
        <v>15310.003128510507</v>
      </c>
      <c r="L29" s="83">
        <f>Cals!L13</f>
        <v>16075.503284936036</v>
      </c>
      <c r="M29" s="83">
        <f>Cals!M13</f>
        <v>16718.523416333475</v>
      </c>
      <c r="N29" s="83">
        <f>Cals!N13</f>
        <v>17387.264352986811</v>
      </c>
      <c r="O29" s="83">
        <f>Cals!O13</f>
        <v>17908.882283576419</v>
      </c>
    </row>
    <row r="30" spans="1:16" s="53" customFormat="1" ht="15" customHeight="1" x14ac:dyDescent="0.25">
      <c r="A30" s="1"/>
      <c r="B30" s="2" t="s">
        <v>171</v>
      </c>
      <c r="C30" s="52">
        <f t="shared" ref="C30:E30" si="5">SUM(C25:C29)</f>
        <v>12080.769868989999</v>
      </c>
      <c r="D30" s="52">
        <f t="shared" si="5"/>
        <v>16139.540385729997</v>
      </c>
      <c r="E30" s="52">
        <f t="shared" si="5"/>
        <v>17304.774101149997</v>
      </c>
      <c r="F30" s="84">
        <f t="shared" ref="F30:O30" ca="1" si="6">SUM(F25:F29)</f>
        <v>21442.306913228214</v>
      </c>
      <c r="G30" s="84">
        <f t="shared" ca="1" si="6"/>
        <v>25945.191365006147</v>
      </c>
      <c r="H30" s="84">
        <f t="shared" ca="1" si="6"/>
        <v>30337.004666973549</v>
      </c>
      <c r="I30" s="84">
        <f t="shared" ca="1" si="6"/>
        <v>34887.555367019573</v>
      </c>
      <c r="J30" s="84">
        <f t="shared" ca="1" si="6"/>
        <v>39074.062011061927</v>
      </c>
      <c r="K30" s="84">
        <f t="shared" ca="1" si="6"/>
        <v>42199.986971946884</v>
      </c>
      <c r="L30" s="84">
        <f t="shared" ca="1" si="6"/>
        <v>44309.986320544238</v>
      </c>
      <c r="M30" s="84">
        <f t="shared" ca="1" si="6"/>
        <v>46082.385773366012</v>
      </c>
      <c r="N30" s="84">
        <f t="shared" ca="1" si="6"/>
        <v>47925.681204300636</v>
      </c>
      <c r="O30" s="84">
        <f t="shared" ca="1" si="6"/>
        <v>49363.451640429666</v>
      </c>
      <c r="P30" s="2"/>
    </row>
    <row r="31" spans="1:16" ht="15" customHeight="1" x14ac:dyDescent="0.25">
      <c r="A31" s="2"/>
      <c r="F31" s="59"/>
      <c r="G31" s="59"/>
      <c r="H31" s="59"/>
      <c r="I31" s="59"/>
      <c r="J31" s="59"/>
      <c r="K31" s="59"/>
      <c r="L31" s="59"/>
      <c r="M31" s="59"/>
      <c r="N31" s="59"/>
      <c r="O31" s="59"/>
    </row>
    <row r="32" spans="1:16" ht="15" customHeight="1" x14ac:dyDescent="0.25">
      <c r="B32" s="48" t="s">
        <v>172</v>
      </c>
      <c r="C32" s="49">
        <v>842.26777873000003</v>
      </c>
      <c r="D32" s="49">
        <v>4706.9871527299993</v>
      </c>
      <c r="E32" s="49">
        <v>6104.2559455899991</v>
      </c>
      <c r="F32" s="83">
        <f>Cals!F32</f>
        <v>6489.201196233269</v>
      </c>
      <c r="G32" s="83">
        <f>Cals!G32</f>
        <v>6616.2376645347813</v>
      </c>
      <c r="H32" s="83">
        <f>Cals!H32</f>
        <v>6444.0926772053645</v>
      </c>
      <c r="I32" s="83">
        <f>Cals!I32</f>
        <v>6130.6820882799966</v>
      </c>
      <c r="J32" s="83">
        <f>Cals!J32</f>
        <v>5997.0025707215873</v>
      </c>
      <c r="K32" s="83">
        <f>Cals!K32</f>
        <v>5977.4555086826667</v>
      </c>
      <c r="L32" s="83">
        <f>Cals!L32</f>
        <v>6020.8105316567999</v>
      </c>
      <c r="M32" s="83">
        <f>Cals!M32</f>
        <v>6105.0483950245343</v>
      </c>
      <c r="N32" s="83">
        <f>Cals!N32</f>
        <v>6223.9746845066838</v>
      </c>
      <c r="O32" s="83">
        <f>Cals!O32</f>
        <v>6359.3137951470162</v>
      </c>
    </row>
    <row r="33" spans="1:16" ht="15" customHeight="1" x14ac:dyDescent="0.25">
      <c r="B33" s="25" t="s">
        <v>173</v>
      </c>
      <c r="C33" s="49">
        <v>60.3254886</v>
      </c>
      <c r="D33" s="49">
        <v>111.08402476000001</v>
      </c>
      <c r="E33" s="49">
        <v>167.98220104000004</v>
      </c>
      <c r="F33" s="83">
        <f>IS!F17*Assumption!F50</f>
        <v>214.10619196816927</v>
      </c>
      <c r="G33" s="83">
        <f>IS!G17*Assumption!G50</f>
        <v>259.06849228148485</v>
      </c>
      <c r="H33" s="83">
        <f>IS!H17*Assumption!H50</f>
        <v>302.9217225204053</v>
      </c>
      <c r="I33" s="83">
        <f>IS!I17*Assumption!I50</f>
        <v>348.35998089846601</v>
      </c>
      <c r="J33" s="83">
        <f>IS!J17*Assumption!J50</f>
        <v>390.16317860628203</v>
      </c>
      <c r="K33" s="83">
        <f>IS!K17*Assumption!K50</f>
        <v>421.37623289478461</v>
      </c>
      <c r="L33" s="83">
        <f>IS!L17*Assumption!L50</f>
        <v>442.44504453952391</v>
      </c>
      <c r="M33" s="83">
        <f>IS!M17*Assumption!M50</f>
        <v>460.14284632110486</v>
      </c>
      <c r="N33" s="83">
        <f>IS!N17*Assumption!N50</f>
        <v>478.548560173949</v>
      </c>
      <c r="O33" s="83">
        <f>IS!O17*Assumption!O50</f>
        <v>492.90501697916756</v>
      </c>
    </row>
    <row r="34" spans="1:16" s="53" customFormat="1" ht="15" customHeight="1" x14ac:dyDescent="0.25">
      <c r="A34" s="1"/>
      <c r="B34" s="2" t="s">
        <v>174</v>
      </c>
      <c r="C34" s="52">
        <f t="shared" ref="C34:E34" si="7">SUM(C32:C33,C30)</f>
        <v>12983.363136319998</v>
      </c>
      <c r="D34" s="52">
        <f t="shared" si="7"/>
        <v>20957.611563219994</v>
      </c>
      <c r="E34" s="52">
        <f t="shared" si="7"/>
        <v>23577.012247779996</v>
      </c>
      <c r="F34" s="84">
        <f t="shared" ref="F34:O34" ca="1" si="8">SUM(F32:F33,F30)</f>
        <v>28145.614301429654</v>
      </c>
      <c r="G34" s="84">
        <f t="shared" ca="1" si="8"/>
        <v>32820.497521822414</v>
      </c>
      <c r="H34" s="84">
        <f t="shared" ca="1" si="8"/>
        <v>37084.019066699322</v>
      </c>
      <c r="I34" s="84">
        <f t="shared" ca="1" si="8"/>
        <v>41366.597436198033</v>
      </c>
      <c r="J34" s="84">
        <f t="shared" ca="1" si="8"/>
        <v>45461.227760389796</v>
      </c>
      <c r="K34" s="84">
        <f t="shared" ca="1" si="8"/>
        <v>48598.818713524335</v>
      </c>
      <c r="L34" s="84">
        <f t="shared" ca="1" si="8"/>
        <v>50773.241896740561</v>
      </c>
      <c r="M34" s="84">
        <f t="shared" ca="1" si="8"/>
        <v>52647.577014711649</v>
      </c>
      <c r="N34" s="84">
        <f t="shared" ca="1" si="8"/>
        <v>54628.204448981269</v>
      </c>
      <c r="O34" s="84">
        <f t="shared" ca="1" si="8"/>
        <v>56215.670452555853</v>
      </c>
      <c r="P34" s="2"/>
    </row>
    <row r="35" spans="1:16" ht="15" customHeight="1" x14ac:dyDescent="0.25">
      <c r="A35" s="2"/>
      <c r="D35" s="54"/>
      <c r="E35" s="54"/>
      <c r="F35" s="59"/>
      <c r="G35" s="59"/>
      <c r="H35" s="59"/>
      <c r="I35" s="59"/>
      <c r="J35" s="59"/>
      <c r="K35" s="59"/>
      <c r="L35" s="59"/>
      <c r="M35" s="59"/>
      <c r="N35" s="59"/>
      <c r="O35" s="59"/>
    </row>
    <row r="36" spans="1:16" ht="15" customHeight="1" x14ac:dyDescent="0.25">
      <c r="A36" s="2"/>
      <c r="B36" s="51" t="s">
        <v>175</v>
      </c>
      <c r="D36" s="54"/>
      <c r="E36" s="54"/>
      <c r="F36" s="59"/>
      <c r="G36" s="59"/>
      <c r="H36" s="59"/>
      <c r="I36" s="59"/>
      <c r="J36" s="59"/>
      <c r="K36" s="59"/>
      <c r="L36" s="59"/>
      <c r="M36" s="59"/>
      <c r="N36" s="59"/>
      <c r="O36" s="59"/>
    </row>
    <row r="37" spans="1:16" ht="15" customHeight="1" x14ac:dyDescent="0.25">
      <c r="B37" s="1" t="s">
        <v>176</v>
      </c>
      <c r="C37" s="49">
        <v>8171.7234005800001</v>
      </c>
      <c r="D37" s="49">
        <v>8490.9191506200004</v>
      </c>
      <c r="E37" s="49">
        <v>12420.376554639999</v>
      </c>
      <c r="F37" s="83">
        <f>Assumption!F51</f>
        <v>12420.376554639999</v>
      </c>
      <c r="G37" s="83">
        <f>Assumption!G51</f>
        <v>12420.376554639999</v>
      </c>
      <c r="H37" s="83">
        <f>Assumption!H51</f>
        <v>12420.376554639999</v>
      </c>
      <c r="I37" s="83">
        <f>Assumption!I51</f>
        <v>12420.376554639999</v>
      </c>
      <c r="J37" s="83">
        <f>Assumption!J51</f>
        <v>12420.376554639999</v>
      </c>
      <c r="K37" s="83">
        <f>Assumption!K51</f>
        <v>12420.376554639999</v>
      </c>
      <c r="L37" s="83">
        <f>Assumption!L51</f>
        <v>12420.376554639999</v>
      </c>
      <c r="M37" s="83">
        <f>Assumption!M51</f>
        <v>12420.376554639999</v>
      </c>
      <c r="N37" s="83">
        <f>Assumption!N51</f>
        <v>12420.376554639999</v>
      </c>
      <c r="O37" s="83">
        <f>Assumption!O51</f>
        <v>12420.376554639999</v>
      </c>
    </row>
    <row r="38" spans="1:16" ht="15" customHeight="1" x14ac:dyDescent="0.25">
      <c r="B38" s="1" t="s">
        <v>177</v>
      </c>
      <c r="C38" s="49">
        <v>6265.3533746700004</v>
      </c>
      <c r="D38" s="49">
        <v>5204.8170588700004</v>
      </c>
      <c r="E38" s="49">
        <v>8091.3911123200005</v>
      </c>
      <c r="F38" s="83">
        <f ca="1">Cals!F49</f>
        <v>11194.421649608374</v>
      </c>
      <c r="G38" s="83">
        <f ca="1">Cals!G49</f>
        <v>15859.174249393569</v>
      </c>
      <c r="H38" s="83">
        <f ca="1">Cals!H49</f>
        <v>21426.294389794617</v>
      </c>
      <c r="I38" s="83">
        <f ca="1">Cals!I49</f>
        <v>26887.300879469658</v>
      </c>
      <c r="J38" s="83">
        <f ca="1">Cals!J49</f>
        <v>33184.421146499903</v>
      </c>
      <c r="K38" s="83">
        <f ca="1">Cals!K49</f>
        <v>39836.956167937329</v>
      </c>
      <c r="L38" s="83">
        <f ca="1">Cals!L49</f>
        <v>44677.34585169566</v>
      </c>
      <c r="M38" s="83">
        <f ca="1">Cals!M49</f>
        <v>49235.235410720343</v>
      </c>
      <c r="N38" s="83">
        <f ca="1">Cals!N49</f>
        <v>54194.131093118602</v>
      </c>
      <c r="O38" s="83">
        <f ca="1">Cals!O49</f>
        <v>59216.470318613152</v>
      </c>
    </row>
    <row r="39" spans="1:16" s="53" customFormat="1" ht="15" customHeight="1" x14ac:dyDescent="0.25">
      <c r="A39" s="1"/>
      <c r="B39" s="2" t="s">
        <v>178</v>
      </c>
      <c r="C39" s="52">
        <f>SUM(C37:C38)</f>
        <v>14437.07677525</v>
      </c>
      <c r="D39" s="52">
        <f>SUM(D37:D38)</f>
        <v>13695.736209490002</v>
      </c>
      <c r="E39" s="52">
        <f t="shared" ref="E39" si="9">SUM(E37:E38)</f>
        <v>20511.76766696</v>
      </c>
      <c r="F39" s="84">
        <f t="shared" ref="F39:O39" ca="1" si="10">SUM(F37:F38)</f>
        <v>23614.798204248371</v>
      </c>
      <c r="G39" s="84">
        <f t="shared" ca="1" si="10"/>
        <v>28279.55080403357</v>
      </c>
      <c r="H39" s="84">
        <f t="shared" ca="1" si="10"/>
        <v>33846.67094443462</v>
      </c>
      <c r="I39" s="84">
        <f t="shared" ca="1" si="10"/>
        <v>39307.677434109661</v>
      </c>
      <c r="J39" s="84">
        <f t="shared" ca="1" si="10"/>
        <v>45604.797701139905</v>
      </c>
      <c r="K39" s="84">
        <f t="shared" ca="1" si="10"/>
        <v>52257.332722577325</v>
      </c>
      <c r="L39" s="84">
        <f t="shared" ca="1" si="10"/>
        <v>57097.722406335655</v>
      </c>
      <c r="M39" s="84">
        <f t="shared" ca="1" si="10"/>
        <v>61655.611965360338</v>
      </c>
      <c r="N39" s="84">
        <f t="shared" ca="1" si="10"/>
        <v>66614.507647758597</v>
      </c>
      <c r="O39" s="84">
        <f t="shared" ca="1" si="10"/>
        <v>71636.846873253147</v>
      </c>
      <c r="P39" s="2"/>
    </row>
    <row r="40" spans="1:16" ht="15" customHeight="1" x14ac:dyDescent="0.25">
      <c r="A40" s="2"/>
      <c r="D40" s="54"/>
      <c r="E40" s="54"/>
      <c r="F40" s="59"/>
      <c r="G40" s="59"/>
      <c r="H40" s="59"/>
      <c r="I40" s="59"/>
      <c r="J40" s="59"/>
      <c r="K40" s="59"/>
      <c r="L40" s="59"/>
      <c r="M40" s="59"/>
      <c r="N40" s="59"/>
      <c r="O40" s="59"/>
    </row>
    <row r="41" spans="1:16" ht="15" customHeight="1" x14ac:dyDescent="0.25">
      <c r="B41" s="1" t="s">
        <v>179</v>
      </c>
      <c r="C41" s="49">
        <v>6.0077623200000003</v>
      </c>
      <c r="D41" s="49">
        <v>63.12667364</v>
      </c>
      <c r="E41" s="49">
        <v>44.896515289999996</v>
      </c>
      <c r="F41" s="83">
        <f>Cals!F55</f>
        <v>44.896515289999996</v>
      </c>
      <c r="G41" s="83">
        <f>Cals!G55</f>
        <v>44.896515289999996</v>
      </c>
      <c r="H41" s="83">
        <f>Cals!H55</f>
        <v>44.896515289999996</v>
      </c>
      <c r="I41" s="83">
        <f>Cals!I55</f>
        <v>44.896515289999996</v>
      </c>
      <c r="J41" s="83">
        <f>Cals!J55</f>
        <v>44.896515289999996</v>
      </c>
      <c r="K41" s="83">
        <f>Cals!K55</f>
        <v>44.896515289999996</v>
      </c>
      <c r="L41" s="83">
        <f>Cals!L55</f>
        <v>44.896515289999996</v>
      </c>
      <c r="M41" s="83">
        <f>Cals!M55</f>
        <v>44.896515289999996</v>
      </c>
      <c r="N41" s="83">
        <f>Cals!N55</f>
        <v>44.896515289999996</v>
      </c>
      <c r="O41" s="83">
        <f>Cals!O55</f>
        <v>44.896515289999996</v>
      </c>
    </row>
    <row r="42" spans="1:16" s="53" customFormat="1" ht="15" customHeight="1" x14ac:dyDescent="0.25">
      <c r="A42" s="1"/>
      <c r="B42" s="2" t="s">
        <v>180</v>
      </c>
      <c r="C42" s="52">
        <f>C39+C41</f>
        <v>14443.084537569999</v>
      </c>
      <c r="D42" s="52">
        <f>D39+D41</f>
        <v>13758.862883130001</v>
      </c>
      <c r="E42" s="52">
        <f t="shared" ref="E42" si="11">E39+E41</f>
        <v>20556.664182249999</v>
      </c>
      <c r="F42" s="84">
        <f t="shared" ref="F42:O42" ca="1" si="12">F39+F41</f>
        <v>23659.694719538369</v>
      </c>
      <c r="G42" s="84">
        <f t="shared" ca="1" si="12"/>
        <v>28324.447319323568</v>
      </c>
      <c r="H42" s="84">
        <f t="shared" ca="1" si="12"/>
        <v>33891.567459724618</v>
      </c>
      <c r="I42" s="84">
        <f t="shared" ca="1" si="12"/>
        <v>39352.573949399659</v>
      </c>
      <c r="J42" s="84">
        <f t="shared" ca="1" si="12"/>
        <v>45649.694216429903</v>
      </c>
      <c r="K42" s="84">
        <f t="shared" ca="1" si="12"/>
        <v>52302.229237867323</v>
      </c>
      <c r="L42" s="84">
        <f t="shared" ca="1" si="12"/>
        <v>57142.618921625653</v>
      </c>
      <c r="M42" s="84">
        <f t="shared" ca="1" si="12"/>
        <v>61700.508480650336</v>
      </c>
      <c r="N42" s="84">
        <f t="shared" ca="1" si="12"/>
        <v>66659.404163048603</v>
      </c>
      <c r="O42" s="84">
        <f t="shared" ca="1" si="12"/>
        <v>71681.743388543153</v>
      </c>
      <c r="P42" s="2"/>
    </row>
    <row r="43" spans="1:16" ht="15" customHeight="1" x14ac:dyDescent="0.25">
      <c r="A43" s="2"/>
      <c r="C43" s="54"/>
      <c r="D43" s="54"/>
      <c r="E43" s="54"/>
      <c r="F43" s="59"/>
      <c r="G43" s="59"/>
      <c r="H43" s="59"/>
      <c r="I43" s="59"/>
      <c r="J43" s="59"/>
      <c r="K43" s="59"/>
      <c r="L43" s="59"/>
      <c r="M43" s="59"/>
      <c r="N43" s="59"/>
      <c r="O43" s="59"/>
    </row>
    <row r="44" spans="1:16" s="53" customFormat="1" ht="15" customHeight="1" x14ac:dyDescent="0.25">
      <c r="A44" s="1"/>
      <c r="B44" s="2" t="s">
        <v>181</v>
      </c>
      <c r="C44" s="52">
        <f t="shared" ref="C44:O44" si="13">C34+C42</f>
        <v>27426.447673889998</v>
      </c>
      <c r="D44" s="52">
        <f t="shared" si="13"/>
        <v>34716.474446349996</v>
      </c>
      <c r="E44" s="52">
        <f t="shared" si="13"/>
        <v>44133.676430029998</v>
      </c>
      <c r="F44" s="84">
        <f t="shared" ca="1" si="13"/>
        <v>51805.309020968023</v>
      </c>
      <c r="G44" s="84">
        <f t="shared" ca="1" si="13"/>
        <v>61144.944841145982</v>
      </c>
      <c r="H44" s="84">
        <f t="shared" ca="1" si="13"/>
        <v>70975.58652642394</v>
      </c>
      <c r="I44" s="84">
        <f t="shared" ca="1" si="13"/>
        <v>80719.1713855977</v>
      </c>
      <c r="J44" s="84">
        <f t="shared" ca="1" si="13"/>
        <v>91110.921976819693</v>
      </c>
      <c r="K44" s="84">
        <f t="shared" ca="1" si="13"/>
        <v>100901.04795139167</v>
      </c>
      <c r="L44" s="84">
        <f t="shared" ca="1" si="13"/>
        <v>107915.86081836621</v>
      </c>
      <c r="M44" s="84">
        <f t="shared" ca="1" si="13"/>
        <v>114348.08549536199</v>
      </c>
      <c r="N44" s="84">
        <f t="shared" ca="1" si="13"/>
        <v>121287.60861202987</v>
      </c>
      <c r="O44" s="84">
        <f t="shared" ca="1" si="13"/>
        <v>127897.41384109901</v>
      </c>
      <c r="P44" s="2"/>
    </row>
    <row r="45" spans="1:16" ht="15" customHeight="1" x14ac:dyDescent="0.25">
      <c r="A45" s="2"/>
      <c r="F45" s="59"/>
      <c r="G45" s="59"/>
      <c r="H45" s="59"/>
      <c r="I45" s="59"/>
      <c r="J45" s="59"/>
      <c r="K45" s="59"/>
      <c r="L45" s="59"/>
      <c r="M45" s="59"/>
      <c r="N45" s="59"/>
      <c r="O45" s="59"/>
    </row>
    <row r="46" spans="1:16" s="53" customFormat="1" ht="15" customHeight="1" x14ac:dyDescent="0.25">
      <c r="A46" s="1"/>
      <c r="B46" s="2" t="s">
        <v>182</v>
      </c>
      <c r="C46" s="82" t="str">
        <f t="shared" ref="C46:E46" si="14">IF((C22-C44)^2&lt;0.00001,"OK",C22-C44)</f>
        <v>OK</v>
      </c>
      <c r="D46" s="82" t="str">
        <f t="shared" si="14"/>
        <v>OK</v>
      </c>
      <c r="E46" s="82" t="str">
        <f t="shared" si="14"/>
        <v>OK</v>
      </c>
      <c r="F46" s="87" t="str">
        <f t="shared" ref="F46:O46" ca="1" si="15">IF((F22-F44)^2&lt;0.00001,"OK",F22-F44)</f>
        <v>OK</v>
      </c>
      <c r="G46" s="87" t="str">
        <f t="shared" ca="1" si="15"/>
        <v>OK</v>
      </c>
      <c r="H46" s="87" t="str">
        <f t="shared" ca="1" si="15"/>
        <v>OK</v>
      </c>
      <c r="I46" s="87" t="str">
        <f t="shared" ca="1" si="15"/>
        <v>OK</v>
      </c>
      <c r="J46" s="87" t="str">
        <f t="shared" ca="1" si="15"/>
        <v>OK</v>
      </c>
      <c r="K46" s="87" t="str">
        <f t="shared" ca="1" si="15"/>
        <v>OK</v>
      </c>
      <c r="L46" s="87" t="str">
        <f t="shared" ca="1" si="15"/>
        <v>OK</v>
      </c>
      <c r="M46" s="87" t="str">
        <f t="shared" ca="1" si="15"/>
        <v>OK</v>
      </c>
      <c r="N46" s="87" t="str">
        <f t="shared" ca="1" si="15"/>
        <v>OK</v>
      </c>
      <c r="O46" s="87" t="str">
        <f t="shared" ca="1" si="15"/>
        <v>OK</v>
      </c>
      <c r="P46" s="2"/>
    </row>
    <row r="47" spans="1:16" ht="15" customHeight="1" x14ac:dyDescent="0.25">
      <c r="A47" s="2"/>
    </row>
    <row r="48" spans="1:16"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spans="2:7" ht="15" customHeight="1" x14ac:dyDescent="0.25"/>
    <row r="66" spans="2:7" ht="15" customHeight="1" x14ac:dyDescent="0.25">
      <c r="B66" s="50"/>
      <c r="C66" s="50"/>
      <c r="D66" s="50"/>
      <c r="E66" s="50"/>
      <c r="F66" s="50"/>
      <c r="G66" s="50"/>
    </row>
    <row r="67" spans="2:7" ht="15" customHeight="1" x14ac:dyDescent="0.25"/>
    <row r="68" spans="2:7" ht="15" customHeight="1" x14ac:dyDescent="0.25"/>
    <row r="69" spans="2:7" ht="15" customHeight="1" x14ac:dyDescent="0.25"/>
    <row r="70" spans="2:7" ht="15" customHeight="1" x14ac:dyDescent="0.25"/>
    <row r="71" spans="2:7" ht="15" customHeight="1" x14ac:dyDescent="0.25"/>
    <row r="72" spans="2:7" ht="15" customHeight="1" x14ac:dyDescent="0.25"/>
    <row r="73" spans="2:7" ht="15" customHeight="1" x14ac:dyDescent="0.25"/>
    <row r="74" spans="2:7" ht="15" customHeight="1" x14ac:dyDescent="0.25"/>
    <row r="75" spans="2:7" ht="15" customHeight="1" x14ac:dyDescent="0.25"/>
    <row r="76" spans="2:7" ht="15" customHeight="1" x14ac:dyDescent="0.25"/>
    <row r="77" spans="2:7" ht="15" customHeight="1" x14ac:dyDescent="0.25"/>
    <row r="78" spans="2:7" ht="15" customHeight="1" x14ac:dyDescent="0.25"/>
    <row r="79" spans="2:7" ht="15" customHeight="1" x14ac:dyDescent="0.25"/>
    <row r="80" spans="2:7"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sheetData>
  <phoneticPr fontId="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V118"/>
  <sheetViews>
    <sheetView zoomScale="120" zoomScaleNormal="120" workbookViewId="0">
      <pane xSplit="2" ySplit="3" topLeftCell="C4" activePane="bottomRight" state="frozen"/>
      <selection pane="topRight"/>
      <selection pane="bottomLeft"/>
      <selection pane="bottomRight" activeCell="C4" sqref="C4"/>
    </sheetView>
  </sheetViews>
  <sheetFormatPr defaultColWidth="0" defaultRowHeight="14.25" x14ac:dyDescent="0.25"/>
  <cols>
    <col min="1" max="1" width="1.7109375" style="1" customWidth="1"/>
    <col min="2" max="2" width="39.7109375" style="1" customWidth="1"/>
    <col min="3" max="15" width="10.7109375" style="1" customWidth="1"/>
    <col min="16" max="16" width="1.7109375" style="1" hidden="1" customWidth="1"/>
    <col min="17" max="22" width="9.7109375" style="6" hidden="1" customWidth="1"/>
    <col min="23" max="16384" width="9.140625" style="6" hidden="1"/>
  </cols>
  <sheetData>
    <row r="1" spans="1:16" ht="24" customHeight="1" x14ac:dyDescent="0.2">
      <c r="A1" s="71" t="s">
        <v>277</v>
      </c>
      <c r="B1" s="72"/>
      <c r="C1" s="72"/>
      <c r="D1" s="72"/>
      <c r="E1" s="72"/>
      <c r="F1" s="72"/>
      <c r="G1" s="72"/>
      <c r="H1" s="72"/>
      <c r="I1" s="72"/>
      <c r="J1" s="72"/>
      <c r="K1" s="72"/>
      <c r="L1" s="72"/>
      <c r="M1" s="72"/>
      <c r="N1" s="72"/>
      <c r="O1" s="72"/>
      <c r="P1" s="70"/>
    </row>
    <row r="2" spans="1:16" s="9" customFormat="1" ht="18" customHeight="1" x14ac:dyDescent="0.25">
      <c r="A2" s="5"/>
      <c r="B2" s="7" t="s">
        <v>121</v>
      </c>
      <c r="C2" s="7"/>
      <c r="D2" s="8"/>
      <c r="E2" s="8"/>
      <c r="F2" s="8"/>
      <c r="G2" s="8"/>
      <c r="H2" s="8"/>
      <c r="I2" s="8"/>
    </row>
    <row r="3" spans="1:16" customFormat="1" ht="15" customHeight="1" x14ac:dyDescent="0.25">
      <c r="A3" s="10"/>
      <c r="B3" s="10" t="s">
        <v>67</v>
      </c>
      <c r="C3" s="11" t="s">
        <v>18</v>
      </c>
      <c r="D3" s="11" t="s">
        <v>0</v>
      </c>
      <c r="E3" s="11" t="s">
        <v>1</v>
      </c>
      <c r="F3" s="11" t="s">
        <v>2</v>
      </c>
      <c r="G3" s="11" t="s">
        <v>3</v>
      </c>
      <c r="H3" s="11" t="s">
        <v>4</v>
      </c>
      <c r="I3" s="11" t="s">
        <v>5</v>
      </c>
      <c r="J3" s="11" t="s">
        <v>6</v>
      </c>
      <c r="K3" s="11" t="s">
        <v>7</v>
      </c>
      <c r="L3" s="11" t="s">
        <v>8</v>
      </c>
      <c r="M3" s="11" t="s">
        <v>9</v>
      </c>
      <c r="N3" s="11" t="s">
        <v>10</v>
      </c>
      <c r="O3" s="11" t="s">
        <v>11</v>
      </c>
    </row>
    <row r="4" spans="1:16" customFormat="1" ht="9" customHeight="1" x14ac:dyDescent="0.25">
      <c r="A4" s="13"/>
      <c r="B4" s="13"/>
      <c r="C4" s="13"/>
      <c r="D4" s="14"/>
      <c r="E4" s="14"/>
      <c r="F4" s="14"/>
      <c r="G4" s="14"/>
      <c r="H4" s="14"/>
      <c r="I4" s="14"/>
      <c r="J4" s="14"/>
      <c r="K4" s="14"/>
      <c r="L4" s="13"/>
      <c r="M4" s="13"/>
      <c r="N4" s="13"/>
      <c r="O4" s="13"/>
    </row>
    <row r="5" spans="1:16" customFormat="1" ht="15" customHeight="1" x14ac:dyDescent="0.25">
      <c r="A5" s="2" t="s">
        <v>123</v>
      </c>
      <c r="B5" s="1"/>
      <c r="C5" s="1"/>
      <c r="D5" s="1"/>
      <c r="E5" s="1"/>
      <c r="F5" s="1"/>
      <c r="G5" s="1"/>
      <c r="H5" s="1"/>
      <c r="I5" s="1"/>
      <c r="J5" s="1"/>
      <c r="K5" s="1"/>
      <c r="L5" s="1"/>
      <c r="M5" s="1"/>
      <c r="N5" s="1"/>
      <c r="O5" s="1"/>
    </row>
    <row r="6" spans="1:16" customFormat="1" ht="15" customHeight="1" x14ac:dyDescent="0.25">
      <c r="A6" s="1"/>
      <c r="B6" s="48" t="s">
        <v>124</v>
      </c>
      <c r="C6" s="1"/>
      <c r="D6" s="49"/>
      <c r="E6" s="49"/>
      <c r="F6" s="83">
        <f ca="1">IS!F35</f>
        <v>3939.1157676883722</v>
      </c>
      <c r="G6" s="83">
        <f ca="1">IS!G35</f>
        <v>5452.5757533228707</v>
      </c>
      <c r="H6" s="83">
        <f ca="1">IS!H35</f>
        <v>6657.6352910656215</v>
      </c>
      <c r="I6" s="83">
        <f ca="1">IS!I35</f>
        <v>8124.0606061012895</v>
      </c>
      <c r="J6" s="83">
        <f ca="1">IS!J35</f>
        <v>9546.7445094707546</v>
      </c>
      <c r="K6" s="83">
        <f ca="1">IS!K35</f>
        <v>10471.232825225728</v>
      </c>
      <c r="L6" s="83">
        <f ca="1">IS!L35</f>
        <v>11123.129378893769</v>
      </c>
      <c r="M6" s="83">
        <f ca="1">IS!M35</f>
        <v>11231.767186360939</v>
      </c>
      <c r="N6" s="83">
        <f ca="1">IS!N35</f>
        <v>11697.955994214815</v>
      </c>
      <c r="O6" s="83">
        <f ca="1">IS!O35</f>
        <v>12041.112822023437</v>
      </c>
    </row>
    <row r="7" spans="1:16" ht="15" customHeight="1" x14ac:dyDescent="0.25">
      <c r="A7" s="2"/>
      <c r="B7" s="1" t="s">
        <v>125</v>
      </c>
      <c r="F7" s="83">
        <f>IS!F25</f>
        <v>2254.1113130903996</v>
      </c>
      <c r="G7" s="83">
        <f>IS!G25</f>
        <v>2421.5040233986733</v>
      </c>
      <c r="H7" s="83">
        <f>IS!H25</f>
        <v>2527.884426018969</v>
      </c>
      <c r="I7" s="83">
        <f>IS!I25</f>
        <v>2536.2547959427734</v>
      </c>
      <c r="J7" s="83">
        <f>IS!J25</f>
        <v>2425.1818022793004</v>
      </c>
      <c r="K7" s="83">
        <f>IS!K25</f>
        <v>2376.6603094979387</v>
      </c>
      <c r="L7" s="83">
        <f>IS!L25</f>
        <v>2364.8710343713246</v>
      </c>
      <c r="M7" s="83">
        <f>IS!M25</f>
        <v>2452.5854237551498</v>
      </c>
      <c r="N7" s="83">
        <f>IS!N25</f>
        <v>2544.8404565129827</v>
      </c>
      <c r="O7" s="83">
        <f>IS!O25</f>
        <v>2641.6629482099843</v>
      </c>
    </row>
    <row r="8" spans="1:16" ht="15" customHeight="1" x14ac:dyDescent="0.25">
      <c r="B8" s="1" t="s">
        <v>126</v>
      </c>
      <c r="F8" s="83">
        <f>IS!F26</f>
        <v>775.26849723679993</v>
      </c>
      <c r="G8" s="83">
        <f>IS!G26</f>
        <v>797.97401407647635</v>
      </c>
      <c r="H8" s="83">
        <f>IS!H26</f>
        <v>810.64300080118778</v>
      </c>
      <c r="I8" s="83">
        <f>IS!I26</f>
        <v>751.02574221184193</v>
      </c>
      <c r="J8" s="83">
        <f>IS!J26</f>
        <v>725.86229712564477</v>
      </c>
      <c r="K8" s="83">
        <f>IS!K26</f>
        <v>721.63979079113324</v>
      </c>
      <c r="L8" s="83">
        <f>IS!L26</f>
        <v>755.34781504563921</v>
      </c>
      <c r="M8" s="83">
        <f>IS!M26</f>
        <v>791.73797584064164</v>
      </c>
      <c r="N8" s="83">
        <f>IS!N26</f>
        <v>828.66996840487377</v>
      </c>
      <c r="O8" s="83">
        <f>IS!O26</f>
        <v>866.42289153075262</v>
      </c>
    </row>
    <row r="9" spans="1:16" ht="15" customHeight="1" x14ac:dyDescent="0.25">
      <c r="B9" s="1" t="s">
        <v>127</v>
      </c>
      <c r="F9" s="83">
        <f ca="1">IS!F29</f>
        <v>412.56732156848875</v>
      </c>
      <c r="G9" s="83">
        <f ca="1">IS!G29</f>
        <v>427.25974479523848</v>
      </c>
      <c r="H9" s="83">
        <f ca="1">IS!H29</f>
        <v>410.97101423430564</v>
      </c>
      <c r="I9" s="83">
        <f ca="1">IS!I29</f>
        <v>375.29977693700795</v>
      </c>
      <c r="J9" s="83">
        <f ca="1">IS!J29</f>
        <v>336.02269105197865</v>
      </c>
      <c r="K9" s="83">
        <f ca="1">IS!K29</f>
        <v>296.19594110452567</v>
      </c>
      <c r="L9" s="83">
        <f ca="1">IS!L29</f>
        <v>263.38781968371239</v>
      </c>
      <c r="M9" s="83">
        <f ca="1">IS!M29</f>
        <v>240.06516554081668</v>
      </c>
      <c r="N9" s="83">
        <f ca="1">IS!N29</f>
        <v>217.12573232886143</v>
      </c>
      <c r="O9" s="83">
        <f ca="1">IS!O29</f>
        <v>192.00842937449909</v>
      </c>
    </row>
    <row r="10" spans="1:16" ht="15" customHeight="1" x14ac:dyDescent="0.25">
      <c r="B10" s="1" t="s">
        <v>295</v>
      </c>
      <c r="F10" s="83">
        <f>-IS!F30</f>
        <v>-278.90913902479997</v>
      </c>
      <c r="G10" s="83">
        <f>-IS!G30</f>
        <v>-278.90913902479997</v>
      </c>
      <c r="H10" s="83">
        <f>-IS!H30</f>
        <v>-278.90913902479997</v>
      </c>
      <c r="I10" s="83">
        <f>-IS!I30</f>
        <v>-278.90913902479997</v>
      </c>
      <c r="J10" s="83">
        <f>-IS!J30</f>
        <v>-278.90913902479997</v>
      </c>
      <c r="K10" s="83">
        <f>-IS!K30</f>
        <v>-278.90913902479997</v>
      </c>
      <c r="L10" s="83">
        <f>-IS!L30</f>
        <v>-278.90913902479997</v>
      </c>
      <c r="M10" s="83">
        <f>-IS!M30</f>
        <v>-278.90913902479997</v>
      </c>
      <c r="N10" s="83">
        <f>-IS!N30</f>
        <v>-278.90913902479997</v>
      </c>
      <c r="O10" s="83">
        <f>-IS!O30</f>
        <v>-278.90913902479997</v>
      </c>
    </row>
    <row r="11" spans="1:16" ht="15" customHeight="1" x14ac:dyDescent="0.25">
      <c r="B11" s="1" t="s">
        <v>128</v>
      </c>
      <c r="F11" s="83">
        <f>-IS!F31</f>
        <v>0</v>
      </c>
      <c r="G11" s="83">
        <f>-IS!G31</f>
        <v>0</v>
      </c>
      <c r="H11" s="83">
        <f>-IS!H31</f>
        <v>0</v>
      </c>
      <c r="I11" s="83">
        <f>-IS!I31</f>
        <v>0</v>
      </c>
      <c r="J11" s="83">
        <f>-IS!J31</f>
        <v>0</v>
      </c>
      <c r="K11" s="83">
        <f>-IS!K31</f>
        <v>0</v>
      </c>
      <c r="L11" s="83">
        <f>-IS!L31</f>
        <v>0</v>
      </c>
      <c r="M11" s="83">
        <f>-IS!M31</f>
        <v>0</v>
      </c>
      <c r="N11" s="83">
        <f>-IS!N31</f>
        <v>0</v>
      </c>
      <c r="O11" s="83">
        <f>-IS!O31</f>
        <v>0</v>
      </c>
    </row>
    <row r="12" spans="1:16" ht="15" customHeight="1" x14ac:dyDescent="0.25">
      <c r="B12" s="1" t="s">
        <v>129</v>
      </c>
      <c r="F12" s="83">
        <f>Cals!E15-Cals!F15</f>
        <v>981.77924298607923</v>
      </c>
      <c r="G12" s="83">
        <f>Cals!F15-Cals!G15</f>
        <v>1126.1557485141821</v>
      </c>
      <c r="H12" s="83">
        <f>Cals!G15-Cals!H15</f>
        <v>1098.3772400508224</v>
      </c>
      <c r="I12" s="83">
        <f>Cals!H15-Cals!I15</f>
        <v>1138.0769115091607</v>
      </c>
      <c r="J12" s="83">
        <f>Cals!I15-Cals!J15</f>
        <v>1047.0307585884293</v>
      </c>
      <c r="K12" s="83">
        <f>Cals!J15-Cals!K15</f>
        <v>781.78296641269844</v>
      </c>
      <c r="L12" s="83">
        <f>Cals!K15-Cals!L15</f>
        <v>527.70350232857163</v>
      </c>
      <c r="M12" s="83">
        <f>Cals!L15-Cals!M15</f>
        <v>443.2709419559942</v>
      </c>
      <c r="N12" s="83">
        <f>Cals!M15-Cals!N15</f>
        <v>461.0017796342363</v>
      </c>
      <c r="O12" s="83">
        <f>Cals!N15-Cals!O15</f>
        <v>359.58138811470417</v>
      </c>
    </row>
    <row r="13" spans="1:16" ht="15" customHeight="1" x14ac:dyDescent="0.25">
      <c r="B13" s="25" t="s">
        <v>130</v>
      </c>
      <c r="F13" s="83">
        <f>BS!F33-BS!E33</f>
        <v>46.123990928169235</v>
      </c>
      <c r="G13" s="83">
        <f>BS!G33-BS!F33</f>
        <v>44.962300313315581</v>
      </c>
      <c r="H13" s="83">
        <f>BS!H33-BS!G33</f>
        <v>43.853230238920446</v>
      </c>
      <c r="I13" s="83">
        <f>BS!I33-BS!H33</f>
        <v>45.438258378060709</v>
      </c>
      <c r="J13" s="83">
        <f>BS!J33-BS!I33</f>
        <v>41.803197707816025</v>
      </c>
      <c r="K13" s="83">
        <f>BS!K33-BS!J33</f>
        <v>31.213054288502576</v>
      </c>
      <c r="L13" s="83">
        <f>BS!L33-BS!K33</f>
        <v>21.068811644739299</v>
      </c>
      <c r="M13" s="83">
        <f>BS!M33-BS!L33</f>
        <v>17.697801781580949</v>
      </c>
      <c r="N13" s="83">
        <f>BS!N33-BS!M33</f>
        <v>18.405713852844144</v>
      </c>
      <c r="O13" s="83">
        <f>BS!O33-BS!N33</f>
        <v>14.356456805218556</v>
      </c>
    </row>
    <row r="14" spans="1:16" ht="15" customHeight="1" x14ac:dyDescent="0.25">
      <c r="B14" s="2" t="s">
        <v>131</v>
      </c>
      <c r="F14" s="84">
        <f t="shared" ref="F14:O14" ca="1" si="0">SUM(F6:F13)</f>
        <v>8130.0569944735089</v>
      </c>
      <c r="G14" s="84">
        <f t="shared" ca="1" si="0"/>
        <v>9991.5224453959581</v>
      </c>
      <c r="H14" s="84">
        <f t="shared" ca="1" si="0"/>
        <v>11270.455063385029</v>
      </c>
      <c r="I14" s="84">
        <f t="shared" ca="1" si="0"/>
        <v>12691.246952055335</v>
      </c>
      <c r="J14" s="84">
        <f t="shared" ca="1" si="0"/>
        <v>13843.736117199123</v>
      </c>
      <c r="K14" s="84">
        <f t="shared" ca="1" si="0"/>
        <v>14399.815748295727</v>
      </c>
      <c r="L14" s="84">
        <f t="shared" ca="1" si="0"/>
        <v>14776.599222942958</v>
      </c>
      <c r="M14" s="84">
        <f t="shared" ca="1" si="0"/>
        <v>14898.215356210325</v>
      </c>
      <c r="N14" s="84">
        <f t="shared" ca="1" si="0"/>
        <v>15489.090505923814</v>
      </c>
      <c r="O14" s="84">
        <f t="shared" ca="1" si="0"/>
        <v>15836.235797033794</v>
      </c>
    </row>
    <row r="15" spans="1:16" ht="15" customHeight="1" x14ac:dyDescent="0.25">
      <c r="F15" s="59"/>
      <c r="G15" s="59"/>
      <c r="H15" s="59"/>
      <c r="I15" s="59"/>
      <c r="J15" s="59"/>
      <c r="K15" s="59"/>
      <c r="L15" s="59"/>
      <c r="M15" s="59"/>
      <c r="N15" s="59"/>
      <c r="O15" s="59"/>
    </row>
    <row r="16" spans="1:16" ht="15" customHeight="1" x14ac:dyDescent="0.25">
      <c r="A16" s="2" t="s">
        <v>132</v>
      </c>
      <c r="F16" s="59"/>
      <c r="G16" s="59"/>
      <c r="H16" s="59"/>
      <c r="I16" s="59"/>
      <c r="J16" s="59"/>
      <c r="K16" s="59"/>
      <c r="L16" s="59"/>
      <c r="M16" s="59"/>
      <c r="N16" s="59"/>
      <c r="O16" s="59"/>
    </row>
    <row r="17" spans="1:22" ht="15" customHeight="1" x14ac:dyDescent="0.25">
      <c r="A17" s="2"/>
      <c r="B17" s="1" t="s">
        <v>294</v>
      </c>
      <c r="F17" s="83">
        <f>-F10</f>
        <v>278.90913902479997</v>
      </c>
      <c r="G17" s="83">
        <f t="shared" ref="G17:O17" si="1">-G10</f>
        <v>278.90913902479997</v>
      </c>
      <c r="H17" s="83">
        <f t="shared" si="1"/>
        <v>278.90913902479997</v>
      </c>
      <c r="I17" s="83">
        <f t="shared" si="1"/>
        <v>278.90913902479997</v>
      </c>
      <c r="J17" s="83">
        <f t="shared" si="1"/>
        <v>278.90913902479997</v>
      </c>
      <c r="K17" s="83">
        <f t="shared" si="1"/>
        <v>278.90913902479997</v>
      </c>
      <c r="L17" s="83">
        <f t="shared" si="1"/>
        <v>278.90913902479997</v>
      </c>
      <c r="M17" s="83">
        <f t="shared" si="1"/>
        <v>278.90913902479997</v>
      </c>
      <c r="N17" s="83">
        <f t="shared" si="1"/>
        <v>278.90913902479997</v>
      </c>
      <c r="O17" s="83">
        <f t="shared" si="1"/>
        <v>278.90913902479997</v>
      </c>
    </row>
    <row r="18" spans="1:22" s="1" customFormat="1" ht="15" customHeight="1" x14ac:dyDescent="0.25">
      <c r="B18" s="1" t="s">
        <v>133</v>
      </c>
      <c r="F18" s="83">
        <f>-F11</f>
        <v>0</v>
      </c>
      <c r="G18" s="83">
        <f t="shared" ref="G18:O18" si="2">-G11</f>
        <v>0</v>
      </c>
      <c r="H18" s="83">
        <f t="shared" si="2"/>
        <v>0</v>
      </c>
      <c r="I18" s="83">
        <f t="shared" si="2"/>
        <v>0</v>
      </c>
      <c r="J18" s="83">
        <f t="shared" si="2"/>
        <v>0</v>
      </c>
      <c r="K18" s="83">
        <f t="shared" si="2"/>
        <v>0</v>
      </c>
      <c r="L18" s="83">
        <f t="shared" si="2"/>
        <v>0</v>
      </c>
      <c r="M18" s="83">
        <f t="shared" si="2"/>
        <v>0</v>
      </c>
      <c r="N18" s="83">
        <f t="shared" si="2"/>
        <v>0</v>
      </c>
      <c r="O18" s="83">
        <f t="shared" si="2"/>
        <v>0</v>
      </c>
      <c r="Q18" s="6"/>
      <c r="R18" s="6"/>
      <c r="S18" s="6"/>
      <c r="T18" s="6"/>
      <c r="U18" s="6"/>
      <c r="V18" s="6"/>
    </row>
    <row r="19" spans="1:22" s="1" customFormat="1" ht="15" customHeight="1" x14ac:dyDescent="0.25">
      <c r="B19" s="1" t="s">
        <v>134</v>
      </c>
      <c r="F19" s="83">
        <f>BS!E12-BS!F12+BS!E15-BS!F15</f>
        <v>0</v>
      </c>
      <c r="G19" s="83">
        <f>BS!F12-BS!G12+BS!F15-BS!G15</f>
        <v>0</v>
      </c>
      <c r="H19" s="83">
        <f>BS!G12-BS!H12+BS!G15-BS!H15</f>
        <v>0</v>
      </c>
      <c r="I19" s="83">
        <f>BS!H12-BS!I12+BS!H15-BS!I15</f>
        <v>0</v>
      </c>
      <c r="J19" s="83">
        <f>BS!I12-BS!J12+BS!I15-BS!J15</f>
        <v>0</v>
      </c>
      <c r="K19" s="83">
        <f>BS!J12-BS!K12+BS!J15-BS!K15</f>
        <v>0</v>
      </c>
      <c r="L19" s="83">
        <f>BS!K12-BS!L12+BS!K15-BS!L15</f>
        <v>0</v>
      </c>
      <c r="M19" s="83">
        <f>BS!L12-BS!M12+BS!L15-BS!M15</f>
        <v>0</v>
      </c>
      <c r="N19" s="83">
        <f>BS!M12-BS!N12+BS!M15-BS!N15</f>
        <v>0</v>
      </c>
      <c r="O19" s="83">
        <f>BS!N12-BS!O12+BS!N15-BS!O15</f>
        <v>0</v>
      </c>
      <c r="Q19" s="6"/>
      <c r="R19" s="6"/>
      <c r="S19" s="6"/>
      <c r="T19" s="6"/>
      <c r="U19" s="6"/>
      <c r="V19" s="6"/>
    </row>
    <row r="20" spans="1:22" s="1" customFormat="1" ht="15" customHeight="1" x14ac:dyDescent="0.25">
      <c r="B20" s="1" t="s">
        <v>135</v>
      </c>
      <c r="F20" s="83">
        <f>-Capex!F7</f>
        <v>-3568.4365328028211</v>
      </c>
      <c r="G20" s="83">
        <f>-Capex!G7</f>
        <v>-3454.2465637531313</v>
      </c>
      <c r="H20" s="83">
        <f>-Capex!H7</f>
        <v>-3029.2172252040527</v>
      </c>
      <c r="I20" s="83">
        <f>-Capex!I7</f>
        <v>-2322.39987265644</v>
      </c>
      <c r="J20" s="83">
        <f>-Capex!J7</f>
        <v>-2601.0878573752134</v>
      </c>
      <c r="K20" s="83">
        <f>-Capex!K7</f>
        <v>-2809.1748859652307</v>
      </c>
      <c r="L20" s="83">
        <f>-Capex!L7</f>
        <v>-2949.6336302634927</v>
      </c>
      <c r="M20" s="83">
        <f>-Capex!M7</f>
        <v>-3067.6189754740326</v>
      </c>
      <c r="N20" s="83">
        <f>-Capex!N7</f>
        <v>-3190.323734492993</v>
      </c>
      <c r="O20" s="83">
        <f>-Capex!O7</f>
        <v>-3286.0334465277838</v>
      </c>
      <c r="Q20" s="6"/>
      <c r="R20" s="6"/>
      <c r="S20" s="6"/>
      <c r="T20" s="6"/>
      <c r="U20" s="6"/>
      <c r="V20" s="6"/>
    </row>
    <row r="21" spans="1:22" s="1" customFormat="1" ht="15" customHeight="1" x14ac:dyDescent="0.25">
      <c r="B21" s="1" t="s">
        <v>136</v>
      </c>
      <c r="F21" s="83">
        <f>-Capex!F13</f>
        <v>-1427.3746131211283</v>
      </c>
      <c r="G21" s="83">
        <f>-Capex!G13</f>
        <v>-863.56164093828284</v>
      </c>
      <c r="H21" s="83">
        <f>-Capex!H13</f>
        <v>-504.86953753400877</v>
      </c>
      <c r="I21" s="83">
        <f>-Capex!I13</f>
        <v>-580.59996816411001</v>
      </c>
      <c r="J21" s="83">
        <f>-Capex!J13</f>
        <v>-650.27196434380335</v>
      </c>
      <c r="K21" s="83">
        <f>-Capex!K13</f>
        <v>-702.29372149130768</v>
      </c>
      <c r="L21" s="83">
        <f>-Capex!L13</f>
        <v>-737.40840756587318</v>
      </c>
      <c r="M21" s="83">
        <f>-Capex!M13</f>
        <v>-766.90474386850815</v>
      </c>
      <c r="N21" s="83">
        <f>-Capex!N13</f>
        <v>-797.58093362324826</v>
      </c>
      <c r="O21" s="83">
        <f>-Capex!O13</f>
        <v>-821.50836163194595</v>
      </c>
      <c r="Q21" s="6"/>
      <c r="R21" s="6"/>
      <c r="S21" s="6"/>
      <c r="T21" s="6"/>
      <c r="U21" s="6"/>
      <c r="V21" s="6"/>
    </row>
    <row r="22" spans="1:22" s="1" customFormat="1" ht="15" customHeight="1" x14ac:dyDescent="0.25">
      <c r="B22" s="1" t="s">
        <v>137</v>
      </c>
      <c r="F22" s="83">
        <f>-Capex!F19</f>
        <v>-356.84365328028207</v>
      </c>
      <c r="G22" s="83">
        <f>-Capex!G19</f>
        <v>-431.78082046914142</v>
      </c>
      <c r="H22" s="83">
        <f>-Capex!H19</f>
        <v>-302.9217225204053</v>
      </c>
      <c r="I22" s="83">
        <f>-Capex!I19</f>
        <v>-348.35998089846601</v>
      </c>
      <c r="J22" s="83">
        <f>-Capex!J19</f>
        <v>-390.16317860628203</v>
      </c>
      <c r="K22" s="83">
        <f>-Capex!K19</f>
        <v>-421.37623289478461</v>
      </c>
      <c r="L22" s="83">
        <f>-Capex!L19</f>
        <v>-442.44504453952391</v>
      </c>
      <c r="M22" s="83">
        <f>-Capex!M19</f>
        <v>-460.14284632110486</v>
      </c>
      <c r="N22" s="83">
        <f>-Capex!N19</f>
        <v>-478.548560173949</v>
      </c>
      <c r="O22" s="83">
        <f>-Capex!O19</f>
        <v>-492.90501697916756</v>
      </c>
      <c r="Q22" s="6"/>
      <c r="R22" s="6"/>
      <c r="S22" s="6"/>
      <c r="T22" s="6"/>
      <c r="U22" s="6"/>
      <c r="V22" s="6"/>
    </row>
    <row r="23" spans="1:22" s="1" customFormat="1" ht="15" customHeight="1" x14ac:dyDescent="0.25">
      <c r="B23" s="25" t="s">
        <v>138</v>
      </c>
      <c r="F23" s="83">
        <f>BS!E19-BS!F19</f>
        <v>-182.67664007267706</v>
      </c>
      <c r="G23" s="83">
        <f>BS!F19-BS!G19</f>
        <v>-179.84920125326232</v>
      </c>
      <c r="H23" s="83">
        <f>BS!G19-BS!H19</f>
        <v>-175.41292095568178</v>
      </c>
      <c r="I23" s="83">
        <f>BS!H19-BS!I19</f>
        <v>-181.75303351224284</v>
      </c>
      <c r="J23" s="83">
        <f>BS!I19-BS!J19</f>
        <v>-167.2127908312641</v>
      </c>
      <c r="K23" s="83">
        <f>BS!J19-BS!K19</f>
        <v>-124.8522171540103</v>
      </c>
      <c r="L23" s="83">
        <f>BS!K19-BS!L19</f>
        <v>-84.275246578957194</v>
      </c>
      <c r="M23" s="83">
        <f>BS!L19-BS!M19</f>
        <v>-70.791207126323798</v>
      </c>
      <c r="N23" s="83">
        <f>BS!M19-BS!N19</f>
        <v>-73.622855411376577</v>
      </c>
      <c r="O23" s="83">
        <f>BS!N19-BS!O19</f>
        <v>-57.425827220874226</v>
      </c>
      <c r="Q23" s="6"/>
      <c r="R23" s="6"/>
      <c r="S23" s="6"/>
      <c r="T23" s="6"/>
      <c r="U23" s="6"/>
      <c r="V23" s="6"/>
    </row>
    <row r="24" spans="1:22" s="1" customFormat="1" ht="15" customHeight="1" x14ac:dyDescent="0.25">
      <c r="B24" s="2" t="s">
        <v>132</v>
      </c>
      <c r="F24" s="84">
        <f>SUM(F17:F23)</f>
        <v>-5256.4223002521085</v>
      </c>
      <c r="G24" s="84">
        <f t="shared" ref="G24:O24" si="3">SUM(G17:G23)</f>
        <v>-4650.5290873890181</v>
      </c>
      <c r="H24" s="84">
        <f t="shared" si="3"/>
        <v>-3733.5122671893487</v>
      </c>
      <c r="I24" s="84">
        <f t="shared" si="3"/>
        <v>-3154.2037162064589</v>
      </c>
      <c r="J24" s="84">
        <f t="shared" si="3"/>
        <v>-3529.8266521317632</v>
      </c>
      <c r="K24" s="84">
        <f t="shared" si="3"/>
        <v>-3778.7879184805333</v>
      </c>
      <c r="L24" s="84">
        <f t="shared" si="3"/>
        <v>-3934.8531899230475</v>
      </c>
      <c r="M24" s="84">
        <f t="shared" si="3"/>
        <v>-4086.5486337651691</v>
      </c>
      <c r="N24" s="84">
        <f t="shared" si="3"/>
        <v>-4261.1669446767673</v>
      </c>
      <c r="O24" s="84">
        <f t="shared" si="3"/>
        <v>-4378.9635133349711</v>
      </c>
      <c r="Q24" s="6"/>
      <c r="R24" s="6"/>
      <c r="S24" s="6"/>
      <c r="T24" s="6"/>
      <c r="U24" s="6"/>
      <c r="V24" s="6"/>
    </row>
    <row r="25" spans="1:22" s="1" customFormat="1" ht="15" customHeight="1" x14ac:dyDescent="0.25">
      <c r="F25" s="59"/>
      <c r="G25" s="59"/>
      <c r="H25" s="59"/>
      <c r="I25" s="59"/>
      <c r="J25" s="59"/>
      <c r="K25" s="59"/>
      <c r="L25" s="59"/>
      <c r="M25" s="59"/>
      <c r="N25" s="59"/>
      <c r="O25" s="59"/>
      <c r="Q25" s="6"/>
      <c r="R25" s="6"/>
      <c r="S25" s="6"/>
      <c r="T25" s="6"/>
      <c r="U25" s="6"/>
      <c r="V25" s="6"/>
    </row>
    <row r="26" spans="1:22" s="1" customFormat="1" ht="15" customHeight="1" x14ac:dyDescent="0.25">
      <c r="A26" s="2" t="s">
        <v>139</v>
      </c>
      <c r="F26" s="59"/>
      <c r="G26" s="59"/>
      <c r="H26" s="59"/>
      <c r="I26" s="59"/>
      <c r="J26" s="59"/>
      <c r="K26" s="59"/>
      <c r="L26" s="59"/>
      <c r="M26" s="59"/>
      <c r="N26" s="59"/>
      <c r="O26" s="59"/>
      <c r="Q26" s="6"/>
      <c r="R26" s="6"/>
      <c r="S26" s="6"/>
      <c r="T26" s="6"/>
      <c r="U26" s="6"/>
      <c r="V26" s="6"/>
    </row>
    <row r="27" spans="1:22" s="1" customFormat="1" ht="15" customHeight="1" x14ac:dyDescent="0.25">
      <c r="B27" s="1" t="s">
        <v>140</v>
      </c>
      <c r="C27" s="50"/>
      <c r="D27" s="50"/>
      <c r="E27" s="50"/>
      <c r="F27" s="83">
        <f>-BS!E25</f>
        <v>0</v>
      </c>
      <c r="G27" s="83">
        <f ca="1">-BS!F25</f>
        <v>0</v>
      </c>
      <c r="H27" s="83">
        <f ca="1">-BS!G25</f>
        <v>0</v>
      </c>
      <c r="I27" s="83">
        <f ca="1">-BS!H25</f>
        <v>0</v>
      </c>
      <c r="J27" s="83">
        <f ca="1">-BS!I25</f>
        <v>0</v>
      </c>
      <c r="K27" s="83">
        <f ca="1">-BS!J25</f>
        <v>0</v>
      </c>
      <c r="L27" s="83">
        <f ca="1">-BS!K25</f>
        <v>0</v>
      </c>
      <c r="M27" s="83">
        <f ca="1">-BS!L25</f>
        <v>0</v>
      </c>
      <c r="N27" s="83">
        <f ca="1">-BS!M25</f>
        <v>0</v>
      </c>
      <c r="O27" s="83">
        <f ca="1">-BS!N25</f>
        <v>0</v>
      </c>
      <c r="Q27" s="6"/>
      <c r="R27" s="6"/>
      <c r="S27" s="6"/>
      <c r="T27" s="6"/>
      <c r="U27" s="6"/>
      <c r="V27" s="6"/>
    </row>
    <row r="28" spans="1:22" s="1" customFormat="1" ht="15" customHeight="1" x14ac:dyDescent="0.25">
      <c r="B28" s="1" t="s">
        <v>141</v>
      </c>
      <c r="F28" s="83">
        <f t="shared" ref="F28:O28" ca="1" si="4">-F9</f>
        <v>-412.56732156848875</v>
      </c>
      <c r="G28" s="83">
        <f t="shared" ca="1" si="4"/>
        <v>-427.25974479523848</v>
      </c>
      <c r="H28" s="83">
        <f t="shared" ca="1" si="4"/>
        <v>-410.97101423430564</v>
      </c>
      <c r="I28" s="83">
        <f t="shared" ca="1" si="4"/>
        <v>-375.29977693700795</v>
      </c>
      <c r="J28" s="83">
        <f t="shared" ca="1" si="4"/>
        <v>-336.02269105197865</v>
      </c>
      <c r="K28" s="83">
        <f t="shared" ca="1" si="4"/>
        <v>-296.19594110452567</v>
      </c>
      <c r="L28" s="83">
        <f t="shared" ca="1" si="4"/>
        <v>-263.38781968371239</v>
      </c>
      <c r="M28" s="83">
        <f t="shared" ca="1" si="4"/>
        <v>-240.06516554081668</v>
      </c>
      <c r="N28" s="83">
        <f t="shared" ca="1" si="4"/>
        <v>-217.12573232886143</v>
      </c>
      <c r="O28" s="83">
        <f t="shared" ca="1" si="4"/>
        <v>-192.00842937449909</v>
      </c>
      <c r="Q28" s="6"/>
      <c r="R28" s="6"/>
      <c r="S28" s="6"/>
      <c r="T28" s="6"/>
      <c r="U28" s="6"/>
      <c r="V28" s="6"/>
    </row>
    <row r="29" spans="1:22" s="1" customFormat="1" ht="15" customHeight="1" x14ac:dyDescent="0.25">
      <c r="B29" s="1" t="s">
        <v>142</v>
      </c>
      <c r="F29" s="83">
        <f>BS!F26-BS!E26</f>
        <v>1329.0404555236873</v>
      </c>
      <c r="G29" s="83">
        <f>BS!G26-BS!F26</f>
        <v>1429.9360368643756</v>
      </c>
      <c r="H29" s="83">
        <f>BS!H26-BS!G26</f>
        <v>1394.6642812883874</v>
      </c>
      <c r="I29" s="83">
        <f>BS!I26-BS!H26</f>
        <v>1445.0729311974646</v>
      </c>
      <c r="J29" s="83">
        <f>BS!J26-BS!I26</f>
        <v>1329.4670967016718</v>
      </c>
      <c r="K29" s="83">
        <f>BS!K26-BS!J26</f>
        <v>992.66876553724796</v>
      </c>
      <c r="L29" s="83">
        <f>BS!L26-BS!K26</f>
        <v>670.05141673764592</v>
      </c>
      <c r="M29" s="83">
        <f>BS!M26-BS!L26</f>
        <v>562.84319005961879</v>
      </c>
      <c r="N29" s="83">
        <f>BS!N26-BS!M26</f>
        <v>585.35691766200034</v>
      </c>
      <c r="O29" s="83">
        <f>BS!O26-BS!N26</f>
        <v>456.57839577636332</v>
      </c>
      <c r="Q29" s="6"/>
      <c r="R29" s="6"/>
      <c r="S29" s="6"/>
      <c r="T29" s="6"/>
      <c r="U29" s="6"/>
      <c r="V29" s="6"/>
    </row>
    <row r="30" spans="1:22" s="1" customFormat="1" ht="15" customHeight="1" x14ac:dyDescent="0.25">
      <c r="B30" s="1" t="s">
        <v>143</v>
      </c>
      <c r="F30" s="83">
        <f>BS!F32-BS!E32</f>
        <v>384.9452506432699</v>
      </c>
      <c r="G30" s="83">
        <f>BS!G32-BS!F32</f>
        <v>127.03646830151229</v>
      </c>
      <c r="H30" s="83">
        <f>BS!H32-BS!G32</f>
        <v>-172.14498732941684</v>
      </c>
      <c r="I30" s="83">
        <f>BS!I32-BS!H32</f>
        <v>-313.41058892536785</v>
      </c>
      <c r="J30" s="83">
        <f>BS!J32-BS!I32</f>
        <v>-133.67951755840932</v>
      </c>
      <c r="K30" s="83">
        <f>BS!K32-BS!J32</f>
        <v>-19.547062038920558</v>
      </c>
      <c r="L30" s="83">
        <f>BS!L32-BS!K32</f>
        <v>43.355022974133135</v>
      </c>
      <c r="M30" s="83">
        <f>BS!M32-BS!L32</f>
        <v>84.237863367734462</v>
      </c>
      <c r="N30" s="83">
        <f>BS!N32-BS!M32</f>
        <v>118.92628948214951</v>
      </c>
      <c r="O30" s="83">
        <f>BS!O32-BS!N32</f>
        <v>135.33911064033236</v>
      </c>
      <c r="Q30" s="6"/>
      <c r="R30" s="6"/>
      <c r="S30" s="6"/>
      <c r="T30" s="6"/>
      <c r="U30" s="6"/>
      <c r="V30" s="6"/>
    </row>
    <row r="31" spans="1:22" s="1" customFormat="1" ht="15" customHeight="1" x14ac:dyDescent="0.25">
      <c r="B31" s="1" t="s">
        <v>144</v>
      </c>
      <c r="F31" s="83">
        <f>-Cals!F48</f>
        <v>-836.08523039999875</v>
      </c>
      <c r="G31" s="83">
        <f ca="1">-Cals!G48</f>
        <v>-787.82315353767444</v>
      </c>
      <c r="H31" s="83">
        <f ca="1">-Cals!H48</f>
        <v>-1090.5151506645741</v>
      </c>
      <c r="I31" s="83">
        <f ca="1">-Cals!I48</f>
        <v>-2663.0541164262486</v>
      </c>
      <c r="J31" s="83">
        <f ca="1">-Cals!J48</f>
        <v>-3249.6242424405159</v>
      </c>
      <c r="K31" s="83">
        <f ca="1">-Cals!K48</f>
        <v>-3818.6978037883018</v>
      </c>
      <c r="L31" s="83">
        <f ca="1">-Cals!L48</f>
        <v>-6282.7396951354367</v>
      </c>
      <c r="M31" s="83">
        <f ca="1">-Cals!M48</f>
        <v>-6673.877627336261</v>
      </c>
      <c r="N31" s="83">
        <f ca="1">-Cals!N48</f>
        <v>-6739.0603118165636</v>
      </c>
      <c r="O31" s="83">
        <f ca="1">-Cals!O48</f>
        <v>-7018.7735965288894</v>
      </c>
      <c r="Q31" s="6"/>
      <c r="R31" s="6"/>
      <c r="S31" s="6"/>
      <c r="T31" s="6"/>
      <c r="U31" s="6"/>
      <c r="V31" s="6"/>
    </row>
    <row r="32" spans="1:22" s="1" customFormat="1" ht="15" customHeight="1" x14ac:dyDescent="0.25">
      <c r="B32" s="1" t="s">
        <v>145</v>
      </c>
      <c r="F32" s="83">
        <f>-Cals!F54</f>
        <v>0</v>
      </c>
      <c r="G32" s="83">
        <f>-Cals!G54</f>
        <v>0</v>
      </c>
      <c r="H32" s="83">
        <f>-Cals!H54</f>
        <v>0</v>
      </c>
      <c r="I32" s="83">
        <f>-Cals!I54</f>
        <v>0</v>
      </c>
      <c r="J32" s="83">
        <f>-Cals!J54</f>
        <v>0</v>
      </c>
      <c r="K32" s="83">
        <f>-Cals!K54</f>
        <v>0</v>
      </c>
      <c r="L32" s="83">
        <f>-Cals!L54</f>
        <v>0</v>
      </c>
      <c r="M32" s="83">
        <f>-Cals!M54</f>
        <v>0</v>
      </c>
      <c r="N32" s="83">
        <f>-Cals!N54</f>
        <v>0</v>
      </c>
      <c r="O32" s="83">
        <f>-Cals!O54</f>
        <v>0</v>
      </c>
      <c r="Q32" s="6"/>
      <c r="R32" s="6"/>
      <c r="S32" s="6"/>
      <c r="T32" s="6"/>
      <c r="U32" s="6"/>
      <c r="V32" s="6"/>
    </row>
    <row r="33" spans="1:22" s="1" customFormat="1" ht="15" customHeight="1" x14ac:dyDescent="0.25">
      <c r="B33" s="1" t="s">
        <v>146</v>
      </c>
      <c r="F33" s="83">
        <f>BS!F37-BS!E37</f>
        <v>0</v>
      </c>
      <c r="G33" s="83">
        <f>BS!G37-BS!F37</f>
        <v>0</v>
      </c>
      <c r="H33" s="83">
        <f>BS!H37-BS!G37</f>
        <v>0</v>
      </c>
      <c r="I33" s="83">
        <f>BS!I37-BS!H37</f>
        <v>0</v>
      </c>
      <c r="J33" s="83">
        <f>BS!J37-BS!I37</f>
        <v>0</v>
      </c>
      <c r="K33" s="83">
        <f>BS!K37-BS!J37</f>
        <v>0</v>
      </c>
      <c r="L33" s="83">
        <f>BS!L37-BS!K37</f>
        <v>0</v>
      </c>
      <c r="M33" s="83">
        <f>BS!M37-BS!L37</f>
        <v>0</v>
      </c>
      <c r="N33" s="83">
        <f>BS!N37-BS!M37</f>
        <v>0</v>
      </c>
      <c r="O33" s="83">
        <f>BS!O37-BS!N37</f>
        <v>0</v>
      </c>
      <c r="Q33" s="6"/>
      <c r="R33" s="6"/>
      <c r="S33" s="6"/>
      <c r="T33" s="6"/>
      <c r="U33" s="6"/>
      <c r="V33" s="6"/>
    </row>
    <row r="34" spans="1:22" s="1" customFormat="1" ht="15" customHeight="1" x14ac:dyDescent="0.25">
      <c r="B34" s="2" t="s">
        <v>139</v>
      </c>
      <c r="F34" s="84">
        <f t="shared" ref="F34:O34" ca="1" si="5">SUM(F27:F33)</f>
        <v>465.33315419846974</v>
      </c>
      <c r="G34" s="84">
        <f t="shared" ca="1" si="5"/>
        <v>341.88960683297501</v>
      </c>
      <c r="H34" s="84">
        <f t="shared" ca="1" si="5"/>
        <v>-278.96687093990909</v>
      </c>
      <c r="I34" s="84">
        <f t="shared" ca="1" si="5"/>
        <v>-1906.6915510911597</v>
      </c>
      <c r="J34" s="84">
        <f t="shared" ca="1" si="5"/>
        <v>-2389.859354349232</v>
      </c>
      <c r="K34" s="84">
        <f t="shared" ca="1" si="5"/>
        <v>-3141.7720413944999</v>
      </c>
      <c r="L34" s="84">
        <f t="shared" ca="1" si="5"/>
        <v>-5832.7210751073699</v>
      </c>
      <c r="M34" s="84">
        <f t="shared" ca="1" si="5"/>
        <v>-6266.8617394497242</v>
      </c>
      <c r="N34" s="84">
        <f t="shared" ca="1" si="5"/>
        <v>-6251.9028370012747</v>
      </c>
      <c r="O34" s="84">
        <f t="shared" ca="1" si="5"/>
        <v>-6618.8645194866931</v>
      </c>
      <c r="Q34" s="6"/>
      <c r="R34" s="6"/>
      <c r="S34" s="6"/>
      <c r="T34" s="6"/>
      <c r="U34" s="6"/>
      <c r="V34" s="6"/>
    </row>
    <row r="35" spans="1:22" s="1" customFormat="1" ht="15" customHeight="1" x14ac:dyDescent="0.25">
      <c r="F35" s="59"/>
      <c r="G35" s="59"/>
      <c r="H35" s="59"/>
      <c r="I35" s="59"/>
      <c r="J35" s="59"/>
      <c r="K35" s="59"/>
      <c r="L35" s="59"/>
      <c r="M35" s="59"/>
      <c r="N35" s="59"/>
      <c r="O35" s="59"/>
      <c r="Q35" s="6"/>
      <c r="R35" s="6"/>
      <c r="S35" s="6"/>
      <c r="T35" s="6"/>
      <c r="U35" s="6"/>
      <c r="V35" s="6"/>
    </row>
    <row r="36" spans="1:22" s="1" customFormat="1" ht="15" customHeight="1" x14ac:dyDescent="0.25">
      <c r="B36" s="1" t="s">
        <v>147</v>
      </c>
      <c r="F36" s="83">
        <f t="shared" ref="F36:O36" ca="1" si="6">F34+F24+F14</f>
        <v>3338.9678484198703</v>
      </c>
      <c r="G36" s="83">
        <f t="shared" ca="1" si="6"/>
        <v>5682.8829648399151</v>
      </c>
      <c r="H36" s="83">
        <f t="shared" ca="1" si="6"/>
        <v>7257.9759252557706</v>
      </c>
      <c r="I36" s="83">
        <f t="shared" ca="1" si="6"/>
        <v>7630.3516847577166</v>
      </c>
      <c r="J36" s="83">
        <f t="shared" ca="1" si="6"/>
        <v>7924.0501107181281</v>
      </c>
      <c r="K36" s="83">
        <f t="shared" ca="1" si="6"/>
        <v>7479.2557884206935</v>
      </c>
      <c r="L36" s="83">
        <f t="shared" ca="1" si="6"/>
        <v>5009.0249579125411</v>
      </c>
      <c r="M36" s="83">
        <f t="shared" ca="1" si="6"/>
        <v>4544.8049829954307</v>
      </c>
      <c r="N36" s="83">
        <f t="shared" ca="1" si="6"/>
        <v>4976.0207242457727</v>
      </c>
      <c r="O36" s="83">
        <f t="shared" ca="1" si="6"/>
        <v>4838.4077642121301</v>
      </c>
      <c r="Q36" s="6"/>
      <c r="R36" s="6"/>
      <c r="S36" s="6"/>
      <c r="T36" s="6"/>
      <c r="U36" s="6"/>
      <c r="V36" s="6"/>
    </row>
    <row r="37" spans="1:22" s="1" customFormat="1" ht="15" customHeight="1" x14ac:dyDescent="0.25">
      <c r="B37" s="1" t="s">
        <v>148</v>
      </c>
      <c r="F37" s="83">
        <f>BS!E7</f>
        <v>6915.5089719499992</v>
      </c>
      <c r="G37" s="83">
        <f ca="1">BS!F7</f>
        <v>10254.47682036987</v>
      </c>
      <c r="H37" s="83">
        <f ca="1">BS!G7</f>
        <v>15937.359785209785</v>
      </c>
      <c r="I37" s="83">
        <f ca="1">BS!H7</f>
        <v>23195.335710465555</v>
      </c>
      <c r="J37" s="83">
        <f ca="1">BS!I7</f>
        <v>30825.687395223271</v>
      </c>
      <c r="K37" s="83">
        <f ca="1">BS!J7</f>
        <v>38749.737505941397</v>
      </c>
      <c r="L37" s="83">
        <f ca="1">BS!K7</f>
        <v>46228.993294362088</v>
      </c>
      <c r="M37" s="83">
        <f ca="1">BS!L7</f>
        <v>51238.018252274633</v>
      </c>
      <c r="N37" s="83">
        <f ca="1">BS!M7</f>
        <v>55782.823235270065</v>
      </c>
      <c r="O37" s="83">
        <f ca="1">BS!N7</f>
        <v>60758.843959515842</v>
      </c>
      <c r="Q37" s="6"/>
      <c r="R37" s="6"/>
      <c r="S37" s="6"/>
      <c r="T37" s="6"/>
      <c r="U37" s="6"/>
      <c r="V37" s="6"/>
    </row>
    <row r="38" spans="1:22" s="1" customFormat="1" ht="15" customHeight="1" x14ac:dyDescent="0.25">
      <c r="B38" s="1" t="s">
        <v>149</v>
      </c>
      <c r="F38" s="83">
        <f t="shared" ref="F38:O38" ca="1" si="7">SUM(F36:F37)</f>
        <v>10254.47682036987</v>
      </c>
      <c r="G38" s="83">
        <f t="shared" ca="1" si="7"/>
        <v>15937.359785209785</v>
      </c>
      <c r="H38" s="83">
        <f t="shared" ca="1" si="7"/>
        <v>23195.335710465555</v>
      </c>
      <c r="I38" s="83">
        <f t="shared" ca="1" si="7"/>
        <v>30825.687395223271</v>
      </c>
      <c r="J38" s="83">
        <f t="shared" ca="1" si="7"/>
        <v>38749.737505941397</v>
      </c>
      <c r="K38" s="83">
        <f t="shared" ca="1" si="7"/>
        <v>46228.993294362088</v>
      </c>
      <c r="L38" s="83">
        <f t="shared" ca="1" si="7"/>
        <v>51238.018252274633</v>
      </c>
      <c r="M38" s="83">
        <f t="shared" ca="1" si="7"/>
        <v>55782.823235270065</v>
      </c>
      <c r="N38" s="83">
        <f t="shared" ca="1" si="7"/>
        <v>60758.843959515842</v>
      </c>
      <c r="O38" s="83">
        <f t="shared" ca="1" si="7"/>
        <v>65597.251723727968</v>
      </c>
      <c r="Q38" s="6"/>
      <c r="R38" s="6"/>
      <c r="S38" s="6"/>
      <c r="T38" s="6"/>
      <c r="U38" s="6"/>
      <c r="V38" s="6"/>
    </row>
    <row r="39" spans="1:22" s="1" customFormat="1" ht="15" customHeight="1" x14ac:dyDescent="0.25">
      <c r="F39" s="59"/>
      <c r="G39" s="59"/>
      <c r="H39" s="59"/>
      <c r="I39" s="59"/>
      <c r="J39" s="59"/>
      <c r="K39" s="59"/>
      <c r="L39" s="59"/>
      <c r="M39" s="59"/>
      <c r="N39" s="59"/>
      <c r="O39" s="59"/>
      <c r="Q39" s="6"/>
      <c r="R39" s="6"/>
      <c r="S39" s="6"/>
      <c r="T39" s="6"/>
      <c r="U39" s="6"/>
      <c r="V39" s="6"/>
    </row>
    <row r="40" spans="1:22" s="1" customFormat="1" ht="15" customHeight="1" x14ac:dyDescent="0.25">
      <c r="A40" s="2" t="s">
        <v>31</v>
      </c>
      <c r="F40" s="59"/>
      <c r="G40" s="59"/>
      <c r="H40" s="59"/>
      <c r="I40" s="59"/>
      <c r="J40" s="59"/>
      <c r="K40" s="59"/>
      <c r="L40" s="59"/>
      <c r="M40" s="59"/>
      <c r="N40" s="59"/>
      <c r="O40" s="59"/>
      <c r="Q40" s="6"/>
      <c r="R40" s="6"/>
      <c r="S40" s="6"/>
      <c r="T40" s="6"/>
      <c r="U40" s="6"/>
      <c r="V40" s="6"/>
    </row>
    <row r="41" spans="1:22" s="1" customFormat="1" ht="15" customHeight="1" x14ac:dyDescent="0.25">
      <c r="B41" s="1" t="s">
        <v>150</v>
      </c>
      <c r="F41" s="83">
        <f>IS!F17*Assumption!F54</f>
        <v>2141.0619196816924</v>
      </c>
      <c r="G41" s="83">
        <f>IS!G17*Assumption!G54</f>
        <v>2590.6849228148485</v>
      </c>
      <c r="H41" s="83">
        <f>IS!H17*Assumption!H54</f>
        <v>3029.2172252040527</v>
      </c>
      <c r="I41" s="83">
        <f>IS!I17*Assumption!I54</f>
        <v>3483.5998089846603</v>
      </c>
      <c r="J41" s="83">
        <f>IS!J17*Assumption!J54</f>
        <v>3901.6317860628201</v>
      </c>
      <c r="K41" s="83">
        <f>IS!K17*Assumption!K54</f>
        <v>4213.7623289478461</v>
      </c>
      <c r="L41" s="83">
        <f>IS!L17*Assumption!L54</f>
        <v>4424.4504453952395</v>
      </c>
      <c r="M41" s="83">
        <f>IS!M17*Assumption!M54</f>
        <v>4601.4284632110484</v>
      </c>
      <c r="N41" s="83">
        <f>IS!N17*Assumption!N54</f>
        <v>4785.4856017394895</v>
      </c>
      <c r="O41" s="83">
        <f>IS!O17*Assumption!O54</f>
        <v>4929.0501697916752</v>
      </c>
      <c r="Q41" s="6"/>
      <c r="R41" s="6"/>
      <c r="S41" s="6"/>
      <c r="T41" s="6"/>
      <c r="U41" s="6"/>
      <c r="V41" s="6"/>
    </row>
    <row r="42" spans="1:22" s="1" customFormat="1" ht="15" customHeight="1" x14ac:dyDescent="0.25">
      <c r="B42" s="1" t="s">
        <v>151</v>
      </c>
      <c r="F42" s="84">
        <f t="shared" ref="F42:O42" ca="1" si="8">MAX(0,F41-F38)</f>
        <v>0</v>
      </c>
      <c r="G42" s="84">
        <f t="shared" ca="1" si="8"/>
        <v>0</v>
      </c>
      <c r="H42" s="84">
        <f t="shared" ca="1" si="8"/>
        <v>0</v>
      </c>
      <c r="I42" s="84">
        <f t="shared" ca="1" si="8"/>
        <v>0</v>
      </c>
      <c r="J42" s="84">
        <f t="shared" ca="1" si="8"/>
        <v>0</v>
      </c>
      <c r="K42" s="84">
        <f t="shared" ca="1" si="8"/>
        <v>0</v>
      </c>
      <c r="L42" s="84">
        <f t="shared" ca="1" si="8"/>
        <v>0</v>
      </c>
      <c r="M42" s="84">
        <f t="shared" ca="1" si="8"/>
        <v>0</v>
      </c>
      <c r="N42" s="84">
        <f t="shared" ca="1" si="8"/>
        <v>0</v>
      </c>
      <c r="O42" s="84">
        <f t="shared" ca="1" si="8"/>
        <v>0</v>
      </c>
      <c r="Q42" s="6"/>
      <c r="R42" s="6"/>
      <c r="S42" s="6"/>
      <c r="T42" s="6"/>
      <c r="U42" s="6"/>
      <c r="V42" s="6"/>
    </row>
    <row r="43" spans="1:22" s="1" customFormat="1" ht="15" customHeight="1" x14ac:dyDescent="0.25">
      <c r="B43" s="1" t="s">
        <v>152</v>
      </c>
      <c r="F43" s="84">
        <f t="shared" ref="F43:O43" ca="1" si="9">F42+F38</f>
        <v>10254.47682036987</v>
      </c>
      <c r="G43" s="84">
        <f t="shared" ca="1" si="9"/>
        <v>15937.359785209785</v>
      </c>
      <c r="H43" s="84">
        <f t="shared" ca="1" si="9"/>
        <v>23195.335710465555</v>
      </c>
      <c r="I43" s="84">
        <f t="shared" ca="1" si="9"/>
        <v>30825.687395223271</v>
      </c>
      <c r="J43" s="84">
        <f t="shared" ca="1" si="9"/>
        <v>38749.737505941397</v>
      </c>
      <c r="K43" s="84">
        <f t="shared" ca="1" si="9"/>
        <v>46228.993294362088</v>
      </c>
      <c r="L43" s="84">
        <f t="shared" ca="1" si="9"/>
        <v>51238.018252274633</v>
      </c>
      <c r="M43" s="84">
        <f t="shared" ca="1" si="9"/>
        <v>55782.823235270065</v>
      </c>
      <c r="N43" s="84">
        <f t="shared" ca="1" si="9"/>
        <v>60758.843959515842</v>
      </c>
      <c r="O43" s="84">
        <f t="shared" ca="1" si="9"/>
        <v>65597.251723727968</v>
      </c>
      <c r="Q43" s="6"/>
      <c r="R43" s="6"/>
      <c r="S43" s="6"/>
      <c r="T43" s="6"/>
      <c r="U43" s="6"/>
      <c r="V43" s="6"/>
    </row>
    <row r="44" spans="1:22" s="1" customFormat="1" ht="15" customHeight="1" x14ac:dyDescent="0.25">
      <c r="Q44" s="6"/>
      <c r="R44" s="6"/>
      <c r="S44" s="6"/>
      <c r="T44" s="6"/>
      <c r="U44" s="6"/>
      <c r="V44" s="6"/>
    </row>
    <row r="45" spans="1:22" s="1" customFormat="1" ht="15" customHeight="1" x14ac:dyDescent="0.25">
      <c r="Q45" s="6"/>
      <c r="R45" s="6"/>
      <c r="S45" s="6"/>
      <c r="T45" s="6"/>
      <c r="U45" s="6"/>
      <c r="V45" s="6"/>
    </row>
    <row r="46" spans="1:22" s="1" customFormat="1" ht="15" customHeight="1" x14ac:dyDescent="0.25">
      <c r="Q46" s="6"/>
      <c r="R46" s="6"/>
      <c r="S46" s="6"/>
      <c r="T46" s="6"/>
      <c r="U46" s="6"/>
      <c r="V46" s="6"/>
    </row>
    <row r="47" spans="1:22" s="1" customFormat="1" ht="15" customHeight="1" x14ac:dyDescent="0.25">
      <c r="Q47" s="6"/>
      <c r="R47" s="6"/>
      <c r="S47" s="6"/>
      <c r="T47" s="6"/>
      <c r="U47" s="6"/>
      <c r="V47" s="6"/>
    </row>
    <row r="48" spans="1:22" s="1" customFormat="1" ht="15" customHeight="1" x14ac:dyDescent="0.25">
      <c r="Q48" s="6"/>
      <c r="R48" s="6"/>
      <c r="S48" s="6"/>
      <c r="T48" s="6"/>
      <c r="U48" s="6"/>
      <c r="V48" s="6"/>
    </row>
    <row r="49" spans="17:22" s="1" customFormat="1" ht="15" customHeight="1" x14ac:dyDescent="0.25">
      <c r="Q49" s="6"/>
      <c r="R49" s="6"/>
      <c r="S49" s="6"/>
      <c r="T49" s="6"/>
      <c r="U49" s="6"/>
      <c r="V49" s="6"/>
    </row>
    <row r="50" spans="17:22" s="1" customFormat="1" ht="15" customHeight="1" x14ac:dyDescent="0.25">
      <c r="Q50" s="6"/>
      <c r="R50" s="6"/>
      <c r="S50" s="6"/>
      <c r="T50" s="6"/>
      <c r="U50" s="6"/>
      <c r="V50" s="6"/>
    </row>
    <row r="51" spans="17:22" s="1" customFormat="1" ht="15" customHeight="1" x14ac:dyDescent="0.25">
      <c r="Q51" s="6"/>
      <c r="R51" s="6"/>
      <c r="S51" s="6"/>
      <c r="T51" s="6"/>
      <c r="U51" s="6"/>
      <c r="V51" s="6"/>
    </row>
    <row r="52" spans="17:22" s="1" customFormat="1" ht="15" customHeight="1" x14ac:dyDescent="0.25">
      <c r="Q52" s="6"/>
      <c r="R52" s="6"/>
      <c r="S52" s="6"/>
      <c r="T52" s="6"/>
      <c r="U52" s="6"/>
      <c r="V52" s="6"/>
    </row>
    <row r="53" spans="17:22" s="1" customFormat="1" ht="15" customHeight="1" x14ac:dyDescent="0.25">
      <c r="Q53" s="6"/>
      <c r="R53" s="6"/>
      <c r="S53" s="6"/>
      <c r="T53" s="6"/>
      <c r="U53" s="6"/>
      <c r="V53" s="6"/>
    </row>
    <row r="54" spans="17:22" s="1" customFormat="1" ht="15" customHeight="1" x14ac:dyDescent="0.25">
      <c r="Q54" s="6"/>
      <c r="R54" s="6"/>
      <c r="S54" s="6"/>
      <c r="T54" s="6"/>
      <c r="U54" s="6"/>
      <c r="V54" s="6"/>
    </row>
    <row r="55" spans="17:22" s="1" customFormat="1" ht="15" customHeight="1" x14ac:dyDescent="0.25">
      <c r="Q55" s="6"/>
      <c r="R55" s="6"/>
      <c r="S55" s="6"/>
      <c r="T55" s="6"/>
      <c r="U55" s="6"/>
      <c r="V55" s="6"/>
    </row>
    <row r="56" spans="17:22" s="1" customFormat="1" ht="15" customHeight="1" x14ac:dyDescent="0.25">
      <c r="Q56" s="6"/>
      <c r="R56" s="6"/>
      <c r="S56" s="6"/>
      <c r="T56" s="6"/>
      <c r="U56" s="6"/>
      <c r="V56" s="6"/>
    </row>
    <row r="57" spans="17:22" s="1" customFormat="1" ht="15" customHeight="1" x14ac:dyDescent="0.25">
      <c r="Q57" s="6"/>
      <c r="R57" s="6"/>
      <c r="S57" s="6"/>
      <c r="T57" s="6"/>
      <c r="U57" s="6"/>
      <c r="V57" s="6"/>
    </row>
    <row r="58" spans="17:22" s="1" customFormat="1" ht="15" customHeight="1" x14ac:dyDescent="0.25">
      <c r="Q58" s="6"/>
      <c r="R58" s="6"/>
      <c r="S58" s="6"/>
      <c r="T58" s="6"/>
      <c r="U58" s="6"/>
      <c r="V58" s="6"/>
    </row>
    <row r="59" spans="17:22" s="1" customFormat="1" ht="15" customHeight="1" x14ac:dyDescent="0.25">
      <c r="Q59" s="6"/>
      <c r="R59" s="6"/>
      <c r="S59" s="6"/>
      <c r="T59" s="6"/>
      <c r="U59" s="6"/>
      <c r="V59" s="6"/>
    </row>
    <row r="60" spans="17:22" s="1" customFormat="1" ht="15" customHeight="1" x14ac:dyDescent="0.25">
      <c r="Q60" s="6"/>
      <c r="R60" s="6"/>
      <c r="S60" s="6"/>
      <c r="T60" s="6"/>
      <c r="U60" s="6"/>
      <c r="V60" s="6"/>
    </row>
    <row r="61" spans="17:22" s="1" customFormat="1" ht="15" customHeight="1" x14ac:dyDescent="0.25">
      <c r="Q61" s="6"/>
      <c r="R61" s="6"/>
      <c r="S61" s="6"/>
      <c r="T61" s="6"/>
      <c r="U61" s="6"/>
      <c r="V61" s="6"/>
    </row>
    <row r="62" spans="17:22" s="1" customFormat="1" ht="15" customHeight="1" x14ac:dyDescent="0.25">
      <c r="Q62" s="6"/>
      <c r="R62" s="6"/>
      <c r="S62" s="6"/>
      <c r="T62" s="6"/>
      <c r="U62" s="6"/>
      <c r="V62" s="6"/>
    </row>
    <row r="63" spans="17:22" s="1" customFormat="1" ht="15" customHeight="1" x14ac:dyDescent="0.25">
      <c r="Q63" s="6"/>
      <c r="R63" s="6"/>
      <c r="S63" s="6"/>
      <c r="T63" s="6"/>
      <c r="U63" s="6"/>
      <c r="V63" s="6"/>
    </row>
    <row r="64" spans="17:22" s="1" customFormat="1" ht="15" customHeight="1" x14ac:dyDescent="0.25">
      <c r="Q64" s="6"/>
      <c r="R64" s="6"/>
      <c r="S64" s="6"/>
      <c r="T64" s="6"/>
      <c r="U64" s="6"/>
      <c r="V64" s="6"/>
    </row>
    <row r="65" spans="17:22" s="1" customFormat="1" ht="15" customHeight="1" x14ac:dyDescent="0.25">
      <c r="Q65" s="6"/>
      <c r="R65" s="6"/>
      <c r="S65" s="6"/>
      <c r="T65" s="6"/>
      <c r="U65" s="6"/>
      <c r="V65" s="6"/>
    </row>
    <row r="66" spans="17:22" s="1" customFormat="1" ht="15" customHeight="1" x14ac:dyDescent="0.25">
      <c r="Q66" s="6"/>
      <c r="R66" s="6"/>
      <c r="S66" s="6"/>
      <c r="T66" s="6"/>
      <c r="U66" s="6"/>
      <c r="V66" s="6"/>
    </row>
    <row r="67" spans="17:22" s="1" customFormat="1" ht="15" customHeight="1" x14ac:dyDescent="0.25">
      <c r="Q67" s="6"/>
      <c r="R67" s="6"/>
      <c r="S67" s="6"/>
      <c r="T67" s="6"/>
      <c r="U67" s="6"/>
      <c r="V67" s="6"/>
    </row>
    <row r="68" spans="17:22" s="1" customFormat="1" ht="15" customHeight="1" x14ac:dyDescent="0.25">
      <c r="Q68" s="6"/>
      <c r="R68" s="6"/>
      <c r="S68" s="6"/>
      <c r="T68" s="6"/>
      <c r="U68" s="6"/>
      <c r="V68" s="6"/>
    </row>
    <row r="69" spans="17:22" s="1" customFormat="1" ht="15" customHeight="1" x14ac:dyDescent="0.25">
      <c r="Q69" s="6"/>
      <c r="R69" s="6"/>
      <c r="S69" s="6"/>
      <c r="T69" s="6"/>
      <c r="U69" s="6"/>
      <c r="V69" s="6"/>
    </row>
    <row r="70" spans="17:22" s="1" customFormat="1" ht="15" customHeight="1" x14ac:dyDescent="0.25">
      <c r="Q70" s="6"/>
      <c r="R70" s="6"/>
      <c r="S70" s="6"/>
      <c r="T70" s="6"/>
      <c r="U70" s="6"/>
      <c r="V70" s="6"/>
    </row>
    <row r="71" spans="17:22" s="1" customFormat="1" ht="15" customHeight="1" x14ac:dyDescent="0.25">
      <c r="Q71" s="6"/>
      <c r="R71" s="6"/>
      <c r="S71" s="6"/>
      <c r="T71" s="6"/>
      <c r="U71" s="6"/>
      <c r="V71" s="6"/>
    </row>
    <row r="72" spans="17:22" s="1" customFormat="1" ht="15" customHeight="1" x14ac:dyDescent="0.25">
      <c r="Q72" s="6"/>
      <c r="R72" s="6"/>
      <c r="S72" s="6"/>
      <c r="T72" s="6"/>
      <c r="U72" s="6"/>
      <c r="V72" s="6"/>
    </row>
    <row r="73" spans="17:22" s="1" customFormat="1" ht="15" customHeight="1" x14ac:dyDescent="0.25">
      <c r="Q73" s="6"/>
      <c r="R73" s="6"/>
      <c r="S73" s="6"/>
      <c r="T73" s="6"/>
      <c r="U73" s="6"/>
      <c r="V73" s="6"/>
    </row>
    <row r="74" spans="17:22" s="1" customFormat="1" ht="15" customHeight="1" x14ac:dyDescent="0.25">
      <c r="Q74" s="6"/>
      <c r="R74" s="6"/>
      <c r="S74" s="6"/>
      <c r="T74" s="6"/>
      <c r="U74" s="6"/>
      <c r="V74" s="6"/>
    </row>
    <row r="75" spans="17:22" s="1" customFormat="1" ht="15" customHeight="1" x14ac:dyDescent="0.25">
      <c r="Q75" s="6"/>
      <c r="R75" s="6"/>
      <c r="S75" s="6"/>
      <c r="T75" s="6"/>
      <c r="U75" s="6"/>
      <c r="V75" s="6"/>
    </row>
    <row r="76" spans="17:22" s="1" customFormat="1" ht="15" customHeight="1" x14ac:dyDescent="0.25">
      <c r="Q76" s="6"/>
      <c r="R76" s="6"/>
      <c r="S76" s="6"/>
      <c r="T76" s="6"/>
      <c r="U76" s="6"/>
      <c r="V76" s="6"/>
    </row>
    <row r="77" spans="17:22" s="1" customFormat="1" ht="15" customHeight="1" x14ac:dyDescent="0.25">
      <c r="Q77" s="6"/>
      <c r="R77" s="6"/>
      <c r="S77" s="6"/>
      <c r="T77" s="6"/>
      <c r="U77" s="6"/>
      <c r="V77" s="6"/>
    </row>
    <row r="78" spans="17:22" s="1" customFormat="1" ht="15" customHeight="1" x14ac:dyDescent="0.25">
      <c r="Q78" s="6"/>
      <c r="R78" s="6"/>
      <c r="S78" s="6"/>
      <c r="T78" s="6"/>
      <c r="U78" s="6"/>
      <c r="V78" s="6"/>
    </row>
    <row r="79" spans="17:22" s="1" customFormat="1" ht="15" customHeight="1" x14ac:dyDescent="0.25">
      <c r="Q79" s="6"/>
      <c r="R79" s="6"/>
      <c r="S79" s="6"/>
      <c r="T79" s="6"/>
      <c r="U79" s="6"/>
      <c r="V79" s="6"/>
    </row>
    <row r="80" spans="17:22" s="1" customFormat="1" ht="15" customHeight="1" x14ac:dyDescent="0.25">
      <c r="Q80" s="6"/>
      <c r="R80" s="6"/>
      <c r="S80" s="6"/>
      <c r="T80" s="6"/>
      <c r="U80" s="6"/>
      <c r="V80" s="6"/>
    </row>
    <row r="81" spans="17:22" s="1" customFormat="1" ht="15" customHeight="1" x14ac:dyDescent="0.25">
      <c r="Q81" s="6"/>
      <c r="R81" s="6"/>
      <c r="S81" s="6"/>
      <c r="T81" s="6"/>
      <c r="U81" s="6"/>
      <c r="V81" s="6"/>
    </row>
    <row r="82" spans="17:22" s="1" customFormat="1" ht="15" customHeight="1" x14ac:dyDescent="0.25">
      <c r="Q82" s="6"/>
      <c r="R82" s="6"/>
      <c r="S82" s="6"/>
      <c r="T82" s="6"/>
      <c r="U82" s="6"/>
      <c r="V82" s="6"/>
    </row>
    <row r="83" spans="17:22" s="1" customFormat="1" ht="15" customHeight="1" x14ac:dyDescent="0.25">
      <c r="Q83" s="6"/>
      <c r="R83" s="6"/>
      <c r="S83" s="6"/>
      <c r="T83" s="6"/>
      <c r="U83" s="6"/>
      <c r="V83" s="6"/>
    </row>
    <row r="84" spans="17:22" s="1" customFormat="1" ht="15" customHeight="1" x14ac:dyDescent="0.25">
      <c r="Q84" s="6"/>
      <c r="R84" s="6"/>
      <c r="S84" s="6"/>
      <c r="T84" s="6"/>
      <c r="U84" s="6"/>
      <c r="V84" s="6"/>
    </row>
    <row r="85" spans="17:22" s="1" customFormat="1" ht="15" customHeight="1" x14ac:dyDescent="0.25">
      <c r="Q85" s="6"/>
      <c r="R85" s="6"/>
      <c r="S85" s="6"/>
      <c r="T85" s="6"/>
      <c r="U85" s="6"/>
      <c r="V85" s="6"/>
    </row>
    <row r="86" spans="17:22" s="1" customFormat="1" ht="15" customHeight="1" x14ac:dyDescent="0.25">
      <c r="Q86" s="6"/>
      <c r="R86" s="6"/>
      <c r="S86" s="6"/>
      <c r="T86" s="6"/>
      <c r="U86" s="6"/>
      <c r="V86" s="6"/>
    </row>
    <row r="87" spans="17:22" s="1" customFormat="1" ht="15" customHeight="1" x14ac:dyDescent="0.25">
      <c r="Q87" s="6"/>
      <c r="R87" s="6"/>
      <c r="S87" s="6"/>
      <c r="T87" s="6"/>
      <c r="U87" s="6"/>
      <c r="V87" s="6"/>
    </row>
    <row r="88" spans="17:22" s="1" customFormat="1" ht="15" customHeight="1" x14ac:dyDescent="0.25">
      <c r="Q88" s="6"/>
      <c r="R88" s="6"/>
      <c r="S88" s="6"/>
      <c r="T88" s="6"/>
      <c r="U88" s="6"/>
      <c r="V88" s="6"/>
    </row>
    <row r="89" spans="17:22" s="1" customFormat="1" ht="15" customHeight="1" x14ac:dyDescent="0.25">
      <c r="Q89" s="6"/>
      <c r="R89" s="6"/>
      <c r="S89" s="6"/>
      <c r="T89" s="6"/>
      <c r="U89" s="6"/>
      <c r="V89" s="6"/>
    </row>
    <row r="90" spans="17:22" s="1" customFormat="1" ht="15" customHeight="1" x14ac:dyDescent="0.25">
      <c r="Q90" s="6"/>
      <c r="R90" s="6"/>
      <c r="S90" s="6"/>
      <c r="T90" s="6"/>
      <c r="U90" s="6"/>
      <c r="V90" s="6"/>
    </row>
    <row r="91" spans="17:22" s="1" customFormat="1" ht="15" customHeight="1" x14ac:dyDescent="0.25">
      <c r="Q91" s="6"/>
      <c r="R91" s="6"/>
      <c r="S91" s="6"/>
      <c r="T91" s="6"/>
      <c r="U91" s="6"/>
      <c r="V91" s="6"/>
    </row>
    <row r="92" spans="17:22" s="1" customFormat="1" ht="15" customHeight="1" x14ac:dyDescent="0.25">
      <c r="Q92" s="6"/>
      <c r="R92" s="6"/>
      <c r="S92" s="6"/>
      <c r="T92" s="6"/>
      <c r="U92" s="6"/>
      <c r="V92" s="6"/>
    </row>
    <row r="93" spans="17:22" s="1" customFormat="1" ht="15" customHeight="1" x14ac:dyDescent="0.25">
      <c r="Q93" s="6"/>
      <c r="R93" s="6"/>
      <c r="S93" s="6"/>
      <c r="T93" s="6"/>
      <c r="U93" s="6"/>
      <c r="V93" s="6"/>
    </row>
    <row r="94" spans="17:22" s="1" customFormat="1" ht="15" customHeight="1" x14ac:dyDescent="0.25">
      <c r="Q94" s="6"/>
      <c r="R94" s="6"/>
      <c r="S94" s="6"/>
      <c r="T94" s="6"/>
      <c r="U94" s="6"/>
      <c r="V94" s="6"/>
    </row>
    <row r="95" spans="17:22" s="1" customFormat="1" ht="15" customHeight="1" x14ac:dyDescent="0.25">
      <c r="Q95" s="6"/>
      <c r="R95" s="6"/>
      <c r="S95" s="6"/>
      <c r="T95" s="6"/>
      <c r="U95" s="6"/>
      <c r="V95" s="6"/>
    </row>
    <row r="96" spans="17:22" s="1" customFormat="1" ht="15" customHeight="1" x14ac:dyDescent="0.25">
      <c r="Q96" s="6"/>
      <c r="R96" s="6"/>
      <c r="S96" s="6"/>
      <c r="T96" s="6"/>
      <c r="U96" s="6"/>
      <c r="V96" s="6"/>
    </row>
    <row r="97" spans="17:22" s="1" customFormat="1" ht="15" customHeight="1" x14ac:dyDescent="0.25">
      <c r="Q97" s="6"/>
      <c r="R97" s="6"/>
      <c r="S97" s="6"/>
      <c r="T97" s="6"/>
      <c r="U97" s="6"/>
      <c r="V97" s="6"/>
    </row>
    <row r="98" spans="17:22" s="1" customFormat="1" ht="15" customHeight="1" x14ac:dyDescent="0.25">
      <c r="Q98" s="6"/>
      <c r="R98" s="6"/>
      <c r="S98" s="6"/>
      <c r="T98" s="6"/>
      <c r="U98" s="6"/>
      <c r="V98" s="6"/>
    </row>
    <row r="99" spans="17:22" s="1" customFormat="1" ht="15" customHeight="1" x14ac:dyDescent="0.25">
      <c r="Q99" s="6"/>
      <c r="R99" s="6"/>
      <c r="S99" s="6"/>
      <c r="T99" s="6"/>
      <c r="U99" s="6"/>
      <c r="V99" s="6"/>
    </row>
    <row r="100" spans="17:22" s="1" customFormat="1" ht="15" customHeight="1" x14ac:dyDescent="0.25">
      <c r="Q100" s="6"/>
      <c r="R100" s="6"/>
      <c r="S100" s="6"/>
      <c r="T100" s="6"/>
      <c r="U100" s="6"/>
      <c r="V100" s="6"/>
    </row>
    <row r="101" spans="17:22" s="1" customFormat="1" ht="15" customHeight="1" x14ac:dyDescent="0.25">
      <c r="Q101" s="6"/>
      <c r="R101" s="6"/>
      <c r="S101" s="6"/>
      <c r="T101" s="6"/>
      <c r="U101" s="6"/>
      <c r="V101" s="6"/>
    </row>
    <row r="102" spans="17:22" s="1" customFormat="1" ht="15" customHeight="1" x14ac:dyDescent="0.25">
      <c r="Q102" s="6"/>
      <c r="R102" s="6"/>
      <c r="S102" s="6"/>
      <c r="T102" s="6"/>
      <c r="U102" s="6"/>
      <c r="V102" s="6"/>
    </row>
    <row r="103" spans="17:22" s="1" customFormat="1" ht="15" customHeight="1" x14ac:dyDescent="0.25">
      <c r="Q103" s="6"/>
      <c r="R103" s="6"/>
      <c r="S103" s="6"/>
      <c r="T103" s="6"/>
      <c r="U103" s="6"/>
      <c r="V103" s="6"/>
    </row>
    <row r="104" spans="17:22" s="1" customFormat="1" ht="15" customHeight="1" x14ac:dyDescent="0.25">
      <c r="Q104" s="6"/>
      <c r="R104" s="6"/>
      <c r="S104" s="6"/>
      <c r="T104" s="6"/>
      <c r="U104" s="6"/>
      <c r="V104" s="6"/>
    </row>
    <row r="105" spans="17:22" s="1" customFormat="1" ht="15" customHeight="1" x14ac:dyDescent="0.25">
      <c r="Q105" s="6"/>
      <c r="R105" s="6"/>
      <c r="S105" s="6"/>
      <c r="T105" s="6"/>
      <c r="U105" s="6"/>
      <c r="V105" s="6"/>
    </row>
    <row r="106" spans="17:22" s="1" customFormat="1" ht="15" customHeight="1" x14ac:dyDescent="0.25">
      <c r="Q106" s="6"/>
      <c r="R106" s="6"/>
      <c r="S106" s="6"/>
      <c r="T106" s="6"/>
      <c r="U106" s="6"/>
      <c r="V106" s="6"/>
    </row>
    <row r="107" spans="17:22" s="1" customFormat="1" ht="15" customHeight="1" x14ac:dyDescent="0.25">
      <c r="Q107" s="6"/>
      <c r="R107" s="6"/>
      <c r="S107" s="6"/>
      <c r="T107" s="6"/>
      <c r="U107" s="6"/>
      <c r="V107" s="6"/>
    </row>
    <row r="108" spans="17:22" s="1" customFormat="1" ht="15" customHeight="1" x14ac:dyDescent="0.25">
      <c r="Q108" s="6"/>
      <c r="R108" s="6"/>
      <c r="S108" s="6"/>
      <c r="T108" s="6"/>
      <c r="U108" s="6"/>
      <c r="V108" s="6"/>
    </row>
    <row r="109" spans="17:22" s="1" customFormat="1" ht="15" customHeight="1" x14ac:dyDescent="0.25">
      <c r="Q109" s="6"/>
      <c r="R109" s="6"/>
      <c r="S109" s="6"/>
      <c r="T109" s="6"/>
      <c r="U109" s="6"/>
      <c r="V109" s="6"/>
    </row>
    <row r="110" spans="17:22" s="1" customFormat="1" ht="15" customHeight="1" x14ac:dyDescent="0.25">
      <c r="Q110" s="6"/>
      <c r="R110" s="6"/>
      <c r="S110" s="6"/>
      <c r="T110" s="6"/>
      <c r="U110" s="6"/>
      <c r="V110" s="6"/>
    </row>
    <row r="111" spans="17:22" s="1" customFormat="1" ht="15" customHeight="1" x14ac:dyDescent="0.25">
      <c r="Q111" s="6"/>
      <c r="R111" s="6"/>
      <c r="S111" s="6"/>
      <c r="T111" s="6"/>
      <c r="U111" s="6"/>
      <c r="V111" s="6"/>
    </row>
    <row r="112" spans="17:22" s="1" customFormat="1" ht="15" customHeight="1" x14ac:dyDescent="0.25">
      <c r="Q112" s="6"/>
      <c r="R112" s="6"/>
      <c r="S112" s="6"/>
      <c r="T112" s="6"/>
      <c r="U112" s="6"/>
      <c r="V112" s="6"/>
    </row>
    <row r="113" spans="17:22" s="1" customFormat="1" ht="15" customHeight="1" x14ac:dyDescent="0.25">
      <c r="Q113" s="6"/>
      <c r="R113" s="6"/>
      <c r="S113" s="6"/>
      <c r="T113" s="6"/>
      <c r="U113" s="6"/>
      <c r="V113" s="6"/>
    </row>
    <row r="114" spans="17:22" ht="15" customHeight="1" x14ac:dyDescent="0.25"/>
    <row r="115" spans="17:22" ht="15" customHeight="1" x14ac:dyDescent="0.25"/>
    <row r="116" spans="17:22" ht="15" customHeight="1" x14ac:dyDescent="0.25"/>
    <row r="117" spans="17:22" ht="15" customHeight="1" x14ac:dyDescent="0.25"/>
    <row r="118" spans="17:22" ht="15" customHeight="1" x14ac:dyDescent="0.2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V120"/>
  <sheetViews>
    <sheetView zoomScale="120" zoomScaleNormal="120" workbookViewId="0">
      <pane xSplit="2" ySplit="3" topLeftCell="C4" activePane="bottomRight" state="frozen"/>
      <selection pane="topRight"/>
      <selection pane="bottomLeft"/>
      <selection pane="bottomRight" activeCell="C4" sqref="C4"/>
    </sheetView>
  </sheetViews>
  <sheetFormatPr defaultColWidth="0" defaultRowHeight="14.25" x14ac:dyDescent="0.25"/>
  <cols>
    <col min="1" max="1" width="1.7109375" style="1" customWidth="1"/>
    <col min="2" max="2" width="39.7109375" style="1" customWidth="1"/>
    <col min="3" max="15" width="10.7109375" style="1" customWidth="1"/>
    <col min="16" max="16" width="1.7109375" style="1" hidden="1" customWidth="1"/>
    <col min="17" max="22" width="9.7109375" style="6" hidden="1" customWidth="1"/>
    <col min="23" max="16384" width="9.140625" style="6" hidden="1"/>
  </cols>
  <sheetData>
    <row r="1" spans="1:22" ht="24" customHeight="1" x14ac:dyDescent="0.2">
      <c r="A1" s="71" t="s">
        <v>277</v>
      </c>
      <c r="B1" s="72"/>
      <c r="C1" s="72"/>
      <c r="D1" s="72"/>
      <c r="E1" s="72"/>
      <c r="F1" s="72"/>
      <c r="G1" s="72"/>
      <c r="H1" s="72"/>
      <c r="I1" s="72"/>
      <c r="J1" s="72"/>
      <c r="K1" s="72"/>
      <c r="L1" s="72"/>
      <c r="M1" s="72"/>
      <c r="N1" s="72"/>
      <c r="O1" s="72"/>
      <c r="P1" s="70"/>
    </row>
    <row r="2" spans="1:22" s="9" customFormat="1" ht="18" customHeight="1" x14ac:dyDescent="0.25">
      <c r="A2" s="5"/>
      <c r="B2" s="7" t="s">
        <v>84</v>
      </c>
      <c r="C2" s="7"/>
      <c r="D2" s="8"/>
      <c r="E2" s="8"/>
      <c r="F2" s="8"/>
      <c r="G2" s="8"/>
      <c r="H2" s="8"/>
      <c r="I2" s="8"/>
    </row>
    <row r="3" spans="1:22" customFormat="1" ht="15" customHeight="1" x14ac:dyDescent="0.25">
      <c r="A3" s="10"/>
      <c r="B3" s="10" t="s">
        <v>67</v>
      </c>
      <c r="C3" s="11" t="s">
        <v>18</v>
      </c>
      <c r="D3" s="11" t="s">
        <v>0</v>
      </c>
      <c r="E3" s="11" t="s">
        <v>1</v>
      </c>
      <c r="F3" s="11" t="s">
        <v>2</v>
      </c>
      <c r="G3" s="11" t="s">
        <v>3</v>
      </c>
      <c r="H3" s="11" t="s">
        <v>4</v>
      </c>
      <c r="I3" s="11" t="s">
        <v>5</v>
      </c>
      <c r="J3" s="11" t="s">
        <v>6</v>
      </c>
      <c r="K3" s="11" t="s">
        <v>7</v>
      </c>
      <c r="L3" s="11" t="s">
        <v>8</v>
      </c>
      <c r="M3" s="11" t="s">
        <v>9</v>
      </c>
      <c r="N3" s="11" t="s">
        <v>10</v>
      </c>
      <c r="O3" s="11" t="s">
        <v>11</v>
      </c>
    </row>
    <row r="4" spans="1:22" customFormat="1" ht="9" customHeight="1" x14ac:dyDescent="0.25">
      <c r="A4" s="13"/>
      <c r="B4" s="13"/>
      <c r="C4" s="13"/>
      <c r="D4" s="14"/>
      <c r="E4" s="14"/>
      <c r="F4" s="14"/>
      <c r="G4" s="14"/>
      <c r="H4" s="14"/>
      <c r="I4" s="14"/>
      <c r="J4" s="14"/>
      <c r="K4" s="14"/>
      <c r="L4" s="13"/>
      <c r="M4" s="13"/>
      <c r="N4" s="13"/>
      <c r="O4" s="13"/>
    </row>
    <row r="5" spans="1:22" customFormat="1" ht="15" customHeight="1" x14ac:dyDescent="0.25">
      <c r="A5" s="4" t="s">
        <v>85</v>
      </c>
      <c r="B5" s="3"/>
      <c r="C5" s="1"/>
      <c r="D5" s="1"/>
      <c r="E5" s="1"/>
      <c r="F5" s="1"/>
      <c r="G5" s="1"/>
      <c r="H5" s="1"/>
      <c r="I5" s="1"/>
      <c r="J5" s="1"/>
      <c r="K5" s="1"/>
      <c r="L5" s="1"/>
      <c r="M5" s="1"/>
      <c r="N5" s="1"/>
      <c r="O5" s="1"/>
    </row>
    <row r="6" spans="1:22" customFormat="1" ht="15" customHeight="1" x14ac:dyDescent="0.25">
      <c r="A6" s="3"/>
      <c r="B6" s="3" t="s">
        <v>86</v>
      </c>
      <c r="C6" s="1">
        <f>IS!C17</f>
        <v>38911.141418019994</v>
      </c>
      <c r="D6" s="1">
        <f>IS!D17</f>
        <v>48101.154759500001</v>
      </c>
      <c r="E6" s="1">
        <f>IS!E17</f>
        <v>57482.698073150001</v>
      </c>
      <c r="F6" s="1">
        <f>IS!F17</f>
        <v>71368.730656056418</v>
      </c>
      <c r="G6" s="1">
        <f>IS!G17</f>
        <v>86356.16409382828</v>
      </c>
      <c r="H6" s="1">
        <f>IS!H17</f>
        <v>100973.90750680176</v>
      </c>
      <c r="I6" s="1">
        <f>IS!I17</f>
        <v>116119.99363282201</v>
      </c>
      <c r="J6" s="1">
        <f>IS!J17</f>
        <v>130054.39286876067</v>
      </c>
      <c r="K6" s="1">
        <f>IS!K17</f>
        <v>140458.74429826153</v>
      </c>
      <c r="L6" s="1">
        <f>IS!L17</f>
        <v>147481.68151317464</v>
      </c>
      <c r="M6" s="1">
        <f>IS!M17</f>
        <v>153380.94877370162</v>
      </c>
      <c r="N6" s="1">
        <f>IS!N17</f>
        <v>159516.18672464965</v>
      </c>
      <c r="O6" s="1">
        <f>IS!O17</f>
        <v>164301.67232638918</v>
      </c>
    </row>
    <row r="7" spans="1:22" s="1" customFormat="1" ht="15" customHeight="1" x14ac:dyDescent="0.25">
      <c r="A7" s="3"/>
      <c r="B7" s="3" t="s">
        <v>36</v>
      </c>
      <c r="C7" s="1">
        <f>IS!C18</f>
        <v>30785.160629359998</v>
      </c>
      <c r="D7" s="1">
        <f>IS!D18</f>
        <v>36752.244785919997</v>
      </c>
      <c r="E7" s="1">
        <f>IS!E18</f>
        <v>44042.130406420001</v>
      </c>
      <c r="F7" s="1">
        <f>IS!F18</f>
        <v>54597.078951883159</v>
      </c>
      <c r="G7" s="1">
        <f>IS!G18</f>
        <v>66062.465531778638</v>
      </c>
      <c r="H7" s="1">
        <f>IS!H18</f>
        <v>77245.039242703351</v>
      </c>
      <c r="I7" s="1">
        <f>IS!I18</f>
        <v>88831.795129108839</v>
      </c>
      <c r="J7" s="1">
        <f>IS!J18</f>
        <v>99491.610544601906</v>
      </c>
      <c r="K7" s="1">
        <f>IS!K18</f>
        <v>107450.93938817007</v>
      </c>
      <c r="L7" s="1">
        <f>IS!L18</f>
        <v>112823.4863575786</v>
      </c>
      <c r="M7" s="1">
        <f>IS!M18</f>
        <v>117336.42581188174</v>
      </c>
      <c r="N7" s="1">
        <f>IS!N18</f>
        <v>122029.88284435699</v>
      </c>
      <c r="O7" s="1">
        <f>IS!O18</f>
        <v>125690.77932968772</v>
      </c>
      <c r="Q7" s="6"/>
      <c r="R7" s="6"/>
      <c r="S7" s="6"/>
      <c r="T7" s="6"/>
      <c r="U7" s="6"/>
      <c r="V7" s="6"/>
    </row>
    <row r="8" spans="1:22" s="1" customFormat="1" ht="15" customHeight="1" x14ac:dyDescent="0.25">
      <c r="A8" s="3"/>
      <c r="B8" s="3" t="s">
        <v>87</v>
      </c>
      <c r="C8" s="1">
        <f>C6-C7</f>
        <v>8125.9807886599956</v>
      </c>
      <c r="D8" s="1">
        <f t="shared" ref="D8:F8" si="0">D6-D7</f>
        <v>11348.909973580005</v>
      </c>
      <c r="E8" s="1">
        <f t="shared" si="0"/>
        <v>13440.567666729999</v>
      </c>
      <c r="F8" s="1">
        <f t="shared" si="0"/>
        <v>16771.651704173259</v>
      </c>
      <c r="G8" s="1">
        <f t="shared" ref="G8" si="1">G6-G7</f>
        <v>20293.698562049642</v>
      </c>
      <c r="H8" s="1">
        <f t="shared" ref="H8" si="2">H6-H7</f>
        <v>23728.868264098404</v>
      </c>
      <c r="I8" s="1">
        <f t="shared" ref="I8" si="3">I6-I7</f>
        <v>27288.198503713167</v>
      </c>
      <c r="J8" s="1">
        <f t="shared" ref="J8" si="4">J6-J7</f>
        <v>30562.782324158761</v>
      </c>
      <c r="K8" s="1">
        <f t="shared" ref="K8" si="5">K6-K7</f>
        <v>33007.804910091465</v>
      </c>
      <c r="L8" s="1">
        <f t="shared" ref="L8" si="6">L6-L7</f>
        <v>34658.19515559604</v>
      </c>
      <c r="M8" s="1">
        <f t="shared" ref="M8" si="7">M6-M7</f>
        <v>36044.522961819879</v>
      </c>
      <c r="N8" s="1">
        <f t="shared" ref="N8" si="8">N6-N7</f>
        <v>37486.30388029266</v>
      </c>
      <c r="O8" s="1">
        <f t="shared" ref="O8" si="9">O6-O7</f>
        <v>38610.892996701456</v>
      </c>
      <c r="Q8" s="6"/>
      <c r="R8" s="6"/>
      <c r="S8" s="6"/>
      <c r="T8" s="6"/>
      <c r="U8" s="6"/>
      <c r="V8" s="6"/>
    </row>
    <row r="9" spans="1:22" s="1" customFormat="1" ht="15" customHeight="1" x14ac:dyDescent="0.25">
      <c r="A9" s="3"/>
      <c r="B9" s="3" t="s">
        <v>32</v>
      </c>
      <c r="C9" s="1">
        <f>IS!C23</f>
        <v>1859.8591893999924</v>
      </c>
      <c r="D9" s="1">
        <f>IS!D23</f>
        <v>3926.4764288800061</v>
      </c>
      <c r="E9" s="1">
        <f>IS!E23</f>
        <v>6512.5040797900001</v>
      </c>
      <c r="F9" s="1">
        <f>IS!F23</f>
        <v>8278.7727561025404</v>
      </c>
      <c r="G9" s="1">
        <f>IS!G23</f>
        <v>10449.095855353213</v>
      </c>
      <c r="H9" s="1">
        <f>IS!H23</f>
        <v>12116.868900816185</v>
      </c>
      <c r="I9" s="1">
        <f>IS!I23</f>
        <v>13934.399235938628</v>
      </c>
      <c r="J9" s="1">
        <f>IS!J23</f>
        <v>15606.527144251284</v>
      </c>
      <c r="K9" s="1">
        <f>IS!K23</f>
        <v>16714.590571493121</v>
      </c>
      <c r="L9" s="1">
        <f>IS!L23</f>
        <v>17550.320100067784</v>
      </c>
      <c r="M9" s="1">
        <f>IS!M23</f>
        <v>17792.190057749394</v>
      </c>
      <c r="N9" s="1">
        <f>IS!N23</f>
        <v>18503.877660059341</v>
      </c>
      <c r="O9" s="1">
        <f>IS!O23</f>
        <v>19058.993989861134</v>
      </c>
      <c r="Q9" s="6"/>
      <c r="R9" s="6"/>
      <c r="S9" s="6"/>
      <c r="T9" s="6"/>
      <c r="U9" s="6"/>
      <c r="V9" s="6"/>
    </row>
    <row r="10" spans="1:22" s="1" customFormat="1" ht="15" customHeight="1" x14ac:dyDescent="0.25">
      <c r="A10" s="3"/>
      <c r="B10" s="3" t="s">
        <v>33</v>
      </c>
      <c r="C10" s="1">
        <f>IS!C27</f>
        <v>309.97598721999219</v>
      </c>
      <c r="D10" s="1">
        <f>IS!D27</f>
        <v>1841.7048045100059</v>
      </c>
      <c r="E10" s="1">
        <f>IS!E27</f>
        <v>4150.1962383399996</v>
      </c>
      <c r="F10" s="1">
        <f>IS!F27</f>
        <v>5249.3929457753411</v>
      </c>
      <c r="G10" s="1">
        <f>IS!G27</f>
        <v>7229.6178178780638</v>
      </c>
      <c r="H10" s="1">
        <f>IS!H27</f>
        <v>8778.3414739960281</v>
      </c>
      <c r="I10" s="1">
        <f>IS!I27</f>
        <v>10647.118697784013</v>
      </c>
      <c r="J10" s="1">
        <f>IS!J27</f>
        <v>12455.48304484634</v>
      </c>
      <c r="K10" s="1">
        <f>IS!K27</f>
        <v>13616.290471204051</v>
      </c>
      <c r="L10" s="1">
        <f>IS!L27</f>
        <v>14430.10125065082</v>
      </c>
      <c r="M10" s="1">
        <f>IS!M27</f>
        <v>14547.866658153602</v>
      </c>
      <c r="N10" s="1">
        <f>IS!N27</f>
        <v>15130.367235141484</v>
      </c>
      <c r="O10" s="1">
        <f>IS!O27</f>
        <v>15550.908150120396</v>
      </c>
      <c r="Q10" s="6"/>
      <c r="R10" s="6"/>
      <c r="S10" s="6"/>
      <c r="T10" s="6"/>
      <c r="U10" s="6"/>
      <c r="V10" s="6"/>
    </row>
    <row r="11" spans="1:22" s="1" customFormat="1" ht="15" customHeight="1" x14ac:dyDescent="0.25">
      <c r="A11" s="3"/>
      <c r="B11" s="3" t="s">
        <v>88</v>
      </c>
      <c r="C11" s="1">
        <f>IS!C35</f>
        <v>475.62793123999518</v>
      </c>
      <c r="D11" s="1">
        <f>IS!D35</f>
        <v>1094.2211479800089</v>
      </c>
      <c r="E11" s="1">
        <f>IS!E35</f>
        <v>4160.7849413399936</v>
      </c>
      <c r="F11" s="1">
        <f ca="1">IS!F35</f>
        <v>3939.1157676883722</v>
      </c>
      <c r="G11" s="1">
        <f ca="1">IS!G35</f>
        <v>5452.5757533228707</v>
      </c>
      <c r="H11" s="1">
        <f ca="1">IS!H35</f>
        <v>6657.6352910656215</v>
      </c>
      <c r="I11" s="1">
        <f ca="1">IS!I35</f>
        <v>8124.0606061012895</v>
      </c>
      <c r="J11" s="1">
        <f ca="1">IS!J35</f>
        <v>9546.7445094707546</v>
      </c>
      <c r="K11" s="1">
        <f ca="1">IS!K35</f>
        <v>10471.232825225728</v>
      </c>
      <c r="L11" s="1">
        <f ca="1">IS!L35</f>
        <v>11123.129378893769</v>
      </c>
      <c r="M11" s="1">
        <f ca="1">IS!M35</f>
        <v>11231.767186360939</v>
      </c>
      <c r="N11" s="1">
        <f ca="1">IS!N35</f>
        <v>11697.955994214815</v>
      </c>
      <c r="O11" s="1">
        <f ca="1">IS!O35</f>
        <v>12041.112822023437</v>
      </c>
      <c r="Q11" s="6"/>
      <c r="R11" s="6"/>
      <c r="S11" s="6"/>
      <c r="T11" s="6"/>
      <c r="U11" s="6"/>
      <c r="V11" s="6"/>
    </row>
    <row r="12" spans="1:22" s="1" customFormat="1" ht="15" customHeight="1" x14ac:dyDescent="0.25">
      <c r="A12" s="3"/>
      <c r="B12" s="3" t="s">
        <v>37</v>
      </c>
      <c r="C12" s="1">
        <f>BS!C42</f>
        <v>14443.084537569999</v>
      </c>
      <c r="D12" s="1">
        <f>BS!D42</f>
        <v>13758.862883130001</v>
      </c>
      <c r="E12" s="1">
        <f>BS!E42</f>
        <v>20556.664182249999</v>
      </c>
      <c r="F12" s="1">
        <f ca="1">BS!F42</f>
        <v>23659.694719538369</v>
      </c>
      <c r="G12" s="1">
        <f ca="1">BS!G42</f>
        <v>28324.447319323568</v>
      </c>
      <c r="H12" s="1">
        <f ca="1">BS!H42</f>
        <v>33891.567459724618</v>
      </c>
      <c r="I12" s="1">
        <f ca="1">BS!I42</f>
        <v>39352.573949399659</v>
      </c>
      <c r="J12" s="1">
        <f ca="1">BS!J42</f>
        <v>45649.694216429903</v>
      </c>
      <c r="K12" s="1">
        <f ca="1">BS!K42</f>
        <v>52302.229237867323</v>
      </c>
      <c r="L12" s="1">
        <f ca="1">BS!L42</f>
        <v>57142.618921625653</v>
      </c>
      <c r="M12" s="1">
        <f ca="1">BS!M42</f>
        <v>61700.508480650336</v>
      </c>
      <c r="N12" s="1">
        <f ca="1">BS!N42</f>
        <v>66659.404163048603</v>
      </c>
      <c r="O12" s="1">
        <f ca="1">BS!O42</f>
        <v>71681.743388543153</v>
      </c>
      <c r="Q12" s="6"/>
      <c r="R12" s="6"/>
      <c r="S12" s="6"/>
      <c r="T12" s="6"/>
      <c r="U12" s="6"/>
      <c r="V12" s="6"/>
    </row>
    <row r="13" spans="1:22" s="1" customFormat="1" ht="15" customHeight="1" x14ac:dyDescent="0.25">
      <c r="A13" s="3"/>
      <c r="B13" s="3" t="s">
        <v>89</v>
      </c>
      <c r="C13" s="1">
        <f>BS!C22</f>
        <v>27426.447673889998</v>
      </c>
      <c r="D13" s="1">
        <f>BS!D22</f>
        <v>34716.474446349996</v>
      </c>
      <c r="E13" s="1">
        <f>BS!E22</f>
        <v>44133.676430029998</v>
      </c>
      <c r="F13" s="1">
        <f ca="1">BS!F22</f>
        <v>51805.309020968023</v>
      </c>
      <c r="G13" s="1">
        <f ca="1">BS!G22</f>
        <v>61144.944841145982</v>
      </c>
      <c r="H13" s="1">
        <f ca="1">BS!H22</f>
        <v>70975.586526423926</v>
      </c>
      <c r="I13" s="1">
        <f ca="1">BS!I22</f>
        <v>80719.1713855977</v>
      </c>
      <c r="J13" s="1">
        <f ca="1">BS!J22</f>
        <v>91110.921976819693</v>
      </c>
      <c r="K13" s="1">
        <f ca="1">BS!K22</f>
        <v>100901.04795139167</v>
      </c>
      <c r="L13" s="1">
        <f ca="1">BS!L22</f>
        <v>107915.86081836621</v>
      </c>
      <c r="M13" s="1">
        <f ca="1">BS!M22</f>
        <v>114348.08549536199</v>
      </c>
      <c r="N13" s="1">
        <f ca="1">BS!N22</f>
        <v>121287.60861202984</v>
      </c>
      <c r="O13" s="1">
        <f ca="1">BS!O22</f>
        <v>127897.41384109898</v>
      </c>
      <c r="Q13" s="6"/>
      <c r="R13" s="6"/>
      <c r="S13" s="6"/>
      <c r="T13" s="6"/>
      <c r="U13" s="6"/>
      <c r="V13" s="6"/>
    </row>
    <row r="14" spans="1:22" s="1" customFormat="1" ht="15" customHeight="1" x14ac:dyDescent="0.25">
      <c r="A14" s="3"/>
      <c r="B14" s="3" t="s">
        <v>61</v>
      </c>
      <c r="C14" s="1">
        <f>SUM(BS!C25:C26,BS!C32:C32)</f>
        <v>5387.1505389900003</v>
      </c>
      <c r="D14" s="1">
        <f>SUM(BS!D25:D26,BS!D32:D32)</f>
        <v>11307.163114979998</v>
      </c>
      <c r="E14" s="1">
        <f>SUM(BS!E25:E26,BS!E32:E32)</f>
        <v>11584.434713229999</v>
      </c>
      <c r="F14" s="1">
        <f ca="1">SUM(BS!F25:F26,BS!F32:F32)</f>
        <v>13298.420419396956</v>
      </c>
      <c r="G14" s="1">
        <f ca="1">SUM(BS!G25:G26,BS!G32:G32)</f>
        <v>14855.392924562844</v>
      </c>
      <c r="H14" s="1">
        <f ca="1">SUM(BS!H25:H26,BS!H32:H32)</f>
        <v>16077.912218521815</v>
      </c>
      <c r="I14" s="1">
        <f ca="1">SUM(BS!I25:I26,BS!I32:I32)</f>
        <v>17209.57456079391</v>
      </c>
      <c r="J14" s="1">
        <f ca="1">SUM(BS!J25:J26,BS!J32:J32)</f>
        <v>18405.362139937173</v>
      </c>
      <c r="K14" s="1">
        <f ca="1">SUM(BS!K25:K26,BS!K32:K32)</f>
        <v>19378.483843435501</v>
      </c>
      <c r="L14" s="1">
        <f ca="1">SUM(BS!L25:L26,BS!L32:L32)</f>
        <v>20091.890283147281</v>
      </c>
      <c r="M14" s="1">
        <f ca="1">SUM(BS!M25:M26,BS!M32:M32)</f>
        <v>20738.971336574636</v>
      </c>
      <c r="N14" s="1">
        <f ca="1">SUM(BS!N25:N26,BS!N32:N32)</f>
        <v>21443.254543718784</v>
      </c>
      <c r="O14" s="1">
        <f ca="1">SUM(BS!O25:O26,BS!O32:O32)</f>
        <v>22035.172050135479</v>
      </c>
      <c r="Q14" s="6"/>
      <c r="R14" s="6"/>
      <c r="S14" s="6"/>
      <c r="T14" s="6"/>
      <c r="U14" s="6"/>
      <c r="V14" s="6"/>
    </row>
    <row r="15" spans="1:22" s="1" customFormat="1" ht="15" customHeight="1" x14ac:dyDescent="0.25">
      <c r="A15" s="3"/>
      <c r="B15" s="3" t="s">
        <v>34</v>
      </c>
      <c r="C15" s="1">
        <f>C10*(1-Assumption!C17)</f>
        <v>238.96568869049307</v>
      </c>
      <c r="D15" s="1">
        <f>D10*(1-Assumption!D17)</f>
        <v>1192.0889320623623</v>
      </c>
      <c r="E15" s="1">
        <f>E10*(1-Assumption!E17)</f>
        <v>3326.7130911930617</v>
      </c>
      <c r="F15" s="1">
        <f>F10*(1-Assumption!F17)</f>
        <v>4042.0325682470129</v>
      </c>
      <c r="G15" s="1">
        <f>G10*(1-Assumption!G17)</f>
        <v>5566.8057197661092</v>
      </c>
      <c r="H15" s="1">
        <f>H10*(1-Assumption!H17)</f>
        <v>6759.3229349769417</v>
      </c>
      <c r="I15" s="1">
        <f>I10*(1-Assumption!I17)</f>
        <v>8198.281397293691</v>
      </c>
      <c r="J15" s="1">
        <f>J10*(1-Assumption!J17)</f>
        <v>9590.7219445316823</v>
      </c>
      <c r="K15" s="1">
        <f>K10*(1-Assumption!K17)</f>
        <v>10484.54366282712</v>
      </c>
      <c r="L15" s="1">
        <f>L10*(1-Assumption!L17)</f>
        <v>11111.177963001132</v>
      </c>
      <c r="M15" s="1">
        <f>M10*(1-Assumption!M17)</f>
        <v>11201.857326778274</v>
      </c>
      <c r="N15" s="1">
        <f>N10*(1-Assumption!N17)</f>
        <v>11650.382771058943</v>
      </c>
      <c r="O15" s="1">
        <f>O10*(1-Assumption!O17)</f>
        <v>11974.199275592706</v>
      </c>
      <c r="Q15" s="6"/>
      <c r="R15" s="6"/>
      <c r="S15" s="6"/>
      <c r="T15" s="6"/>
      <c r="U15" s="6"/>
      <c r="V15" s="6"/>
    </row>
    <row r="16" spans="1:22" s="1" customFormat="1" ht="15" customHeight="1" x14ac:dyDescent="0.25">
      <c r="A16" s="3"/>
      <c r="B16" s="3" t="s">
        <v>90</v>
      </c>
      <c r="C16" s="1">
        <f>C12+C14-BS!C7-BS!C12-BS!C15</f>
        <v>8586.3974629399981</v>
      </c>
      <c r="D16" s="1">
        <f>D12+D14-BS!D7-BS!D12-BS!D15</f>
        <v>11148.273191760001</v>
      </c>
      <c r="E16" s="1">
        <f>E12+E14-BS!E7-BS!E12-BS!E15</f>
        <v>14638.484304289999</v>
      </c>
      <c r="F16" s="1">
        <f ca="1">F12+F14-BS!F7-BS!F12-BS!F15</f>
        <v>16116.532699325457</v>
      </c>
      <c r="G16" s="1">
        <f ca="1">G12+G14-BS!G7-BS!G12-BS!G15</f>
        <v>16655.37483943663</v>
      </c>
      <c r="H16" s="1">
        <f ca="1">H12+H14-BS!H7-BS!H12-BS!H15</f>
        <v>16187.038348540878</v>
      </c>
      <c r="I16" s="1">
        <f ca="1">I12+I14-BS!I7-BS!I12-BS!I15</f>
        <v>15149.355495730299</v>
      </c>
      <c r="J16" s="1">
        <f ca="1">J12+J14-BS!J7-BS!J12-BS!J15</f>
        <v>14718.213231185677</v>
      </c>
      <c r="K16" s="1">
        <f ca="1">K12+K14-BS!K7-BS!K12-BS!K15</f>
        <v>14864.614167700733</v>
      </c>
      <c r="L16" s="1">
        <f ca="1">L12+L14-BS!L7-BS!L12-BS!L15</f>
        <v>15409.385333258309</v>
      </c>
      <c r="M16" s="1">
        <f ca="1">M12+M14-BS!M7-BS!M12-BS!M15</f>
        <v>16069.550962714908</v>
      </c>
      <c r="N16" s="1">
        <f ca="1">N12+N14-BS!N7-BS!N12-BS!N15</f>
        <v>16756.709128011542</v>
      </c>
      <c r="O16" s="1">
        <f ca="1">O12+O14-BS!O7-BS!O12-BS!O15</f>
        <v>17532.558095710672</v>
      </c>
      <c r="Q16" s="6"/>
      <c r="R16" s="6"/>
      <c r="S16" s="6"/>
      <c r="T16" s="6"/>
      <c r="U16" s="6"/>
      <c r="V16" s="6"/>
    </row>
    <row r="17" spans="1:22" s="1" customFormat="1" ht="15" customHeight="1" x14ac:dyDescent="0.25">
      <c r="A17" s="3"/>
      <c r="B17" s="3" t="s">
        <v>91</v>
      </c>
      <c r="C17" s="1">
        <f>IS!C29</f>
        <v>112.84313763</v>
      </c>
      <c r="D17" s="1">
        <f>IS!D29</f>
        <v>397.23519852999999</v>
      </c>
      <c r="E17" s="1">
        <f>IS!E29</f>
        <v>417.42821259999999</v>
      </c>
      <c r="F17" s="1">
        <f ca="1">IS!F29</f>
        <v>412.56732156848875</v>
      </c>
      <c r="G17" s="1">
        <f ca="1">IS!G29</f>
        <v>427.25974479523848</v>
      </c>
      <c r="H17" s="1">
        <f ca="1">IS!H29</f>
        <v>410.97101423430564</v>
      </c>
      <c r="I17" s="1">
        <f ca="1">IS!I29</f>
        <v>375.29977693700795</v>
      </c>
      <c r="J17" s="1">
        <f ca="1">IS!J29</f>
        <v>336.02269105197865</v>
      </c>
      <c r="K17" s="1">
        <f ca="1">IS!K29</f>
        <v>296.19594110452567</v>
      </c>
      <c r="L17" s="1">
        <f ca="1">IS!L29</f>
        <v>263.38781968371239</v>
      </c>
      <c r="M17" s="1">
        <f ca="1">IS!M29</f>
        <v>240.06516554081668</v>
      </c>
      <c r="N17" s="1">
        <f ca="1">IS!N29</f>
        <v>217.12573232886143</v>
      </c>
      <c r="O17" s="1">
        <f ca="1">IS!O29</f>
        <v>192.00842937449909</v>
      </c>
      <c r="Q17" s="6"/>
      <c r="R17" s="6"/>
      <c r="S17" s="6"/>
      <c r="T17" s="6"/>
      <c r="U17" s="6"/>
      <c r="V17" s="6"/>
    </row>
    <row r="18" spans="1:22" s="1" customFormat="1" ht="15" customHeight="1" x14ac:dyDescent="0.25">
      <c r="A18" s="3"/>
      <c r="B18" s="3" t="s">
        <v>35</v>
      </c>
      <c r="F18" s="1">
        <f ca="1">CFS!F14</f>
        <v>8130.0569944735089</v>
      </c>
      <c r="G18" s="1">
        <f ca="1">CFS!G14</f>
        <v>9991.5224453959581</v>
      </c>
      <c r="H18" s="1">
        <f ca="1">CFS!H14</f>
        <v>11270.455063385029</v>
      </c>
      <c r="I18" s="1">
        <f ca="1">CFS!I14</f>
        <v>12691.246952055335</v>
      </c>
      <c r="J18" s="1">
        <f ca="1">CFS!J14</f>
        <v>13843.736117199123</v>
      </c>
      <c r="K18" s="1">
        <f ca="1">CFS!K14</f>
        <v>14399.815748295727</v>
      </c>
      <c r="L18" s="1">
        <f ca="1">CFS!L14</f>
        <v>14776.599222942958</v>
      </c>
      <c r="M18" s="1">
        <f ca="1">CFS!M14</f>
        <v>14898.215356210325</v>
      </c>
      <c r="N18" s="1">
        <f ca="1">CFS!N14</f>
        <v>15489.090505923814</v>
      </c>
      <c r="O18" s="1">
        <f ca="1">CFS!O14</f>
        <v>15836.235797033794</v>
      </c>
      <c r="Q18" s="6"/>
      <c r="R18" s="6"/>
      <c r="S18" s="6"/>
      <c r="T18" s="6"/>
      <c r="U18" s="6"/>
      <c r="V18" s="6"/>
    </row>
    <row r="19" spans="1:22" s="1" customFormat="1" ht="15" customHeight="1" x14ac:dyDescent="0.25">
      <c r="A19" s="3"/>
      <c r="B19" s="3" t="s">
        <v>92</v>
      </c>
      <c r="F19" s="1">
        <f>Capex!F23</f>
        <v>5352.6547992042324</v>
      </c>
      <c r="G19" s="1">
        <f>Capex!G23</f>
        <v>4749.589025160556</v>
      </c>
      <c r="H19" s="1">
        <f>Capex!H23</f>
        <v>3837.0084852584669</v>
      </c>
      <c r="I19" s="1">
        <f>Capex!I23</f>
        <v>3251.3598217190161</v>
      </c>
      <c r="J19" s="1">
        <f>Capex!J23</f>
        <v>3641.5230003252987</v>
      </c>
      <c r="K19" s="1">
        <f>Capex!K23</f>
        <v>3932.844840351323</v>
      </c>
      <c r="L19" s="1">
        <f>Capex!L23</f>
        <v>4129.4870823688898</v>
      </c>
      <c r="M19" s="1">
        <f>Capex!M23</f>
        <v>4294.666565663646</v>
      </c>
      <c r="N19" s="1">
        <f>Capex!N23</f>
        <v>4466.4532282901901</v>
      </c>
      <c r="O19" s="1">
        <f>Capex!O23</f>
        <v>4600.4468251388971</v>
      </c>
      <c r="Q19" s="6"/>
      <c r="R19" s="6"/>
      <c r="S19" s="6"/>
      <c r="T19" s="6"/>
      <c r="U19" s="6"/>
      <c r="V19" s="6"/>
    </row>
    <row r="20" spans="1:22" s="1" customFormat="1" ht="15" customHeight="1" x14ac:dyDescent="0.25">
      <c r="A20" s="3"/>
      <c r="B20" s="3"/>
      <c r="Q20" s="6"/>
      <c r="R20" s="6"/>
      <c r="S20" s="6"/>
      <c r="T20" s="6"/>
      <c r="U20" s="6"/>
      <c r="V20" s="6"/>
    </row>
    <row r="21" spans="1:22" s="1" customFormat="1" ht="15" customHeight="1" x14ac:dyDescent="0.25">
      <c r="A21" s="4" t="s">
        <v>38</v>
      </c>
      <c r="B21" s="3"/>
      <c r="Q21" s="6"/>
      <c r="R21" s="6"/>
      <c r="S21" s="6"/>
      <c r="T21" s="6"/>
      <c r="U21" s="6"/>
      <c r="V21" s="6"/>
    </row>
    <row r="22" spans="1:22" s="1" customFormat="1" ht="15" customHeight="1" x14ac:dyDescent="0.25">
      <c r="A22" s="3"/>
      <c r="B22" s="3" t="s">
        <v>93</v>
      </c>
      <c r="D22" s="18">
        <f>D6/C6-1</f>
        <v>0.23617948501567354</v>
      </c>
      <c r="E22" s="18">
        <f t="shared" ref="E22:F22" si="10">E6/D6-1</f>
        <v>0.19503779816839306</v>
      </c>
      <c r="F22" s="18">
        <f t="shared" si="10"/>
        <v>0.24156890766045214</v>
      </c>
      <c r="G22" s="18">
        <f t="shared" ref="G22:O22" si="11">G6/F6-1</f>
        <v>0.21000000000000019</v>
      </c>
      <c r="H22" s="18">
        <f t="shared" si="11"/>
        <v>0.16927272727272724</v>
      </c>
      <c r="I22" s="18">
        <f t="shared" si="11"/>
        <v>0.14999999999999991</v>
      </c>
      <c r="J22" s="18">
        <f t="shared" si="11"/>
        <v>0.12000000000000011</v>
      </c>
      <c r="K22" s="18">
        <f t="shared" si="11"/>
        <v>8.0000000000000071E-2</v>
      </c>
      <c r="L22" s="18">
        <f t="shared" si="11"/>
        <v>5.0000000000000266E-2</v>
      </c>
      <c r="M22" s="18">
        <f t="shared" si="11"/>
        <v>4.0000000000000036E-2</v>
      </c>
      <c r="N22" s="18">
        <f t="shared" si="11"/>
        <v>3.9999999999999813E-2</v>
      </c>
      <c r="O22" s="18">
        <f t="shared" si="11"/>
        <v>3.0000000000000249E-2</v>
      </c>
      <c r="Q22" s="6"/>
      <c r="R22" s="6"/>
      <c r="S22" s="6"/>
      <c r="T22" s="6"/>
      <c r="U22" s="6"/>
      <c r="V22" s="6"/>
    </row>
    <row r="23" spans="1:22" s="1" customFormat="1" ht="15" customHeight="1" x14ac:dyDescent="0.25">
      <c r="A23" s="3"/>
      <c r="B23" s="3" t="s">
        <v>94</v>
      </c>
      <c r="D23" s="18">
        <f>D9/C9-1</f>
        <v>1.1111686579599196</v>
      </c>
      <c r="E23" s="18">
        <f t="shared" ref="E23:F23" si="12">E9/D9-1</f>
        <v>0.65861280406250566</v>
      </c>
      <c r="F23" s="18">
        <f t="shared" si="12"/>
        <v>0.27121191091361196</v>
      </c>
      <c r="G23" s="18">
        <f t="shared" ref="G23:O23" si="13">G9/F9-1</f>
        <v>0.26215517241379294</v>
      </c>
      <c r="H23" s="18">
        <f t="shared" si="13"/>
        <v>0.1596093163035297</v>
      </c>
      <c r="I23" s="18">
        <f t="shared" si="13"/>
        <v>0.15000000000000124</v>
      </c>
      <c r="J23" s="18">
        <f t="shared" si="13"/>
        <v>0.12000000000000144</v>
      </c>
      <c r="K23" s="18">
        <f t="shared" si="13"/>
        <v>7.099999999999973E-2</v>
      </c>
      <c r="L23" s="18">
        <f t="shared" si="13"/>
        <v>5.0000000000000266E-2</v>
      </c>
      <c r="M23" s="18">
        <f t="shared" si="13"/>
        <v>1.3781512605042234E-2</v>
      </c>
      <c r="N23" s="18">
        <f t="shared" si="13"/>
        <v>3.9999999999998259E-2</v>
      </c>
      <c r="O23" s="18">
        <f t="shared" si="13"/>
        <v>3.0000000000000693E-2</v>
      </c>
      <c r="Q23" s="6"/>
      <c r="R23" s="6"/>
      <c r="S23" s="6"/>
      <c r="T23" s="6"/>
      <c r="U23" s="6"/>
      <c r="V23" s="6"/>
    </row>
    <row r="24" spans="1:22" s="1" customFormat="1" ht="15" customHeight="1" x14ac:dyDescent="0.25">
      <c r="A24" s="3"/>
      <c r="B24" s="3" t="s">
        <v>95</v>
      </c>
      <c r="D24" s="18">
        <f>D10/C10-1</f>
        <v>4.9414434680159101</v>
      </c>
      <c r="E24" s="18">
        <f t="shared" ref="E24:F24" si="14">E10/D10-1</f>
        <v>1.2534535546505121</v>
      </c>
      <c r="F24" s="18">
        <f t="shared" si="14"/>
        <v>0.26485415250508715</v>
      </c>
      <c r="G24" s="18">
        <f t="shared" ref="G24:O24" si="15">G10/F10-1</f>
        <v>0.37722930871395088</v>
      </c>
      <c r="H24" s="18">
        <f t="shared" si="15"/>
        <v>0.21421929832696529</v>
      </c>
      <c r="I24" s="18">
        <f t="shared" si="15"/>
        <v>0.21288499989705811</v>
      </c>
      <c r="J24" s="18">
        <f t="shared" si="15"/>
        <v>0.16984542000444702</v>
      </c>
      <c r="K24" s="18">
        <f t="shared" si="15"/>
        <v>9.3196500061714982E-2</v>
      </c>
      <c r="L24" s="18">
        <f t="shared" si="15"/>
        <v>5.9767436745553404E-2</v>
      </c>
      <c r="M24" s="18">
        <f t="shared" si="15"/>
        <v>8.1610936373346377E-3</v>
      </c>
      <c r="N24" s="18">
        <f t="shared" si="15"/>
        <v>4.0040274679133736E-2</v>
      </c>
      <c r="O24" s="18">
        <f t="shared" si="15"/>
        <v>2.7794494901761002E-2</v>
      </c>
      <c r="Q24" s="6"/>
      <c r="R24" s="6"/>
      <c r="S24" s="6"/>
      <c r="T24" s="6"/>
      <c r="U24" s="6"/>
      <c r="V24" s="6"/>
    </row>
    <row r="25" spans="1:22" s="1" customFormat="1" ht="15" customHeight="1" x14ac:dyDescent="0.25">
      <c r="A25" s="3"/>
      <c r="B25" s="3" t="s">
        <v>96</v>
      </c>
      <c r="D25" s="18">
        <f>D11/C11-1</f>
        <v>1.3005821906364878</v>
      </c>
      <c r="E25" s="18">
        <f t="shared" ref="E25:F25" si="16">E11/D11-1</f>
        <v>2.8025082489230138</v>
      </c>
      <c r="F25" s="18">
        <f t="shared" ca="1" si="16"/>
        <v>-5.3275806554960337E-2</v>
      </c>
      <c r="G25" s="18">
        <f t="shared" ref="G25:O25" ca="1" si="17">G11/F11-1</f>
        <v>0.38421312672479702</v>
      </c>
      <c r="H25" s="18">
        <f t="shared" ca="1" si="17"/>
        <v>0.22100739031610361</v>
      </c>
      <c r="I25" s="18">
        <f t="shared" ca="1" si="17"/>
        <v>0.22026218783771068</v>
      </c>
      <c r="J25" s="18">
        <f t="shared" ca="1" si="17"/>
        <v>0.17511980428863483</v>
      </c>
      <c r="K25" s="18">
        <f t="shared" ca="1" si="17"/>
        <v>9.6838070280171884E-2</v>
      </c>
      <c r="L25" s="18">
        <f t="shared" ca="1" si="17"/>
        <v>6.2255950617160272E-2</v>
      </c>
      <c r="M25" s="18">
        <f t="shared" ca="1" si="17"/>
        <v>9.7668384288787102E-3</v>
      </c>
      <c r="N25" s="18">
        <f t="shared" ca="1" si="17"/>
        <v>4.1506274134669008E-2</v>
      </c>
      <c r="O25" s="18">
        <f t="shared" ca="1" si="17"/>
        <v>2.9334768226032759E-2</v>
      </c>
      <c r="Q25" s="6"/>
      <c r="R25" s="6"/>
      <c r="S25" s="6"/>
      <c r="T25" s="6"/>
      <c r="U25" s="6"/>
      <c r="V25" s="6"/>
    </row>
    <row r="26" spans="1:22" s="1" customFormat="1" ht="15" customHeight="1" x14ac:dyDescent="0.25">
      <c r="A26" s="3"/>
      <c r="B26" s="3" t="s">
        <v>97</v>
      </c>
      <c r="D26" s="18">
        <f>BS!D16/BS!C16-1</f>
        <v>0.31605542485771076</v>
      </c>
      <c r="E26" s="18">
        <f>BS!E16/BS!D16-1</f>
        <v>0.32308396309789367</v>
      </c>
      <c r="F26" s="18">
        <f>BS!F16/BS!E16-1</f>
        <v>0.10495423991456998</v>
      </c>
      <c r="G26" s="18">
        <f>BS!G16/BS!F16-1</f>
        <v>7.4635409570110278E-2</v>
      </c>
      <c r="H26" s="18">
        <f>BS!H16/BS!G16-1</f>
        <v>3.3714585597445001E-2</v>
      </c>
      <c r="I26" s="18">
        <f>BS!I16/BS!H16-1</f>
        <v>-1.3912664610311265E-2</v>
      </c>
      <c r="J26" s="18">
        <f>BS!J16/BS!I16-1</f>
        <v>1.1605302657678784E-2</v>
      </c>
      <c r="K26" s="18">
        <f>BS!K16/BS!J16-1</f>
        <v>2.8207547828571267E-2</v>
      </c>
      <c r="L26" s="18">
        <f>BS!L16/BS!K16-1</f>
        <v>3.7090559319715055E-2</v>
      </c>
      <c r="M26" s="18">
        <f>BS!M16/BS!L16-1</f>
        <v>3.761542079809832E-2</v>
      </c>
      <c r="N26" s="18">
        <f>BS!N16/BS!M16-1</f>
        <v>3.8046586161896823E-2</v>
      </c>
      <c r="O26" s="18">
        <f>BS!O16/BS!N16-1</f>
        <v>3.6588912606418944E-2</v>
      </c>
      <c r="Q26" s="6"/>
      <c r="R26" s="6"/>
      <c r="S26" s="6"/>
      <c r="T26" s="6"/>
      <c r="U26" s="6"/>
      <c r="V26" s="6"/>
    </row>
    <row r="27" spans="1:22" s="1" customFormat="1" ht="15" customHeight="1" x14ac:dyDescent="0.25">
      <c r="A27" s="3"/>
      <c r="B27" s="3" t="s">
        <v>98</v>
      </c>
      <c r="D27" s="18">
        <f>D13/C13-1</f>
        <v>0.26580280680680746</v>
      </c>
      <c r="E27" s="18">
        <f t="shared" ref="E27:F27" si="18">E13/D13-1</f>
        <v>0.27126032046350557</v>
      </c>
      <c r="F27" s="18">
        <f t="shared" ca="1" si="18"/>
        <v>0.17382718167838829</v>
      </c>
      <c r="G27" s="18">
        <f t="shared" ref="G27:O27" ca="1" si="19">G13/F13-1</f>
        <v>0.1802833724319215</v>
      </c>
      <c r="H27" s="18">
        <f t="shared" ca="1" si="19"/>
        <v>0.16077603325700696</v>
      </c>
      <c r="I27" s="18">
        <f t="shared" ca="1" si="19"/>
        <v>0.13728079380571634</v>
      </c>
      <c r="J27" s="18">
        <f t="shared" ca="1" si="19"/>
        <v>0.12873955979528473</v>
      </c>
      <c r="K27" s="18">
        <f t="shared" ca="1" si="19"/>
        <v>0.10745282521740651</v>
      </c>
      <c r="L27" s="18">
        <f t="shared" ca="1" si="19"/>
        <v>6.9521704773114701E-2</v>
      </c>
      <c r="M27" s="18">
        <f t="shared" ca="1" si="19"/>
        <v>5.9604071433224215E-2</v>
      </c>
      <c r="N27" s="18">
        <f t="shared" ca="1" si="19"/>
        <v>6.068770707096216E-2</v>
      </c>
      <c r="O27" s="18">
        <f t="shared" ca="1" si="19"/>
        <v>5.4496954014588095E-2</v>
      </c>
      <c r="Q27" s="6"/>
      <c r="R27" s="6"/>
      <c r="S27" s="6"/>
      <c r="T27" s="6"/>
      <c r="U27" s="6"/>
      <c r="V27" s="6"/>
    </row>
    <row r="28" spans="1:22" s="1" customFormat="1" ht="15" customHeight="1" x14ac:dyDescent="0.25">
      <c r="A28" s="3"/>
      <c r="B28" s="3"/>
      <c r="Q28" s="6"/>
      <c r="R28" s="6"/>
      <c r="S28" s="6"/>
      <c r="T28" s="6"/>
      <c r="U28" s="6"/>
      <c r="V28" s="6"/>
    </row>
    <row r="29" spans="1:22" s="1" customFormat="1" ht="15" customHeight="1" x14ac:dyDescent="0.25">
      <c r="A29" s="4" t="s">
        <v>39</v>
      </c>
      <c r="B29" s="3"/>
      <c r="Q29" s="6"/>
      <c r="R29" s="6"/>
      <c r="S29" s="6"/>
      <c r="T29" s="6"/>
      <c r="U29" s="6"/>
      <c r="V29" s="6"/>
    </row>
    <row r="30" spans="1:22" s="1" customFormat="1" ht="15" customHeight="1" x14ac:dyDescent="0.25">
      <c r="A30" s="3"/>
      <c r="B30" s="3" t="s">
        <v>99</v>
      </c>
      <c r="C30" s="18">
        <f>C8/C$6</f>
        <v>0.20883429507664875</v>
      </c>
      <c r="D30" s="18">
        <f t="shared" ref="D30:F30" si="20">D8/D$6</f>
        <v>0.23593841000955573</v>
      </c>
      <c r="E30" s="18">
        <f t="shared" si="20"/>
        <v>0.23381935986418231</v>
      </c>
      <c r="F30" s="18">
        <f t="shared" si="20"/>
        <v>0.23500000000000001</v>
      </c>
      <c r="G30" s="18">
        <f t="shared" ref="G30:O30" si="21">G8/G$6</f>
        <v>0.23499999999999996</v>
      </c>
      <c r="H30" s="18">
        <f t="shared" si="21"/>
        <v>0.23499999999999993</v>
      </c>
      <c r="I30" s="18">
        <f t="shared" si="21"/>
        <v>0.23499999999999996</v>
      </c>
      <c r="J30" s="18">
        <f t="shared" si="21"/>
        <v>0.23500000000000004</v>
      </c>
      <c r="K30" s="18">
        <f t="shared" si="21"/>
        <v>0.23500000000000004</v>
      </c>
      <c r="L30" s="18">
        <f t="shared" si="21"/>
        <v>0.23499999999999999</v>
      </c>
      <c r="M30" s="18">
        <f t="shared" si="21"/>
        <v>0.23499999999999999</v>
      </c>
      <c r="N30" s="18">
        <f t="shared" si="21"/>
        <v>0.23499999999999996</v>
      </c>
      <c r="O30" s="18">
        <f t="shared" si="21"/>
        <v>0.23499999999999999</v>
      </c>
      <c r="Q30" s="6"/>
      <c r="R30" s="6"/>
      <c r="S30" s="6"/>
      <c r="T30" s="6"/>
      <c r="U30" s="6"/>
      <c r="V30" s="6"/>
    </row>
    <row r="31" spans="1:22" s="1" customFormat="1" ht="15" customHeight="1" x14ac:dyDescent="0.25">
      <c r="A31" s="3"/>
      <c r="B31" s="3" t="s">
        <v>100</v>
      </c>
      <c r="C31" s="18">
        <f t="shared" ref="C31:F31" si="22">C9/C$6</f>
        <v>4.7797600420394756E-2</v>
      </c>
      <c r="D31" s="18">
        <f t="shared" si="22"/>
        <v>8.1629566868236678E-2</v>
      </c>
      <c r="E31" s="18">
        <f t="shared" si="22"/>
        <v>0.11329503134147371</v>
      </c>
      <c r="F31" s="18">
        <f t="shared" si="22"/>
        <v>0.11599999999999994</v>
      </c>
      <c r="G31" s="18">
        <f t="shared" ref="G31:O31" si="23">G9/G$6</f>
        <v>0.1209999999999999</v>
      </c>
      <c r="H31" s="18">
        <f t="shared" si="23"/>
        <v>0.11999999999999975</v>
      </c>
      <c r="I31" s="18">
        <f t="shared" si="23"/>
        <v>0.1199999999999999</v>
      </c>
      <c r="J31" s="18">
        <f t="shared" si="23"/>
        <v>0.12000000000000002</v>
      </c>
      <c r="K31" s="18">
        <f t="shared" si="23"/>
        <v>0.11899999999999999</v>
      </c>
      <c r="L31" s="18">
        <f t="shared" si="23"/>
        <v>0.11900000000000001</v>
      </c>
      <c r="M31" s="18">
        <f t="shared" si="23"/>
        <v>0.11600000000000005</v>
      </c>
      <c r="N31" s="18">
        <f t="shared" si="23"/>
        <v>0.11599999999999988</v>
      </c>
      <c r="O31" s="18">
        <f t="shared" si="23"/>
        <v>0.11599999999999994</v>
      </c>
      <c r="Q31" s="6"/>
      <c r="R31" s="6"/>
      <c r="S31" s="6"/>
      <c r="T31" s="6"/>
      <c r="U31" s="6"/>
      <c r="V31" s="6"/>
    </row>
    <row r="32" spans="1:22" s="1" customFormat="1" ht="15" customHeight="1" x14ac:dyDescent="0.25">
      <c r="A32" s="3"/>
      <c r="B32" s="3" t="s">
        <v>101</v>
      </c>
      <c r="C32" s="18">
        <f t="shared" ref="C32:F32" si="24">C10/C$6</f>
        <v>7.9662527472514691E-3</v>
      </c>
      <c r="D32" s="18">
        <f t="shared" si="24"/>
        <v>3.8288161972790648E-2</v>
      </c>
      <c r="E32" s="18">
        <f t="shared" si="24"/>
        <v>7.2199050800618975E-2</v>
      </c>
      <c r="F32" s="18">
        <f t="shared" si="24"/>
        <v>7.3553121899749982E-2</v>
      </c>
      <c r="G32" s="18">
        <f t="shared" ref="G32:O32" si="25">G10/G$6</f>
        <v>8.371860762623605E-2</v>
      </c>
      <c r="H32" s="18">
        <f t="shared" si="25"/>
        <v>8.6936731386815999E-2</v>
      </c>
      <c r="I32" s="18">
        <f t="shared" si="25"/>
        <v>9.1690658642738176E-2</v>
      </c>
      <c r="J32" s="18">
        <f t="shared" si="25"/>
        <v>9.5771336669998583E-2</v>
      </c>
      <c r="K32" s="18">
        <f t="shared" si="25"/>
        <v>9.6941564864698709E-2</v>
      </c>
      <c r="L32" s="18">
        <f t="shared" si="25"/>
        <v>9.7843346391204317E-2</v>
      </c>
      <c r="M32" s="18">
        <f t="shared" si="25"/>
        <v>9.4847937598935686E-2</v>
      </c>
      <c r="N32" s="18">
        <f t="shared" si="25"/>
        <v>9.4851610647256182E-2</v>
      </c>
      <c r="O32" s="18">
        <f t="shared" si="25"/>
        <v>9.4648508015354516E-2</v>
      </c>
      <c r="Q32" s="6"/>
      <c r="R32" s="6"/>
      <c r="S32" s="6"/>
      <c r="T32" s="6"/>
      <c r="U32" s="6"/>
      <c r="V32" s="6"/>
    </row>
    <row r="33" spans="1:22" s="1" customFormat="1" ht="15" customHeight="1" x14ac:dyDescent="0.25">
      <c r="A33" s="3"/>
      <c r="B33" s="3" t="s">
        <v>102</v>
      </c>
      <c r="C33" s="18">
        <f t="shared" ref="C33:F33" si="26">C11/C$6</f>
        <v>1.2223438169812436E-2</v>
      </c>
      <c r="D33" s="18">
        <f t="shared" si="26"/>
        <v>2.2748334285340618E-2</v>
      </c>
      <c r="E33" s="18">
        <f t="shared" si="26"/>
        <v>7.2383257585528743E-2</v>
      </c>
      <c r="F33" s="18">
        <f t="shared" ca="1" si="26"/>
        <v>5.5193860553187452E-2</v>
      </c>
      <c r="G33" s="18">
        <f t="shared" ref="G33:O33" ca="1" si="27">G11/G$6</f>
        <v>6.3140550654826461E-2</v>
      </c>
      <c r="H33" s="18">
        <f t="shared" ca="1" si="27"/>
        <v>6.5934214644680883E-2</v>
      </c>
      <c r="I33" s="18">
        <f t="shared" ca="1" si="27"/>
        <v>6.9962633926677856E-2</v>
      </c>
      <c r="J33" s="18">
        <f t="shared" ca="1" si="27"/>
        <v>7.3405782756638449E-2</v>
      </c>
      <c r="K33" s="18">
        <f t="shared" ca="1" si="27"/>
        <v>7.4550238061293364E-2</v>
      </c>
      <c r="L33" s="18">
        <f t="shared" ca="1" si="27"/>
        <v>7.5420413333842626E-2</v>
      </c>
      <c r="M33" s="18">
        <f t="shared" ca="1" si="27"/>
        <v>7.3227915697224547E-2</v>
      </c>
      <c r="N33" s="18">
        <f t="shared" ca="1" si="27"/>
        <v>7.3333974654292297E-2</v>
      </c>
      <c r="O33" s="18">
        <f t="shared" ca="1" si="27"/>
        <v>7.328661146006768E-2</v>
      </c>
      <c r="Q33" s="6"/>
      <c r="R33" s="6"/>
      <c r="S33" s="6"/>
      <c r="T33" s="6"/>
      <c r="U33" s="6"/>
      <c r="V33" s="6"/>
    </row>
    <row r="34" spans="1:22" s="1" customFormat="1" ht="15" customHeight="1" x14ac:dyDescent="0.25">
      <c r="A34" s="3"/>
      <c r="B34" s="3"/>
      <c r="Q34" s="6"/>
      <c r="R34" s="6"/>
      <c r="S34" s="6"/>
      <c r="T34" s="6"/>
      <c r="U34" s="6"/>
      <c r="V34" s="6"/>
    </row>
    <row r="35" spans="1:22" s="1" customFormat="1" ht="15" customHeight="1" x14ac:dyDescent="0.25">
      <c r="A35" s="3"/>
      <c r="B35" s="3" t="s">
        <v>103</v>
      </c>
      <c r="D35" s="18">
        <f>D$11/AVERAGE(C12:D12)</f>
        <v>7.7598977946952655E-2</v>
      </c>
      <c r="E35" s="18">
        <f t="shared" ref="E35:F35" si="28">E$11/AVERAGE(D12:E12)</f>
        <v>0.24250159022256118</v>
      </c>
      <c r="F35" s="18">
        <f t="shared" ca="1" si="28"/>
        <v>0.17817458811738801</v>
      </c>
      <c r="G35" s="18">
        <f t="shared" ref="G35:O35" ca="1" si="29">G$11/AVERAGE(F12:G12)</f>
        <v>0.20977842624570672</v>
      </c>
      <c r="H35" s="18">
        <f t="shared" ca="1" si="29"/>
        <v>0.21401677091370505</v>
      </c>
      <c r="I35" s="18">
        <f t="shared" ca="1" si="29"/>
        <v>0.22183509697307333</v>
      </c>
      <c r="J35" s="18">
        <f t="shared" ca="1" si="29"/>
        <v>0.22462328865968997</v>
      </c>
      <c r="K35" s="18">
        <f t="shared" ca="1" si="29"/>
        <v>0.21380351617314458</v>
      </c>
      <c r="L35" s="18">
        <f t="shared" ca="1" si="29"/>
        <v>0.20326455865120549</v>
      </c>
      <c r="M35" s="18">
        <f t="shared" ca="1" si="29"/>
        <v>0.18901837122380941</v>
      </c>
      <c r="N35" s="18">
        <f t="shared" ca="1" si="29"/>
        <v>0.18226805788947467</v>
      </c>
      <c r="O35" s="18">
        <f t="shared" ca="1" si="29"/>
        <v>0.17407854474436724</v>
      </c>
      <c r="Q35" s="6"/>
      <c r="R35" s="6"/>
      <c r="S35" s="6"/>
      <c r="T35" s="6"/>
      <c r="U35" s="6"/>
      <c r="V35" s="6"/>
    </row>
    <row r="36" spans="1:22" s="1" customFormat="1" ht="15" customHeight="1" x14ac:dyDescent="0.25">
      <c r="A36" s="3"/>
      <c r="B36" s="3" t="s">
        <v>104</v>
      </c>
      <c r="D36" s="18">
        <f>D$11/AVERAGE(C13:D13)</f>
        <v>3.5216275985954011E-2</v>
      </c>
      <c r="E36" s="18">
        <f t="shared" ref="E36:F36" si="30">E$11/AVERAGE(D13:E13)</f>
        <v>0.10553651185431986</v>
      </c>
      <c r="F36" s="18">
        <f t="shared" ca="1" si="30"/>
        <v>8.2117102847628562E-2</v>
      </c>
      <c r="G36" s="18">
        <f t="shared" ref="G36:O36" ca="1" si="31">G$11/AVERAGE(F13:G13)</f>
        <v>9.6548269116405835E-2</v>
      </c>
      <c r="H36" s="18">
        <f t="shared" ca="1" si="31"/>
        <v>0.1007812369834261</v>
      </c>
      <c r="I36" s="18">
        <f t="shared" ca="1" si="31"/>
        <v>0.10711063082104655</v>
      </c>
      <c r="J36" s="18">
        <f t="shared" ca="1" si="31"/>
        <v>0.11111842311969336</v>
      </c>
      <c r="K36" s="18">
        <f t="shared" ca="1" si="31"/>
        <v>0.10906854222828577</v>
      </c>
      <c r="L36" s="18">
        <f t="shared" ca="1" si="31"/>
        <v>0.10653475759626499</v>
      </c>
      <c r="M36" s="18">
        <f t="shared" ca="1" si="31"/>
        <v>0.10106692851126801</v>
      </c>
      <c r="N36" s="18">
        <f t="shared" ca="1" si="31"/>
        <v>9.9288488855881318E-2</v>
      </c>
      <c r="O36" s="18">
        <f t="shared" ca="1" si="31"/>
        <v>9.6643953183729925E-2</v>
      </c>
      <c r="Q36" s="6"/>
      <c r="R36" s="6"/>
      <c r="S36" s="6"/>
      <c r="T36" s="6"/>
      <c r="U36" s="6"/>
      <c r="V36" s="6"/>
    </row>
    <row r="37" spans="1:22" s="1" customFormat="1" ht="15" customHeight="1" x14ac:dyDescent="0.25">
      <c r="A37" s="3"/>
      <c r="B37" s="3" t="s">
        <v>105</v>
      </c>
      <c r="D37" s="18">
        <f>D15/AVERAGE(C16:D16)</f>
        <v>0.12081163683149231</v>
      </c>
      <c r="E37" s="18">
        <f t="shared" ref="E37:F37" si="32">E15/AVERAGE(D16:E16)</f>
        <v>0.25801716960363441</v>
      </c>
      <c r="F37" s="18">
        <f t="shared" ca="1" si="32"/>
        <v>0.26285354144150497</v>
      </c>
      <c r="G37" s="18">
        <f t="shared" ref="G37:O37" ca="1" si="33">G15/AVERAGE(F16:G16)</f>
        <v>0.33973034454474654</v>
      </c>
      <c r="H37" s="18">
        <f t="shared" ca="1" si="33"/>
        <v>0.41162157581351544</v>
      </c>
      <c r="I37" s="18">
        <f t="shared" ca="1" si="33"/>
        <v>0.52324344900920849</v>
      </c>
      <c r="J37" s="18">
        <f t="shared" ca="1" si="33"/>
        <v>0.64221644769423369</v>
      </c>
      <c r="K37" s="18">
        <f t="shared" ca="1" si="33"/>
        <v>0.70882634181354764</v>
      </c>
      <c r="L37" s="18">
        <f t="shared" ca="1" si="33"/>
        <v>0.73404096889472059</v>
      </c>
      <c r="M37" s="18">
        <f t="shared" ca="1" si="33"/>
        <v>0.71170494590131461</v>
      </c>
      <c r="N37" s="18">
        <f t="shared" ca="1" si="33"/>
        <v>0.70982090185474545</v>
      </c>
      <c r="O37" s="18">
        <f t="shared" ca="1" si="33"/>
        <v>0.69842258205556762</v>
      </c>
      <c r="Q37" s="6"/>
      <c r="R37" s="6"/>
      <c r="S37" s="6"/>
      <c r="T37" s="6"/>
      <c r="U37" s="6"/>
      <c r="V37" s="6"/>
    </row>
    <row r="38" spans="1:22" s="1" customFormat="1" ht="15" customHeight="1" x14ac:dyDescent="0.25">
      <c r="A38" s="3"/>
      <c r="B38" s="3"/>
      <c r="Q38" s="6"/>
      <c r="R38" s="6"/>
      <c r="S38" s="6"/>
      <c r="T38" s="6"/>
      <c r="U38" s="6"/>
      <c r="V38" s="6"/>
    </row>
    <row r="39" spans="1:22" s="1" customFormat="1" ht="15" customHeight="1" x14ac:dyDescent="0.25">
      <c r="A39" s="4" t="s">
        <v>40</v>
      </c>
      <c r="B39" s="3"/>
      <c r="Q39" s="6"/>
      <c r="R39" s="6"/>
      <c r="S39" s="6"/>
      <c r="T39" s="6"/>
      <c r="U39" s="6"/>
      <c r="V39" s="6"/>
    </row>
    <row r="40" spans="1:22" s="1" customFormat="1" ht="15" customHeight="1" x14ac:dyDescent="0.25">
      <c r="A40" s="3"/>
      <c r="B40" s="3" t="s">
        <v>106</v>
      </c>
      <c r="C40" s="3">
        <f>BS!C13/BS!C30</f>
        <v>1.2968235392021248</v>
      </c>
      <c r="D40" s="3">
        <f>BS!D13/BS!D30</f>
        <v>1.1513579868947124</v>
      </c>
      <c r="E40" s="3">
        <f>BS!E13/BS!E30</f>
        <v>1.2327214142109126</v>
      </c>
      <c r="F40" s="3">
        <f ca="1">BS!F13/BS!F30</f>
        <v>1.2357647277313879</v>
      </c>
      <c r="G40" s="3">
        <f ca="1">BS!G13/BS!G30</f>
        <v>1.315362130719421</v>
      </c>
      <c r="H40" s="3">
        <f ca="1">BS!H13/BS!H30</f>
        <v>1.4267746726097474</v>
      </c>
      <c r="I40" s="3">
        <f ca="1">BS!I13/BS!I30</f>
        <v>1.5157789615081405</v>
      </c>
      <c r="J40" s="3">
        <f ca="1">BS!J13/BS!J30</f>
        <v>1.6024922447408314</v>
      </c>
      <c r="K40" s="3">
        <f ca="1">BS!K13/BS!K30</f>
        <v>1.6930481615574915</v>
      </c>
      <c r="L40" s="3">
        <f ca="1">BS!L13/BS!L30</f>
        <v>1.7460596622251037</v>
      </c>
      <c r="M40" s="3">
        <f ca="1">BS!M13/BS!M30</f>
        <v>1.7941555903478321</v>
      </c>
      <c r="N40" s="3">
        <f ca="1">BS!N13/BS!N30</f>
        <v>1.8456060568586536</v>
      </c>
      <c r="O40" s="3">
        <f ca="1">BS!O13/BS!O30</f>
        <v>1.9024590624304825</v>
      </c>
      <c r="Q40" s="6"/>
      <c r="R40" s="6"/>
      <c r="S40" s="6"/>
      <c r="T40" s="6"/>
      <c r="U40" s="6"/>
      <c r="V40" s="6"/>
    </row>
    <row r="41" spans="1:22" s="1" customFormat="1" ht="15" customHeight="1" x14ac:dyDescent="0.25">
      <c r="A41" s="3"/>
      <c r="B41" s="3" t="s">
        <v>107</v>
      </c>
      <c r="C41" s="3">
        <f>(BS!C13-BS!C9-BS!C10)/BS!C30</f>
        <v>1.1290215851417682</v>
      </c>
      <c r="D41" s="3">
        <f>(BS!D13-BS!D9-BS!D10)/BS!D30</f>
        <v>1.0441151693928983</v>
      </c>
      <c r="E41" s="3">
        <f>(BS!E13-BS!E9-BS!E10)/BS!E30</f>
        <v>1.1235860455640316</v>
      </c>
      <c r="F41" s="3">
        <f ca="1">(BS!F13-BS!F9-BS!F10)/BS!F30</f>
        <v>1.1262767699089649</v>
      </c>
      <c r="G41" s="3">
        <f ca="1">(BS!G13-BS!G9-BS!G10)/BS!G30</f>
        <v>1.2058741728969979</v>
      </c>
      <c r="H41" s="3">
        <f ca="1">(BS!H13-BS!H9-BS!H10)/BS!H30</f>
        <v>1.3172867147873248</v>
      </c>
      <c r="I41" s="3">
        <f ca="1">(BS!I13-BS!I9-BS!I10)/BS!I30</f>
        <v>1.4062910036857179</v>
      </c>
      <c r="J41" s="3">
        <f ca="1">(BS!J13-BS!J9-BS!J10)/BS!J30</f>
        <v>1.4930042869184086</v>
      </c>
      <c r="K41" s="3">
        <f ca="1">(BS!K13-BS!K9-BS!K10)/BS!K30</f>
        <v>1.5835602037350689</v>
      </c>
      <c r="L41" s="3">
        <f ca="1">(BS!L13-BS!L9-BS!L10)/BS!L30</f>
        <v>1.6365717044026811</v>
      </c>
      <c r="M41" s="3">
        <f ca="1">(BS!M13-BS!M9-BS!M10)/BS!M30</f>
        <v>1.6846676325254091</v>
      </c>
      <c r="N41" s="3">
        <f ca="1">(BS!N13-BS!N9-BS!N10)/BS!N30</f>
        <v>1.736118099036231</v>
      </c>
      <c r="O41" s="3">
        <f ca="1">(BS!O13-BS!O9-BS!O10)/BS!O30</f>
        <v>1.7929711046080596</v>
      </c>
      <c r="Q41" s="6"/>
      <c r="R41" s="6"/>
      <c r="S41" s="6"/>
      <c r="T41" s="6"/>
      <c r="U41" s="6"/>
      <c r="V41" s="6"/>
    </row>
    <row r="42" spans="1:22" s="1" customFormat="1" ht="15" customHeight="1" x14ac:dyDescent="0.25">
      <c r="A42" s="3"/>
      <c r="B42" s="3" t="s">
        <v>108</v>
      </c>
      <c r="C42" s="3">
        <f>BS!C7/BS!C30</f>
        <v>0.1947844033508381</v>
      </c>
      <c r="D42" s="3">
        <f>BS!D7/BS!D30</f>
        <v>0.22431700410322739</v>
      </c>
      <c r="E42" s="3">
        <f>BS!E7/BS!E30</f>
        <v>0.39963012123286984</v>
      </c>
      <c r="F42" s="3">
        <f ca="1">BS!F7/BS!F30</f>
        <v>0.47823570765343654</v>
      </c>
      <c r="G42" s="3">
        <f ca="1">BS!G7/BS!G30</f>
        <v>0.61427027309212556</v>
      </c>
      <c r="H42" s="3">
        <f ca="1">BS!H7/BS!H30</f>
        <v>0.76458885658270714</v>
      </c>
      <c r="I42" s="3">
        <f ca="1">BS!I7/BS!I30</f>
        <v>0.88357258257091498</v>
      </c>
      <c r="J42" s="3">
        <f ca="1">BS!J7/BS!J30</f>
        <v>0.99169974943918771</v>
      </c>
      <c r="K42" s="3">
        <f ca="1">BS!K7/BS!K30</f>
        <v>1.0954741129444792</v>
      </c>
      <c r="L42" s="3">
        <f ca="1">BS!L7/BS!L30</f>
        <v>1.1563537366410386</v>
      </c>
      <c r="M42" s="3">
        <f ca="1">BS!M7/BS!M30</f>
        <v>1.2105020670937259</v>
      </c>
      <c r="N42" s="3">
        <f ca="1">BS!N7/BS!N30</f>
        <v>1.2677721512295086</v>
      </c>
      <c r="O42" s="3">
        <f ca="1">BS!O7/BS!O30</f>
        <v>1.3288627424505803</v>
      </c>
      <c r="Q42" s="6"/>
      <c r="R42" s="6"/>
      <c r="S42" s="6"/>
      <c r="T42" s="6"/>
      <c r="U42" s="6"/>
      <c r="V42" s="6"/>
    </row>
    <row r="43" spans="1:22" s="1" customFormat="1" ht="15" customHeight="1" x14ac:dyDescent="0.25">
      <c r="A43" s="3"/>
      <c r="B43" s="3" t="s">
        <v>109</v>
      </c>
      <c r="C43" s="3">
        <f t="shared" ref="C43:O43" si="34">C9/C17</f>
        <v>16.481810311746756</v>
      </c>
      <c r="D43" s="3">
        <f t="shared" si="34"/>
        <v>9.8845128614237616</v>
      </c>
      <c r="E43" s="3">
        <f t="shared" si="34"/>
        <v>15.601494779727785</v>
      </c>
      <c r="F43" s="3">
        <f t="shared" ca="1" si="34"/>
        <v>20.066477210624672</v>
      </c>
      <c r="G43" s="3">
        <f t="shared" ca="1" si="34"/>
        <v>24.456073811402185</v>
      </c>
      <c r="H43" s="3">
        <f t="shared" ca="1" si="34"/>
        <v>29.483512172729615</v>
      </c>
      <c r="I43" s="3">
        <f t="shared" ca="1" si="34"/>
        <v>37.128717074290833</v>
      </c>
      <c r="J43" s="3">
        <f t="shared" ca="1" si="34"/>
        <v>46.444860897317028</v>
      </c>
      <c r="K43" s="3">
        <f t="shared" ca="1" si="34"/>
        <v>56.430856240513599</v>
      </c>
      <c r="L43" s="3">
        <f t="shared" ca="1" si="34"/>
        <v>66.632998143737154</v>
      </c>
      <c r="M43" s="3">
        <f t="shared" ca="1" si="34"/>
        <v>74.114001578143615</v>
      </c>
      <c r="N43" s="3">
        <f t="shared" ca="1" si="34"/>
        <v>85.221947033127933</v>
      </c>
      <c r="O43" s="3">
        <f t="shared" ca="1" si="34"/>
        <v>99.261235831932623</v>
      </c>
      <c r="Q43" s="6"/>
      <c r="R43" s="6"/>
      <c r="S43" s="6"/>
      <c r="T43" s="6"/>
      <c r="U43" s="6"/>
      <c r="V43" s="6"/>
    </row>
    <row r="44" spans="1:22" s="1" customFormat="1" ht="15" customHeight="1" x14ac:dyDescent="0.25">
      <c r="A44" s="3"/>
      <c r="B44" s="3" t="s">
        <v>110</v>
      </c>
      <c r="F44" s="3">
        <f t="shared" ref="F44:O44" ca="1" si="35">F18/F14</f>
        <v>0.61135508865512189</v>
      </c>
      <c r="G44" s="3">
        <f t="shared" ca="1" si="35"/>
        <v>0.67258553820379563</v>
      </c>
      <c r="H44" s="3">
        <f t="shared" ca="1" si="35"/>
        <v>0.70098996127130375</v>
      </c>
      <c r="I44" s="3">
        <f t="shared" ca="1" si="35"/>
        <v>0.73745268409876741</v>
      </c>
      <c r="J44" s="3">
        <f t="shared" ca="1" si="35"/>
        <v>0.75215776858636585</v>
      </c>
      <c r="K44" s="3">
        <f t="shared" ca="1" si="35"/>
        <v>0.74308268204241856</v>
      </c>
      <c r="L44" s="3">
        <f t="shared" ca="1" si="35"/>
        <v>0.73545092147637825</v>
      </c>
      <c r="M44" s="3">
        <f t="shared" ca="1" si="35"/>
        <v>0.71836809620042597</v>
      </c>
      <c r="N44" s="3">
        <f t="shared" ca="1" si="35"/>
        <v>0.72232927489362475</v>
      </c>
      <c r="O44" s="3">
        <f t="shared" ca="1" si="35"/>
        <v>0.71867992503087486</v>
      </c>
      <c r="Q44" s="6"/>
      <c r="R44" s="6"/>
      <c r="S44" s="6"/>
      <c r="T44" s="6"/>
      <c r="U44" s="6"/>
      <c r="V44" s="6"/>
    </row>
    <row r="45" spans="1:22" s="1" customFormat="1" ht="15" customHeight="1" x14ac:dyDescent="0.25">
      <c r="A45" s="3"/>
      <c r="B45" s="3" t="s">
        <v>111</v>
      </c>
      <c r="C45" s="18">
        <f t="shared" ref="C45:O45" si="36">C14/C12</f>
        <v>0.37299169197387877</v>
      </c>
      <c r="D45" s="18">
        <f t="shared" si="36"/>
        <v>0.82180941921035655</v>
      </c>
      <c r="E45" s="18">
        <f t="shared" si="36"/>
        <v>0.56353670082487295</v>
      </c>
      <c r="F45" s="18">
        <f t="shared" ca="1" si="36"/>
        <v>0.56207066815680473</v>
      </c>
      <c r="G45" s="18">
        <f t="shared" ca="1" si="36"/>
        <v>0.52447247274011821</v>
      </c>
      <c r="H45" s="18">
        <f t="shared" ca="1" si="36"/>
        <v>0.4743927007102331</v>
      </c>
      <c r="I45" s="18">
        <f t="shared" ca="1" si="36"/>
        <v>0.43731763474791591</v>
      </c>
      <c r="J45" s="18">
        <f t="shared" ca="1" si="36"/>
        <v>0.40318697541927567</v>
      </c>
      <c r="K45" s="18">
        <f t="shared" ca="1" si="36"/>
        <v>0.37050971107375458</v>
      </c>
      <c r="L45" s="18">
        <f t="shared" ca="1" si="36"/>
        <v>0.35160954577010983</v>
      </c>
      <c r="M45" s="18">
        <f t="shared" ca="1" si="36"/>
        <v>0.33612318354035131</v>
      </c>
      <c r="N45" s="18">
        <f t="shared" ca="1" si="36"/>
        <v>0.32168386160891388</v>
      </c>
      <c r="O45" s="18">
        <f t="shared" ca="1" si="36"/>
        <v>0.30740284776133592</v>
      </c>
      <c r="Q45" s="6"/>
      <c r="R45" s="6"/>
      <c r="S45" s="6"/>
      <c r="T45" s="6"/>
      <c r="U45" s="6"/>
      <c r="V45" s="6"/>
    </row>
    <row r="46" spans="1:22" s="1" customFormat="1" ht="15" customHeight="1" x14ac:dyDescent="0.25">
      <c r="A46" s="3"/>
      <c r="B46" s="3" t="s">
        <v>112</v>
      </c>
      <c r="C46" s="18">
        <f>BS!C34/BS!C22</f>
        <v>0.47338843479464426</v>
      </c>
      <c r="D46" s="18">
        <f>BS!D34/BS!D22</f>
        <v>0.60367914361832398</v>
      </c>
      <c r="E46" s="18">
        <f>BS!E34/BS!E22</f>
        <v>0.53421817883582035</v>
      </c>
      <c r="F46" s="18">
        <f ca="1">BS!F34/BS!F22</f>
        <v>0.54329594463065189</v>
      </c>
      <c r="G46" s="18">
        <f ca="1">BS!G34/BS!G22</f>
        <v>0.5367655103310629</v>
      </c>
      <c r="H46" s="18">
        <f ca="1">BS!H34/BS!H22</f>
        <v>0.52248978672255275</v>
      </c>
      <c r="I46" s="18">
        <f ca="1">BS!I34/BS!I22</f>
        <v>0.5124754965408238</v>
      </c>
      <c r="J46" s="18">
        <f ca="1">BS!J34/BS!J22</f>
        <v>0.49896573071619205</v>
      </c>
      <c r="K46" s="18">
        <f ca="1">BS!K34/BS!K22</f>
        <v>0.48164830495057354</v>
      </c>
      <c r="L46" s="18">
        <f ca="1">BS!L34/BS!L22</f>
        <v>0.47048915249072876</v>
      </c>
      <c r="M46" s="18">
        <f ca="1">BS!M34/BS!M22</f>
        <v>0.46041502825901759</v>
      </c>
      <c r="N46" s="18">
        <f ca="1">BS!N34/BS!N22</f>
        <v>0.45040218926010717</v>
      </c>
      <c r="O46" s="18">
        <f ca="1">BS!O34/BS!O22</f>
        <v>0.43953719441425737</v>
      </c>
      <c r="Q46" s="6"/>
      <c r="R46" s="6"/>
      <c r="S46" s="6"/>
      <c r="T46" s="6"/>
      <c r="U46" s="6"/>
      <c r="V46" s="6"/>
    </row>
    <row r="47" spans="1:22" s="1" customFormat="1" ht="15" customHeight="1" x14ac:dyDescent="0.25">
      <c r="A47" s="3"/>
      <c r="B47" s="3"/>
      <c r="Q47" s="6"/>
      <c r="R47" s="6"/>
      <c r="S47" s="6"/>
      <c r="T47" s="6"/>
      <c r="U47" s="6"/>
      <c r="V47" s="6"/>
    </row>
    <row r="48" spans="1:22" s="1" customFormat="1" ht="15" customHeight="1" x14ac:dyDescent="0.25">
      <c r="A48" s="4" t="s">
        <v>41</v>
      </c>
      <c r="B48" s="3"/>
      <c r="Q48" s="6"/>
      <c r="R48" s="6"/>
      <c r="S48" s="6"/>
      <c r="T48" s="6"/>
      <c r="U48" s="6"/>
      <c r="V48" s="6"/>
    </row>
    <row r="49" spans="1:22" s="1" customFormat="1" ht="15" customHeight="1" x14ac:dyDescent="0.25">
      <c r="A49" s="3"/>
      <c r="B49" s="3" t="s">
        <v>113</v>
      </c>
      <c r="D49" s="3">
        <f>D6/AVERAGE(BS!C8:D8)</f>
        <v>13.778943299392294</v>
      </c>
      <c r="E49" s="3">
        <f>E6/AVERAGE(BS!D8:E8)</f>
        <v>13.430227839611423</v>
      </c>
      <c r="F49" s="3">
        <f>F6/AVERAGE(BS!E8:F8)</f>
        <v>13.893323811695979</v>
      </c>
      <c r="G49" s="3">
        <f>G6/AVERAGE(BS!F8:G8)</f>
        <v>13.687782805429865</v>
      </c>
      <c r="H49" s="3">
        <f>H6/AVERAGE(BS!G8:H8)</f>
        <v>13.475400217919706</v>
      </c>
      <c r="I49" s="3">
        <f>I6/AVERAGE(BS!H8:I8)</f>
        <v>13.372093023255813</v>
      </c>
      <c r="J49" s="3">
        <f>J6/AVERAGE(BS!I8:J8)</f>
        <v>13.207547169811322</v>
      </c>
      <c r="K49" s="3">
        <f>K6/AVERAGE(BS!J8:K8)</f>
        <v>12.980769230769232</v>
      </c>
      <c r="L49" s="3">
        <f>L6/AVERAGE(BS!K8:L8)</f>
        <v>12.804878048780489</v>
      </c>
      <c r="M49" s="3">
        <f>M6/AVERAGE(BS!L8:M8)</f>
        <v>12.745098039215685</v>
      </c>
      <c r="N49" s="3">
        <f>N6/AVERAGE(BS!M8:N8)</f>
        <v>12.745098039215685</v>
      </c>
      <c r="O49" s="3">
        <f>O6/AVERAGE(BS!N8:O8)</f>
        <v>12.684729064039409</v>
      </c>
      <c r="Q49" s="6"/>
      <c r="R49" s="6"/>
      <c r="S49" s="6"/>
      <c r="T49" s="6"/>
      <c r="U49" s="6"/>
      <c r="V49" s="6"/>
    </row>
    <row r="50" spans="1:22" s="1" customFormat="1" ht="15" customHeight="1" x14ac:dyDescent="0.25">
      <c r="A50" s="3"/>
      <c r="B50" s="3" t="s">
        <v>114</v>
      </c>
      <c r="D50" s="3">
        <f>D7/AVERAGE(BS!C10:D10)</f>
        <v>113.88654106121201</v>
      </c>
      <c r="E50" s="3">
        <f>E7/AVERAGE(BS!D10:E10)</f>
        <v>135.07544053649249</v>
      </c>
      <c r="F50" s="3">
        <f>F7/AVERAGE(BS!E10:F10)</f>
        <v>123.05128482701487</v>
      </c>
      <c r="G50" s="3">
        <f>G7/AVERAGE(BS!F10:G10)</f>
        <v>121.66918049270991</v>
      </c>
      <c r="H50" s="3">
        <f>H7/AVERAGE(BS!G10:H10)</f>
        <v>119.78133527039741</v>
      </c>
      <c r="I50" s="3">
        <f>I7/AVERAGE(BS!H10:I10)</f>
        <v>118.86304909560725</v>
      </c>
      <c r="J50" s="3">
        <f>J7/AVERAGE(BS!I10:J10)</f>
        <v>117.40041928721176</v>
      </c>
      <c r="K50" s="3">
        <f>K7/AVERAGE(BS!J10:K10)</f>
        <v>115.38461538461539</v>
      </c>
      <c r="L50" s="3">
        <f>L7/AVERAGE(BS!K10:L10)</f>
        <v>113.82113821138213</v>
      </c>
      <c r="M50" s="3">
        <f>M7/AVERAGE(BS!L10:M10)</f>
        <v>113.28976034858388</v>
      </c>
      <c r="N50" s="3">
        <f>N7/AVERAGE(BS!M10:N10)</f>
        <v>113.2897603485839</v>
      </c>
      <c r="O50" s="3">
        <f>O7/AVERAGE(BS!N10:O10)</f>
        <v>112.75314723590589</v>
      </c>
      <c r="Q50" s="6"/>
      <c r="R50" s="6"/>
      <c r="S50" s="6"/>
      <c r="T50" s="6"/>
      <c r="U50" s="6"/>
      <c r="V50" s="6"/>
    </row>
    <row r="51" spans="1:22" s="1" customFormat="1" ht="15" customHeight="1" x14ac:dyDescent="0.25">
      <c r="A51" s="3"/>
      <c r="B51" s="3" t="s">
        <v>115</v>
      </c>
      <c r="D51" s="3">
        <f>D8/AVERAGE(BS!C27:D27)</f>
        <v>4.0839492586525363</v>
      </c>
      <c r="E51" s="3">
        <f>E8/AVERAGE(BS!D27:E27)</f>
        <v>3.1459608533073671</v>
      </c>
      <c r="F51" s="3">
        <f>F8/AVERAGE(BS!E27:F27)</f>
        <v>2.8532365005575873</v>
      </c>
      <c r="G51" s="3">
        <f>G8/AVERAGE(BS!F27:G27)</f>
        <v>2.8267184790693842</v>
      </c>
      <c r="H51" s="3">
        <f>H8/AVERAGE(BS!G27:H27)</f>
        <v>2.7828585060349358</v>
      </c>
      <c r="I51" s="3">
        <f>I8/AVERAGE(BS!H27:I27)</f>
        <v>2.7615241262943839</v>
      </c>
      <c r="J51" s="3">
        <f>J8/AVERAGE(BS!I27:J27)</f>
        <v>2.7275431075130765</v>
      </c>
      <c r="K51" s="3">
        <f>K8/AVERAGE(BS!J27:K27)</f>
        <v>2.6807102931670412</v>
      </c>
      <c r="L51" s="3">
        <f>L8/AVERAGE(BS!K27:L27)</f>
        <v>2.6443863054547503</v>
      </c>
      <c r="M51" s="3">
        <f>M8/AVERAGE(BS!L27:M27)</f>
        <v>2.6320408978662591</v>
      </c>
      <c r="N51" s="3">
        <f>N8/AVERAGE(BS!M27:N27)</f>
        <v>2.6320408978662582</v>
      </c>
      <c r="O51" s="3">
        <f>O8/AVERAGE(BS!N27:O27)</f>
        <v>2.6195738606463546</v>
      </c>
      <c r="Q51" s="6"/>
      <c r="R51" s="6"/>
      <c r="S51" s="6"/>
      <c r="T51" s="6"/>
      <c r="U51" s="6"/>
      <c r="V51" s="6"/>
    </row>
    <row r="52" spans="1:22" s="1" customFormat="1" ht="15" customHeight="1" x14ac:dyDescent="0.25">
      <c r="A52" s="3"/>
      <c r="B52" s="3" t="s">
        <v>116</v>
      </c>
      <c r="D52" s="3">
        <f>D6/AVERAGE(BS!C16:D16)</f>
        <v>5.7755757154553322</v>
      </c>
      <c r="E52" s="3">
        <f>E6/AVERAGE(BS!D16:E16)</f>
        <v>5.2286164539698934</v>
      </c>
      <c r="F52" s="3">
        <f>F6/AVERAGE(BS!E16:F16)</f>
        <v>5.4149251230494153</v>
      </c>
      <c r="G52" s="3">
        <f>G6/AVERAGE(BS!F16:G16)</f>
        <v>6.0163681873587089</v>
      </c>
      <c r="H52" s="3">
        <f>H6/AVERAGE(BS!G16:H16)</f>
        <v>6.6779146244719003</v>
      </c>
      <c r="I52" s="3">
        <f>I6/AVERAGE(BS!H16:I16)</f>
        <v>7.6072855758905531</v>
      </c>
      <c r="J52" s="3">
        <f>J6/AVERAGE(BS!I16:J16)</f>
        <v>8.5307640833397294</v>
      </c>
      <c r="K52" s="3">
        <f>K6/AVERAGE(BS!J16:K16)</f>
        <v>9.0329783076054522</v>
      </c>
      <c r="L52" s="3">
        <f>L6/AVERAGE(BS!K16:L16)</f>
        <v>9.1842043282648032</v>
      </c>
      <c r="M52" s="3">
        <f>M6/AVERAGE(BS!L16:M16)</f>
        <v>9.2075972179584635</v>
      </c>
      <c r="N52" s="3">
        <f>N6/AVERAGE(BS!M16:N16)</f>
        <v>9.2268050906545245</v>
      </c>
      <c r="O52" s="3">
        <f>O6/AVERAGE(BS!N16:O16)</f>
        <v>9.1618348431261474</v>
      </c>
      <c r="Q52" s="6"/>
      <c r="R52" s="6"/>
      <c r="S52" s="6"/>
      <c r="T52" s="6"/>
      <c r="U52" s="6"/>
      <c r="V52" s="6"/>
    </row>
    <row r="53" spans="1:22" s="1" customFormat="1" ht="15" customHeight="1" x14ac:dyDescent="0.25">
      <c r="A53" s="3"/>
      <c r="B53" s="3" t="s">
        <v>117</v>
      </c>
      <c r="D53" s="3">
        <f t="shared" ref="D53:O53" si="37">D6/AVERAGE(C13:D13)</f>
        <v>1.5480815229908031</v>
      </c>
      <c r="E53" s="3">
        <f t="shared" si="37"/>
        <v>1.4580237941020673</v>
      </c>
      <c r="F53" s="3">
        <f t="shared" ca="1" si="37"/>
        <v>1.4877941500123293</v>
      </c>
      <c r="G53" s="3">
        <f t="shared" ca="1" si="37"/>
        <v>1.5291008411410756</v>
      </c>
      <c r="H53" s="3">
        <f t="shared" ca="1" si="37"/>
        <v>1.5285119801082885</v>
      </c>
      <c r="I53" s="3">
        <f t="shared" ca="1" si="37"/>
        <v>1.5309691017822527</v>
      </c>
      <c r="J53" s="3">
        <f t="shared" ca="1" si="37"/>
        <v>1.5137557144248879</v>
      </c>
      <c r="K53" s="3">
        <f t="shared" ca="1" si="37"/>
        <v>1.4630207101231831</v>
      </c>
      <c r="L53" s="3">
        <f t="shared" ca="1" si="37"/>
        <v>1.4125453956967475</v>
      </c>
      <c r="M53" s="3">
        <f t="shared" ca="1" si="37"/>
        <v>1.3801694005486844</v>
      </c>
      <c r="N53" s="3">
        <f t="shared" ca="1" si="37"/>
        <v>1.3539220985081282</v>
      </c>
      <c r="O53" s="3">
        <f t="shared" ca="1" si="37"/>
        <v>1.3187122621488534</v>
      </c>
      <c r="Q53" s="6"/>
      <c r="R53" s="6"/>
      <c r="S53" s="6"/>
      <c r="T53" s="6"/>
      <c r="U53" s="6"/>
      <c r="V53" s="6"/>
    </row>
    <row r="54" spans="1:22" s="1" customFormat="1" ht="15" customHeight="1" x14ac:dyDescent="0.25">
      <c r="A54" s="3"/>
      <c r="B54" s="3"/>
      <c r="Q54" s="6"/>
      <c r="R54" s="6"/>
      <c r="S54" s="6"/>
      <c r="T54" s="6"/>
      <c r="U54" s="6"/>
      <c r="V54" s="6"/>
    </row>
    <row r="55" spans="1:22" s="1" customFormat="1" ht="15" customHeight="1" x14ac:dyDescent="0.25">
      <c r="A55" s="4" t="s">
        <v>118</v>
      </c>
      <c r="B55" s="3"/>
      <c r="Q55" s="6"/>
      <c r="R55" s="6"/>
      <c r="S55" s="6"/>
      <c r="T55" s="6"/>
      <c r="U55" s="6"/>
      <c r="V55" s="6"/>
    </row>
    <row r="56" spans="1:22" s="1" customFormat="1" ht="15" customHeight="1" x14ac:dyDescent="0.25">
      <c r="A56" s="3"/>
      <c r="B56" s="3" t="s">
        <v>102</v>
      </c>
      <c r="D56" s="18">
        <f t="shared" ref="D56:O56" si="38">D33</f>
        <v>2.2748334285340618E-2</v>
      </c>
      <c r="E56" s="18">
        <f t="shared" si="38"/>
        <v>7.2383257585528743E-2</v>
      </c>
      <c r="F56" s="18">
        <f t="shared" ca="1" si="38"/>
        <v>5.5193860553187452E-2</v>
      </c>
      <c r="G56" s="18">
        <f t="shared" ca="1" si="38"/>
        <v>6.3140550654826461E-2</v>
      </c>
      <c r="H56" s="18">
        <f t="shared" ca="1" si="38"/>
        <v>6.5934214644680883E-2</v>
      </c>
      <c r="I56" s="18">
        <f t="shared" ca="1" si="38"/>
        <v>6.9962633926677856E-2</v>
      </c>
      <c r="J56" s="18">
        <f t="shared" ca="1" si="38"/>
        <v>7.3405782756638449E-2</v>
      </c>
      <c r="K56" s="18">
        <f t="shared" ca="1" si="38"/>
        <v>7.4550238061293364E-2</v>
      </c>
      <c r="L56" s="18">
        <f t="shared" ca="1" si="38"/>
        <v>7.5420413333842626E-2</v>
      </c>
      <c r="M56" s="18">
        <f t="shared" ca="1" si="38"/>
        <v>7.3227915697224547E-2</v>
      </c>
      <c r="N56" s="18">
        <f t="shared" ca="1" si="38"/>
        <v>7.3333974654292297E-2</v>
      </c>
      <c r="O56" s="18">
        <f t="shared" ca="1" si="38"/>
        <v>7.328661146006768E-2</v>
      </c>
      <c r="Q56" s="6"/>
      <c r="R56" s="6"/>
      <c r="S56" s="6"/>
      <c r="T56" s="6"/>
      <c r="U56" s="6"/>
      <c r="V56" s="6"/>
    </row>
    <row r="57" spans="1:22" s="1" customFormat="1" ht="15" customHeight="1" x14ac:dyDescent="0.25">
      <c r="A57" s="3"/>
      <c r="B57" s="3" t="s">
        <v>117</v>
      </c>
      <c r="D57" s="3">
        <f>D53</f>
        <v>1.5480815229908031</v>
      </c>
      <c r="E57" s="3">
        <f t="shared" ref="E57:F57" si="39">E53</f>
        <v>1.4580237941020673</v>
      </c>
      <c r="F57" s="3">
        <f t="shared" ca="1" si="39"/>
        <v>1.4877941500123293</v>
      </c>
      <c r="G57" s="3">
        <f t="shared" ref="G57:O57" ca="1" si="40">G53</f>
        <v>1.5291008411410756</v>
      </c>
      <c r="H57" s="3">
        <f t="shared" ca="1" si="40"/>
        <v>1.5285119801082885</v>
      </c>
      <c r="I57" s="3">
        <f t="shared" ca="1" si="40"/>
        <v>1.5309691017822527</v>
      </c>
      <c r="J57" s="3">
        <f t="shared" ca="1" si="40"/>
        <v>1.5137557144248879</v>
      </c>
      <c r="K57" s="3">
        <f t="shared" ca="1" si="40"/>
        <v>1.4630207101231831</v>
      </c>
      <c r="L57" s="3">
        <f t="shared" ca="1" si="40"/>
        <v>1.4125453956967475</v>
      </c>
      <c r="M57" s="3">
        <f t="shared" ca="1" si="40"/>
        <v>1.3801694005486844</v>
      </c>
      <c r="N57" s="3">
        <f t="shared" ca="1" si="40"/>
        <v>1.3539220985081282</v>
      </c>
      <c r="O57" s="3">
        <f t="shared" ca="1" si="40"/>
        <v>1.3187122621488534</v>
      </c>
      <c r="Q57" s="6"/>
      <c r="R57" s="6"/>
      <c r="S57" s="6"/>
      <c r="T57" s="6"/>
      <c r="U57" s="6"/>
      <c r="V57" s="6"/>
    </row>
    <row r="58" spans="1:22" s="1" customFormat="1" ht="15" customHeight="1" x14ac:dyDescent="0.25">
      <c r="A58" s="3"/>
      <c r="B58" s="3" t="s">
        <v>119</v>
      </c>
      <c r="D58" s="18">
        <f>D56*D57</f>
        <v>3.5216275985954004E-2</v>
      </c>
      <c r="E58" s="18">
        <f t="shared" ref="E58:F58" si="41">E56*E57</f>
        <v>0.10553651185431986</v>
      </c>
      <c r="F58" s="18">
        <f t="shared" ca="1" si="41"/>
        <v>8.2117102847628562E-2</v>
      </c>
      <c r="G58" s="18">
        <f t="shared" ref="G58" ca="1" si="42">G56*G57</f>
        <v>9.6548269116405835E-2</v>
      </c>
      <c r="H58" s="18">
        <f t="shared" ref="H58" ca="1" si="43">H56*H57</f>
        <v>0.10078123698342609</v>
      </c>
      <c r="I58" s="18">
        <f t="shared" ref="I58" ca="1" si="44">I56*I57</f>
        <v>0.10711063082104655</v>
      </c>
      <c r="J58" s="18">
        <f t="shared" ref="J58" ca="1" si="45">J56*J57</f>
        <v>0.11111842311969335</v>
      </c>
      <c r="K58" s="18">
        <f t="shared" ref="K58" ca="1" si="46">K56*K57</f>
        <v>0.10906854222828577</v>
      </c>
      <c r="L58" s="18">
        <f t="shared" ref="L58" ca="1" si="47">L56*L57</f>
        <v>0.10653475759626499</v>
      </c>
      <c r="M58" s="18">
        <f t="shared" ref="M58" ca="1" si="48">M56*M57</f>
        <v>0.101066928511268</v>
      </c>
      <c r="N58" s="18">
        <f t="shared" ref="N58" ca="1" si="49">N56*N57</f>
        <v>9.9288488855881304E-2</v>
      </c>
      <c r="O58" s="18">
        <f t="shared" ref="O58" ca="1" si="50">O56*O57</f>
        <v>9.6643953183729939E-2</v>
      </c>
      <c r="Q58" s="6"/>
      <c r="R58" s="6"/>
      <c r="S58" s="6"/>
      <c r="T58" s="6"/>
      <c r="U58" s="6"/>
      <c r="V58" s="6"/>
    </row>
    <row r="59" spans="1:22" s="1" customFormat="1" ht="15" customHeight="1" x14ac:dyDescent="0.25">
      <c r="A59" s="3"/>
      <c r="B59" s="3" t="s">
        <v>120</v>
      </c>
      <c r="D59" s="3">
        <f t="shared" ref="D59:O59" si="51">AVERAGE(C13:D13)/AVERAGE(C12:D12)</f>
        <v>2.2034975526061578</v>
      </c>
      <c r="E59" s="3">
        <f t="shared" si="51"/>
        <v>2.2977980412817196</v>
      </c>
      <c r="F59" s="3">
        <f t="shared" ca="1" si="51"/>
        <v>2.1697622290449994</v>
      </c>
      <c r="G59" s="3">
        <f t="shared" ca="1" si="51"/>
        <v>2.1727828801651752</v>
      </c>
      <c r="H59" s="3">
        <f t="shared" ca="1" si="51"/>
        <v>2.1235775360536704</v>
      </c>
      <c r="I59" s="3">
        <f t="shared" ca="1" si="51"/>
        <v>2.0710838436168015</v>
      </c>
      <c r="J59" s="3">
        <f t="shared" ca="1" si="51"/>
        <v>2.0214765684510536</v>
      </c>
      <c r="K59" s="3">
        <f t="shared" ca="1" si="51"/>
        <v>1.9602674777264688</v>
      </c>
      <c r="L59" s="3">
        <f t="shared" ca="1" si="51"/>
        <v>1.9079647172194978</v>
      </c>
      <c r="M59" s="3">
        <f t="shared" ca="1" si="51"/>
        <v>1.8702296983600886</v>
      </c>
      <c r="N59" s="3">
        <f t="shared" ca="1" si="51"/>
        <v>1.8357420884312119</v>
      </c>
      <c r="O59" s="3">
        <f t="shared" ca="1" si="51"/>
        <v>1.8012357629186206</v>
      </c>
      <c r="Q59" s="6"/>
      <c r="R59" s="6"/>
      <c r="S59" s="6"/>
      <c r="T59" s="6"/>
      <c r="U59" s="6"/>
      <c r="V59" s="6"/>
    </row>
    <row r="60" spans="1:22" s="1" customFormat="1" ht="15" customHeight="1" x14ac:dyDescent="0.25">
      <c r="A60" s="3"/>
      <c r="B60" s="3" t="s">
        <v>103</v>
      </c>
      <c r="D60" s="18">
        <f>D58*D59</f>
        <v>7.7598977946952655E-2</v>
      </c>
      <c r="E60" s="18">
        <f t="shared" ref="E60:F60" si="52">E58*E59</f>
        <v>0.24250159022256115</v>
      </c>
      <c r="F60" s="18">
        <f t="shared" ca="1" si="52"/>
        <v>0.17817458811738801</v>
      </c>
      <c r="G60" s="18">
        <f t="shared" ref="G60" ca="1" si="53">G58*G59</f>
        <v>0.2097784262457067</v>
      </c>
      <c r="H60" s="18">
        <f t="shared" ref="H60" ca="1" si="54">H58*H59</f>
        <v>0.21401677091370502</v>
      </c>
      <c r="I60" s="18">
        <f t="shared" ref="I60" ca="1" si="55">I58*I59</f>
        <v>0.22183509697307333</v>
      </c>
      <c r="J60" s="18">
        <f t="shared" ref="J60" ca="1" si="56">J58*J59</f>
        <v>0.22462328865968992</v>
      </c>
      <c r="K60" s="18">
        <f t="shared" ref="K60" ca="1" si="57">K58*K59</f>
        <v>0.21380351617314461</v>
      </c>
      <c r="L60" s="18">
        <f t="shared" ref="L60" ca="1" si="58">L58*L59</f>
        <v>0.20326455865120546</v>
      </c>
      <c r="M60" s="18">
        <f t="shared" ref="M60" ca="1" si="59">M58*M59</f>
        <v>0.18901837122380938</v>
      </c>
      <c r="N60" s="18">
        <f t="shared" ref="N60" ca="1" si="60">N58*N59</f>
        <v>0.18226805788947464</v>
      </c>
      <c r="O60" s="18">
        <f t="shared" ref="O60" ca="1" si="61">O58*O59</f>
        <v>0.17407854474436726</v>
      </c>
      <c r="Q60" s="6"/>
      <c r="R60" s="6"/>
      <c r="S60" s="6"/>
      <c r="T60" s="6"/>
      <c r="U60" s="6"/>
      <c r="V60" s="6"/>
    </row>
    <row r="61" spans="1:22" s="1" customFormat="1" ht="15" customHeight="1" x14ac:dyDescent="0.25">
      <c r="A61" s="3"/>
      <c r="B61" s="47"/>
      <c r="Q61" s="6"/>
      <c r="R61" s="6"/>
      <c r="S61" s="6"/>
      <c r="T61" s="6"/>
      <c r="U61" s="6"/>
      <c r="V61" s="6"/>
    </row>
    <row r="62" spans="1:22" s="1" customFormat="1" ht="15" customHeight="1" x14ac:dyDescent="0.25">
      <c r="Q62" s="6"/>
      <c r="R62" s="6"/>
      <c r="S62" s="6"/>
      <c r="T62" s="6"/>
      <c r="U62" s="6"/>
      <c r="V62" s="6"/>
    </row>
    <row r="63" spans="1:22" s="1" customFormat="1" ht="15" customHeight="1" x14ac:dyDescent="0.25">
      <c r="Q63" s="6"/>
      <c r="R63" s="6"/>
      <c r="S63" s="6"/>
      <c r="T63" s="6"/>
      <c r="U63" s="6"/>
      <c r="V63" s="6"/>
    </row>
    <row r="64" spans="1:22" s="1" customFormat="1" ht="15" customHeight="1" x14ac:dyDescent="0.25">
      <c r="Q64" s="6"/>
      <c r="R64" s="6"/>
      <c r="S64" s="6"/>
      <c r="T64" s="6"/>
      <c r="U64" s="6"/>
      <c r="V64" s="6"/>
    </row>
    <row r="65" spans="17:22" s="1" customFormat="1" ht="15" customHeight="1" x14ac:dyDescent="0.25">
      <c r="Q65" s="6"/>
      <c r="R65" s="6"/>
      <c r="S65" s="6"/>
      <c r="T65" s="6"/>
      <c r="U65" s="6"/>
      <c r="V65" s="6"/>
    </row>
    <row r="66" spans="17:22" s="1" customFormat="1" ht="15" customHeight="1" x14ac:dyDescent="0.25">
      <c r="Q66" s="6"/>
      <c r="R66" s="6"/>
      <c r="S66" s="6"/>
      <c r="T66" s="6"/>
      <c r="U66" s="6"/>
      <c r="V66" s="6"/>
    </row>
    <row r="67" spans="17:22" s="1" customFormat="1" ht="15" customHeight="1" x14ac:dyDescent="0.25">
      <c r="Q67" s="6"/>
      <c r="R67" s="6"/>
      <c r="S67" s="6"/>
      <c r="T67" s="6"/>
      <c r="U67" s="6"/>
      <c r="V67" s="6"/>
    </row>
    <row r="68" spans="17:22" s="1" customFormat="1" ht="15" customHeight="1" x14ac:dyDescent="0.25">
      <c r="Q68" s="6"/>
      <c r="R68" s="6"/>
      <c r="S68" s="6"/>
      <c r="T68" s="6"/>
      <c r="U68" s="6"/>
      <c r="V68" s="6"/>
    </row>
    <row r="69" spans="17:22" s="1" customFormat="1" ht="15" customHeight="1" x14ac:dyDescent="0.25">
      <c r="Q69" s="6"/>
      <c r="R69" s="6"/>
      <c r="S69" s="6"/>
      <c r="T69" s="6"/>
      <c r="U69" s="6"/>
      <c r="V69" s="6"/>
    </row>
    <row r="70" spans="17:22" ht="15" customHeight="1" x14ac:dyDescent="0.25"/>
    <row r="71" spans="17:22" ht="15" customHeight="1" x14ac:dyDescent="0.25"/>
    <row r="72" spans="17:22" ht="15" customHeight="1" x14ac:dyDescent="0.25"/>
    <row r="73" spans="17:22" ht="15" customHeight="1" x14ac:dyDescent="0.25"/>
    <row r="74" spans="17:22" ht="15" customHeight="1" x14ac:dyDescent="0.25"/>
    <row r="75" spans="17:22" ht="15" customHeight="1" x14ac:dyDescent="0.25"/>
    <row r="76" spans="17:22" ht="15" customHeight="1" x14ac:dyDescent="0.25"/>
    <row r="77" spans="17:22" ht="15" customHeight="1" x14ac:dyDescent="0.25"/>
    <row r="78" spans="17:22" ht="15" customHeight="1" x14ac:dyDescent="0.25"/>
    <row r="79" spans="17:22" ht="15" customHeight="1" x14ac:dyDescent="0.25"/>
    <row r="80" spans="17:22"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sheetData>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V101"/>
  <sheetViews>
    <sheetView zoomScale="120" zoomScaleNormal="120" workbookViewId="0">
      <pane xSplit="2" ySplit="3" topLeftCell="C4" activePane="bottomRight" state="frozen"/>
      <selection pane="topRight"/>
      <selection pane="bottomLeft"/>
      <selection pane="bottomRight" activeCell="C4" sqref="C4"/>
    </sheetView>
  </sheetViews>
  <sheetFormatPr defaultColWidth="0" defaultRowHeight="14.25" x14ac:dyDescent="0.25"/>
  <cols>
    <col min="1" max="1" width="1.7109375" style="2" customWidth="1"/>
    <col min="2" max="2" width="39.7109375" style="1" customWidth="1"/>
    <col min="3" max="15" width="10.7109375" style="1" customWidth="1"/>
    <col min="16" max="16" width="1.7109375" style="1" hidden="1" customWidth="1"/>
    <col min="17" max="22" width="9.7109375" style="6" hidden="1" customWidth="1"/>
    <col min="23" max="16384" width="9.140625" style="6" hidden="1"/>
  </cols>
  <sheetData>
    <row r="1" spans="1:22" ht="24" customHeight="1" x14ac:dyDescent="0.2">
      <c r="A1" s="71" t="s">
        <v>277</v>
      </c>
      <c r="B1" s="72"/>
      <c r="C1" s="72"/>
      <c r="D1" s="72"/>
      <c r="E1" s="72"/>
      <c r="F1" s="72"/>
      <c r="G1" s="72"/>
      <c r="H1" s="72"/>
      <c r="I1" s="72"/>
      <c r="J1" s="72"/>
      <c r="K1" s="72"/>
      <c r="L1" s="72"/>
      <c r="M1" s="72"/>
      <c r="N1" s="72"/>
      <c r="O1" s="72"/>
      <c r="P1" s="70"/>
    </row>
    <row r="2" spans="1:22" s="9" customFormat="1" ht="18" customHeight="1" x14ac:dyDescent="0.25">
      <c r="A2" s="5"/>
      <c r="B2" s="7" t="s">
        <v>66</v>
      </c>
      <c r="C2" s="7"/>
      <c r="D2" s="8"/>
      <c r="E2" s="8"/>
      <c r="F2" s="8"/>
      <c r="G2" s="8"/>
      <c r="H2" s="8"/>
      <c r="I2" s="8"/>
    </row>
    <row r="3" spans="1:22" s="12" customFormat="1" ht="15" customHeight="1" x14ac:dyDescent="0.25">
      <c r="A3" s="15"/>
      <c r="B3" s="10" t="s">
        <v>67</v>
      </c>
      <c r="C3" s="11" t="s">
        <v>18</v>
      </c>
      <c r="D3" s="11" t="s">
        <v>0</v>
      </c>
      <c r="E3" s="11" t="s">
        <v>1</v>
      </c>
      <c r="F3" s="11" t="s">
        <v>2</v>
      </c>
      <c r="G3" s="11" t="s">
        <v>3</v>
      </c>
      <c r="H3" s="11" t="s">
        <v>4</v>
      </c>
      <c r="I3" s="11" t="s">
        <v>5</v>
      </c>
      <c r="J3" s="11" t="s">
        <v>6</v>
      </c>
      <c r="K3" s="11" t="s">
        <v>7</v>
      </c>
      <c r="L3" s="11" t="s">
        <v>8</v>
      </c>
      <c r="M3" s="11" t="s">
        <v>9</v>
      </c>
      <c r="N3" s="11" t="s">
        <v>10</v>
      </c>
      <c r="O3" s="11" t="s">
        <v>11</v>
      </c>
      <c r="P3" s="9"/>
    </row>
    <row r="4" spans="1:22" s="1" customFormat="1" ht="9" customHeight="1" x14ac:dyDescent="0.25">
      <c r="A4" s="2"/>
      <c r="Q4" s="6"/>
      <c r="R4" s="6"/>
      <c r="S4" s="6"/>
      <c r="T4" s="6"/>
      <c r="U4" s="6"/>
      <c r="V4" s="6"/>
    </row>
    <row r="5" spans="1:22" s="1" customFormat="1" ht="15" customHeight="1" x14ac:dyDescent="0.25">
      <c r="A5" s="2"/>
      <c r="B5" s="1" t="s">
        <v>283</v>
      </c>
      <c r="E5" s="79">
        <v>42735</v>
      </c>
      <c r="Q5" s="6"/>
      <c r="R5" s="6"/>
      <c r="S5" s="6"/>
      <c r="T5" s="6"/>
      <c r="U5" s="6"/>
      <c r="V5" s="6"/>
    </row>
    <row r="6" spans="1:22" s="1" customFormat="1" ht="15" customHeight="1" x14ac:dyDescent="0.25">
      <c r="A6" s="2"/>
      <c r="B6" s="3" t="s">
        <v>45</v>
      </c>
      <c r="E6" s="80">
        <v>0.111</v>
      </c>
      <c r="Q6" s="6"/>
      <c r="R6" s="6"/>
      <c r="S6" s="6"/>
      <c r="T6" s="6"/>
      <c r="U6" s="6"/>
      <c r="V6" s="6"/>
    </row>
    <row r="7" spans="1:22" s="1" customFormat="1" ht="15" customHeight="1" x14ac:dyDescent="0.25">
      <c r="A7" s="2"/>
      <c r="B7" s="3" t="s">
        <v>284</v>
      </c>
      <c r="E7" s="81">
        <v>8.6</v>
      </c>
      <c r="Q7" s="6"/>
      <c r="R7" s="6"/>
      <c r="S7" s="6"/>
      <c r="T7" s="6"/>
      <c r="U7" s="6"/>
      <c r="V7" s="6"/>
    </row>
    <row r="8" spans="1:22" s="1" customFormat="1" ht="15" customHeight="1" x14ac:dyDescent="0.25">
      <c r="A8" s="2"/>
      <c r="B8" s="3" t="s">
        <v>296</v>
      </c>
      <c r="E8" s="81">
        <v>1.2</v>
      </c>
      <c r="Q8" s="6"/>
      <c r="R8" s="6"/>
      <c r="S8" s="6"/>
      <c r="T8" s="6"/>
      <c r="U8" s="6"/>
      <c r="V8" s="6"/>
    </row>
    <row r="9" spans="1:22" s="1" customFormat="1" ht="15" customHeight="1" x14ac:dyDescent="0.25">
      <c r="A9" s="2"/>
      <c r="B9" s="3"/>
      <c r="Q9" s="6"/>
      <c r="R9" s="6"/>
      <c r="S9" s="6"/>
      <c r="T9" s="6"/>
      <c r="U9" s="6"/>
      <c r="V9" s="6"/>
    </row>
    <row r="10" spans="1:22" s="1" customFormat="1" ht="15" customHeight="1" x14ac:dyDescent="0.25">
      <c r="A10" s="2" t="s">
        <v>68</v>
      </c>
      <c r="Q10" s="6"/>
      <c r="R10" s="6"/>
      <c r="S10" s="6"/>
      <c r="T10" s="6"/>
      <c r="U10" s="6"/>
      <c r="V10" s="6"/>
    </row>
    <row r="11" spans="1:22" s="1" customFormat="1" ht="15" customHeight="1" x14ac:dyDescent="0.25">
      <c r="A11" s="2"/>
      <c r="B11" s="1" t="s">
        <v>69</v>
      </c>
      <c r="F11" s="1">
        <f>IS!F27</f>
        <v>5249.3929457753411</v>
      </c>
      <c r="G11" s="1">
        <f>IS!G27</f>
        <v>7229.6178178780638</v>
      </c>
      <c r="H11" s="1">
        <f>IS!H27</f>
        <v>8778.3414739960281</v>
      </c>
      <c r="I11" s="1">
        <f>IS!I27</f>
        <v>10647.118697784013</v>
      </c>
      <c r="J11" s="1">
        <f>IS!J27</f>
        <v>12455.48304484634</v>
      </c>
      <c r="K11" s="1">
        <f>IS!K27</f>
        <v>13616.290471204051</v>
      </c>
      <c r="L11" s="1">
        <f>IS!L27</f>
        <v>14430.10125065082</v>
      </c>
      <c r="M11" s="1">
        <f>IS!M27</f>
        <v>14547.866658153602</v>
      </c>
      <c r="N11" s="1">
        <f>IS!N27</f>
        <v>15130.367235141484</v>
      </c>
      <c r="O11" s="1">
        <f>IS!O27</f>
        <v>15550.908150120396</v>
      </c>
      <c r="Q11" s="6"/>
      <c r="R11" s="6"/>
      <c r="S11" s="6"/>
      <c r="T11" s="6"/>
      <c r="U11" s="6"/>
      <c r="V11" s="6"/>
    </row>
    <row r="12" spans="1:22" s="1" customFormat="1" ht="15" customHeight="1" x14ac:dyDescent="0.25">
      <c r="A12" s="2"/>
      <c r="B12" s="1" t="s">
        <v>70</v>
      </c>
      <c r="F12" s="1">
        <f>-Assumption!F17*DCF!F11</f>
        <v>-1207.3603775283284</v>
      </c>
      <c r="G12" s="1">
        <f>-Assumption!G17*DCF!G11</f>
        <v>-1662.8120981119548</v>
      </c>
      <c r="H12" s="1">
        <f>-Assumption!H17*DCF!H11</f>
        <v>-2019.0185390190866</v>
      </c>
      <c r="I12" s="1">
        <f>-Assumption!I17*DCF!I11</f>
        <v>-2448.8373004903233</v>
      </c>
      <c r="J12" s="1">
        <f>-Assumption!J17*DCF!J11</f>
        <v>-2864.7611003146585</v>
      </c>
      <c r="K12" s="1">
        <f>-Assumption!K17*DCF!K11</f>
        <v>-3131.7468083769318</v>
      </c>
      <c r="L12" s="1">
        <f>-Assumption!L17*DCF!L11</f>
        <v>-3318.9232876496885</v>
      </c>
      <c r="M12" s="1">
        <f>-Assumption!M17*DCF!M11</f>
        <v>-3346.0093313753287</v>
      </c>
      <c r="N12" s="1">
        <f>-Assumption!N17*DCF!N11</f>
        <v>-3479.9844640825418</v>
      </c>
      <c r="O12" s="1">
        <f>-Assumption!O17*DCF!O11</f>
        <v>-3576.7088745276915</v>
      </c>
      <c r="Q12" s="6"/>
      <c r="R12" s="6"/>
      <c r="S12" s="6"/>
      <c r="T12" s="6"/>
      <c r="U12" s="6"/>
      <c r="V12" s="6"/>
    </row>
    <row r="13" spans="1:22" s="1" customFormat="1" ht="15" customHeight="1" x14ac:dyDescent="0.25">
      <c r="A13" s="2"/>
      <c r="Q13" s="6"/>
      <c r="R13" s="6"/>
      <c r="S13" s="6"/>
      <c r="T13" s="6"/>
      <c r="U13" s="6"/>
      <c r="V13" s="6"/>
    </row>
    <row r="14" spans="1:22" s="1" customFormat="1" ht="15" customHeight="1" x14ac:dyDescent="0.25">
      <c r="A14" s="2"/>
      <c r="B14" s="2" t="s">
        <v>71</v>
      </c>
      <c r="C14" s="2"/>
      <c r="D14" s="2"/>
      <c r="E14" s="2"/>
      <c r="F14" s="2">
        <f>F11+F12</f>
        <v>4042.0325682470129</v>
      </c>
      <c r="G14" s="2">
        <f t="shared" ref="G14:O14" si="0">G11+G12</f>
        <v>5566.8057197661092</v>
      </c>
      <c r="H14" s="2">
        <f t="shared" si="0"/>
        <v>6759.3229349769417</v>
      </c>
      <c r="I14" s="2">
        <f t="shared" si="0"/>
        <v>8198.2813972936892</v>
      </c>
      <c r="J14" s="2">
        <f t="shared" si="0"/>
        <v>9590.7219445316805</v>
      </c>
      <c r="K14" s="2">
        <f t="shared" si="0"/>
        <v>10484.54366282712</v>
      </c>
      <c r="L14" s="2">
        <f t="shared" si="0"/>
        <v>11111.177963001132</v>
      </c>
      <c r="M14" s="2">
        <f t="shared" si="0"/>
        <v>11201.857326778274</v>
      </c>
      <c r="N14" s="2">
        <f t="shared" si="0"/>
        <v>11650.382771058943</v>
      </c>
      <c r="O14" s="2">
        <f t="shared" si="0"/>
        <v>11974.199275592706</v>
      </c>
      <c r="Q14" s="6"/>
      <c r="R14" s="6"/>
      <c r="S14" s="6"/>
      <c r="T14" s="6"/>
      <c r="U14" s="6"/>
      <c r="V14" s="6"/>
    </row>
    <row r="15" spans="1:22" s="1" customFormat="1" ht="15" customHeight="1" x14ac:dyDescent="0.25">
      <c r="A15" s="2"/>
      <c r="B15" s="1" t="str">
        <f>CFS!B7</f>
        <v>折旧</v>
      </c>
      <c r="F15" s="1">
        <f>CFS!F7</f>
        <v>2254.1113130903996</v>
      </c>
      <c r="G15" s="1">
        <f>CFS!G7</f>
        <v>2421.5040233986733</v>
      </c>
      <c r="H15" s="1">
        <f>CFS!H7</f>
        <v>2527.884426018969</v>
      </c>
      <c r="I15" s="1">
        <f>CFS!I7</f>
        <v>2536.2547959427734</v>
      </c>
      <c r="J15" s="1">
        <f>CFS!J7</f>
        <v>2425.1818022793004</v>
      </c>
      <c r="K15" s="1">
        <f>CFS!K7</f>
        <v>2376.6603094979387</v>
      </c>
      <c r="L15" s="1">
        <f>CFS!L7</f>
        <v>2364.8710343713246</v>
      </c>
      <c r="M15" s="1">
        <f>CFS!M7</f>
        <v>2452.5854237551498</v>
      </c>
      <c r="N15" s="1">
        <f>CFS!N7</f>
        <v>2544.8404565129827</v>
      </c>
      <c r="O15" s="1">
        <f>CFS!O7</f>
        <v>2641.6629482099843</v>
      </c>
      <c r="Q15" s="6"/>
      <c r="R15" s="6"/>
      <c r="S15" s="6"/>
      <c r="T15" s="6"/>
      <c r="U15" s="6"/>
      <c r="V15" s="6"/>
    </row>
    <row r="16" spans="1:22" s="1" customFormat="1" ht="15" customHeight="1" x14ac:dyDescent="0.25">
      <c r="A16" s="2"/>
      <c r="B16" s="1" t="str">
        <f>CFS!B8</f>
        <v>摊销</v>
      </c>
      <c r="F16" s="1">
        <f>CFS!F8</f>
        <v>775.26849723679993</v>
      </c>
      <c r="G16" s="1">
        <f>CFS!G8</f>
        <v>797.97401407647635</v>
      </c>
      <c r="H16" s="1">
        <f>CFS!H8</f>
        <v>810.64300080118778</v>
      </c>
      <c r="I16" s="1">
        <f>CFS!I8</f>
        <v>751.02574221184193</v>
      </c>
      <c r="J16" s="1">
        <f>CFS!J8</f>
        <v>725.86229712564477</v>
      </c>
      <c r="K16" s="1">
        <f>CFS!K8</f>
        <v>721.63979079113324</v>
      </c>
      <c r="L16" s="1">
        <f>CFS!L8</f>
        <v>755.34781504563921</v>
      </c>
      <c r="M16" s="1">
        <f>CFS!M8</f>
        <v>791.73797584064164</v>
      </c>
      <c r="N16" s="1">
        <f>CFS!N8</f>
        <v>828.66996840487377</v>
      </c>
      <c r="O16" s="1">
        <f>CFS!O8</f>
        <v>866.42289153075262</v>
      </c>
      <c r="Q16" s="6"/>
      <c r="R16" s="6"/>
      <c r="S16" s="6"/>
      <c r="T16" s="6"/>
      <c r="U16" s="6"/>
      <c r="V16" s="6"/>
    </row>
    <row r="17" spans="1:22" s="1" customFormat="1" ht="15" customHeight="1" x14ac:dyDescent="0.25">
      <c r="A17" s="2"/>
      <c r="B17" s="1" t="str">
        <f>CFS!B12</f>
        <v>经营性营运资金减少</v>
      </c>
      <c r="F17" s="1">
        <f>CFS!F12</f>
        <v>981.77924298607923</v>
      </c>
      <c r="G17" s="1">
        <f>CFS!G12</f>
        <v>1126.1557485141821</v>
      </c>
      <c r="H17" s="1">
        <f>CFS!H12</f>
        <v>1098.3772400508224</v>
      </c>
      <c r="I17" s="1">
        <f>CFS!I12</f>
        <v>1138.0769115091607</v>
      </c>
      <c r="J17" s="1">
        <f>CFS!J12</f>
        <v>1047.0307585884293</v>
      </c>
      <c r="K17" s="1">
        <f>CFS!K12</f>
        <v>781.78296641269844</v>
      </c>
      <c r="L17" s="1">
        <f>CFS!L12</f>
        <v>527.70350232857163</v>
      </c>
      <c r="M17" s="1">
        <f>CFS!M12</f>
        <v>443.2709419559942</v>
      </c>
      <c r="N17" s="1">
        <f>CFS!N12</f>
        <v>461.0017796342363</v>
      </c>
      <c r="O17" s="1">
        <f>CFS!O12</f>
        <v>359.58138811470417</v>
      </c>
      <c r="Q17" s="6"/>
      <c r="R17" s="6"/>
      <c r="S17" s="6"/>
      <c r="T17" s="6"/>
      <c r="U17" s="6"/>
      <c r="V17" s="6"/>
    </row>
    <row r="18" spans="1:22" s="1" customFormat="1" ht="15" customHeight="1" x14ac:dyDescent="0.25">
      <c r="A18" s="2"/>
      <c r="B18" s="1" t="str">
        <f>CFS!B13</f>
        <v>长期经营性负债增加</v>
      </c>
      <c r="F18" s="1">
        <f>CFS!F13</f>
        <v>46.123990928169235</v>
      </c>
      <c r="G18" s="1">
        <f>CFS!G13</f>
        <v>44.962300313315581</v>
      </c>
      <c r="H18" s="1">
        <f>CFS!H13</f>
        <v>43.853230238920446</v>
      </c>
      <c r="I18" s="1">
        <f>CFS!I13</f>
        <v>45.438258378060709</v>
      </c>
      <c r="J18" s="1">
        <f>CFS!J13</f>
        <v>41.803197707816025</v>
      </c>
      <c r="K18" s="1">
        <f>CFS!K13</f>
        <v>31.213054288502576</v>
      </c>
      <c r="L18" s="1">
        <f>CFS!L13</f>
        <v>21.068811644739299</v>
      </c>
      <c r="M18" s="1">
        <f>CFS!M13</f>
        <v>17.697801781580949</v>
      </c>
      <c r="N18" s="1">
        <f>CFS!N13</f>
        <v>18.405713852844144</v>
      </c>
      <c r="O18" s="1">
        <f>CFS!O13</f>
        <v>14.356456805218556</v>
      </c>
      <c r="Q18" s="6"/>
      <c r="R18" s="6"/>
      <c r="S18" s="6"/>
      <c r="T18" s="6"/>
      <c r="U18" s="6"/>
      <c r="V18" s="6"/>
    </row>
    <row r="19" spans="1:22" s="1" customFormat="1" ht="15" customHeight="1" x14ac:dyDescent="0.25">
      <c r="A19" s="2"/>
      <c r="B19" s="1" t="str">
        <f>CFS!B20</f>
        <v>（固定资产购建）</v>
      </c>
      <c r="F19" s="1">
        <f>CFS!F20</f>
        <v>-3568.4365328028211</v>
      </c>
      <c r="G19" s="1">
        <f>CFS!G20</f>
        <v>-3454.2465637531313</v>
      </c>
      <c r="H19" s="1">
        <f>CFS!H20</f>
        <v>-3029.2172252040527</v>
      </c>
      <c r="I19" s="1">
        <f>CFS!I20</f>
        <v>-2322.39987265644</v>
      </c>
      <c r="J19" s="1">
        <f>CFS!J20</f>
        <v>-2601.0878573752134</v>
      </c>
      <c r="K19" s="1">
        <f>CFS!K20</f>
        <v>-2809.1748859652307</v>
      </c>
      <c r="L19" s="1">
        <f>CFS!L20</f>
        <v>-2949.6336302634927</v>
      </c>
      <c r="M19" s="1">
        <f>CFS!M20</f>
        <v>-3067.6189754740326</v>
      </c>
      <c r="N19" s="1">
        <f>CFS!N20</f>
        <v>-3190.323734492993</v>
      </c>
      <c r="O19" s="1">
        <f>CFS!O20</f>
        <v>-3286.0334465277838</v>
      </c>
      <c r="Q19" s="6"/>
      <c r="R19" s="6"/>
      <c r="S19" s="6"/>
      <c r="T19" s="6"/>
      <c r="U19" s="6"/>
      <c r="V19" s="6"/>
    </row>
    <row r="20" spans="1:22" s="1" customFormat="1" ht="15" customHeight="1" x14ac:dyDescent="0.25">
      <c r="A20" s="2"/>
      <c r="B20" s="1" t="str">
        <f>CFS!B21</f>
        <v>（无形资产购置）</v>
      </c>
      <c r="F20" s="1">
        <f>CFS!F21</f>
        <v>-1427.3746131211283</v>
      </c>
      <c r="G20" s="1">
        <f>CFS!G21</f>
        <v>-863.56164093828284</v>
      </c>
      <c r="H20" s="1">
        <f>CFS!H21</f>
        <v>-504.86953753400877</v>
      </c>
      <c r="I20" s="1">
        <f>CFS!I21</f>
        <v>-580.59996816411001</v>
      </c>
      <c r="J20" s="1">
        <f>CFS!J21</f>
        <v>-650.27196434380335</v>
      </c>
      <c r="K20" s="1">
        <f>CFS!K21</f>
        <v>-702.29372149130768</v>
      </c>
      <c r="L20" s="1">
        <f>CFS!L21</f>
        <v>-737.40840756587318</v>
      </c>
      <c r="M20" s="1">
        <f>CFS!M21</f>
        <v>-766.90474386850815</v>
      </c>
      <c r="N20" s="1">
        <f>CFS!N21</f>
        <v>-797.58093362324826</v>
      </c>
      <c r="O20" s="1">
        <f>CFS!O21</f>
        <v>-821.50836163194595</v>
      </c>
      <c r="Q20" s="6"/>
      <c r="R20" s="6"/>
      <c r="S20" s="6"/>
      <c r="T20" s="6"/>
      <c r="U20" s="6"/>
      <c r="V20" s="6"/>
    </row>
    <row r="21" spans="1:22" s="1" customFormat="1" ht="15" customHeight="1" x14ac:dyDescent="0.25">
      <c r="A21" s="2"/>
      <c r="B21" s="1" t="str">
        <f>CFS!B22</f>
        <v>（新增长期待摊费用）</v>
      </c>
      <c r="F21" s="1">
        <f>CFS!F22</f>
        <v>-356.84365328028207</v>
      </c>
      <c r="G21" s="1">
        <f>CFS!G22</f>
        <v>-431.78082046914142</v>
      </c>
      <c r="H21" s="1">
        <f>CFS!H22</f>
        <v>-302.9217225204053</v>
      </c>
      <c r="I21" s="1">
        <f>CFS!I22</f>
        <v>-348.35998089846601</v>
      </c>
      <c r="J21" s="1">
        <f>CFS!J22</f>
        <v>-390.16317860628203</v>
      </c>
      <c r="K21" s="1">
        <f>CFS!K22</f>
        <v>-421.37623289478461</v>
      </c>
      <c r="L21" s="1">
        <f>CFS!L22</f>
        <v>-442.44504453952391</v>
      </c>
      <c r="M21" s="1">
        <f>CFS!M22</f>
        <v>-460.14284632110486</v>
      </c>
      <c r="N21" s="1">
        <f>CFS!N22</f>
        <v>-478.548560173949</v>
      </c>
      <c r="O21" s="1">
        <f>CFS!O22</f>
        <v>-492.90501697916756</v>
      </c>
      <c r="Q21" s="6"/>
      <c r="R21" s="6"/>
      <c r="S21" s="6"/>
      <c r="T21" s="6"/>
      <c r="U21" s="6"/>
      <c r="V21" s="6"/>
    </row>
    <row r="22" spans="1:22" s="1" customFormat="1" ht="15" customHeight="1" x14ac:dyDescent="0.25">
      <c r="A22" s="2"/>
      <c r="B22" s="1" t="str">
        <f>CFS!B23</f>
        <v>其他长期经营性资产减少</v>
      </c>
      <c r="F22" s="1">
        <f>CFS!F23</f>
        <v>-182.67664007267706</v>
      </c>
      <c r="G22" s="1">
        <f>CFS!G23</f>
        <v>-179.84920125326232</v>
      </c>
      <c r="H22" s="1">
        <f>CFS!H23</f>
        <v>-175.41292095568178</v>
      </c>
      <c r="I22" s="1">
        <f>CFS!I23</f>
        <v>-181.75303351224284</v>
      </c>
      <c r="J22" s="1">
        <f>CFS!J23</f>
        <v>-167.2127908312641</v>
      </c>
      <c r="K22" s="1">
        <f>CFS!K23</f>
        <v>-124.8522171540103</v>
      </c>
      <c r="L22" s="1">
        <f>CFS!L23</f>
        <v>-84.275246578957194</v>
      </c>
      <c r="M22" s="1">
        <f>CFS!M23</f>
        <v>-70.791207126323798</v>
      </c>
      <c r="N22" s="1">
        <f>CFS!N23</f>
        <v>-73.622855411376577</v>
      </c>
      <c r="O22" s="1">
        <f>CFS!O23</f>
        <v>-57.425827220874226</v>
      </c>
      <c r="Q22" s="6"/>
      <c r="R22" s="6"/>
      <c r="S22" s="6"/>
      <c r="T22" s="6"/>
      <c r="U22" s="6"/>
      <c r="V22" s="6"/>
    </row>
    <row r="23" spans="1:22" s="1" customFormat="1" ht="15" customHeight="1" x14ac:dyDescent="0.25">
      <c r="A23" s="2"/>
      <c r="B23" s="2" t="s">
        <v>72</v>
      </c>
      <c r="C23" s="2"/>
      <c r="D23" s="2"/>
      <c r="E23" s="2"/>
      <c r="F23" s="2">
        <f t="shared" ref="F23:O23" si="1">SUM(F14:F22)</f>
        <v>2563.9841732115519</v>
      </c>
      <c r="G23" s="2">
        <f t="shared" si="1"/>
        <v>5027.9635796549373</v>
      </c>
      <c r="H23" s="2">
        <f t="shared" si="1"/>
        <v>7227.6594258726946</v>
      </c>
      <c r="I23" s="2">
        <f t="shared" si="1"/>
        <v>9235.9642501042672</v>
      </c>
      <c r="J23" s="2">
        <f t="shared" si="1"/>
        <v>10021.864209076306</v>
      </c>
      <c r="K23" s="2">
        <f t="shared" si="1"/>
        <v>10338.142726312059</v>
      </c>
      <c r="L23" s="2">
        <f t="shared" si="1"/>
        <v>10566.40679744356</v>
      </c>
      <c r="M23" s="2">
        <f t="shared" si="1"/>
        <v>10541.691697321672</v>
      </c>
      <c r="N23" s="2">
        <f t="shared" si="1"/>
        <v>10963.224605762312</v>
      </c>
      <c r="O23" s="2">
        <f t="shared" si="1"/>
        <v>11198.350307893594</v>
      </c>
      <c r="P23" s="2"/>
      <c r="Q23" s="6"/>
      <c r="R23" s="6"/>
      <c r="S23" s="6"/>
      <c r="T23" s="6"/>
      <c r="U23" s="6"/>
      <c r="V23" s="6"/>
    </row>
    <row r="24" spans="1:22" s="1" customFormat="1" ht="15" customHeight="1" x14ac:dyDescent="0.25">
      <c r="A24" s="2"/>
      <c r="G24" s="18">
        <f>G23/F23-1</f>
        <v>0.96099634006597467</v>
      </c>
      <c r="H24" s="18">
        <f t="shared" ref="H24:O24" si="2">H23/G23-1</f>
        <v>0.43749239853656996</v>
      </c>
      <c r="I24" s="18">
        <f t="shared" si="2"/>
        <v>0.27786378769349418</v>
      </c>
      <c r="J24" s="18">
        <f t="shared" si="2"/>
        <v>8.5091273384169552E-2</v>
      </c>
      <c r="K24" s="18">
        <f t="shared" si="2"/>
        <v>3.1558850792382076E-2</v>
      </c>
      <c r="L24" s="18">
        <f t="shared" si="2"/>
        <v>2.2079794908473893E-2</v>
      </c>
      <c r="M24" s="18">
        <f t="shared" si="2"/>
        <v>-2.3390259901661103E-3</v>
      </c>
      <c r="N24" s="18">
        <f t="shared" si="2"/>
        <v>3.9987216525004143E-2</v>
      </c>
      <c r="O24" s="18">
        <f t="shared" si="2"/>
        <v>2.1446765033683368E-2</v>
      </c>
      <c r="Q24" s="6"/>
      <c r="R24" s="6"/>
      <c r="S24" s="6"/>
      <c r="T24" s="6"/>
      <c r="U24" s="6"/>
      <c r="V24" s="6"/>
    </row>
    <row r="25" spans="1:22" s="1" customFormat="1" ht="15" customHeight="1" x14ac:dyDescent="0.25">
      <c r="A25" s="2"/>
      <c r="Q25" s="6"/>
      <c r="R25" s="6"/>
      <c r="S25" s="6"/>
      <c r="T25" s="6"/>
      <c r="U25" s="6"/>
      <c r="V25" s="6"/>
    </row>
    <row r="26" spans="1:22" s="1" customFormat="1" ht="15" customHeight="1" x14ac:dyDescent="0.25">
      <c r="A26" s="4" t="s">
        <v>46</v>
      </c>
      <c r="B26" s="3"/>
      <c r="Q26" s="6"/>
      <c r="R26" s="6"/>
      <c r="S26" s="6"/>
      <c r="T26" s="6"/>
      <c r="U26" s="6"/>
      <c r="V26" s="6"/>
    </row>
    <row r="27" spans="1:22" s="1" customFormat="1" ht="15" customHeight="1" x14ac:dyDescent="0.25">
      <c r="A27" s="4"/>
      <c r="B27" s="3" t="s">
        <v>47</v>
      </c>
      <c r="F27" s="19">
        <v>0.5</v>
      </c>
      <c r="G27" s="19">
        <v>1.5</v>
      </c>
      <c r="H27" s="19">
        <v>2.5</v>
      </c>
      <c r="I27" s="19">
        <v>3.5</v>
      </c>
      <c r="J27" s="19">
        <v>4.5</v>
      </c>
      <c r="K27" s="19">
        <v>5.5</v>
      </c>
      <c r="L27" s="19">
        <v>6.5</v>
      </c>
      <c r="M27" s="19">
        <v>7.5</v>
      </c>
      <c r="N27" s="19">
        <v>8.5</v>
      </c>
      <c r="O27" s="19">
        <v>9.5</v>
      </c>
      <c r="Q27" s="6"/>
      <c r="R27" s="6"/>
      <c r="S27" s="6"/>
      <c r="T27" s="6"/>
      <c r="U27" s="6"/>
      <c r="V27" s="6"/>
    </row>
    <row r="28" spans="1:22" s="1" customFormat="1" ht="15" customHeight="1" x14ac:dyDescent="0.25">
      <c r="A28" s="4"/>
      <c r="B28" s="3" t="s">
        <v>48</v>
      </c>
      <c r="F28" s="18">
        <f>1/(1+$E$6)^F27</f>
        <v>0.94873073577327527</v>
      </c>
      <c r="G28" s="18">
        <f t="shared" ref="G28:O28" si="3">1/(1+$E$6)^G27</f>
        <v>0.85394305650159785</v>
      </c>
      <c r="H28" s="18">
        <f t="shared" si="3"/>
        <v>0.76862561341277924</v>
      </c>
      <c r="I28" s="18">
        <f t="shared" si="3"/>
        <v>0.69183223529503091</v>
      </c>
      <c r="J28" s="18">
        <f t="shared" si="3"/>
        <v>0.62271128289381716</v>
      </c>
      <c r="K28" s="18">
        <f t="shared" si="3"/>
        <v>0.56049620422485802</v>
      </c>
      <c r="L28" s="18">
        <f t="shared" si="3"/>
        <v>0.50449703350572273</v>
      </c>
      <c r="M28" s="18">
        <f t="shared" si="3"/>
        <v>0.45409273942909339</v>
      </c>
      <c r="N28" s="18">
        <f t="shared" si="3"/>
        <v>0.40872433791997609</v>
      </c>
      <c r="O28" s="18">
        <f t="shared" si="3"/>
        <v>0.36788869299727822</v>
      </c>
      <c r="Q28" s="6"/>
      <c r="R28" s="6"/>
      <c r="S28" s="6"/>
      <c r="T28" s="6"/>
      <c r="U28" s="6"/>
      <c r="V28" s="6"/>
    </row>
    <row r="29" spans="1:22" s="1" customFormat="1" ht="15" customHeight="1" x14ac:dyDescent="0.25">
      <c r="A29" s="4"/>
      <c r="B29" s="3" t="s">
        <v>49</v>
      </c>
      <c r="F29" s="1">
        <f t="shared" ref="F29:O29" si="4">F23*F28</f>
        <v>2432.5305911620285</v>
      </c>
      <c r="G29" s="1">
        <f t="shared" si="4"/>
        <v>4293.5945871892527</v>
      </c>
      <c r="H29" s="1">
        <f t="shared" si="4"/>
        <v>5555.3641597500555</v>
      </c>
      <c r="I29" s="1">
        <f t="shared" si="4"/>
        <v>6389.7377922546293</v>
      </c>
      <c r="J29" s="1">
        <f t="shared" si="4"/>
        <v>6240.7279186215364</v>
      </c>
      <c r="K29" s="1">
        <f t="shared" si="4"/>
        <v>5794.4897568327342</v>
      </c>
      <c r="L29" s="1">
        <f t="shared" si="4"/>
        <v>5330.7208841249803</v>
      </c>
      <c r="M29" s="1">
        <f t="shared" si="4"/>
        <v>4786.9056610537273</v>
      </c>
      <c r="N29" s="1">
        <f t="shared" si="4"/>
        <v>4480.9367184581924</v>
      </c>
      <c r="O29" s="1">
        <f t="shared" si="4"/>
        <v>4119.7464584966419</v>
      </c>
      <c r="Q29" s="6"/>
      <c r="R29" s="6"/>
      <c r="S29" s="6"/>
      <c r="T29" s="6"/>
      <c r="U29" s="6"/>
      <c r="V29" s="6"/>
    </row>
    <row r="30" spans="1:22" s="1" customFormat="1" ht="15" customHeight="1" x14ac:dyDescent="0.25">
      <c r="A30" s="4"/>
      <c r="B30" s="3"/>
      <c r="Q30" s="6"/>
      <c r="R30" s="6"/>
      <c r="S30" s="6"/>
      <c r="T30" s="6"/>
      <c r="U30" s="6"/>
      <c r="V30" s="6"/>
    </row>
    <row r="31" spans="1:22" s="1" customFormat="1" ht="15" customHeight="1" x14ac:dyDescent="0.25">
      <c r="A31" s="4" t="s">
        <v>50</v>
      </c>
      <c r="B31" s="3"/>
      <c r="Q31" s="6"/>
      <c r="R31" s="6"/>
      <c r="S31" s="6"/>
      <c r="T31" s="6"/>
      <c r="U31" s="6"/>
      <c r="V31" s="6"/>
    </row>
    <row r="32" spans="1:22" s="1" customFormat="1" ht="15" customHeight="1" x14ac:dyDescent="0.25">
      <c r="A32" s="4"/>
      <c r="B32" s="3" t="s">
        <v>51</v>
      </c>
      <c r="O32" s="1">
        <f>IS!O23*DCF!E7</f>
        <v>163907.34831280576</v>
      </c>
      <c r="Q32" s="6"/>
      <c r="R32" s="6"/>
      <c r="S32" s="6"/>
      <c r="T32" s="6"/>
      <c r="U32" s="6"/>
      <c r="V32" s="6"/>
    </row>
    <row r="33" spans="1:22" s="1" customFormat="1" ht="15" customHeight="1" x14ac:dyDescent="0.25">
      <c r="A33" s="4"/>
      <c r="B33" s="3"/>
      <c r="Q33" s="6"/>
      <c r="R33" s="6"/>
      <c r="S33" s="6"/>
      <c r="T33" s="6"/>
      <c r="U33" s="6"/>
      <c r="V33" s="6"/>
    </row>
    <row r="34" spans="1:22" s="1" customFormat="1" ht="15" customHeight="1" x14ac:dyDescent="0.25">
      <c r="A34" s="4"/>
      <c r="B34" s="3" t="s">
        <v>52</v>
      </c>
      <c r="O34" s="19">
        <v>10</v>
      </c>
      <c r="Q34" s="6"/>
      <c r="R34" s="6"/>
      <c r="S34" s="6"/>
      <c r="T34" s="6"/>
      <c r="U34" s="6"/>
      <c r="V34" s="6"/>
    </row>
    <row r="35" spans="1:22" s="1" customFormat="1" ht="15" customHeight="1" x14ac:dyDescent="0.25">
      <c r="A35" s="4"/>
      <c r="B35" s="3" t="s">
        <v>53</v>
      </c>
      <c r="O35" s="18">
        <f t="shared" ref="O35" si="5">1/(1+$E$6)^O34</f>
        <v>0.3490273103899762</v>
      </c>
      <c r="Q35" s="6"/>
      <c r="R35" s="6"/>
      <c r="S35" s="6"/>
      <c r="T35" s="6"/>
      <c r="U35" s="6"/>
      <c r="V35" s="6"/>
    </row>
    <row r="36" spans="1:22" s="1" customFormat="1" ht="15" customHeight="1" x14ac:dyDescent="0.25">
      <c r="A36" s="4"/>
      <c r="B36" s="3" t="s">
        <v>54</v>
      </c>
      <c r="E36" s="1">
        <f>O32*O35</f>
        <v>57208.140934771596</v>
      </c>
      <c r="Q36" s="6"/>
      <c r="R36" s="6"/>
      <c r="S36" s="6"/>
      <c r="T36" s="6"/>
      <c r="U36" s="6"/>
      <c r="V36" s="6"/>
    </row>
    <row r="37" spans="1:22" s="1" customFormat="1" ht="15" customHeight="1" x14ac:dyDescent="0.25">
      <c r="A37" s="4"/>
      <c r="B37" s="3"/>
      <c r="Q37" s="6"/>
      <c r="R37" s="6"/>
      <c r="S37" s="6"/>
      <c r="T37" s="6"/>
      <c r="U37" s="6"/>
      <c r="V37" s="6"/>
    </row>
    <row r="38" spans="1:22" s="1" customFormat="1" ht="15" customHeight="1" x14ac:dyDescent="0.25">
      <c r="A38" s="4" t="s">
        <v>55</v>
      </c>
      <c r="B38" s="3"/>
      <c r="Q38" s="6"/>
      <c r="R38" s="6"/>
      <c r="S38" s="6"/>
      <c r="T38" s="6"/>
      <c r="U38" s="6"/>
      <c r="V38" s="6"/>
    </row>
    <row r="39" spans="1:22" s="1" customFormat="1" ht="15" customHeight="1" x14ac:dyDescent="0.25">
      <c r="A39" s="4"/>
      <c r="B39" s="3" t="s">
        <v>56</v>
      </c>
      <c r="E39" s="1">
        <f>SUM(F29:O29)</f>
        <v>49424.754527943791</v>
      </c>
      <c r="Q39" s="6"/>
      <c r="R39" s="6"/>
      <c r="S39" s="6"/>
      <c r="T39" s="6"/>
      <c r="U39" s="6"/>
      <c r="V39" s="6"/>
    </row>
    <row r="40" spans="1:22" s="1" customFormat="1" ht="15" customHeight="1" x14ac:dyDescent="0.25">
      <c r="A40" s="4"/>
      <c r="B40" s="3" t="s">
        <v>54</v>
      </c>
      <c r="E40" s="1">
        <f>E36</f>
        <v>57208.140934771596</v>
      </c>
      <c r="Q40" s="6"/>
      <c r="R40" s="6"/>
      <c r="S40" s="6"/>
      <c r="T40" s="6"/>
      <c r="U40" s="6"/>
      <c r="V40" s="6"/>
    </row>
    <row r="41" spans="1:22" s="1" customFormat="1" ht="15" customHeight="1" x14ac:dyDescent="0.25">
      <c r="A41" s="4"/>
      <c r="B41" s="4" t="s">
        <v>55</v>
      </c>
      <c r="E41" s="2">
        <f>SUM(E39:E40)</f>
        <v>106632.89546271539</v>
      </c>
      <c r="Q41" s="6"/>
      <c r="R41" s="6"/>
      <c r="S41" s="6"/>
      <c r="T41" s="6"/>
      <c r="U41" s="6"/>
      <c r="V41" s="6"/>
    </row>
    <row r="42" spans="1:22" s="1" customFormat="1" ht="15" customHeight="1" x14ac:dyDescent="0.25">
      <c r="A42" s="4"/>
      <c r="B42" s="4"/>
      <c r="Q42" s="6"/>
      <c r="R42" s="6"/>
      <c r="S42" s="6"/>
      <c r="T42" s="6"/>
      <c r="U42" s="6"/>
      <c r="V42" s="6"/>
    </row>
    <row r="43" spans="1:22" s="1" customFormat="1" ht="15" customHeight="1" x14ac:dyDescent="0.25">
      <c r="A43" s="4" t="s">
        <v>57</v>
      </c>
      <c r="B43" s="3"/>
      <c r="Q43" s="6"/>
      <c r="R43" s="6"/>
      <c r="S43" s="6"/>
      <c r="T43" s="6"/>
      <c r="U43" s="6"/>
      <c r="V43" s="6"/>
    </row>
    <row r="44" spans="1:22" s="1" customFormat="1" ht="15" customHeight="1" x14ac:dyDescent="0.25">
      <c r="A44" s="4"/>
      <c r="B44" s="3" t="s">
        <v>58</v>
      </c>
      <c r="E44" s="1">
        <f>BS!E12+BS!E15</f>
        <v>10587.105619239999</v>
      </c>
      <c r="Q44" s="6"/>
      <c r="R44" s="6"/>
      <c r="S44" s="6"/>
      <c r="T44" s="6"/>
      <c r="U44" s="6"/>
      <c r="V44" s="6"/>
    </row>
    <row r="45" spans="1:22" s="1" customFormat="1" ht="15" customHeight="1" x14ac:dyDescent="0.25">
      <c r="A45" s="4"/>
      <c r="B45" s="3" t="s">
        <v>59</v>
      </c>
      <c r="E45" s="1">
        <f>E8*E44</f>
        <v>12704.526743087999</v>
      </c>
      <c r="Q45" s="6"/>
      <c r="R45" s="6"/>
      <c r="S45" s="6"/>
      <c r="T45" s="6"/>
      <c r="U45" s="6"/>
      <c r="V45" s="6"/>
    </row>
    <row r="46" spans="1:22" s="1" customFormat="1" ht="15" customHeight="1" x14ac:dyDescent="0.25">
      <c r="A46" s="4"/>
      <c r="B46" s="3"/>
      <c r="Q46" s="6"/>
      <c r="R46" s="6"/>
      <c r="S46" s="6"/>
      <c r="T46" s="6"/>
      <c r="U46" s="6"/>
      <c r="V46" s="6"/>
    </row>
    <row r="47" spans="1:22" s="1" customFormat="1" ht="15" customHeight="1" x14ac:dyDescent="0.25">
      <c r="A47" s="4"/>
      <c r="B47" s="3" t="s">
        <v>60</v>
      </c>
      <c r="E47" s="1">
        <f>BS!E7</f>
        <v>6915.5089719499992</v>
      </c>
      <c r="Q47" s="6"/>
      <c r="R47" s="6"/>
      <c r="S47" s="6"/>
      <c r="T47" s="6"/>
      <c r="U47" s="6"/>
      <c r="V47" s="6"/>
    </row>
    <row r="48" spans="1:22" s="1" customFormat="1" ht="15" customHeight="1" x14ac:dyDescent="0.25">
      <c r="A48" s="4"/>
      <c r="B48" s="3" t="s">
        <v>61</v>
      </c>
      <c r="E48" s="1">
        <f>Cals!E36</f>
        <v>11584.434713229999</v>
      </c>
      <c r="Q48" s="6"/>
      <c r="R48" s="6"/>
      <c r="S48" s="6"/>
      <c r="T48" s="6"/>
      <c r="U48" s="6"/>
      <c r="V48" s="6"/>
    </row>
    <row r="49" spans="1:22" s="1" customFormat="1" ht="15" customHeight="1" x14ac:dyDescent="0.25">
      <c r="A49" s="4"/>
      <c r="B49" s="3"/>
      <c r="Q49" s="6"/>
      <c r="R49" s="6"/>
      <c r="S49" s="6"/>
      <c r="T49" s="6"/>
      <c r="U49" s="6"/>
      <c r="V49" s="6"/>
    </row>
    <row r="50" spans="1:22" s="1" customFormat="1" ht="15" customHeight="1" x14ac:dyDescent="0.25">
      <c r="A50" s="4"/>
      <c r="B50" s="3" t="s">
        <v>62</v>
      </c>
      <c r="E50" s="1">
        <f>BS!E41</f>
        <v>44.896515289999996</v>
      </c>
      <c r="Q50" s="6"/>
      <c r="R50" s="6"/>
      <c r="S50" s="6"/>
      <c r="T50" s="6"/>
      <c r="U50" s="6"/>
      <c r="V50" s="6"/>
    </row>
    <row r="51" spans="1:22" ht="15" customHeight="1" x14ac:dyDescent="0.25">
      <c r="A51" s="4"/>
      <c r="B51" s="4" t="s">
        <v>63</v>
      </c>
      <c r="E51" s="2">
        <f>E41+E45+E47-E48-E50</f>
        <v>114623.59994923338</v>
      </c>
    </row>
    <row r="52" spans="1:22" ht="15" customHeight="1" x14ac:dyDescent="0.25">
      <c r="A52" s="4"/>
      <c r="B52" s="47"/>
    </row>
    <row r="53" spans="1:22" ht="15" customHeight="1" x14ac:dyDescent="0.25">
      <c r="A53" s="4"/>
      <c r="B53" s="3" t="str">
        <f>IS!B40</f>
        <v>已发行普通股数（百万股）</v>
      </c>
      <c r="E53" s="3">
        <f>IS!E40</f>
        <v>4183.6782130000001</v>
      </c>
    </row>
    <row r="54" spans="1:22" ht="15" customHeight="1" x14ac:dyDescent="0.25">
      <c r="A54" s="4"/>
      <c r="B54" s="4" t="s">
        <v>64</v>
      </c>
      <c r="E54" s="4">
        <f>E51/E53</f>
        <v>27.397805020726</v>
      </c>
    </row>
    <row r="55" spans="1:22" ht="15" customHeight="1" x14ac:dyDescent="0.25">
      <c r="A55" s="4"/>
      <c r="B55" s="4"/>
    </row>
    <row r="56" spans="1:22" ht="15" customHeight="1" x14ac:dyDescent="0.25">
      <c r="A56" s="4" t="s">
        <v>65</v>
      </c>
      <c r="B56" s="3"/>
    </row>
    <row r="57" spans="1:22" ht="15" customHeight="1" x14ac:dyDescent="0.25">
      <c r="D57" s="91" t="s">
        <v>285</v>
      </c>
      <c r="E57" s="92"/>
      <c r="F57" s="92"/>
      <c r="G57" s="92"/>
      <c r="H57" s="92"/>
      <c r="I57" s="92"/>
      <c r="J57" s="93"/>
    </row>
    <row r="58" spans="1:22" ht="15" customHeight="1" x14ac:dyDescent="0.25">
      <c r="C58" s="3">
        <f>E54</f>
        <v>27.397805020726</v>
      </c>
      <c r="D58" s="20">
        <v>0.10199999999999999</v>
      </c>
      <c r="E58" s="20">
        <v>0.105</v>
      </c>
      <c r="F58" s="20">
        <v>0.108</v>
      </c>
      <c r="G58" s="20">
        <v>0.11099999999999999</v>
      </c>
      <c r="H58" s="20">
        <v>0.11399999999999999</v>
      </c>
      <c r="I58" s="20">
        <v>0.11699999999999999</v>
      </c>
      <c r="J58" s="20">
        <v>0.12</v>
      </c>
    </row>
    <row r="59" spans="1:22" ht="15" customHeight="1" x14ac:dyDescent="0.25">
      <c r="B59" s="94" t="s">
        <v>284</v>
      </c>
      <c r="C59" s="78">
        <v>8</v>
      </c>
      <c r="D59" s="3">
        <f t="dataTable" ref="D59:J65" dt2D="1" dtr="1" r1="E6" r2="E7"/>
        <v>28.023920660133243</v>
      </c>
      <c r="E59" s="3">
        <v>27.483049977481656</v>
      </c>
      <c r="F59" s="3">
        <v>26.956485911840563</v>
      </c>
      <c r="G59" s="3">
        <v>26.443796264935493</v>
      </c>
      <c r="H59" s="3">
        <v>25.944563256639846</v>
      </c>
      <c r="I59" s="3">
        <v>25.458383002365689</v>
      </c>
      <c r="J59" s="3">
        <v>24.984865010834465</v>
      </c>
    </row>
    <row r="60" spans="1:22" ht="15" customHeight="1" x14ac:dyDescent="0.25">
      <c r="B60" s="95"/>
      <c r="C60" s="78">
        <v>8.1999999999999993</v>
      </c>
      <c r="D60" s="3">
        <v>28.368870343121273</v>
      </c>
      <c r="E60" s="3">
        <v>27.818748102134869</v>
      </c>
      <c r="F60" s="3">
        <v>27.283204686336802</v>
      </c>
      <c r="G60" s="3">
        <v>26.761799183532325</v>
      </c>
      <c r="H60" s="3">
        <v>26.254105401064535</v>
      </c>
      <c r="I60" s="3">
        <v>25.759711332008884</v>
      </c>
      <c r="J60" s="3">
        <v>25.278218642192162</v>
      </c>
    </row>
    <row r="61" spans="1:22" ht="15" customHeight="1" x14ac:dyDescent="0.25">
      <c r="B61" s="95"/>
      <c r="C61" s="78">
        <v>8.4</v>
      </c>
      <c r="D61" s="3">
        <v>28.713820026109303</v>
      </c>
      <c r="E61" s="3">
        <v>28.154446226788082</v>
      </c>
      <c r="F61" s="21">
        <v>27.609923460833038</v>
      </c>
      <c r="G61" s="21">
        <v>27.079802102129161</v>
      </c>
      <c r="H61" s="21">
        <v>26.563647545489221</v>
      </c>
      <c r="I61" s="3">
        <v>26.061039661652085</v>
      </c>
      <c r="J61" s="3">
        <v>25.571572273549862</v>
      </c>
    </row>
    <row r="62" spans="1:22" ht="15" customHeight="1" x14ac:dyDescent="0.25">
      <c r="B62" s="95"/>
      <c r="C62" s="78">
        <v>8.6</v>
      </c>
      <c r="D62" s="3">
        <v>29.058769709097334</v>
      </c>
      <c r="E62" s="3">
        <v>28.490144351441291</v>
      </c>
      <c r="F62" s="21">
        <v>27.936642235329277</v>
      </c>
      <c r="G62" s="21">
        <v>27.397805020726</v>
      </c>
      <c r="H62" s="21">
        <v>26.873189689913911</v>
      </c>
      <c r="I62" s="3">
        <v>26.362367991295283</v>
      </c>
      <c r="J62" s="3">
        <v>25.864925904907562</v>
      </c>
    </row>
    <row r="63" spans="1:22" ht="15" customHeight="1" x14ac:dyDescent="0.25">
      <c r="B63" s="95"/>
      <c r="C63" s="78">
        <v>8.8000000000000007</v>
      </c>
      <c r="D63" s="3">
        <v>29.403719392085364</v>
      </c>
      <c r="E63" s="3">
        <v>28.825842476094508</v>
      </c>
      <c r="F63" s="21">
        <v>28.263361009825516</v>
      </c>
      <c r="G63" s="21">
        <v>27.715807939322833</v>
      </c>
      <c r="H63" s="21">
        <v>27.182731834338593</v>
      </c>
      <c r="I63" s="3">
        <v>26.663696320938481</v>
      </c>
      <c r="J63" s="3">
        <v>26.158279536265265</v>
      </c>
    </row>
    <row r="64" spans="1:22" ht="15" customHeight="1" x14ac:dyDescent="0.25">
      <c r="B64" s="95"/>
      <c r="C64" s="78">
        <v>9</v>
      </c>
      <c r="D64" s="3">
        <v>29.748669075073391</v>
      </c>
      <c r="E64" s="3">
        <v>29.161540600747713</v>
      </c>
      <c r="F64" s="3">
        <v>28.590079784321755</v>
      </c>
      <c r="G64" s="3">
        <v>28.033810857919669</v>
      </c>
      <c r="H64" s="3">
        <v>27.492273978763279</v>
      </c>
      <c r="I64" s="3">
        <v>26.965024650581675</v>
      </c>
      <c r="J64" s="3">
        <v>26.451633167622962</v>
      </c>
    </row>
    <row r="65" spans="2:10" ht="15" customHeight="1" x14ac:dyDescent="0.25">
      <c r="B65" s="96"/>
      <c r="C65" s="78">
        <v>9.1999999999999993</v>
      </c>
      <c r="D65" s="3">
        <v>30.093618758061421</v>
      </c>
      <c r="E65" s="3">
        <v>29.497238725400926</v>
      </c>
      <c r="F65" s="3">
        <v>28.916798558817998</v>
      </c>
      <c r="G65" s="3">
        <v>28.351813776516501</v>
      </c>
      <c r="H65" s="3">
        <v>27.801816123187969</v>
      </c>
      <c r="I65" s="3">
        <v>27.266352980224877</v>
      </c>
      <c r="J65" s="3">
        <v>26.744986798980658</v>
      </c>
    </row>
    <row r="66" spans="2:10" ht="15" customHeight="1" x14ac:dyDescent="0.25"/>
    <row r="67" spans="2:10" ht="15" customHeight="1" x14ac:dyDescent="0.25"/>
    <row r="68" spans="2:10" ht="15" customHeight="1" x14ac:dyDescent="0.25"/>
    <row r="69" spans="2:10" ht="15" customHeight="1" x14ac:dyDescent="0.25"/>
    <row r="70" spans="2:10" ht="15" customHeight="1" x14ac:dyDescent="0.25"/>
    <row r="71" spans="2:10" ht="15" customHeight="1" x14ac:dyDescent="0.25"/>
    <row r="72" spans="2:10" ht="15" customHeight="1" x14ac:dyDescent="0.25"/>
    <row r="73" spans="2:10" ht="15" customHeight="1" x14ac:dyDescent="0.25"/>
    <row r="74" spans="2:10" ht="15" customHeight="1" x14ac:dyDescent="0.25"/>
    <row r="75" spans="2:10" ht="15" customHeight="1" x14ac:dyDescent="0.25"/>
    <row r="76" spans="2:10" ht="15" customHeight="1" x14ac:dyDescent="0.25"/>
    <row r="77" spans="2:10" ht="15" customHeight="1" x14ac:dyDescent="0.25"/>
    <row r="78" spans="2:10" ht="15" customHeight="1" x14ac:dyDescent="0.25"/>
    <row r="79" spans="2:10" ht="15" customHeight="1" x14ac:dyDescent="0.25"/>
    <row r="80" spans="2:1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sheetData>
  <mergeCells count="2">
    <mergeCell ref="D57:J57"/>
    <mergeCell ref="B59:B6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Cover</vt:lpstr>
      <vt:lpstr>Assumption</vt:lpstr>
      <vt:lpstr>IS</vt:lpstr>
      <vt:lpstr>Capex</vt:lpstr>
      <vt:lpstr>Cals</vt:lpstr>
      <vt:lpstr>BS</vt:lpstr>
      <vt:lpstr>CFS</vt:lpstr>
      <vt:lpstr>Raitos</vt:lpstr>
      <vt:lpstr>DCF</vt:lpstr>
    </vt:vector>
  </TitlesOfParts>
  <Company>Lenovo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Chainshine</dc:creator>
  <cp:lastModifiedBy>Chainshine</cp:lastModifiedBy>
  <dcterms:created xsi:type="dcterms:W3CDTF">2017-06-08T07:19:21Z</dcterms:created>
  <dcterms:modified xsi:type="dcterms:W3CDTF">2017-11-23T00:10:20Z</dcterms:modified>
</cp:coreProperties>
</file>